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Инструкция по перечислению КУ" sheetId="1" r:id="rId5"/>
    <sheet state="visible" name="1. Справочник" sheetId="2" r:id="rId6"/>
    <sheet state="visible" name="план " sheetId="3" r:id="rId7"/>
    <sheet state="visible" name="3. Инфо" sheetId="4" r:id="rId8"/>
    <sheet state="visible" name="ЗАПУСК" sheetId="5" r:id="rId9"/>
    <sheet state="visible" name="Отзывы" sheetId="6" r:id="rId10"/>
    <sheet state="hidden" name="выгрузка отзывов" sheetId="7" r:id="rId11"/>
    <sheet state="hidden" name="выгрузка заселений" sheetId="8" r:id="rId12"/>
    <sheet state="visible" name="Отзывы по МБиП" sheetId="9" r:id="rId13"/>
    <sheet state="visible" name="Стратегия" sheetId="10" r:id="rId14"/>
    <sheet state="visible" name="Долгий срок" sheetId="11" r:id="rId15"/>
    <sheet state="visible" name="Хоз задачи" sheetId="12" r:id="rId16"/>
    <sheet state="hidden" name="Ценообраз (суточно)" sheetId="13" r:id="rId17"/>
    <sheet state="hidden" name="АвтоОтзывы" sheetId="14" r:id="rId18"/>
    <sheet state="hidden" name="Лист31" sheetId="15" r:id="rId19"/>
    <sheet state="hidden" name="Отзывы &quot;5&quot;" sheetId="16" r:id="rId20"/>
    <sheet state="hidden" name="Заполняемость" sheetId="17" r:id="rId21"/>
    <sheet state="hidden" name="Мотивация" sheetId="18" r:id="rId22"/>
    <sheet state="visible" name="КУ" sheetId="19" r:id="rId23"/>
    <sheet state="visible" name="Реестр доверенностей" sheetId="20" r:id="rId24"/>
    <sheet state="hidden" name="Лист29" sheetId="21" r:id="rId25"/>
    <sheet state="hidden" name="Подсчет отзывов" sheetId="22" r:id="rId26"/>
    <sheet state="hidden" name="Лист15" sheetId="23" r:id="rId27"/>
    <sheet state="hidden" name="Лист20" sheetId="24" r:id="rId28"/>
  </sheets>
  <definedNames>
    <definedName hidden="1" localSheetId="3" name="_xlnm._FilterDatabase">'3. Инфо'!$A$1:$AE$119</definedName>
    <definedName hidden="1" localSheetId="9" name="_xlnm._FilterDatabase">'Стратегия'!$C$92:$S$121</definedName>
    <definedName hidden="1" localSheetId="10" name="_xlnm._FilterDatabase">'Долгий срок'!$A$1:$I$118</definedName>
    <definedName hidden="1" localSheetId="19" name="_xlnm._FilterDatabase">'Реестр доверенностей'!$A$1:$AC$119</definedName>
    <definedName hidden="1" localSheetId="20" name="_xlnm._FilterDatabase">'Лист29'!$A$1:$Z$1819</definedName>
    <definedName hidden="1" localSheetId="22" name="_xlnm._FilterDatabase">'Лист15'!$A$1:$Z$737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tc={0c7e9052-16b5-4999-a3e1-a79526e584d4}</author>
    <author>tc={6e4eec62-a081-4994-9d1e-63eff87db3a0}</author>
    <author>tc={7d71471f-00ee-43c4-9b70-d7fa76ccdd64}</author>
    <author>tc={daab8ca2-8342-4c52-bd53-fbda13f6ca73}</author>
    <author>tc={e6c093ea-9e78-49f4-ba93-87c5f3f59a0a}</author>
    <author>tc={ebb8952b-62d9-42dd-9447-289e9195374d}</author>
  </authors>
  <commentList>
    <comment authorId="0" xr:uid="{0c7e9052-16b5-4999-a3e1-a79526e584d4}" ref="A1">
      <text>
        <t xml:space="preserve">[Threaded comment]
 Your version of Excel allows you to read this threaded comment; however, any edits to it will get removed if the file is opened in a newer version of Excel. Learn more: https://go.microsoft.com/fwlink/?linkid=870924
Comment:
	не было брони, начинающейся в августе
</t>
      </text>
    </comment>
    <comment authorId="1" xr:uid="{6e4eec62-a081-4994-9d1e-63eff87db3a0}" ref="A1">
      <text>
        <t xml:space="preserve">[Threaded comment]
 Your version of Excel allows you to read this threaded comment; however, any edits to it will get removed if the file is opened in a newer version of Excel. Learn more: https://go.microsoft.com/fwlink/?linkid=870924
Comment:
	большая бронь началась в июле
</t>
      </text>
    </comment>
    <comment authorId="2" xr:uid="{7d71471f-00ee-43c4-9b70-d7fa76ccdd64}" ref="A1">
      <text>
        <t xml:space="preserve">[Threaded comment]
 Your version of Excel allows you to read this threaded comment; however, any edits to it will get removed if the file is opened in a newer version of Excel. Learn more: https://go.microsoft.com/fwlink/?linkid=870924
Comment:
	На Абб есть только наша 2+1 на май
</t>
      </text>
    </comment>
    <comment authorId="3" xr:uid="{daab8ca2-8342-4c52-bd53-fbda13f6ca73}" ref="A1">
      <text>
        <t xml:space="preserve">[Threaded comment]
 Your version of Excel allows you to read this threaded comment; however, any edits to it will get removed if the file is opened in a newer version of Excel. Learn more: https://go.microsoft.com/fwlink/?linkid=870924
Comment:
	не было брони, начинающейся в августе
</t>
      </text>
    </comment>
    <comment authorId="4" xr:uid="{e6c093ea-9e78-49f4-ba93-87c5f3f59a0a}" ref="A1">
      <text>
        <t xml:space="preserve">[Threaded comment]
 Your version of Excel allows you to read this threaded comment; however, any edits to it will get removed if the file is opened in a newer version of Excel. Learn more: https://go.microsoft.com/fwlink/?linkid=870924
Comment:
	Orbi Beach Tower
</t>
      </text>
    </comment>
    <comment authorId="5" xr:uid="{ebb8952b-62d9-42dd-9447-289e9195374d}" ref="A1">
      <text>
        <t xml:space="preserve">[Threaded comment]
 Your version of Excel allows you to read this threaded comment; however, any edits to it will get removed if the file is opened in a newer version of Excel. Learn more: https://go.microsoft.com/fwlink/?linkid=870924
Comment:
	White House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Дата от подписания договора  
(в чате с соб фиксируем дату запуска)</t>
      </text>
    </comment>
    <comment authorId="0" ref="H1">
      <text>
        <t xml:space="preserve">Если комплектация, то 7 дней
Если хоустейджинг/ремонт то 14 дней</t>
      </text>
    </comment>
    <comment authorId="0" ref="V1">
      <text>
        <t xml:space="preserve">Видео с комплектацией перед запуском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
      <text>
        <t xml:space="preserve">настройка автоматической отправки отчета за месяц собственнику</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M9">
      <text>
        <t xml:space="preserve">Бронь Арб от мес</t>
      </text>
    </comment>
    <comment authorId="0" ref="AT9">
      <text>
        <t xml:space="preserve">длительное проживание</t>
      </text>
    </comment>
    <comment authorId="0" ref="AT11">
      <text>
        <t xml:space="preserve">длительное проживание</t>
      </text>
    </comment>
    <comment authorId="0" ref="AT12">
      <text>
        <t xml:space="preserve">длительное проживание</t>
      </text>
    </comment>
    <comment authorId="0" ref="AT13">
      <text>
        <t xml:space="preserve">премия за открытие</t>
      </text>
    </comment>
    <comment authorId="0" ref="AM14">
      <text>
        <t xml:space="preserve">Бронь Арб от мес</t>
      </text>
    </comment>
    <comment authorId="0" ref="AT14">
      <text>
        <t xml:space="preserve">длительное проживание</t>
      </text>
    </comment>
    <comment authorId="0" ref="AM15">
      <text>
        <t xml:space="preserve">Бронь Арб от мес</t>
      </text>
    </comment>
    <comment authorId="0" ref="AT16">
      <text>
        <t xml:space="preserve">длительное проживание</t>
      </text>
    </comment>
    <comment authorId="0" ref="AT19">
      <text>
        <t xml:space="preserve">длительное проживание</t>
      </text>
    </comment>
    <comment authorId="0" ref="AM21">
      <text>
        <t xml:space="preserve">Бронь Арб от мес</t>
      </text>
    </comment>
    <comment authorId="0" ref="AT21">
      <text>
        <t xml:space="preserve">длительное проживание</t>
      </text>
    </comment>
    <comment authorId="0" ref="AN24">
      <text>
        <t xml:space="preserve">ПРЕМИЯ ЗА ОТКРЫТИЕ!!!</t>
      </text>
    </comment>
    <comment authorId="0" ref="AT24">
      <text>
        <t xml:space="preserve">длительное проживание</t>
      </text>
    </comment>
    <comment authorId="0" ref="AM25">
      <text>
        <t xml:space="preserve">Бронь Арб от мес</t>
      </text>
    </comment>
    <comment authorId="0" ref="AT26">
      <text>
        <t xml:space="preserve">премия за открытие</t>
      </text>
    </comment>
    <comment authorId="0" ref="AM31">
      <text>
        <t xml:space="preserve">Бронь Арб от мес</t>
      </text>
    </comment>
    <comment authorId="0" ref="AM32">
      <text>
        <t xml:space="preserve">Бронь Арб от мес</t>
      </text>
    </comment>
    <comment authorId="0" ref="AN34">
      <text>
        <t xml:space="preserve">ПРЕМИЯ ЗА ОТКРЫТИЕ!!!</t>
      </text>
    </comment>
    <comment authorId="0" ref="AT37">
      <text>
        <t xml:space="preserve">длительное проживание</t>
      </text>
    </comment>
    <comment authorId="0" ref="AT38">
      <text>
        <t xml:space="preserve">длительное проживание</t>
      </text>
    </comment>
    <comment authorId="0" ref="AT43">
      <text>
        <t xml:space="preserve">длительное проживание</t>
      </text>
    </comment>
    <comment authorId="0" ref="AT46">
      <text>
        <t xml:space="preserve">длительное проживание</t>
      </text>
    </comment>
    <comment authorId="0" ref="AM47">
      <text>
        <t xml:space="preserve">Бронь Арб от мес</t>
      </text>
    </comment>
    <comment authorId="0" ref="AH48">
      <text>
        <t xml:space="preserve">ремонт</t>
      </text>
    </comment>
    <comment authorId="0" ref="AM48">
      <text>
        <t xml:space="preserve">Бронь Арб от мес</t>
      </text>
    </comment>
    <comment authorId="0" ref="AN49">
      <text>
        <t xml:space="preserve">ПРЕМИЯ ЗА ОТКРЫТИЕ!!!</t>
      </text>
    </comment>
    <comment authorId="0" ref="AT50">
      <text>
        <t xml:space="preserve">премия за открытие</t>
      </text>
    </comment>
    <comment authorId="0" ref="AT54">
      <text>
        <t xml:space="preserve">длительное проживание</t>
      </text>
    </comment>
    <comment authorId="0" ref="AT55">
      <text>
        <t xml:space="preserve">длительное проживание</t>
      </text>
    </comment>
    <comment authorId="0" ref="AM56">
      <text>
        <t xml:space="preserve">Бронь Арб от мес</t>
      </text>
    </comment>
    <comment authorId="0" ref="AT57">
      <text>
        <t xml:space="preserve">премия за открытие</t>
      </text>
    </comment>
    <comment authorId="0" ref="AM58">
      <text>
        <t xml:space="preserve">ПРЕМИЯ ЗА ВКЛАД</t>
      </text>
    </comment>
    <comment authorId="0" ref="AT58">
      <text>
        <t xml:space="preserve">длительное проживание</t>
      </text>
    </comment>
    <comment authorId="0" ref="AM59">
      <text>
        <t xml:space="preserve">Бронь Арб от мес</t>
      </text>
    </comment>
    <comment authorId="0" ref="AM61">
      <text>
        <t xml:space="preserve">Бронь Арб от мес</t>
      </text>
    </comment>
    <comment authorId="0" ref="AM62">
      <text>
        <t xml:space="preserve">Бонус за долгий срок</t>
      </text>
    </comment>
    <comment authorId="0" ref="AT62">
      <text>
        <t xml:space="preserve">длительное проживание</t>
      </text>
    </comment>
    <comment authorId="0" ref="AM63">
      <text>
        <t xml:space="preserve">ПРЕМИЯ ЗА ВКЛАД</t>
      </text>
    </comment>
    <comment authorId="0" ref="AM65">
      <text>
        <t xml:space="preserve">Бронь Арб от мес</t>
      </text>
    </comment>
    <comment authorId="0" ref="AT65">
      <text>
        <t xml:space="preserve">длительное проживание</t>
      </text>
    </comment>
    <comment authorId="0" ref="AT68">
      <text>
        <t xml:space="preserve">длительное проживание</t>
      </text>
    </comment>
  </commentList>
</comments>
</file>

<file path=xl/sharedStrings.xml><?xml version="1.0" encoding="utf-8"?>
<sst xmlns="http://schemas.openxmlformats.org/spreadsheetml/2006/main" count="9123" uniqueCount="1797">
  <si>
    <t>🧾 Инструкция по перечислению коммунальных услуг (КУ)</t>
  </si>
  <si>
    <t>✅ Шаг 1. Установите приложение Bank of Georgia</t>
  </si>
  <si>
    <r>
      <rPr>
        <b/>
        <color rgb="FF1155CC"/>
        <u/>
      </rPr>
      <t>Скачать для Android</t>
    </r>
  </si>
  <si>
    <r>
      <rPr>
        <b/>
        <color rgb="FF1155CC"/>
        <u/>
      </rPr>
      <t>Скачать для iPhone</t>
    </r>
  </si>
  <si>
    <t>✅ Шаг 2. Подключение к бизнес-счету</t>
  </si>
  <si>
    <t xml:space="preserve">Мы подключим вас к бизнес-счету BOG </t>
  </si>
  <si>
    <t>✅ Шаг 3. Оплата коммунальных до 5 числа каждого месяца</t>
  </si>
  <si>
    <t>Пошаговая инструкция:</t>
  </si>
  <si>
    <t>Откройте приложение BOG.</t>
  </si>
  <si>
    <t>Нажмите на значок лари (₾) внизу посередине.</t>
  </si>
  <si>
    <t>Перейдите в раздел Payments.</t>
  </si>
  <si>
    <t>Выберите нужную категорию:</t>
  </si>
  <si>
    <t>Utilities — для оплаты коммунальных</t>
  </si>
  <si>
    <t>Water/Sewer, Gas, Electricity — по необходимости</t>
  </si>
  <si>
    <t>Введите лицевой счет.</t>
  </si>
  <si>
    <t>Проверьте сумму и нажмите Pay.</t>
  </si>
  <si>
    <t>После подписания платежа отправьте квитанцию в чат собственника с подписью "Электричеств оплачено 100 лари"</t>
  </si>
  <si>
    <t>📌 Важно:</t>
  </si>
  <si>
    <t>Оплачивайте счета вовремя — до 5 числа каждого месяца.</t>
  </si>
  <si>
    <t>В случае вопросов обращайтесь к ФД.</t>
  </si>
  <si>
    <t>Вода - 4 строка</t>
  </si>
  <si>
    <t>Газ - 4 строка</t>
  </si>
  <si>
    <t>Электричество -2 строка</t>
  </si>
  <si>
    <t>Марина</t>
  </si>
  <si>
    <t>WS В 503</t>
  </si>
  <si>
    <t>WS</t>
  </si>
  <si>
    <t>Качи</t>
  </si>
  <si>
    <t>1+1</t>
  </si>
  <si>
    <t>https://airbnb.com/h/wsb503</t>
  </si>
  <si>
    <t>WS F 907</t>
  </si>
  <si>
    <t>Студия</t>
  </si>
  <si>
    <t>https://airbnb.com/h/wsf907</t>
  </si>
  <si>
    <t>WS В 212</t>
  </si>
  <si>
    <t>1+2</t>
  </si>
  <si>
    <t>https://airbnb.com/h/wsb212</t>
  </si>
  <si>
    <t>WS В 1510</t>
  </si>
  <si>
    <t>https://airbnb.com/h/wsb1510</t>
  </si>
  <si>
    <t>WS В 807</t>
  </si>
  <si>
    <t>airbnb.com/h/wsb807</t>
  </si>
  <si>
    <t>WS E 1202</t>
  </si>
  <si>
    <t>https://airbnb.com/h/wse1202</t>
  </si>
  <si>
    <t>WS A 409</t>
  </si>
  <si>
    <t>https://airbnb.com/h/wsa409</t>
  </si>
  <si>
    <t>WS A 608</t>
  </si>
  <si>
    <t>https://airbnb.com/h/wsa608</t>
  </si>
  <si>
    <t>WS A907</t>
  </si>
  <si>
    <t>Студия/твин</t>
  </si>
  <si>
    <t>https://airbnb.com/h/wsa907</t>
  </si>
  <si>
    <t>WS Е804</t>
  </si>
  <si>
    <t>https://airbnb.com/h/wse804</t>
  </si>
  <si>
    <t>WS E704</t>
  </si>
  <si>
    <t>https://airbnb.com/h/wse704</t>
  </si>
  <si>
    <t>WS A805</t>
  </si>
  <si>
    <t>https://airbnb.com/h/wsa805</t>
  </si>
  <si>
    <t>WS F1103</t>
  </si>
  <si>
    <t>https://airbnb.com/h/wsf1103</t>
  </si>
  <si>
    <t>WS F1008</t>
  </si>
  <si>
    <t>https://airbnb.com/h/wsf1008</t>
  </si>
  <si>
    <t>Светлана</t>
  </si>
  <si>
    <t>BV1318</t>
  </si>
  <si>
    <t>BV</t>
  </si>
  <si>
    <t>https://airbnb.com/h/bvb1318</t>
  </si>
  <si>
    <t>BV A 100</t>
  </si>
  <si>
    <t>https://airbnb.com/h/bv0514</t>
  </si>
  <si>
    <t>Steps1123</t>
  </si>
  <si>
    <t>ST</t>
  </si>
  <si>
    <t>http://airbnb.com/h/steps1123</t>
  </si>
  <si>
    <t>WH 176</t>
  </si>
  <si>
    <t xml:space="preserve">WH </t>
  </si>
  <si>
    <t>http://airbnb.com/h/wh176</t>
  </si>
  <si>
    <t>OBT 2906</t>
  </si>
  <si>
    <t xml:space="preserve">OBT </t>
  </si>
  <si>
    <t>http://airbnb.com/h/obt2906</t>
  </si>
  <si>
    <t>OBT 2908</t>
  </si>
  <si>
    <t>http://airbnb.com/h/obt2908</t>
  </si>
  <si>
    <t>OBT 2910</t>
  </si>
  <si>
    <t>http://airbnb.com/h/obt2910</t>
  </si>
  <si>
    <t>BV A 133 (0715)</t>
  </si>
  <si>
    <t>http://airbnb.com/h/bva134</t>
  </si>
  <si>
    <t>BV A 134 (0713)</t>
  </si>
  <si>
    <t>BV A 144 (0708)</t>
  </si>
  <si>
    <t>http://airbnb.com/h/bva144</t>
  </si>
  <si>
    <t>BV A 145 (0710)</t>
  </si>
  <si>
    <t>http://airbnb.com/h/bva145</t>
  </si>
  <si>
    <t>BV A 147 (0714)</t>
  </si>
  <si>
    <t>http://airbnb.com/h/bva147</t>
  </si>
  <si>
    <t>BV A 164 (0804)</t>
  </si>
  <si>
    <t>http://airbnb.com/h/bva164</t>
  </si>
  <si>
    <t>BV A 225 (1106)</t>
  </si>
  <si>
    <t>http://airbnb.com/h/bva225</t>
  </si>
  <si>
    <t>BV A 210 (1014)</t>
  </si>
  <si>
    <t>http://airbnb.com/h/bva210</t>
  </si>
  <si>
    <t>BV C 137 (0707)</t>
  </si>
  <si>
    <t>http://airbnb.com/h/bvc137</t>
  </si>
  <si>
    <t>BV C 0505</t>
  </si>
  <si>
    <t>http://airbnb.com/h/bvc0505</t>
  </si>
  <si>
    <t>MC A 708</t>
  </si>
  <si>
    <t>MC</t>
  </si>
  <si>
    <t>airbnb.com/h/mca708</t>
  </si>
  <si>
    <t>Борис</t>
  </si>
  <si>
    <t>С 1125</t>
  </si>
  <si>
    <t>Orbi</t>
  </si>
  <si>
    <t>Шартава</t>
  </si>
  <si>
    <t>https://airbnb.com/h/c1125</t>
  </si>
  <si>
    <t>С 1443</t>
  </si>
  <si>
    <t>https://airbnb.com/h/orbic1443</t>
  </si>
  <si>
    <t>C 4245</t>
  </si>
  <si>
    <t>https://airbnb.com/h/orbic4245</t>
  </si>
  <si>
    <t>А 4049</t>
  </si>
  <si>
    <t>https://airbnb.com/h/orbia4049</t>
  </si>
  <si>
    <t>C 732</t>
  </si>
  <si>
    <t>С 2756</t>
  </si>
  <si>
    <t>https://airbnb.com/h/orbic2756</t>
  </si>
  <si>
    <t>D 1321</t>
  </si>
  <si>
    <t>https://airbnb.com/h/orbid1321</t>
  </si>
  <si>
    <t>D2 1625</t>
  </si>
  <si>
    <t>https://airbnb.com/h/orbid21625</t>
  </si>
  <si>
    <t>D2 3216</t>
  </si>
  <si>
    <t>https://airbnb.com/h/orbid23216</t>
  </si>
  <si>
    <t>D1 3902</t>
  </si>
  <si>
    <t>https://airbnb.com/h/orbid1-3902</t>
  </si>
  <si>
    <t>D2 503</t>
  </si>
  <si>
    <t>https://airbnb.com/h/orbid2503</t>
  </si>
  <si>
    <t>Дина</t>
  </si>
  <si>
    <t>CM 1604</t>
  </si>
  <si>
    <t>CM</t>
  </si>
  <si>
    <t>https://airbnb.com/h/m1604</t>
  </si>
  <si>
    <t>CM 1606</t>
  </si>
  <si>
    <t>https://airbnb.com/h/m1606</t>
  </si>
  <si>
    <t>CM 1931</t>
  </si>
  <si>
    <t>https://airbnb.com/h/mar1931</t>
  </si>
  <si>
    <t>CM 1304</t>
  </si>
  <si>
    <t>http://airbnb.com/h/cm1304</t>
  </si>
  <si>
    <t>CM 1327</t>
  </si>
  <si>
    <t>http://airbnb.com/h/cm1327</t>
  </si>
  <si>
    <t>Int 2905</t>
  </si>
  <si>
    <t>Int</t>
  </si>
  <si>
    <t>https://airbnb.com/h/inta2905</t>
  </si>
  <si>
    <t>Int 2612</t>
  </si>
  <si>
    <t>https://airbnb.com/h/intb2612</t>
  </si>
  <si>
    <t>Шар 2505</t>
  </si>
  <si>
    <t>АГ</t>
  </si>
  <si>
    <t>https://airbnb.com/h/sh8</t>
  </si>
  <si>
    <t>Шар 2708</t>
  </si>
  <si>
    <t>Багратиони</t>
  </si>
  <si>
    <t>https://airbnb.com/h/bg227</t>
  </si>
  <si>
    <t>Юлия</t>
  </si>
  <si>
    <t>Думбадзе</t>
  </si>
  <si>
    <t>Старый город</t>
  </si>
  <si>
    <t>https://airbnb.com/h/dz12-17</t>
  </si>
  <si>
    <t>26 мая 52 - 813</t>
  </si>
  <si>
    <t>airbnb.com/h/26m813</t>
  </si>
  <si>
    <t>PT2604</t>
  </si>
  <si>
    <t>https://airbnb.com/h/porta2604</t>
  </si>
  <si>
    <t>PT2704</t>
  </si>
  <si>
    <t>https://airbnb.com/h/porta2704</t>
  </si>
  <si>
    <t>PT3604</t>
  </si>
  <si>
    <t>NW 2-5</t>
  </si>
  <si>
    <t>NW</t>
  </si>
  <si>
    <t>Некст</t>
  </si>
  <si>
    <t>https://airbnb.com/h/nw205</t>
  </si>
  <si>
    <t>NW 3-7</t>
  </si>
  <si>
    <t>https://airbnb.com/h/nw3-7</t>
  </si>
  <si>
    <t>NA 3-16</t>
  </si>
  <si>
    <t>NA</t>
  </si>
  <si>
    <t>MZ 718</t>
  </si>
  <si>
    <t>MZ</t>
  </si>
  <si>
    <t>Мзиури</t>
  </si>
  <si>
    <t>https://airbnb.com/h/mz718</t>
  </si>
  <si>
    <t>MZ 913</t>
  </si>
  <si>
    <t>https://airbnb.com/h/mz913</t>
  </si>
  <si>
    <t>MZ 1408</t>
  </si>
  <si>
    <t>https://airbnb.com/h/mzc1408</t>
  </si>
  <si>
    <t>MZ А 1113</t>
  </si>
  <si>
    <t>http://airbnb.com/h/mza1113</t>
  </si>
  <si>
    <t>MZ C 511</t>
  </si>
  <si>
    <t>http://airbnb.com/h/mz511</t>
  </si>
  <si>
    <t>Дарья</t>
  </si>
  <si>
    <t>Пиросмани 162</t>
  </si>
  <si>
    <t>PIR</t>
  </si>
  <si>
    <t>Ост</t>
  </si>
  <si>
    <t>Пиросмани 181</t>
  </si>
  <si>
    <t>https://airbnb.com/h/pr181</t>
  </si>
  <si>
    <t>Pollo 2-2</t>
  </si>
  <si>
    <t>Villa</t>
  </si>
  <si>
    <t>Дом</t>
  </si>
  <si>
    <t>Pollo 3-5</t>
  </si>
  <si>
    <t>http://airbnb.com/h/polo2-2</t>
  </si>
  <si>
    <t>Polo 4-12</t>
  </si>
  <si>
    <t>Вилла Ева</t>
  </si>
  <si>
    <t>https://airbnb.com/h/eva155</t>
  </si>
  <si>
    <t>шартава 16/18</t>
  </si>
  <si>
    <t>DL 11-1112</t>
  </si>
  <si>
    <t>DL</t>
  </si>
  <si>
    <t>https://airbnb.com/h/dl-11-1112</t>
  </si>
  <si>
    <t>DL 11-1305</t>
  </si>
  <si>
    <t>https://airbnb.com/h/dl1305</t>
  </si>
  <si>
    <t>DL 14-516</t>
  </si>
  <si>
    <t>https://airbnb.com/h/dl14-516</t>
  </si>
  <si>
    <t>DL 14-702</t>
  </si>
  <si>
    <t>https://airbnb.com/h/dl14-702</t>
  </si>
  <si>
    <t>DL 14-1214</t>
  </si>
  <si>
    <t>https://airbnb.com/h/dl14-1214</t>
  </si>
  <si>
    <t>14-411</t>
  </si>
  <si>
    <t>https://airbnb.com/h/DL-14-411</t>
  </si>
  <si>
    <t>DL 4-09</t>
  </si>
  <si>
    <t>https://airbnb.com/h/dl4-09</t>
  </si>
  <si>
    <t>DL14-518</t>
  </si>
  <si>
    <t>https://airbnb.com/h/dl14-518</t>
  </si>
  <si>
    <t>DL14-1405</t>
  </si>
  <si>
    <t>https://airbnb.com/h/dl14-1405</t>
  </si>
  <si>
    <t>DL 14-505</t>
  </si>
  <si>
    <t>https://airbnb.com/h/dl14-505</t>
  </si>
  <si>
    <t>DL 14-1614</t>
  </si>
  <si>
    <t>DL 14-1710</t>
  </si>
  <si>
    <t>https://airbnb.com/h/dl14-1710</t>
  </si>
  <si>
    <t>DL14-305</t>
  </si>
  <si>
    <t>https://airbnb.com/h/dl14-305</t>
  </si>
  <si>
    <t>DL14-501-502</t>
  </si>
  <si>
    <t>https://airbnb.com/h/dl501-502</t>
  </si>
  <si>
    <t>DL7-16</t>
  </si>
  <si>
    <t>1+2 с террасой</t>
  </si>
  <si>
    <t>https://airbnb.com/h/dl7-16</t>
  </si>
  <si>
    <t>DL 13-206</t>
  </si>
  <si>
    <t>Студия на 4х</t>
  </si>
  <si>
    <t>https://airbnb.com/h/dl13-206</t>
  </si>
  <si>
    <t>DL 13-201</t>
  </si>
  <si>
    <t>DL 13-709</t>
  </si>
  <si>
    <t>https://airbnb.com/h/dl13-709</t>
  </si>
  <si>
    <t>DL 13-703</t>
  </si>
  <si>
    <t>https://airbnb.com/h/dl13-703</t>
  </si>
  <si>
    <t>DL 13-1006</t>
  </si>
  <si>
    <t>DL 13-1106</t>
  </si>
  <si>
    <t>DL 14-506</t>
  </si>
  <si>
    <t>https://airbnb.com/h/dl14-506</t>
  </si>
  <si>
    <t>TGB195</t>
  </si>
  <si>
    <t>TG</t>
  </si>
  <si>
    <t>https://airbnb.com/h/tgb195</t>
  </si>
  <si>
    <t>TGA2</t>
  </si>
  <si>
    <t>https://airbnb.com/h/tg-2a</t>
  </si>
  <si>
    <t>TGA9</t>
  </si>
  <si>
    <t>https://airbnb.com/h/tg-9a</t>
  </si>
  <si>
    <t>TGB3</t>
  </si>
  <si>
    <t>https://airbnb.com/h/tg-b3</t>
  </si>
  <si>
    <t>NW 4-9</t>
  </si>
  <si>
    <t>https://airbnb.com/h/nw409</t>
  </si>
  <si>
    <t>NW 4-10</t>
  </si>
  <si>
    <t>https://airbnb.com/h/nw410</t>
  </si>
  <si>
    <t>NW 10-6</t>
  </si>
  <si>
    <t>https://airbnb.com/h/nw10-6</t>
  </si>
  <si>
    <t>TGA1</t>
  </si>
  <si>
    <t>https://airbnb.com/h/tg-1a</t>
  </si>
  <si>
    <t>TGA3</t>
  </si>
  <si>
    <t>https://airbnb.com/h/tg-3a</t>
  </si>
  <si>
    <t>TGA4</t>
  </si>
  <si>
    <t>https://airbnb.com/h/tg-4a</t>
  </si>
  <si>
    <t>TGA5</t>
  </si>
  <si>
    <t>https://airbnb.com/h/tg-5a</t>
  </si>
  <si>
    <t>TGA6</t>
  </si>
  <si>
    <t>https://airbnb.com/h/tg-6a</t>
  </si>
  <si>
    <t>TGA7</t>
  </si>
  <si>
    <t>https://airbnb.com/h/tg-7a</t>
  </si>
  <si>
    <t>TGA8</t>
  </si>
  <si>
    <t>https://airbnb.com/h/tg-8a</t>
  </si>
  <si>
    <t>TGA10</t>
  </si>
  <si>
    <t>https://airbnb.com/h/tg-10a</t>
  </si>
  <si>
    <t>TGB1</t>
  </si>
  <si>
    <t>https://airbnb.com/h/tg-1b</t>
  </si>
  <si>
    <t>TGB2</t>
  </si>
  <si>
    <t>https://airbnb.com/h/tg-2b</t>
  </si>
  <si>
    <t>TGB4</t>
  </si>
  <si>
    <t>https://airbnb.com/h/tg-4b</t>
  </si>
  <si>
    <t>TGB5</t>
  </si>
  <si>
    <t>https://airbnb.com/h/tg-5b</t>
  </si>
  <si>
    <t>TGB6</t>
  </si>
  <si>
    <t>https://airbnb.com/h/tg-6b</t>
  </si>
  <si>
    <t>TGB7</t>
  </si>
  <si>
    <t>https://airbnb.com/h/tg-7b</t>
  </si>
  <si>
    <t>TGB8</t>
  </si>
  <si>
    <t>https://airbnb.com/h/tg-8b</t>
  </si>
  <si>
    <t>TGB9</t>
  </si>
  <si>
    <t>Студия с террасой</t>
  </si>
  <si>
    <t>https://airbnb.com/h/tg-9b</t>
  </si>
  <si>
    <t>TGB10</t>
  </si>
  <si>
    <t>студия с террасой</t>
  </si>
  <si>
    <t>https://airbnb.com/h/tg-10b</t>
  </si>
  <si>
    <t>TGB11</t>
  </si>
  <si>
    <t>https://airbnb.com/h/tg-11b</t>
  </si>
  <si>
    <t>оборот по юниту</t>
  </si>
  <si>
    <t>2026 год</t>
  </si>
  <si>
    <t>янв.</t>
  </si>
  <si>
    <t>февр.</t>
  </si>
  <si>
    <t>мар.</t>
  </si>
  <si>
    <t>апр.</t>
  </si>
  <si>
    <t>мая</t>
  </si>
  <si>
    <t>июн.</t>
  </si>
  <si>
    <t>июл.</t>
  </si>
  <si>
    <t>авг.</t>
  </si>
  <si>
    <t>сент.</t>
  </si>
  <si>
    <t>окт.</t>
  </si>
  <si>
    <t>нояб.</t>
  </si>
  <si>
    <t>дек.</t>
  </si>
  <si>
    <t>менеджер ответственный</t>
  </si>
  <si>
    <t>номер</t>
  </si>
  <si>
    <t>тип апартамента</t>
  </si>
  <si>
    <t>Стратегия</t>
  </si>
  <si>
    <t xml:space="preserve">Комплектация </t>
  </si>
  <si>
    <t>"Как добраться"</t>
  </si>
  <si>
    <t>airbnb</t>
  </si>
  <si>
    <t>букинг</t>
  </si>
  <si>
    <t>суточно</t>
  </si>
  <si>
    <t>Островок</t>
  </si>
  <si>
    <t>Газ</t>
  </si>
  <si>
    <t>Элек-во</t>
  </si>
  <si>
    <t>Вода</t>
  </si>
  <si>
    <t>Интернет</t>
  </si>
  <si>
    <t>Тариф</t>
  </si>
  <si>
    <t>р/с для перевода ДС</t>
  </si>
  <si>
    <t>Last First Name</t>
  </si>
  <si>
    <t>Банк / Крипта</t>
  </si>
  <si>
    <t>1</t>
  </si>
  <si>
    <t>70/30</t>
  </si>
  <si>
    <t>How to find White Sails В503 and rules.docx</t>
  </si>
  <si>
    <t>https://www.airbnb.ru/rooms/941249668263786208?guests=1&amp;adults=1&amp;s=67&amp;unique_share_id=6a551af0-04fb-44fa-b61c-716ede11e4e8</t>
  </si>
  <si>
    <t>https://www.booking.com/Share-xqLLfZL</t>
  </si>
  <si>
    <t>https://sutochno.ru/front/searchapp/detail/1590689?guests_adults=2&amp;id=1&amp;SW.lat=55.142221&amp;SW.lng=36.803259&amp;NE.lat=56.021281&amp;NE.lng=37.96779</t>
  </si>
  <si>
    <t>https://ostrovok.ru/hotel/georgia/batumi/mid13343877/white_sails_b_503_apartments/</t>
  </si>
  <si>
    <t>-</t>
  </si>
  <si>
    <t>292/5b-503</t>
  </si>
  <si>
    <t>GE93BG0000000594027233</t>
  </si>
  <si>
    <t>Vladimir Kirakosyan</t>
  </si>
  <si>
    <t>BOG</t>
  </si>
  <si>
    <t>минус</t>
  </si>
  <si>
    <t>крипта</t>
  </si>
  <si>
    <t>How to find White Sails F907 and rules</t>
  </si>
  <si>
    <t>https://airbnb.ru/h/wsf907</t>
  </si>
  <si>
    <t>https://sutochno.ru/front/searchapp/detail/1597202?host_id=11237896&amp;host_device=app&amp;guest_id=6765771&amp;guests_adults=2&amp;id=1&amp;SW.lat=41.619609051039355&amp;SW.lng=41.589027934829936&amp;NE.lat=41.627530522283585&amp;NE.lng=41.605979495804036</t>
  </si>
  <si>
    <t>https://ostrovok.ru/hotel/georgia/batumi/mid13343890/white_sails_f_907_apartments/</t>
  </si>
  <si>
    <t>292/5F-907</t>
  </si>
  <si>
    <t>GE49BG0000000540073812USD</t>
  </si>
  <si>
    <t>HAIM ZADEH KEREN</t>
  </si>
  <si>
    <t>How to find White Sails B212 and rules.docx</t>
  </si>
  <si>
    <t>https://www.airbnb.ru/rooms/951438840662298607</t>
  </si>
  <si>
    <t>https://sutochno.ru/front/searchapp/detail/1597785?host_id=11237896&amp;host_device=app&amp;guest_id=6765771&amp;guests_adults=2&amp;id=1&amp;SW.lat=41.62003661276085&amp;SW.lng=41.590182840373934&amp;NE.lat=41.62795803108765&amp;NE.lng=41.607134401348034</t>
  </si>
  <si>
    <t>https://ostrovok.ru/hotel/georgia/batumi/mid13343892/white_sails_b_212_apartments/</t>
  </si>
  <si>
    <t xml:space="preserve"> 292-5B212</t>
  </si>
  <si>
    <t>GE35BG0000000538344748USD</t>
  </si>
  <si>
    <t>KOTLYAROVA EKATERINA</t>
  </si>
  <si>
    <t>How to find White Sails B1510 and rules.docx</t>
  </si>
  <si>
    <t>https://airbnb.ru/h/wsb1510</t>
  </si>
  <si>
    <t>https://sutochno.ru/front/searchapp/detail/1651312?guests_adults=2&amp;id=1&amp;SW.lat=41.62003661276085&amp;SW.lng=41.590182840373934&amp;NE.lat=41.62795803108765&amp;NE.lng=41.607134401348034</t>
  </si>
  <si>
    <t>https://ostrovok.ru/hotel/georgia/batumi/mid13343884/white_sails_b_1510_apartments/</t>
  </si>
  <si>
    <t>6011333411           6011093992</t>
  </si>
  <si>
    <t>292/5b-1510</t>
  </si>
  <si>
    <t>GE86BG0000000534160414USD</t>
  </si>
  <si>
    <t>GALKIN DENIS</t>
  </si>
  <si>
    <t>В 807. Чек-лист комплектации апартаментов</t>
  </si>
  <si>
    <t>How to find White Sails B807 and rules</t>
  </si>
  <si>
    <t>https://ru.airbnb.com/hosting/listings/editor/1557162624121179819/view-your-space</t>
  </si>
  <si>
    <t>292/5b-807</t>
  </si>
  <si>
    <t>GE42TB7245045068100007</t>
  </si>
  <si>
    <t>ТВС</t>
  </si>
  <si>
    <t>нет дохода</t>
  </si>
  <si>
    <t>How to find White Sails E1202 and rules.docx</t>
  </si>
  <si>
    <t>https://sutochno.ru/front/searchapp/detail/1778923?guests_adults=2&amp;id=1&amp;SW.lat=41.61946982597882&amp;SW.lng=41.58957055946391&amp;NE.lat=41.62739131445426&amp;NE.lng=41.606522120438036</t>
  </si>
  <si>
    <t>https://ostrovok.ru/hotel/georgia/batumi/mid13343880/white_sails_e_1202_apartments/</t>
  </si>
  <si>
    <t>292-5E1202</t>
  </si>
  <si>
    <t>AE870230000002002749576</t>
  </si>
  <si>
    <t>Marcin Szwedzicki</t>
  </si>
  <si>
    <t xml:space="preserve">COMMERCIAL BANK OF DUBAI </t>
  </si>
  <si>
    <t>депозит</t>
  </si>
  <si>
    <t>How to find White Sails A409 and rules.docx</t>
  </si>
  <si>
    <t>https://airbnb.ru/h/wsa409</t>
  </si>
  <si>
    <t>https://sutochno.ru/front/searchapp/detail/1766637?guests_adults=2&amp;id=1&amp;SW.lat=41.6206702075146&amp;SW.lng=41.58953121951294&amp;NE.lat=41.62859154742334&amp;NE.lng=41.60648278048706</t>
  </si>
  <si>
    <t>https://ostrovok.ru/hotel/georgia/batumi/mid13343888/white_sails_a_409_apartments/</t>
  </si>
  <si>
    <t xml:space="preserve"> 292/5a-409</t>
  </si>
  <si>
    <t>GE19BG0000000538726828USD</t>
  </si>
  <si>
    <t>ALEKSANIAN DAVID</t>
  </si>
  <si>
    <t>How to find White Sails A608 and rules.docx</t>
  </si>
  <si>
    <t>https://www.booking.com/hotel/ge/batumi-boulevard-resort.html</t>
  </si>
  <si>
    <t>https://sutochno.ru/front/searchapp/detail/1803934?guests_adults=2&amp;occupied=2024-06-25;2024-06-26&amp;id=1&amp;term=%D0%A7%D0%B0%D0%BA%D0%B2%D0%B8&amp;SW.lat=41.62026684936153&amp;SW.lng=41.58997825523394&amp;NE.lat=41.62818823919277&amp;NE.lng=41.606929816208066</t>
  </si>
  <si>
    <t>https://ostrovok.ru/hotel/georgia/batumi/mid13343889/white_sails_a_608_apartments/</t>
  </si>
  <si>
    <t>292/5a-608</t>
  </si>
  <si>
    <t>GE30TB7746745064400002</t>
  </si>
  <si>
    <t>IRINA POTRIASAEVA</t>
  </si>
  <si>
    <t>How to find White Sails A907 and rules.docx</t>
  </si>
  <si>
    <t>https://sutochno.ru/front/searchapp/detail/1803966?guests_adults=2&amp;occupied=2024-06-25;2024-06-26&amp;id=1&amp;term=%D0%A7%D0%B0%D0%BA%D0%B2%D0%B8&amp;SW.lat=41.62026684936153&amp;SW.lng=41.58997825523394&amp;NE.lat=41.62818823919277&amp;NE.lng=41.606929816208066</t>
  </si>
  <si>
    <t>https://ostrovok.ru/hotel/georgia/batumi/mid13343891/white_sails_a_907_apartments/</t>
  </si>
  <si>
    <t>292/5a-907</t>
  </si>
  <si>
    <t>GE45TB7927545064400004</t>
  </si>
  <si>
    <t>Semen Vesterman</t>
  </si>
  <si>
    <t>TBC</t>
  </si>
  <si>
    <t>https://docs.google.com/document/d/1ac2Gc2NDkT8_9VcbV86ujTo33jBEP-25WiW8o3YOKZw/edit?tab=t.0</t>
  </si>
  <si>
    <t>https://sutochno.ru/front/searchapp/detail/1804205?guests_adults=2&amp;occupied=2024-06-25;2024-06-26&amp;id=1&amp;term=%D0%A7%D0%B0%D0%BA%D0%B2%D0%B8&amp;SW.lat=41.62026684936153&amp;SW.lng=41.58997825523394&amp;NE.lat=41.62818823919277&amp;NE.lng=41.606929816208066</t>
  </si>
  <si>
    <t>https://ostrovok.ru/hotel/georgia/batumi/mid13343885/white_sails_e_804_apartments/</t>
  </si>
  <si>
    <t>292/5е-804</t>
  </si>
  <si>
    <t>GE76BG0000000161495421USD</t>
  </si>
  <si>
    <t>TELESHEVA ANTONINA</t>
  </si>
  <si>
    <t>How to find White Sails E704 and rules.docx</t>
  </si>
  <si>
    <t>https://sutochno.ru/front/searchapp/detail/1804231?guests_adults=2&amp;occupied=2024-06-25;2024-06-26&amp;id=1&amp;term=%D0%A7%D0%B0%D0%BA%D0%B2%D0%B8&amp;SW.lat=41.62026684936153&amp;SW.lng=41.58997825523394&amp;NE.lat=41.62818823919277&amp;NE.lng=41.6069298162080660</t>
  </si>
  <si>
    <t>https://ostrovok.ru/hotel/georgia/batumi/mid13343894/white_saile_e_704_apartments/</t>
  </si>
  <si>
    <t xml:space="preserve"> 292-5e704</t>
  </si>
  <si>
    <t>крипта / рубли</t>
  </si>
  <si>
    <t>How to find White Sails A805 and rules</t>
  </si>
  <si>
    <t>https://ru.airbnb.com/hosting/listings/editor/1445607361971672990/view-your-space</t>
  </si>
  <si>
    <t>https://sutochno.ru/front/searchapp/detail/2084488?price_per=1&amp;guests_adults=2&amp;id=1&amp;SW.lat=41.61985615713882&amp;SW.lng=41.58907721951295&amp;NE.lat=41.627777597799884&amp;NE.lng=41.60602878048705</t>
  </si>
  <si>
    <t>292-5a805</t>
  </si>
  <si>
    <t>наличные</t>
  </si>
  <si>
    <t>кэш</t>
  </si>
  <si>
    <t>How to find White Sails F1103 and rules</t>
  </si>
  <si>
    <t>https://ru.airbnb.com/hosting/listings/editor/1448295525878557615/view-your-space</t>
  </si>
  <si>
    <t>https://sutochno.ru/front/searchapp/detail/2091761?price_per=1&amp;guests_adults=2&amp;id=1&amp;SW.lat=55.142221&amp;SW.lng=36.803259&amp;NE.lat=56.021281&amp;NE.lng=37.96779</t>
  </si>
  <si>
    <t>292/5F-1103</t>
  </si>
  <si>
    <t>GE36BG0000000103039770</t>
  </si>
  <si>
    <t>EGORENKOV IGOR</t>
  </si>
  <si>
    <t>F 1008. Чек-лист комплектации апартаментов</t>
  </si>
  <si>
    <t>How to find White Sails F1008 and rules</t>
  </si>
  <si>
    <t>https://ru.airbnb.com/hosting/listings/editor/1568661924032989113/view-your-space</t>
  </si>
  <si>
    <t>https://sutochno.ru/front/searchapp/detail/2209519?host_id=11237896&amp;host_device=PC&amp;guest_id=</t>
  </si>
  <si>
    <t>292/5F-1008</t>
  </si>
  <si>
    <t>GE34BG0000000607885133</t>
  </si>
  <si>
    <t>HAKMON MOSHE</t>
  </si>
  <si>
    <t>How to find BV B 1318 and rules</t>
  </si>
  <si>
    <t>https://airbnb.ru/h/bvb1318</t>
  </si>
  <si>
    <t>https://www.booking.com/hotel/ge/batumi-view-first-line.html</t>
  </si>
  <si>
    <t>https://sutochno.ru/front/searchapp/detail/1917618?host_id=11237896&amp;host_device=PC&amp;guest_id=</t>
  </si>
  <si>
    <t>https://ostrovok.ru/hotel/georgia/batumi/mid13343883/batumi_view_1318_apartments/</t>
  </si>
  <si>
    <t>GE66BG0000000540007934USD</t>
  </si>
  <si>
    <t>SLEPAK DMITRI</t>
  </si>
  <si>
    <t>Чек-лист комплектации апартаментов BV A 100</t>
  </si>
  <si>
    <t>How to find BV A 0514 and rules</t>
  </si>
  <si>
    <t>airbnb.ru/h/bv0514</t>
  </si>
  <si>
    <t>https://www.booking.com/hotel/ge/batumi-view-first-line.ru.html?label=gen173nr-10CAsoUkIWYmF0dW1pLXZpZXctZmlyc3QtbGluZUgzWARoUogBAZgBM7gBF8gBDNgBA-gBAfgBAYgCAagCAbgCpqTdxwbAAgHSAiQ5OGI5MGE5OS04MzhkLTRjNTctOTUzNC05MTRmYTU3MDU3OTPYAgHgAgE&amp;sid=a1de48d8e17c657d54e265ede55366e1&amp;dist=0&amp;keep_landing=1&amp;sb_price_type=total&amp;type=total&amp;</t>
  </si>
  <si>
    <t>https://sutochno.ru/front/searchapp/detail/2180915</t>
  </si>
  <si>
    <t>292/8a-100</t>
  </si>
  <si>
    <t>GE72CD0360000033931999</t>
  </si>
  <si>
    <t>MiIKHAIL POPOV</t>
  </si>
  <si>
    <t>Кредо</t>
  </si>
  <si>
    <t>How to find Steps (apart 1123)</t>
  </si>
  <si>
    <t>https://www.booking.com/Share-KnAK8p2</t>
  </si>
  <si>
    <t xml:space="preserve">https://sutochno.ru/front/searchapp/detail/1960399?host_id=11237896&amp;host_device=app&amp;guest_id=
</t>
  </si>
  <si>
    <t xml:space="preserve"> </t>
  </si>
  <si>
    <t>594/2-1123</t>
  </si>
  <si>
    <t>WH 176. Чек-лист комплектации апартаментов</t>
  </si>
  <si>
    <t xml:space="preserve"> How to find White Houth 176 .docx</t>
  </si>
  <si>
    <t>https://ru.airbnb.com/hosting/listings/editor/1558574343606488996/details/photo-tour</t>
  </si>
  <si>
    <t>https://sutochno.ru/front/searchapp/detail/2197711?</t>
  </si>
  <si>
    <t>578-82176a</t>
  </si>
  <si>
    <t>GE79CD0360000037266442</t>
  </si>
  <si>
    <t>PETROV EVGENII</t>
  </si>
  <si>
    <t>Credo Bank</t>
  </si>
  <si>
    <t>OBT. Чек-лист комплектации апартаментов</t>
  </si>
  <si>
    <t xml:space="preserve">  How to find OBT 2906 .docx</t>
  </si>
  <si>
    <t>airbnb.ru/h/obt2906</t>
  </si>
  <si>
    <t>https://www.booking.com/hotel/ge/beach-tower-app-montreux.ru.html?label=gen173nr-10CAsoUkIYYmVhY2gtdG93ZXItYXBwLW1vbnRyZXV4SDNYBGhSiAEBmAEzuAEXyAEM2AED6AEB-AEBiAIBqAIBuALnnIDKBsACAdICJDE5ZGY4NDQ5LTgyMDMtNGFhYi1hODYzLTgwYTllZDUyODVlZtgCAeACAQ&amp;sid=a1de48d8e17c657d54e265ede55366e1&amp;dist=0&amp;keep_landing=1&amp;sb_price_type=total&amp;type=total&amp;</t>
  </si>
  <si>
    <t>https://sutochno.ru/front/searchapp/detail/2246324?</t>
  </si>
  <si>
    <t>291/57-2906</t>
  </si>
  <si>
    <t>GE35BG0000000609340697</t>
  </si>
  <si>
    <t>Stanislav Kogan</t>
  </si>
  <si>
    <t>How to find OBT 2908 .docx</t>
  </si>
  <si>
    <t>airbnb.ru/h/obt2908</t>
  </si>
  <si>
    <t>https://sutochno.ru/front/searchapp/detail/2247029?</t>
  </si>
  <si>
    <t>291/57-2908</t>
  </si>
  <si>
    <t>How to find OBT 2910 .docx</t>
  </si>
  <si>
    <t>airbnb.ru/h/obt2910</t>
  </si>
  <si>
    <t>291/57-2910</t>
  </si>
  <si>
    <t xml:space="preserve">ОБЩИЙ. Чек-лист комплектации апартаментов </t>
  </si>
  <si>
    <t>How to find BV A 133 and rules.docx</t>
  </si>
  <si>
    <t>airbnb.ru/h/bva134</t>
  </si>
  <si>
    <t>https://sutochno.ru/front/searchapp/detail/2239413?</t>
  </si>
  <si>
    <t>292-8a133</t>
  </si>
  <si>
    <t>How to find BV А 134 and rules.docx</t>
  </si>
  <si>
    <t>https://sutochno.ru/front/searchapp/detail/2239413</t>
  </si>
  <si>
    <t>292/8a-134</t>
  </si>
  <si>
    <t>GE67BG0000000537963544</t>
  </si>
  <si>
    <t>Bar genkin</t>
  </si>
  <si>
    <t>How to find BV A144 and rules.docx</t>
  </si>
  <si>
    <t>airbnb.ru/h/bva144</t>
  </si>
  <si>
    <t>https://sutochno.ru/front/searchapp/detail/2226291</t>
  </si>
  <si>
    <t>292/8a-144</t>
  </si>
  <si>
    <t>GE30BG0000000538167328</t>
  </si>
  <si>
    <t>DMITRI KORYTNYI</t>
  </si>
  <si>
    <t xml:space="preserve"> How to find BV A145 and rules.docx</t>
  </si>
  <si>
    <t>airbnb.ru/h/bva145</t>
  </si>
  <si>
    <t>https://sutochno.ru/front/searchapp/detail/2226325</t>
  </si>
  <si>
    <t>GE49BG0000000538297063</t>
  </si>
  <si>
    <t>TOMER EZRA</t>
  </si>
  <si>
    <t xml:space="preserve"> How to find BV A147 and rules.docx</t>
  </si>
  <si>
    <t>airbnb.ru/h/bva147</t>
  </si>
  <si>
    <t>https://sutochno.ru/front/searchapp/detail/2226311</t>
  </si>
  <si>
    <t>292/8a-147</t>
  </si>
  <si>
    <t>GE82TB7829645068100030</t>
  </si>
  <si>
    <t>YOAV EZRA</t>
  </si>
  <si>
    <t xml:space="preserve"> How to find BV А 164 and rules.docx</t>
  </si>
  <si>
    <t>airbnb.ru/h/bva164</t>
  </si>
  <si>
    <t>https://sutochno.ru/front/searchapp/detail/2242628?</t>
  </si>
  <si>
    <t>292-8a164</t>
  </si>
  <si>
    <t>How to find BV А 225 and rules.docx</t>
  </si>
  <si>
    <t>airbnb.ru/h/bva225</t>
  </si>
  <si>
    <t>https://sutochno.ru/front/searchapp/detail/2243833?</t>
  </si>
  <si>
    <t>292/8a-225</t>
  </si>
  <si>
    <t>How to find BV А 210 and rules.docx</t>
  </si>
  <si>
    <t>airbnb.com/h/bva210</t>
  </si>
  <si>
    <t>https://sutochno.ru/front/searchapp/detail/2243654?</t>
  </si>
  <si>
    <t>292-8а210</t>
  </si>
  <si>
    <t xml:space="preserve"> How to find BV C137 and rules.docx</t>
  </si>
  <si>
    <t>airbnb.ru/h/bvc137</t>
  </si>
  <si>
    <t>https://sutochno.ru/front/searchapp/detail/2226306</t>
  </si>
  <si>
    <t>292/8g-137</t>
  </si>
  <si>
    <t xml:space="preserve">С 0505.  Чек-лист комплектации апартаментов </t>
  </si>
  <si>
    <t xml:space="preserve"> How to find BV C 0505 and rules.docx</t>
  </si>
  <si>
    <t>airbnb.com/h/bvc0505</t>
  </si>
  <si>
    <t>https://sutochno.ru/front/searchapp/detail/2245011?</t>
  </si>
  <si>
    <t>292/8g-91</t>
  </si>
  <si>
    <t>GE39CD0360000055892617</t>
  </si>
  <si>
    <t>DENIS SHMYGLENKO</t>
  </si>
  <si>
    <t xml:space="preserve"> A 708 Metro Чек-лист комплектации апартаментов </t>
  </si>
  <si>
    <t xml:space="preserve">  How to find MC A 708 and rules.docx</t>
  </si>
  <si>
    <t>80/20</t>
  </si>
  <si>
    <t>How to find Pirosmani 18d (apart 181)</t>
  </si>
  <si>
    <t>https://airbnb.ru/h/pr181</t>
  </si>
  <si>
    <t>https://ostrovok.ru/hotel/georgia/batumi/mid13343964/pirosmani_181_apartments/</t>
  </si>
  <si>
    <t>222/18d-181</t>
  </si>
  <si>
    <t>013525</t>
  </si>
  <si>
    <t>GE31TB7881545061200004</t>
  </si>
  <si>
    <t>Silin Konstantin</t>
  </si>
  <si>
    <t>How to find Polo Villas 2-2 and rules</t>
  </si>
  <si>
    <t>https://sutochno.ru/front/searchapp/detail/1988547?price_per=1&amp;guests_adults=2&amp;id=1&amp;SW.lat=41.60788298563873&amp;SW.lng=41.596723453628925&amp;NE.lat=41.615805907996766&amp;NE.lng=41.613675014603054</t>
  </si>
  <si>
    <t>002117363394</t>
  </si>
  <si>
    <t>610/30-2</t>
  </si>
  <si>
    <t>GE90BG0000000539650445USD</t>
  </si>
  <si>
    <t>POPOV EVGENY</t>
  </si>
  <si>
    <t>How to find Polo Villas 3-5 and rules</t>
  </si>
  <si>
    <t>002117363429</t>
  </si>
  <si>
    <t>610/30-5</t>
  </si>
  <si>
    <t>How to find Polo Villas 4-12 and rules</t>
  </si>
  <si>
    <t>https://sutochno.ru/front/searchapp/detail/1988659?price_per=1&amp;guests_adults=2&amp;id=1&amp;SW.lat=41.60772999273338&amp;SW.lng=41.597023861037925&amp;NE.lat=41.6156529340223&amp;NE.lng=41.613975422012025</t>
  </si>
  <si>
    <t>002117363500</t>
  </si>
  <si>
    <t>610/30-12</t>
  </si>
  <si>
    <t>Копия Чек-лист комплектации апартаментов</t>
  </si>
  <si>
    <t>Копия How to find Orbi studio C 11-25.docx</t>
  </si>
  <si>
    <t>https://airbnb.ru/h/c1125</t>
  </si>
  <si>
    <t>https://www.booking.com/Share-LndsVCR</t>
  </si>
  <si>
    <t>https://sutochno.ru/front/searchapp/detail/1590760?host_id=11237896&amp;host_device=app&amp;guest_id=6765771&amp;guests_adults=2&amp;guests_childrens=7&amp;id=1&amp;SW.lat=55.142221&amp;SW.lng=36.803259&amp;NE.lat=56.021281&amp;NE.lng=37.96779</t>
  </si>
  <si>
    <t>https://ostrovok.ru/hotel/georgia/batumi/mid13343905/orbi_c_1125_apartments/</t>
  </si>
  <si>
    <t>291-7c1125</t>
  </si>
  <si>
    <t>Копия How to find Bonita 1+1 in Orbi C.docx</t>
  </si>
  <si>
    <t>https://airbnb.ru/h/orbic1443</t>
  </si>
  <si>
    <t>https://sutochno.ru/front/searchapp/detail/2017711?</t>
  </si>
  <si>
    <t>https://ostrovok.ru/hotel/georgia/batumi/mid13343911/orbi_c_1443_apartments/</t>
  </si>
  <si>
    <t xml:space="preserve"> 291-7с1443</t>
  </si>
  <si>
    <t>Чек-лист комплектации апартаментов</t>
  </si>
  <si>
    <t>How to find Orbi Block C 4245.docx</t>
  </si>
  <si>
    <t>https://airbnb.ru/h/orbic4245</t>
  </si>
  <si>
    <t>https://sutochno.ru/front/searchapp/detail/1637940?guests_adults=2&amp;id=1&amp;SW.lat=41.63618916802409&amp;SW.lng=41.6055252195129&amp;NE.lat=41.64410858689991&amp;NE.lng=41.62247678048703</t>
  </si>
  <si>
    <t>291-7c4245</t>
  </si>
  <si>
    <t>How to find Orbi City block A - 4049.docx</t>
  </si>
  <si>
    <t>https://airbnb.ru/h/orbia4049</t>
  </si>
  <si>
    <t>https://sutochno.ru/front/searchapp/detail/1616526?guests_adults=2&amp;id=1&amp;SW.lat=41.63547812400941&amp;SW.lng=41.60529721951294&amp;NE.lat=41.6433976309152&amp;NE.lng=41.62224878048706</t>
  </si>
  <si>
    <t>https://ostrovok.ru/hotel/georgia/batumi/mid13343899/orbi_a_4049_apartments/</t>
  </si>
  <si>
    <t>291/7-4049</t>
  </si>
  <si>
    <t>GE55TB7761845068100026</t>
  </si>
  <si>
    <t>Igor Chupin</t>
  </si>
  <si>
    <t>90/10</t>
  </si>
  <si>
    <t>📍Orbi City block С - 2756.docx</t>
  </si>
  <si>
    <t>https://airbnb.ru/h/orbic2756</t>
  </si>
  <si>
    <t>https://sutochno.ru/front/searchapp/detail/2023390?detail/2023463detail/1924300guests_adults=2&amp;id=1&amp;SW.lat=41.63547812400941&amp;SW.lng=41.60529721951294&amp;NE.lat=41.6433976309152&amp;NE.lng=41.62224878048706</t>
  </si>
  <si>
    <t>291-7c2756</t>
  </si>
  <si>
    <t>депозит / рубли</t>
  </si>
  <si>
    <t>рубли</t>
  </si>
  <si>
    <t>Копия How to find Orbi City Block D 13-21.docx</t>
  </si>
  <si>
    <t>https://airbnb.ru/h/orbid1321</t>
  </si>
  <si>
    <t>https://sutochno.ru/front/searchapp/detail/1608136?guests_adults=2&amp;id=1&amp;SW.lat=41.634966092314265&amp;SW.lng=41.60474921951293&amp;NE.lat=41.64288566261085&amp;NE.lng=41.62170078048704</t>
  </si>
  <si>
    <t>https://ostrovok.ru/hotel/georgia/batumi/mid13343963/orbi_d_1321_apartments/</t>
  </si>
  <si>
    <t xml:space="preserve"> 291-7d1321</t>
  </si>
  <si>
    <t>GE78TB7396345063400001</t>
  </si>
  <si>
    <t>Alexander Lisitsyn</t>
  </si>
  <si>
    <t>How to find Orbi City Block D2 16-25.docx</t>
  </si>
  <si>
    <t>https://airbnb.ru/h/orbid21625</t>
  </si>
  <si>
    <t>https://sutochno.ru/front/searchapp/detail/1924300?detail/1924300guests_adults=2&amp;id=1&amp;SW.lat=41.63547812400941&amp;SW.lng=41.60529721951294&amp;NE.lat=41.6433976309152&amp;NE.lng=41.62224878048706</t>
  </si>
  <si>
    <t>https://ostrovok.ru/hotel/georgia/batumi/mid13343950/orbi_d2_1625_apartments/</t>
  </si>
  <si>
    <t>291-7e1625</t>
  </si>
  <si>
    <t>рубли Таисия</t>
  </si>
  <si>
    <t>Сбер</t>
  </si>
  <si>
    <t>How to find Orbi City Block D2 32-16.docx</t>
  </si>
  <si>
    <t>https://airbnb.ru/h/orbid23216</t>
  </si>
  <si>
    <t>https://sutochno.ru/front/searchapp/detail/2023317?detail/1924300guests_adults=2&amp;id=1&amp;SW.lat=41.63547812400941&amp;SW.lng=41.60529721951294&amp;NE.lat=41.6433976309152&amp;NE.lng=41.62224878048706</t>
  </si>
  <si>
    <t>GE70CD0360000046056841</t>
  </si>
  <si>
    <t>ANASTASIIA RYBINA</t>
  </si>
  <si>
    <t>Orbi D 3902. Чек-лист комплектации апартаментов</t>
  </si>
  <si>
    <t>How to find Orbi City Block D 3902.docx</t>
  </si>
  <si>
    <t>https://www.airbnb.ru/rooms/1467484612623509970?guests=1&amp;adults=1&amp;s=67&amp;unique_share_id=e04fe84a-158e-4849-a2e7-b27931b5e7e5</t>
  </si>
  <si>
    <t>https://sutochno.ru/front/searchapp/detail/2119377?host_id=11237896&amp;host_device=PC&amp;guest_id=</t>
  </si>
  <si>
    <t>GE73TB7229936010100039</t>
  </si>
  <si>
    <t>Vasyl Kharchuk</t>
  </si>
  <si>
    <t>депозит на хоум</t>
  </si>
  <si>
    <t>C732</t>
  </si>
  <si>
    <t>GE73TB7354745168200001</t>
  </si>
  <si>
    <t>LIUDMYLA STETSIUK</t>
  </si>
  <si>
    <t>503. Чек-лист комплектации апартаментов</t>
  </si>
  <si>
    <t>How to find Orbi City Block D2 503.docx</t>
  </si>
  <si>
    <t>https://www.airbnb.ru/rooms/1461444074801437384?guests=1&amp;adults=1&amp;s=67&amp;unique_share_id=9fe3a0a2-856f-4570-befe-3db2641294d3</t>
  </si>
  <si>
    <t>https://sutochno.ru/front/searchapp/detail/2111017?price_per=1&amp;guests_adults=2&amp;id=1&amp;SW.lat=55.142221&amp;SW.lng=36.803259&amp;NE.lat=56.021281&amp;NE.lng=37.96779</t>
  </si>
  <si>
    <t>GE50CD0360000038170422</t>
  </si>
  <si>
    <t>Lukoyanov Sergey</t>
  </si>
  <si>
    <t>How to find Marriott 1604</t>
  </si>
  <si>
    <t>https://sutochno.ru/front/searchapp/detail/2028842?price_per=1&amp;guests_adults=2&amp;id=1&amp;SW.lat=41.63776226540329&amp;SW.lng=41.6075522195129&amp;NE.lat=41.645681489519276&amp;NE.lng=41.624503780487025</t>
  </si>
  <si>
    <t>https://ostrovok.ru/hotel/georgia/batumi/mid13343895/courtyard_by_marriott_1604_apartments/?dateless_form=yes</t>
  </si>
  <si>
    <t>291/5-1604</t>
  </si>
  <si>
    <t>10$</t>
  </si>
  <si>
    <t>How to find Marriott 1606</t>
  </si>
  <si>
    <t>https://sutochno.ru/front/searchapp/detail/1761838?guests_adults=1&amp;occupied=2024-06-01;2024-08-31&amp;id=1&amp;term=%D0%A7%D0%B0%D0%BA%D0%B2%D0%B8&amp;SW.lat=41.63776226540329&amp;SW.lng=41.6075522195129&amp;NE.lat=41.645681489519276&amp;NE.lng=41.624503780487025</t>
  </si>
  <si>
    <t>291/5-1606</t>
  </si>
  <si>
    <t>How to find Marriott 1931</t>
  </si>
  <si>
    <t>https://airbnb.ru/h/mar1931</t>
  </si>
  <si>
    <t>https://sutochno.ru/front/searchapp/detail/1742348?guests_adults=1&amp;occupied=2024-06-01;2024-08-31&amp;id=1&amp;term=%D0%A7%D0%B0%D0%BA%D0%B2%D0%B8&amp;SW.lat=41.63776226540329&amp;SW.lng=41.6075522195129&amp;NE.lat=41.645681489519276&amp;NE.lng=41.624503780487025</t>
  </si>
  <si>
    <t>https://ostrovok.ru/hotel/georgia/batumi/mid13343898/courtyard_by_marriott_1931_apartments/</t>
  </si>
  <si>
    <t>291/5-1931</t>
  </si>
  <si>
    <t>GE28TB7330245064400008</t>
  </si>
  <si>
    <t>Aramais ter-astvatsaturian</t>
  </si>
  <si>
    <t>возмещение</t>
  </si>
  <si>
    <t>СМ 1304. Чек-лист комплектации апартаментов</t>
  </si>
  <si>
    <t>Копия How to find Marriott 1304</t>
  </si>
  <si>
    <t>airbnb.ru/h/cm1304</t>
  </si>
  <si>
    <t>https://sutochno.ru/front/searchapp/detail/2181060?host_id=11237896&amp;host_device=PC&amp;guest_id=</t>
  </si>
  <si>
    <t>GE65CD0360000029637838</t>
  </si>
  <si>
    <t>MANOLIS GRIGOREV</t>
  </si>
  <si>
    <t>1327. Чек-лист комплектации апартаментов</t>
  </si>
  <si>
    <t>How to find Marriott 1327</t>
  </si>
  <si>
    <t>airbnb.ru/h/cm1327</t>
  </si>
  <si>
    <t xml:space="preserve">https://sutochno.ru/front/searchapp/detail/2198219?host_id=11237896&amp;host_device=PC&amp;guest_id=
</t>
  </si>
  <si>
    <t>291-51327</t>
  </si>
  <si>
    <t>GE57BG0000000607381483</t>
  </si>
  <si>
    <t>"How to find Porta Batumi Tower №2604"</t>
  </si>
  <si>
    <t>https://airbnb.ru/h/porta2604</t>
  </si>
  <si>
    <t>https://sutochno.ru/front/searchapp/detail/2015965?price_per=1&amp;guests_adults=2&amp;id=1&amp;SW.lat=41.65053097859726&amp;SW.lng=41.63049469570893&amp;NE.lat=41.65844862164388&amp;NE.lng=41.647446256683066</t>
  </si>
  <si>
    <t>103/4-2604</t>
  </si>
  <si>
    <t>GE84CD0360000050936562</t>
  </si>
  <si>
    <t>MANN ANDREI</t>
  </si>
  <si>
    <t>How to find Porta Batumi Tower №2704t</t>
  </si>
  <si>
    <t>https://airbnb.ru/h/porta2704</t>
  </si>
  <si>
    <t>https://sutochno.ru/front/searchapp/detail/2181784?host_id=11237896&amp;host_device=PC&amp;guest_id=</t>
  </si>
  <si>
    <t>103/4-2704</t>
  </si>
  <si>
    <t>3604. Чек-лист комплектации апартаментов</t>
  </si>
  <si>
    <t>How to find Porta Batumi Tower №3604</t>
  </si>
  <si>
    <t>103/4-3604а</t>
  </si>
  <si>
    <t xml:space="preserve"> How to find MZ 718 .docx</t>
  </si>
  <si>
    <t>https://airbnb.ru/h/mz718</t>
  </si>
  <si>
    <t>https://sutochno.ru/front/searchapp/detail/2024275?guests_adults=2</t>
  </si>
  <si>
    <t>454/46g-718</t>
  </si>
  <si>
    <t>GE60CD0360000030501713</t>
  </si>
  <si>
    <t>DOBRIN ANDREI</t>
  </si>
  <si>
    <t>How to find MZ 913.docx</t>
  </si>
  <si>
    <t>https://airbnb.ru/h/mz913</t>
  </si>
  <si>
    <t>454/46g-913</t>
  </si>
  <si>
    <t>1416,1408. Чек-лист комплектации апартаментов</t>
  </si>
  <si>
    <t>How to find MZ 1408 .docx</t>
  </si>
  <si>
    <t>https://www.airbnb.ru/rooms/1455831071319616668?guests=1&amp;adults=1&amp;s=67&amp;unique_share_id=fd34a5cf-bc2f-4850-ba6f-7590131ec980</t>
  </si>
  <si>
    <t>https://sutochno.ru/front/searchapp/detail/2103186?host_id=11237896&amp;host_device=PC&amp;guest_id=</t>
  </si>
  <si>
    <t>454/46g-1408</t>
  </si>
  <si>
    <t>GE43CD0360000044512602</t>
  </si>
  <si>
    <t>SVIATOSLAV CHERNOV</t>
  </si>
  <si>
    <t>MZ 1113. Чек-лист комплектации</t>
  </si>
  <si>
    <t>How to find MZ А 1113 .docx</t>
  </si>
  <si>
    <t>airbnb.ru/h/mza1113</t>
  </si>
  <si>
    <t>https://sutochno.ru/front/searchapp/detail/2191302?guests_adults=2</t>
  </si>
  <si>
    <t>454/46а-1113</t>
  </si>
  <si>
    <t>GE81LB0711167463952000</t>
  </si>
  <si>
    <t>Leonid Leonov</t>
  </si>
  <si>
    <t>Либерти</t>
  </si>
  <si>
    <t>MZ 511. Чек-лист комплектации апартаментов</t>
  </si>
  <si>
    <t>How to find MZ 511 .docx</t>
  </si>
  <si>
    <t>airbnb.ru/h/mz511</t>
  </si>
  <si>
    <t>https://sutochno.ru/front/searchapp/detail/2219090?host_id=11237896&amp;host_device=PC&amp;guest_id=</t>
  </si>
  <si>
    <t>454/46g-511</t>
  </si>
  <si>
    <t>GE92CD0360000059559524</t>
  </si>
  <si>
    <t>PYZHEVICH DMITRII</t>
  </si>
  <si>
    <t>How to find Next White 2-5 and rules.docx</t>
  </si>
  <si>
    <t>https://www.airbnb.ru/rooms/1473153859281802022?guests=1&amp;adults=1&amp;s=67&amp;unique_share_id=bd6768ef-8aa4-4cd2-a9b5-28d6bc5a57dd</t>
  </si>
  <si>
    <r>
      <rPr>
        <rFont val="Arial"/>
      </rPr>
      <t xml:space="preserve"> </t>
    </r>
    <r>
      <rPr>
        <rFont val="Arial"/>
        <color rgb="FF1155CC"/>
        <u/>
      </rPr>
      <t>https://admin.booking.com/hotel/hoteladmin/extranet_ng/manage/rooms.html?ses=697fcbf387dcd49c84b3dd16e81cb762&amp;hotel_id=14509270&amp;lang=ru</t>
    </r>
  </si>
  <si>
    <t>2118145426</t>
  </si>
  <si>
    <t>263/27-206</t>
  </si>
  <si>
    <t>TCQNWrpRsesFEc4LTXmzb22JYGwgpiNBUe</t>
  </si>
  <si>
    <t>Usdt (trc20)</t>
  </si>
  <si>
    <t>How to find Next White 4-9 and rules.docx</t>
  </si>
  <si>
    <t>https://www.airbnb.ru/rooms/1452886356812519040?guests=1&amp;adults=1&amp;s=67&amp;unique_share_id=72bfaaea-a6e3-492f-a08b-b85514fe5f5b</t>
  </si>
  <si>
    <t>https://admin.booking.com/hotel/hoteladmin/extranet_ng/manage/rooms.html?ses=697fcbf387dcd49c84b3dd16e81cb762&amp;hotel_id=14509270&amp;lang=ru</t>
  </si>
  <si>
    <t>https://sutochno.ru/front/searchapp/detail/2101833?host_id=11237896&amp;host_device=PC&amp;guest_id=</t>
  </si>
  <si>
    <t>2118145767</t>
  </si>
  <si>
    <t>263-27409</t>
  </si>
  <si>
    <t>How to find Next White 4-10 and rules.docx</t>
  </si>
  <si>
    <t>airbnb.ru/h/nw4-10</t>
  </si>
  <si>
    <t>https://sutochno.ru/front/searchapp/detail/2101805?host_id=11237896&amp;host_device=PC&amp;guest_id=</t>
  </si>
  <si>
    <t>2118145778</t>
  </si>
  <si>
    <t>263-27410</t>
  </si>
  <si>
    <t>How to find Next White 10-6 and rules.docx</t>
  </si>
  <si>
    <t>https://www.airbnb.ru/rooms/1454265562224346712?guests=1&amp;adults=1&amp;s=67&amp;unique_share_id=df5b1223-192b-4042-abc9-34d201836f4</t>
  </si>
  <si>
    <t>https://sutochno.ru/front/searchapp/detail/2103035?host_id=11237896&amp;host_device=PC&amp;guest_id=</t>
  </si>
  <si>
    <t>2118147291</t>
  </si>
  <si>
    <t>263/27-1006</t>
  </si>
  <si>
    <t>TD5tdeCF4EyoSannpdj98hF4e6DXMdC685</t>
  </si>
  <si>
    <t>Чек-лист комплектации апартаментов NW 3-7</t>
  </si>
  <si>
    <t>How to find Next White 3-07 and rules.docx</t>
  </si>
  <si>
    <t>airbnb.ru/h/nw3-7</t>
  </si>
  <si>
    <t>https://sutochno.ru/front/searchapp/detail/2242475?host_id=11237896&amp;host_device=PC&amp;guest_id=</t>
  </si>
  <si>
    <t>2118145621</t>
  </si>
  <si>
    <t>263-27307</t>
  </si>
  <si>
    <t>UID ByBit</t>
  </si>
  <si>
    <t>Чек-лист комплектации апартаментов NА-316</t>
  </si>
  <si>
    <t>How to find Next Apart 316 and rules.docx</t>
  </si>
  <si>
    <t>2117863311</t>
  </si>
  <si>
    <t>263-21a3016</t>
  </si>
  <si>
    <t>GE36TB7758045064400008</t>
  </si>
  <si>
    <t>Pavel Moiseenko</t>
  </si>
  <si>
    <t>Смета на запуск</t>
  </si>
  <si>
    <t>How to find Intourist A 2905 and rules.docx</t>
  </si>
  <si>
    <t>https://sutochno.ru/front/searchapp/detail/1695116?guests_adults=1&amp;occupied=2024-06-01;2024-08-31&amp;id=1&amp;term=%D0%A7%D0%B0%D0%BA%D0%B2%D0%B8&amp;SW.lat=41.636307175329&amp;SW.lng=41.60915121951291&amp;NE.lat=41.64422657959494&amp;NE.lng=41.62610278048704</t>
  </si>
  <si>
    <t>https://ostrovok.ru/hotel/georgia/batumi/mid13343962/inturist_2905_apartments/</t>
  </si>
  <si>
    <t>1117313438</t>
  </si>
  <si>
    <t>222-17a2905</t>
  </si>
  <si>
    <t>GE83BG0000000539684424</t>
  </si>
  <si>
    <t>KAGAN ALEKSANDR</t>
  </si>
  <si>
    <t>Инт В 2612. Чек-лист комплектации апартаментов</t>
  </si>
  <si>
    <t>How to find Intourist В 2612 and rules.docx</t>
  </si>
  <si>
    <t>https://www.airbnb.ru/rooms/1442041191428358249?guests=1&amp;adults=1&amp;s=67&amp;unique_share_id=024c1e37-efbe-4560-bef1-9f66286378dd</t>
  </si>
  <si>
    <t>https://sutochno.ru/front/searchapp/detail/2083137?host_id=11237896&amp;host_device=PC&amp;guest_id=</t>
  </si>
  <si>
    <t>222/17b-2612</t>
  </si>
  <si>
    <t>GE76CD0360000054943679</t>
  </si>
  <si>
    <t>Potriasova Marina</t>
  </si>
  <si>
    <t>How to find Shartava 8 (apart 2505A)</t>
  </si>
  <si>
    <t>https://sutochno.ru/front/searchapp/detail/1820876?price_per=1&amp;guests_adults=2&amp;guests_childrens=7&amp;id=1&amp;SW.lat=41.635323114441185&amp;SW.lng=41.60847721951294&amp;NE.lat=41.64324264053761&amp;NE.lng=41.62542878048707</t>
  </si>
  <si>
    <t>https://ostrovok.ru/hotel/georgia/batumi/mid13343969/sh8_2505_a_apartments/</t>
  </si>
  <si>
    <t>624/8-311</t>
  </si>
  <si>
    <t>GE72BG0000000570225557</t>
  </si>
  <si>
    <t>SHTRASGEIM VLADIMIR</t>
  </si>
  <si>
    <t>624/8-331а</t>
  </si>
  <si>
    <t>БР 226. Чек-лист комплектации апартаментов</t>
  </si>
  <si>
    <t>How to find Bagrationi 227</t>
  </si>
  <si>
    <t>https://airbnb.ru/h/bg227</t>
  </si>
  <si>
    <t>https://sutochno.ru/front/searchapp/detail/2210028?host_id=11237896&amp;host_device=PC&amp;guest_id=</t>
  </si>
  <si>
    <t>137/131а-227</t>
  </si>
  <si>
    <t>DZ 12 Apartment equipment checklist</t>
  </si>
  <si>
    <t>"How to find Dumbadze12</t>
  </si>
  <si>
    <t>airbnb.ru/h/dz12-17</t>
  </si>
  <si>
    <t>https://sutochno.ru/front/searchapp/detail/2210280?host_id=11237896&amp;host_device=PC&amp;guest_id=</t>
  </si>
  <si>
    <t>GE49TB7701445164400001</t>
  </si>
  <si>
    <t>TOMER GLANTZ</t>
  </si>
  <si>
    <t>26 мая. Чек-лист комплектации апартаментов</t>
  </si>
  <si>
    <t>624/16b-018a</t>
  </si>
  <si>
    <t>GE88BG0000000607321949</t>
  </si>
  <si>
    <t>BRAZDEIKE JULIJA</t>
  </si>
  <si>
    <t>How to find Dreamland block 11 1112.docx</t>
  </si>
  <si>
    <t>https://airbnb.ru/h/dl-11-1112</t>
  </si>
  <si>
    <t>https://www.booking.com/Share-TeyA38</t>
  </si>
  <si>
    <t>https://sutochno.ru/front/searchapp/detail/1781305?price_per=1&amp;guests_adults=2&amp;guests_childrens=7&amp;id=1&amp;SW.lat=41.717946232929975&amp;SW.lng=41.718682219512935&amp;NE.lat=41.72585552192161&amp;NE.lng=41.735633780487035</t>
  </si>
  <si>
    <t>GE34BG0000000549875156</t>
  </si>
  <si>
    <t>DANOVSKI LECH</t>
  </si>
  <si>
    <t>How to find Dreamland block 11 1305.docx</t>
  </si>
  <si>
    <t>https://www.airbnb.ru/rooms/1183253783255910298?guests=1&amp;adults=1&amp;s=67&amp;unique_share_id=1a9e7f9e-bfc4-43cc-8f7c-701e38861957</t>
  </si>
  <si>
    <t>https://sutochno.ru/front/searchapp/detail/1780189?guests_adults=2&amp;occupied=2024-06-25;2024-06-26&amp;id=1&amp;term=%D0%A7%D0%B0%D0%BA%D0%B2%D0%B8&amp;SW.lat=41.717946232929975&amp;SW.lng=41.718682219512935&amp;NE.lat=41.72585552192161&amp;NE.lng=41.735633780487035</t>
  </si>
  <si>
    <t>How to find Dreamland block 14 516.docx</t>
  </si>
  <si>
    <t>https://airbnb.ru/h/dl14-516</t>
  </si>
  <si>
    <t>https://sutochno.ru/front/searchapp/detail/1782185?guests_adults=2&amp;occupied=2024-06-25;2024-06-26&amp;id=1&amp;term=%D0%A7%D0%B0%D0%BA%D0%B2%D0%B8&amp;SW.lat=41.717946232929975&amp;SW.lng=41.718682219512935&amp;NE.lat=41.72585552192161&amp;NE.lng=41.735633780487035</t>
  </si>
  <si>
    <t>GE98TB7791045163400001</t>
  </si>
  <si>
    <t>ALEKSEI NIKIFOROV</t>
  </si>
  <si>
    <t>далее хочет оплаты в $ через кассу банка</t>
  </si>
  <si>
    <t>How to find Dreamland block 14 702.docx</t>
  </si>
  <si>
    <t>https://airbnb.ru/h/dl14-702</t>
  </si>
  <si>
    <t>https://sutochno.ru/front/searchapp/detail/1761287?guests_adults=1&amp;occupied=2024-06-01;2024-08-31&amp;id=1&amp;term=%D0%A7%D0%B0%D0%BA%D0%B2%D0%B8&amp;SW.lat=41.717946232929975&amp;SW.lng=41.718682219512935&amp;NE.lat=41.72585552192161&amp;NE.lng=41.735633780487035</t>
  </si>
  <si>
    <t xml:space="preserve">GE22CD0360000036840765 </t>
  </si>
  <si>
    <t>Константин Удодов</t>
  </si>
  <si>
    <t>How to find Dreamland block 14 1214.docx</t>
  </si>
  <si>
    <t>https://airbnb.ru/h/dl14-1214</t>
  </si>
  <si>
    <t>GE74BG0000000537401982 / znaichenko82@mail.ru</t>
  </si>
  <si>
    <t>ZNAICHENKO Vadim</t>
  </si>
  <si>
    <t>BOG / USDT</t>
  </si>
  <si>
    <t>How to find Dreamland block 14 411.docx</t>
  </si>
  <si>
    <t>https://airbnb.ru/h/DL-14-411</t>
  </si>
  <si>
    <t>TNndGrfEpUJMJJ9NQkqzV3DkQHeqZ54g9F</t>
  </si>
  <si>
    <t>How to find Dreamland block 04 09.docx</t>
  </si>
  <si>
    <t>https://airbnb.ru/h/dl4-09</t>
  </si>
  <si>
    <t>https://sutochno.ru/front/searchapp/detail/1780129?guests_adults=2&amp;occupied=2024-06-25;2024-06-26&amp;id=1&amp;term=%D0%A7%D0%B0%D0%BA%D0%B2%D0%B8&amp;SW.lat=41.715478079909495&amp;SW.lng=41.71741621951294&amp;NE.lat=41.723387674944185&amp;NE.lng=41.73436778048704</t>
  </si>
  <si>
    <t>GE17CR0150009490893601</t>
  </si>
  <si>
    <t>Elizaveta Pavlik</t>
  </si>
  <si>
    <t>How to find Dreamland block 14 518.docx</t>
  </si>
  <si>
    <t>https://airbnb.ru/h/dl14-518</t>
  </si>
  <si>
    <t>GE05CD0360000039394887</t>
  </si>
  <si>
    <t>Lakhtikova Varvara</t>
  </si>
  <si>
    <t>How to find Dreamland block 14 1405.docx</t>
  </si>
  <si>
    <t>https://airbnb.ru/h/dl14-1405</t>
  </si>
  <si>
    <t>How to find</t>
  </si>
  <si>
    <t>https://airbnb.ru/h/dl14-305</t>
  </si>
  <si>
    <t>GE69TB7965345064400010</t>
  </si>
  <si>
    <t>Iuliia Savchenko</t>
  </si>
  <si>
    <t>https://airbnb.ru/h/dl14-505</t>
  </si>
  <si>
    <t>https://sutochno.ru/front/searchapp/detail/2090023?guests_adults=2</t>
  </si>
  <si>
    <t>DL 14-506. Чек-лист комплектации апартаментов</t>
  </si>
  <si>
    <t>How to find 14-506</t>
  </si>
  <si>
    <t>airbnb.com/h/dl14-506</t>
  </si>
  <si>
    <t>https://www.booking.com/Share-TeyA37</t>
  </si>
  <si>
    <t>GE15CR0150009552043601</t>
  </si>
  <si>
    <t>VERONIKA ZHUK</t>
  </si>
  <si>
    <t>Cartu</t>
  </si>
  <si>
    <t>How to find DL</t>
  </si>
  <si>
    <t>https://www.airbnb.ru/rooms/1430277481145870994?guests=1&amp;adults=1&amp;s=67&amp;unique_share_id=76311261-0c43-49b6-879e-026abfc647c6</t>
  </si>
  <si>
    <t>GE23BG0000000538696783</t>
  </si>
  <si>
    <t>Lina Zilinskiene</t>
  </si>
  <si>
    <t>https://www.airbnb.ru/rooms/1439863862616318204?guests=1&amp;adults=1&amp;s=67&amp;unique_share_id=311f5dee-0348-46c3-a31f-a3e4c7a9b293</t>
  </si>
  <si>
    <t>GE02TB7950645064400011</t>
  </si>
  <si>
    <t>Kitaichik Genadi</t>
  </si>
  <si>
    <t xml:space="preserve"> 7-16/ Чек-лист комплектации апартаментов</t>
  </si>
  <si>
    <t>https://airbnb.ru/h/dl7-16</t>
  </si>
  <si>
    <t>https://sutochno.ru/front/searchapp/detail/2088335?guests_adults=2</t>
  </si>
  <si>
    <t>TWush6wVZN2S8ck4BVbdPm2S4PEhpqQq6f</t>
  </si>
  <si>
    <t>DL 13-201. Чек-лист комплектации апартаментов</t>
  </si>
  <si>
    <t>How to find 13/201</t>
  </si>
  <si>
    <t>https://www.booking.com/Share-TeyA39</t>
  </si>
  <si>
    <t>2 706.12 депозит</t>
  </si>
  <si>
    <t>How to find 13/206</t>
  </si>
  <si>
    <t>https://www.booking.com/Share-TeyA40</t>
  </si>
  <si>
    <t>GE57BG0000000499462484</t>
  </si>
  <si>
    <t>Alexander Baranov</t>
  </si>
  <si>
    <t>GEL BOG</t>
  </si>
  <si>
    <t>How to find 13/709</t>
  </si>
  <si>
    <t>https://airbnb.ru/h/dl13-709</t>
  </si>
  <si>
    <t>https://www.booking.com/Share-TeyA41</t>
  </si>
  <si>
    <t>DL 13-703. Чек-лист комплектации апартаментов</t>
  </si>
  <si>
    <t>How to find 13/703</t>
  </si>
  <si>
    <t>https://airbnb.ru/h/dl13-703</t>
  </si>
  <si>
    <t>https://www.booking.com/Share-TeyA42</t>
  </si>
  <si>
    <t>Копия DL 13-1006. Чек-лист комплектации апартаментов</t>
  </si>
  <si>
    <t>How to find 13/1006</t>
  </si>
  <si>
    <t>https://www.booking.com/Share-TeyA44</t>
  </si>
  <si>
    <t>GE21CD0360000041416467</t>
  </si>
  <si>
    <t>ZAKHAROV MIKHAIL</t>
  </si>
  <si>
    <t>Credo bank</t>
  </si>
  <si>
    <t>DL 13-1106Чек-лист комплектации апартаментов</t>
  </si>
  <si>
    <t>How to find 13/1106</t>
  </si>
  <si>
    <t>https://docs.google.com/spreadsheets/d/1_zCnzIjXJZLLwRv65RgdFzoNDY9lNL6D/edit</t>
  </si>
  <si>
    <t>How to find Tropical Garden .docx</t>
  </si>
  <si>
    <t>https://airbnb.ru/h/tg-1a</t>
  </si>
  <si>
    <t>https://www.booking.com/Share-8BzKUBw</t>
  </si>
  <si>
    <t xml:space="preserve">https://sutochno.ru/front/searchapp/detail/2002928?host_id
</t>
  </si>
  <si>
    <t>532/25a-1</t>
  </si>
  <si>
    <t>в сейфе 11 005 лари</t>
  </si>
  <si>
    <t>https://airbnb.ru/h/tg-2a</t>
  </si>
  <si>
    <t xml:space="preserve">https://sutochno.ru/front/searchapp/detail/2003576?host_id
</t>
  </si>
  <si>
    <t>532/25a-2</t>
  </si>
  <si>
    <t>https://airbnb.ru/h/tg-3a</t>
  </si>
  <si>
    <t xml:space="preserve">https://sutochno.ru/front/searchapp/detail/2003592?host_id
</t>
  </si>
  <si>
    <t>532/25a-3</t>
  </si>
  <si>
    <t>https://airbnb.ru/h/tg-4a</t>
  </si>
  <si>
    <t>532/25a-4</t>
  </si>
  <si>
    <t>https://airbnb.ru/h/tg-5a</t>
  </si>
  <si>
    <t>532/25a-5</t>
  </si>
  <si>
    <t>https://airbnb.ru/h/tg-6a</t>
  </si>
  <si>
    <t>532/25a-6</t>
  </si>
  <si>
    <t>https://airbnb.ru/h/tg-7a</t>
  </si>
  <si>
    <t xml:space="preserve">https://sutochno.ru/front/searchapp/detail/2003576?host_id
 </t>
  </si>
  <si>
    <t>532/25a-7</t>
  </si>
  <si>
    <t>https://airbnb.ru/h/tg-8a</t>
  </si>
  <si>
    <t xml:space="preserve">https://sutochno.ru/front/searchapp/detail/2003592?host_id
 </t>
  </si>
  <si>
    <t>532/25a-8</t>
  </si>
  <si>
    <t>https://airbnb.ru/h/tg-9a</t>
  </si>
  <si>
    <t>532/25a-9</t>
  </si>
  <si>
    <t>https://airbnb.ru/h/tg-10a</t>
  </si>
  <si>
    <t xml:space="preserve">https://sutochno.ru/front/searchapp/detail/2002928?host_id
</t>
  </si>
  <si>
    <t>532/25a-10</t>
  </si>
  <si>
    <t>https://airbnb.ru/h/tg-1b</t>
  </si>
  <si>
    <t xml:space="preserve">https://sutochno.ru/front/searchapp/detail/2019583?host_id
</t>
  </si>
  <si>
    <t>532/25b-1</t>
  </si>
  <si>
    <t>https://airbnb.ru/h/tg-2b</t>
  </si>
  <si>
    <t xml:space="preserve">https://sutochno.ru/front/searchapp/detail/2019553?host_id
</t>
  </si>
  <si>
    <t>532/25b-2</t>
  </si>
  <si>
    <t>https://airbnb.ru/h/tg-b3</t>
  </si>
  <si>
    <t>532/25b-3</t>
  </si>
  <si>
    <t>airbnb.ru/h/tg-4b</t>
  </si>
  <si>
    <t>https://sutochno.ru/front/searchapp/detail/2019553?guests_adults=2</t>
  </si>
  <si>
    <t>532/25b-4</t>
  </si>
  <si>
    <t>airbnb.ru/h/tg-5b</t>
  </si>
  <si>
    <t xml:space="preserve">https://sutochno.ru/front/searchapp/detail/2019583?host_id
 </t>
  </si>
  <si>
    <t>532/25b-5</t>
  </si>
  <si>
    <t>https://airbnb.ru/h/tg-6b</t>
  </si>
  <si>
    <t xml:space="preserve">https://sutochno.ru/front/searchapp/detail/2019574?host_id
</t>
  </si>
  <si>
    <t>532/25b-6</t>
  </si>
  <si>
    <t>https://airbnb.ru/h/tg-7b</t>
  </si>
  <si>
    <t>532/25b-7</t>
  </si>
  <si>
    <t>https://airbnb.ru/h/tg-8b</t>
  </si>
  <si>
    <t>532/25b-8</t>
  </si>
  <si>
    <t>https://airbnb.ru/h/tg-9b</t>
  </si>
  <si>
    <t xml:space="preserve">https://sutochno.ru/front/searchapp/detail/2025322?host_id
</t>
  </si>
  <si>
    <t>532/25b-9</t>
  </si>
  <si>
    <t>https://airbnb.ru/h/tg-10b</t>
  </si>
  <si>
    <t>532/25b-10</t>
  </si>
  <si>
    <t>airbnb.ru/h/tg-11b</t>
  </si>
  <si>
    <t>https://www.booking.com/Share-Kx97q8</t>
  </si>
  <si>
    <t>https://sutochno.ru/front/searchapp/detail/2017280?guests_adults=2</t>
  </si>
  <si>
    <t>532/25b-11</t>
  </si>
  <si>
    <t>How to find Villa Eva and rules.docx</t>
  </si>
  <si>
    <t>https://airbnb.ru/h/eva154</t>
  </si>
  <si>
    <t>https://www.booking.com/hotel/ge/villa-eva.ru.html?label=gen173nr-1BCAsoUkIJdmlsbGEtZXZhSDNYBGhSiAEBmAEhuAEYyAEM2AEB6AEBiAIBqAIEuAKAzbyzBsACAdICJDhiMjVmMmM2LWRmNmQtNGFlYi1hNzBiLTdkYjc5YTk0YzllNtgCBeACAQ&amp;sid=8f07804ac5172ad6b6a36c94c2166d9e&amp;dist=0&amp;keep_landing=1&amp;sb_price_type=total&amp;type=total&amp;</t>
  </si>
  <si>
    <t>How to find TG 195</t>
  </si>
  <si>
    <t>Отв</t>
  </si>
  <si>
    <t>комплекс</t>
  </si>
  <si>
    <t>Собственник</t>
  </si>
  <si>
    <t xml:space="preserve">тип </t>
  </si>
  <si>
    <t>Старт запуска</t>
  </si>
  <si>
    <t>Дата завершения</t>
  </si>
  <si>
    <t>кол-во дней</t>
  </si>
  <si>
    <t>Текущая стадия</t>
  </si>
  <si>
    <t>индекс Соб</t>
  </si>
  <si>
    <t>Чат с СОБ</t>
  </si>
  <si>
    <t>Договор</t>
  </si>
  <si>
    <r>
      <rPr>
        <rFont val="Arial"/>
        <b/>
        <color theme="1"/>
        <sz val="9.0"/>
      </rPr>
      <t>Аудит</t>
    </r>
    <r>
      <rPr>
        <rFont val="Arial"/>
        <b val="0"/>
        <color theme="1"/>
        <sz val="9.0"/>
      </rPr>
      <t xml:space="preserve"> (ссылка)</t>
    </r>
  </si>
  <si>
    <t>затраты на комплектацию</t>
  </si>
  <si>
    <t>Хоумст</t>
  </si>
  <si>
    <t>Ремонт</t>
  </si>
  <si>
    <t>Закуп</t>
  </si>
  <si>
    <t>Комлект</t>
  </si>
  <si>
    <t>Фотосессия</t>
  </si>
  <si>
    <t>Готовность к запуску</t>
  </si>
  <si>
    <t>airbnb (ссылка)</t>
  </si>
  <si>
    <t>Суточно</t>
  </si>
  <si>
    <t>Бук</t>
  </si>
  <si>
    <t>Синхронизация с HF</t>
  </si>
  <si>
    <t>Обучение по РК</t>
  </si>
  <si>
    <t>ЗАПУСК</t>
  </si>
  <si>
    <t>Контр проверка чек-листа</t>
  </si>
  <si>
    <t>Списание затрат на запуск</t>
  </si>
  <si>
    <t>Шортс</t>
  </si>
  <si>
    <t>Откуда</t>
  </si>
  <si>
    <t>F 1103</t>
  </si>
  <si>
    <t>DL 07-16</t>
  </si>
  <si>
    <t>индекс Собственника</t>
  </si>
  <si>
    <t>Инт В 2612</t>
  </si>
  <si>
    <t>MZ C 1416</t>
  </si>
  <si>
    <t>MZ C 1408</t>
  </si>
  <si>
    <t>DL 13-701</t>
  </si>
  <si>
    <t>TG 195</t>
  </si>
  <si>
    <t xml:space="preserve">с 25.06. </t>
  </si>
  <si>
    <t>студия</t>
  </si>
  <si>
    <t>синхронизация с РК</t>
  </si>
  <si>
    <t>нет</t>
  </si>
  <si>
    <t>да</t>
  </si>
  <si>
    <t>Выполнено</t>
  </si>
  <si>
    <t>https://docs.google.com/spreadsheets/d/1SU1XnXcn8cX9nJXZAXTvTEukq2Addt7kJMtSa5of7n8/edit?gid=0#gid=0</t>
  </si>
  <si>
    <t>Нина</t>
  </si>
  <si>
    <t>MZ 1113</t>
  </si>
  <si>
    <t>Алеся</t>
  </si>
  <si>
    <t>https://sutochno.ru/front/searchapp/detail/2191302?host_id=11237896&amp;host_device=PC&amp;guest_id=</t>
  </si>
  <si>
    <t>строители</t>
  </si>
  <si>
    <t>арб</t>
  </si>
  <si>
    <t>https://sutochno.ru/front/searchapp/detail/2196284?guests_adults=2</t>
  </si>
  <si>
    <r>
      <rPr>
        <rFont val="Arial"/>
        <color rgb="FF274E13"/>
        <sz val="8.0"/>
      </rPr>
      <t xml:space="preserve"> </t>
    </r>
    <r>
      <rPr>
        <rFont val="Arial"/>
        <color rgb="FF1155CC"/>
        <sz val="8.0"/>
        <u/>
      </rPr>
      <t>https://www.booking.com/Share-YrYvd59</t>
    </r>
  </si>
  <si>
    <t>санафан</t>
  </si>
  <si>
    <t>176 АРБ</t>
  </si>
  <si>
    <t>https://sutochno.ru/front/searchapp/detail/2197711?guests_adults=2</t>
  </si>
  <si>
    <t>СМ 1327</t>
  </si>
  <si>
    <t>1327 АРБ</t>
  </si>
  <si>
    <t>риелторы</t>
  </si>
  <si>
    <t>WS F 1008</t>
  </si>
  <si>
    <t>https://airbnb.ru/h/wsf1008</t>
  </si>
  <si>
    <t>2+1</t>
  </si>
  <si>
    <t>airbnb.ru/h/bg227</t>
  </si>
  <si>
    <t>DZ. Смета на запуск</t>
  </si>
  <si>
    <t>РЕНОВАЦИЯ СМЕТА</t>
  </si>
  <si>
    <t>http://airbnb.ru/h/obt2908</t>
  </si>
  <si>
    <t xml:space="preserve">  </t>
  </si>
  <si>
    <t>http://airbnb.ru/h/obt2910</t>
  </si>
  <si>
    <t>26 мая 50 - 813</t>
  </si>
  <si>
    <t>Batumi View 145</t>
  </si>
  <si>
    <t xml:space="preserve">BV. Смета на запуск. Нина
</t>
  </si>
  <si>
    <t>https://sutochno.ru/front/searchapp/detail/2226306?</t>
  </si>
  <si>
    <t xml:space="preserve">https://www.booking.com/hotel/ge/batumi-view-first-line.html
</t>
  </si>
  <si>
    <t>Batumi View 147</t>
  </si>
  <si>
    <t>Batumi View 144</t>
  </si>
  <si>
    <t>https://sutochno.ru/front/searchapp/detail/2226291?</t>
  </si>
  <si>
    <t>Batumi View С 137</t>
  </si>
  <si>
    <t>https://sutochno.ru/front/searchapp/detail/2226325?</t>
  </si>
  <si>
    <t>Batumi View 133</t>
  </si>
  <si>
    <t>airbnb.ru/h/bva133</t>
  </si>
  <si>
    <t>Batumi View 134</t>
  </si>
  <si>
    <t xml:space="preserve">Batumi View </t>
  </si>
  <si>
    <t>airbnb.ru/h/bva210</t>
  </si>
  <si>
    <t>Batumi View</t>
  </si>
  <si>
    <t>с 0505</t>
  </si>
  <si>
    <t>МетроСити</t>
  </si>
  <si>
    <t>А708</t>
  </si>
  <si>
    <t>Владимир</t>
  </si>
  <si>
    <t>объявление</t>
  </si>
  <si>
    <t>мави</t>
  </si>
  <si>
    <t>не выполнено</t>
  </si>
  <si>
    <t>от Китайчика</t>
  </si>
  <si>
    <t>NА</t>
  </si>
  <si>
    <t>3-16</t>
  </si>
  <si>
    <t>Павел</t>
  </si>
  <si>
    <t>12 март</t>
  </si>
  <si>
    <t>выполнено</t>
  </si>
  <si>
    <t>Шар 8</t>
  </si>
  <si>
    <t>Михаил</t>
  </si>
  <si>
    <t>хоумстейджинг</t>
  </si>
  <si>
    <t>Шартава 8, 331/2708 27 этаж Чек-лист комплектации апартаментов</t>
  </si>
  <si>
    <t>не в полном объеме</t>
  </si>
  <si>
    <t xml:space="preserve">Порто </t>
  </si>
  <si>
    <t>Денис</t>
  </si>
  <si>
    <t>СМ</t>
  </si>
  <si>
    <t>Наталья</t>
  </si>
  <si>
    <t>договор</t>
  </si>
  <si>
    <t>Виктор</t>
  </si>
  <si>
    <t>соб</t>
  </si>
  <si>
    <t>Blue Sky</t>
  </si>
  <si>
    <t xml:space="preserve">Blue Sky </t>
  </si>
  <si>
    <t>Ольга Чайковски</t>
  </si>
  <si>
    <t>Кауфман</t>
  </si>
  <si>
    <t xml:space="preserve">ELT </t>
  </si>
  <si>
    <t>Андрей</t>
  </si>
  <si>
    <t>ELT marina</t>
  </si>
  <si>
    <t>Виталий</t>
  </si>
  <si>
    <t xml:space="preserve">DL </t>
  </si>
  <si>
    <t>14-1614</t>
  </si>
  <si>
    <t>13-503</t>
  </si>
  <si>
    <t>Газгольдер</t>
  </si>
  <si>
    <t>13-507</t>
  </si>
  <si>
    <t>13-310</t>
  </si>
  <si>
    <t>Сергей</t>
  </si>
  <si>
    <t>авто</t>
  </si>
  <si>
    <t>мбип</t>
  </si>
  <si>
    <t>Отзывы</t>
  </si>
  <si>
    <t>Отзывы ARB</t>
  </si>
  <si>
    <t>Отзывы Суточно</t>
  </si>
  <si>
    <t>Букинг</t>
  </si>
  <si>
    <t>карты</t>
  </si>
  <si>
    <r>
      <rPr>
        <rFont val="Arial"/>
        <color theme="1"/>
      </rPr>
      <t xml:space="preserve">Кол-во заселений </t>
    </r>
    <r>
      <rPr>
        <rFont val="Arial"/>
        <color theme="1"/>
        <sz val="7.0"/>
      </rPr>
      <t>(по неделям)</t>
    </r>
  </si>
  <si>
    <r>
      <rPr>
        <rFont val="Arial"/>
        <color theme="1"/>
      </rPr>
      <t xml:space="preserve">Кол-во отзывов </t>
    </r>
    <r>
      <rPr>
        <rFont val="Arial"/>
        <color theme="1"/>
        <sz val="7.0"/>
      </rPr>
      <t>(по неделям)</t>
    </r>
  </si>
  <si>
    <t>дата</t>
  </si>
  <si>
    <t>∑</t>
  </si>
  <si>
    <t>кол-во</t>
  </si>
  <si>
    <t>Ср оц</t>
  </si>
  <si>
    <t>выбор гостей</t>
  </si>
  <si>
    <t>янв</t>
  </si>
  <si>
    <t>фев</t>
  </si>
  <si>
    <t>март</t>
  </si>
  <si>
    <t>январь</t>
  </si>
  <si>
    <t>февраль</t>
  </si>
  <si>
    <t>1 | WS B 503 | White Sails |1+1</t>
  </si>
  <si>
    <t>дке 2025</t>
  </si>
  <si>
    <t>1 | WS E 1202 | White Sails |1+1</t>
  </si>
  <si>
    <t>июнь 25</t>
  </si>
  <si>
    <t>1 | BV B 1318 | Batumi View | Studio</t>
  </si>
  <si>
    <t>1 | BV C 137 | Batumi View | Studio</t>
  </si>
  <si>
    <t>1 | BV A 144 | Batumi View | 1+1</t>
  </si>
  <si>
    <t>1 | BV A 0514 | Batumi View | Studio</t>
  </si>
  <si>
    <t>1 | WH 176 | White House |Studio</t>
  </si>
  <si>
    <t>1 | OBT 2908 | Orbi Beach Tower | Studio</t>
  </si>
  <si>
    <t>2 | Orbi C 1125 | Orbi Sity | Studio</t>
  </si>
  <si>
    <t>2 | Orbi D1 1321 | Orbi Sity | Studio</t>
  </si>
  <si>
    <t>2 | Orbi D2 1625 | Orbi Sity | 1+1</t>
  </si>
  <si>
    <t>2 | Orbi D2 3216 | Orbi Sity | 1+1</t>
  </si>
  <si>
    <t>2 | Orbi D1 3902 | Orbi Sity | 1+1</t>
  </si>
  <si>
    <t>июль 25</t>
  </si>
  <si>
    <t>2 | Mar 1604 | Courtyard by Marriott | 1+1</t>
  </si>
  <si>
    <t>2 | Mar 1606 | Courtyard by Marriott | Studio</t>
  </si>
  <si>
    <t>2 | Mar 1304 | Courtyard by Marriott | 1+1</t>
  </si>
  <si>
    <t>2 | Mar 1327 | Courtyard by Marriott | 1+1</t>
  </si>
  <si>
    <t>3 | PT 2604 | Old town | Studio</t>
  </si>
  <si>
    <t>3 | PT 2704 | Old town | Studio</t>
  </si>
  <si>
    <t>4 | MZ 718 | Mziuri Gardens | Studio</t>
  </si>
  <si>
    <t>4 | MZ 913 | Mziuri Gardens | Studio</t>
  </si>
  <si>
    <t>2 | BG 227 | Bagrationi Residence | 2+1</t>
  </si>
  <si>
    <t>3 | DZ 12 | Old town | 1+1</t>
  </si>
  <si>
    <t>7 | PR 18 D 181 | Pirosmani | 2+1</t>
  </si>
  <si>
    <t>2 | Int A 2905 | Intourist | 1+1</t>
  </si>
  <si>
    <t>2 | Int B 2612 | Intourist | 1+1</t>
  </si>
  <si>
    <t>2 | Sh8 2505 | Shartava | 1+1</t>
  </si>
  <si>
    <t>Created</t>
  </si>
  <si>
    <t>Listing</t>
  </si>
  <si>
    <t>Reservation</t>
  </si>
  <si>
    <t>Overall</t>
  </si>
  <si>
    <t>Accuracy</t>
  </si>
  <si>
    <t>Check In</t>
  </si>
  <si>
    <t>Cleanliness</t>
  </si>
  <si>
    <t>Communication</t>
  </si>
  <si>
    <t>Location</t>
  </si>
  <si>
    <t>Value</t>
  </si>
  <si>
    <t>Public Review</t>
  </si>
  <si>
    <t>Private Review</t>
  </si>
  <si>
    <t>Tags</t>
  </si>
  <si>
    <t>07.02.2026</t>
  </si>
  <si>
    <t>HM4C5CQ58S</t>
  </si>
  <si>
    <t>Its a wonderful place</t>
  </si>
  <si>
    <t>Looked like the photos;Matched the description;Responsive host;Clear instructions;Easy to find;Easy to get inside;Flexible check-in;Always responsive;Local recommendations;Proactive;Helpful instructions;Considerate;Peaceful;Beautiful surroundings;Great restaurants;Walkable</t>
  </si>
  <si>
    <t>Beautiful surroundings</t>
  </si>
  <si>
    <t>Great restaurants</t>
  </si>
  <si>
    <t>Walkable</t>
  </si>
  <si>
    <t>HMPA349EQF</t>
  </si>
  <si>
    <t>Great location with everything you need nearby. There are nice cafés right in the building, which is very convenient. Comfortable stay and easy access to the city. Would recommend.</t>
  </si>
  <si>
    <t>Looked like the photos;Matched the description;Always responsive;Helpful instructions;Considerate;Beautiful surroundings;Great restaurants;Walkable;Had listed amenities &amp; services</t>
  </si>
  <si>
    <t>03.02.2026</t>
  </si>
  <si>
    <t>HMMWJ3ZXEE</t>
  </si>
  <si>
    <t>Everything excellent!!</t>
  </si>
  <si>
    <t>Responsive host;Clear instructions</t>
  </si>
  <si>
    <t>HMZBKSEHDW</t>
  </si>
  <si>
    <t>We had a good time there🤟</t>
  </si>
  <si>
    <t>01.02.2026</t>
  </si>
  <si>
    <t>HMNZTMQE54</t>
  </si>
  <si>
    <t>אירוח מצויין!!דירה יפה מרווחת ונקיה מאוד!! המארחים היו אדיבים וזמינים בכל שעה! ונתנו לנו מה שהיינו צריכים! שירות מעולה!הכל היה נפלא!נשמח לבוא שוב🫶🫶🫶Excellent hospitality!!Beautiful, spacious and very clean apartment!! The hosts were kind and available at all hours! And gave us what we needed! Excellent service!Everything was wonderful!We would love to come again🫶🫶🫶</t>
  </si>
  <si>
    <t>We thank you very much!🫶</t>
  </si>
  <si>
    <t>HMZZTN985X</t>
  </si>
  <si>
    <t>great appartment with à nice view</t>
  </si>
  <si>
    <t>31.01.2026</t>
  </si>
  <si>
    <t>HMH2CCCRKD</t>
  </si>
  <si>
    <t>The perfect place in terms of everything. Gladly spent 8 days there. Highly recommend.</t>
  </si>
  <si>
    <t>Squeaky-clean bathroom;Pristine kitchen;Looked like the photos;Matched the description;Clear instructions;Easy to find;Easy to get inside;Always responsive;Proactive;Considerate;Beautiful surroundings;Great restaurants;Lots to do;Walkable;Spotless furniture &amp; linens;Had listed amenities &amp; services</t>
  </si>
  <si>
    <t>Spotless furniture &amp; linens</t>
  </si>
  <si>
    <t>Had listed amenities &amp; services</t>
  </si>
  <si>
    <t>29.01.2026</t>
  </si>
  <si>
    <t>HMDHAKQ5A5</t>
  </si>
  <si>
    <t>Красивая и чистая квартира.</t>
  </si>
  <si>
    <t>Responsive host;Clear instructions;Easy to find;Easy to get inside</t>
  </si>
  <si>
    <t>27.01.2026</t>
  </si>
  <si>
    <t>HMNAHA8R9B</t>
  </si>
  <si>
    <t>We like very much and they answered instant for the messages. We can recommend</t>
  </si>
  <si>
    <t>Looked like the photos;Matched the description;Clear instructions;Easy to find;Always responsive;Helpful instructions;Considerate</t>
  </si>
  <si>
    <t>23.01.2026</t>
  </si>
  <si>
    <t>HMM4RFEQKP</t>
  </si>
  <si>
    <t>İnanılmaz memnun ayrıldık. Herşey çok güzeldi.</t>
  </si>
  <si>
    <t>Free of clutter;Squeaky-clean bathroom;Pristine kitchen;Looked like the photos;Matched the description;Responsive host;Clear instructions;Easy to get inside;Felt right at home;Always responsive;Proactive;Helpful instructions;Considerate;Peaceful;Beautiful surroundings;Private;Walkable;Spotless furniture &amp; linens;Had listed amenities &amp; services</t>
  </si>
  <si>
    <t>Peaceful</t>
  </si>
  <si>
    <t>Private</t>
  </si>
  <si>
    <t>22.01.2026</t>
  </si>
  <si>
    <t>HMSP8DYRPD</t>
  </si>
  <si>
    <t>Kaldığımız en iyi airbnb dairelerinden biri🍀  ikinci kez konakladık, hatta tatilimizi bu dairenin uygun takvimine göre ayarladık😅 daire inanılmaz temiz ve kullanışlı✨ bu tatilimizde hava çok soğuk ve yoğun yağmur olmasına rağmen hiç sıkıntı yaşamadık, daire sıcaktı ve merkezde olmasından dolayı restaurant, cafe ve butiklere arabasız ulaşım gerçek bir rahatlıktı😊  kışın bile keyifliydi, çok teşekkürler</t>
  </si>
  <si>
    <t>Free of clutter;Squeaky-clean bathroom;Pristine kitchen;Looked like the photos;Matched the description;Responsive host;Clear instructions;Easy to find;Easy to get inside;Flexible check-in;Felt right at home;Always responsive;Local recommendations;Proactive;Helpful instructions;Considerate;Peaceful;Beautiful surroundings;Private;Great restaurants;Lots to do;Walkable;Spotless furniture &amp; linens;Had listed amenities &amp; services</t>
  </si>
  <si>
    <t>Proactive</t>
  </si>
  <si>
    <t>Helpful instructions</t>
  </si>
  <si>
    <t>Considerate</t>
  </si>
  <si>
    <t>21.01.2026</t>
  </si>
  <si>
    <t>HMS94SBQN9</t>
  </si>
  <si>
    <t>Все было замечательно. Особенное спасибо Юлии, которая помогала со всеми вопросами. В квартире были короткие шторы и проблема с работой посудомоечной машиной, но на следующий же день к нам приехали и починили машинку и повесили другие шторы. Большое спасибо за скорость и внимание к деталям</t>
  </si>
  <si>
    <t>Looked like the photos;Matched the description;Responsive host;Easy to find;Always responsive;Considerate;Spotless furniture &amp; linens;Had listed amenities &amp; services</t>
  </si>
  <si>
    <t>HMS83HZMYR</t>
  </si>
  <si>
    <t>Отличная квартира, в которой комфортно находиться. Очень чисто, в квартире все хорошо продумано, отличная кухня, ванная комната, предусмотрено множество мелочей. Хозяева быстро реагируют на возникающие вопросы. Удобное расположение - рядом магазины, море, набережная, до центра можно прогуляться пешком. Нам все очень понравилось.</t>
  </si>
  <si>
    <t>Большое спасибо за отличную квартиру!</t>
  </si>
  <si>
    <t>Squeaky-clean bathroom;Pristine kitchen;Looked like the photos;Matched the description;Easy to find;Easy to get inside;Had listed amenities &amp; services</t>
  </si>
  <si>
    <t>20.01.2026</t>
  </si>
  <si>
    <t>HM9CS9QFC9</t>
  </si>
  <si>
    <t>The apartment was very clean and well organized, and everything was exactly where it should be. The place was comfortable and matched the description. Considering the price, it was absolutely worth every penny. I would definitely recommend staying here.</t>
  </si>
  <si>
    <t>just perfect</t>
  </si>
  <si>
    <t>Squeaky-clean bathroom;Pristine kitchen</t>
  </si>
  <si>
    <t>HM4MZ9JZBB</t>
  </si>
  <si>
    <t>it was a good winter stay. the balcony was sunny after noon, this block especially is close to various of supermarkets and traffic lights to cross to the beach.  thank you</t>
  </si>
  <si>
    <t>gamarcoba 👋 not just this apartment but facility generally suffers from door isolation i realise; the balcony doors are whistling at windy days, and apartment doors are not sound proofed. maybe you guys can find some solutions to that. i hope i fullfill checkout steps, my flights were cancelled that weekend due to weather, i was in a hurry to keep up with some unexpected replanning for my self too. thank you for the stay, have a good day y'all ☀️☀️</t>
  </si>
  <si>
    <t>Clear instructions;Easy to find</t>
  </si>
  <si>
    <t>19.01.2026</t>
  </si>
  <si>
    <t>HMPMRKHRQP</t>
  </si>
  <si>
    <t>Отличное место, очень понравилось! все супер! хост очень отзывчивый! расположение превосходное! вид просто шикарный! и горы и море, вообще все видно супер!! когда была хорошая погода, даже Эверест было видно!</t>
  </si>
  <si>
    <t>Looked like the photos;Responsive host;Clear instructions;Easy to find;Easy to get inside;Flexible check-in;Always responsive;Considerate;Peaceful</t>
  </si>
  <si>
    <t>17.01.2026</t>
  </si>
  <si>
    <t>HMCSZPKHEP</t>
  </si>
  <si>
    <t>Batum’da 2 gün boyunca bu dairede konakladık ve her şeyden gerçekten çok memnun kaldık. Daire hem çok şık hem de son derece temizdi. Ev sahipleri inanılmaz ilgiliydi; en küçük detayı bile düşünmüşler. Konfor, düzen ve misafirperverlik açısından beklentimizin çok üzerindeydi. Kendimizi evimizde gibi hissettik. Gönül rahatlığıyla tavsiye ederim, tekrar Batum’a gelirsek kesinlikle burayı tercih ederiz. Teşekkür ederiz 🙏</t>
  </si>
  <si>
    <t>Free of clutter;Felt right at home</t>
  </si>
  <si>
    <t>HM3JFHCNAD</t>
  </si>
  <si>
    <t>Отличное местоположение, отзывчивый хозяин и безупречная чистота!</t>
  </si>
  <si>
    <t>Pristine kitchen;Looked like the photos;Matched the description;Responsive host;Clear instructions;Easy to get inside;Always responsive;Proactive;Helpful instructions;Beautiful surroundings;Spotless furniture &amp; linens</t>
  </si>
  <si>
    <t>HMA8FNN2S5</t>
  </si>
  <si>
    <t>Amazing flat and amazing location, better European street in Batumi with so many interesting places.</t>
  </si>
  <si>
    <t>Considerate;Great restaurants</t>
  </si>
  <si>
    <t>16.01.2026</t>
  </si>
  <si>
    <t>HMRPEQC2QF</t>
  </si>
  <si>
    <t>This is a lovely studio for the Batumi winter. The space is bright and open with spectacular sunrises over the sea and mountains. The bathtub is nothing short of divine in the evenings when the city lights sparkle. Everything is clean and comfortable in the apartment, and it’s perfectly located too. Steps from the sea and the old town. Julia is a great host, so helpful and friendly. A wonderful stay – Thank you!</t>
  </si>
  <si>
    <t>Free of clutter;Squeaky-clean bathroom;Pristine kitchen;Looked like the photos;Matched the description;Responsive host;Clear instructions;Easy to find;Easy to get inside;Always responsive;Proactive;Helpful instructions;Considerate;Private;Great restaurants;Lots to do;Walkable;Spotless furniture &amp; linens;Had listed amenities &amp; services</t>
  </si>
  <si>
    <t>Lots to do</t>
  </si>
  <si>
    <t>14.01.2026</t>
  </si>
  <si>
    <t>HMHS5S85E9</t>
  </si>
  <si>
    <t>War einfach ein Traum das Zimmer Tisch war gedeckt wo wir angekommen sind man hat sich wirklich wie zuhause gefühlt. Einmal war was an der Waschmaschine defekt was passieren kann aber es würde sich sofort darum gekümmert einfach nur klasse würden sofort wieder kommen.</t>
  </si>
  <si>
    <t>Free of clutter;Squeaky-clean bathroom;Pristine kitchen;Looked like the photos;Matched the description;Responsive host;Clear instructions;Easy to get inside;Flexible check-in;Felt right at home;Always responsive;Helpful instructions;Considerate;Peaceful;Beautiful surroundings;Private;Great restaurants;Lots to do;Walkable;Spotless furniture &amp; linens;Had listed amenities &amp; services</t>
  </si>
  <si>
    <t>13.01.2026</t>
  </si>
  <si>
    <t>HMRZDCEPP3</t>
  </si>
  <si>
    <t>I really enjoyed my stay here. The studio had a beautiful view of the sea and sunset, and the location was perfect. The place was comfortable, clean, and had everything I needed. The host was a superhost and very responsive. Highly recommend!</t>
  </si>
  <si>
    <t>Thank you</t>
  </si>
  <si>
    <t>Looked like the photos;Flexible check-in;Considerate;Walkable</t>
  </si>
  <si>
    <t>HMXARAXDEA</t>
  </si>
  <si>
    <t>Baya güzel ve temizdi özverileri için çok teşekkür ederim çok memnun kaldım</t>
  </si>
  <si>
    <t>Her şey mükemmel di çok memnun kaldım</t>
  </si>
  <si>
    <t>11.01.2026</t>
  </si>
  <si>
    <t>HMYRXPEZWK</t>
  </si>
  <si>
    <t>It was great and peaceful place.</t>
  </si>
  <si>
    <t>We enjoyed in your apartment</t>
  </si>
  <si>
    <t>HM5QYNRBFX</t>
  </si>
  <si>
    <t>We really enjoyed our stay at this beautiful apartment, and it was one of the most comfortable stays we've had 🌷Spotlessly clean, warm, with cozy interiors.. the hosts provided ample of amenities and snacks for our comfort. The fragrance that greeted us upon entry was our absolute favourite!The proximity to the sea gave us a picturesque view of the sea &amp; mountains, and the prime location made our commute to lots of nearby restaurants and shops absolutely seamless. Our hosts, Mavi Guest &amp; Julia were extremely gracious, kind and lovely to interact with. Can't recommend enough ❤️</t>
  </si>
  <si>
    <t>Thank you so much for hosting us and for an amazing stay and experience. We look forward to visiting here again! 😊</t>
  </si>
  <si>
    <t>Free of clutter;Squeaky-clean bathroom;Pristine kitchen;Looked like the photos;Matched the description;Responsive host;Clear instructions;Easy to find;Easy to get inside;Felt right at home;Always responsive;Helpful instructions;Considerate;Peaceful;Beautiful surroundings;Great restaurants;Lots to do;Walkable;Spotless furniture &amp; linens;Had listed amenities &amp; services</t>
  </si>
  <si>
    <t>HMCFPMQ4YT</t>
  </si>
  <si>
    <t>Все было отлично! Хорошее место для отдыха и отличные хозяева, быстро отвечают! Маленький минус за бойлер, который нагревается и надо немного подождать, чтобы была горячая вода, но это мелочи. 4,90 из 5.00 🔝</t>
  </si>
  <si>
    <t>10.01.2026</t>
  </si>
  <si>
    <t>HMS9TM85D3</t>
  </si>
  <si>
    <t>Прекрасная квартира, чистый и зеленый район. Под домом сразу 3 Круглосуточных магазина и кафе. Квартира уютная и просторная. Никаких проблем не было за время проживания.</t>
  </si>
  <si>
    <t>08.01.2026</t>
  </si>
  <si>
    <t>HMYY52WMDQ</t>
  </si>
  <si>
    <t>Great place and owner but your team need to be more friendly and welcoming when approaching client. Yet the host is amazing I couldn’t say nothing but thanks from the deep of my heart.❤️</t>
  </si>
  <si>
    <t>Your cohost needs to be more careful when treating clients especially when they are extra proactive and peaceful.Apart from that you were so supportive and I tried my best to leave as per the time 12 and I did. Much appreciate it</t>
  </si>
  <si>
    <t>Squeaky-clean bathroom;Looked like the photos;Matched the description;Trouble with lock;Had to wait;Beautiful surroundings;Great restaurants;Lots to do;Walkable;Spotless furniture &amp; linens;Had listed amenities &amp; services</t>
  </si>
  <si>
    <t>07.01.2026</t>
  </si>
  <si>
    <t>HM29834JY3</t>
  </si>
  <si>
    <t>отличные апартаменты!</t>
  </si>
  <si>
    <t>спасибо, все было отлично!</t>
  </si>
  <si>
    <t>Free of clutter;Squeaky-clean bathroom;Pristine kitchen;Looked like the photos;Matched the description;Responsive host;Clear instructions;Always responsive;Considerate;Peaceful;Great restaurants;Walkable;Spotless furniture &amp; linens;Had listed amenities &amp; services</t>
  </si>
  <si>
    <t>HM3AYPHTNM</t>
  </si>
  <si>
    <t>Отличные аппартаменты с шикарным видом на море!Функциональная кухня, ванная комната чистая, все очень удобно и продуманно.Вид по вечерам с балкона потрясающий)Рядом много ресторанов,  хороший супермаркет Карфур.Мы посетили Спа, очень достойный, баня, бассейн с теплой водой. Мы прекрасно отдохнули, рекомендуем от всей души)</t>
  </si>
  <si>
    <t>Squeaky-clean bathroom;Pristine kitchen;Looked like the photos;Matched the description;Proactive;Helpful instructions;Considerate;Beautiful surroundings;Great restaurants;Walkable;Spotless furniture &amp; linens;Had listed amenities &amp; services</t>
  </si>
  <si>
    <t>05.01.2026</t>
  </si>
  <si>
    <t>HMN5ZJ43BK</t>
  </si>
  <si>
    <t>Отличные апартаменты с красивым видом на море и горы. В доме 3 лифта, поэтому не будет проблем, что бы быстро добраться на высокий этаж здания</t>
  </si>
  <si>
    <t>Pristine kitchen;Looked like the photos;Matched the description;Responsive host;Clear instructions;Beautiful surroundings;Walkable;Had listed amenities &amp; services</t>
  </si>
  <si>
    <t>HM9J2T53YJ</t>
  </si>
  <si>
    <t>Невероятно красивые апартаменты, я впервые за все поездки встретила такой подход в чистоте: чисто было буквально все, ни одной пылинки. Хозяева очень отзывчивые и готовы ответить на любой вопрос. В апартаментах так же было очень тепло и комфортно. Рекомендую для отдыха ❤️</t>
  </si>
  <si>
    <t>04.01.2026</t>
  </si>
  <si>
    <t>HMWK23DXTZ</t>
  </si>
  <si>
    <t>It’s a really beautiful accommodation, one of the best I tried with my holiday in Georgia . The bathroom was amazing with heated floors and it wasn’t a wet room style which we preferred and the room was spacious and modern  . And the view was really wonderful. And it had a microwave which was great for leftovers and not many places have that.</t>
  </si>
  <si>
    <t>Free of clutter;Squeaky-clean bathroom;Pristine kitchen;Looked like the photos;Matched the description;Unresponsive Host;Had to wait;Slow to respond;Peaceful;Beautiful surroundings;Private;Great restaurants;Walkable;Spotless furniture &amp; linens;Had listed amenities &amp; services</t>
  </si>
  <si>
    <t>HM22P5AJBQ</t>
  </si>
  <si>
    <t>Beautiful apartment overlooking the Black Sea</t>
  </si>
  <si>
    <t>Internet at Orbi! And bedsheets need to be better</t>
  </si>
  <si>
    <t>03.01.2026</t>
  </si>
  <si>
    <t>HMR5CHJAHA</t>
  </si>
  <si>
    <t>We had a great stay and really enjoyed the place — clean, cozy, and exactly as described. The host was friendly and helpful, and overall the team was very responsive.The only slightly funny (and mildly confusing) part was that the host and their team didn’t seem to communicate with each other, so I felt like a professional copy-paste manager, sending the same reply to different people one by one 😄A small “bitter slice of the cake” was that some of the radiators had air in them, but to their credit, it was fixed quickly and efficiently — well done!All in all, a very positive experience, and I’d happily stay here again. Highly recommended!</t>
  </si>
  <si>
    <t>Hi 🙂 You might want to improve communication within your team — otherwise guests may feel like they’re replying to the same message on repeat mode.We were happy to stay with you!</t>
  </si>
  <si>
    <t>Responsive host;Easy to get inside;Flexible check-in</t>
  </si>
  <si>
    <t>HMZ8AT3ZT8</t>
  </si>
  <si>
    <t>Güzel bir konaklama oldu teşekkür ederiz</t>
  </si>
  <si>
    <t>Free of clutter;Looked like the photos;Matched the description;Responsive host;Clear instructions;Easy to find;Easy to get inside;Flexible check-in;Felt right at home;Always responsive;Proactive;Considerate;Peaceful;Beautiful surroundings;Lots to do;Had listed amenities &amp; services</t>
  </si>
  <si>
    <t>HM3AMA85HN</t>
  </si>
  <si>
    <t>Evin konumu çok güzel. Evde ısıtma sadece klima ile yapılmıştı oyüzden soğuktan hasta oldum ev sahibi daha sonra başka bir ısıtıcı getirince daha iyi oldu tavsiye ederim</t>
  </si>
  <si>
    <t>Looked like the photos;Responsive host;Clear instructions;Easy to get inside;Always responsive;Proactive;Beautiful surroundings;Walkable</t>
  </si>
  <si>
    <t>01.01.2026</t>
  </si>
  <si>
    <t>HMJZ4EPWZN</t>
  </si>
  <si>
    <t>افضل سكن جلست فيه وتعامل مره جميل ومميز</t>
  </si>
  <si>
    <t>شقة جميلة ♥️</t>
  </si>
  <si>
    <t>31.12.2025</t>
  </si>
  <si>
    <t>HM9CJ294X5</t>
  </si>
  <si>
    <t>Квартира очень красивая, с новым ремонтом. Все необходимые вещи имеются. Немного далековато от центра. В целом остались довольны.</t>
  </si>
  <si>
    <t>Free of clutter;Pristine kitchen;Looked like the photos;Matched the description;Responsive host;Easy to find;Easy to get inside;Always responsive;Considerate;Peaceful;Spotless furniture &amp; linens</t>
  </si>
  <si>
    <t>30.12.2025</t>
  </si>
  <si>
    <t>HM9EBPW5RS</t>
  </si>
  <si>
    <t>Minha esposa e eu tivemos ótima experiência durante as 9 semanas em que ficamos neste apartamento. O local fica em uma avenida movimentada, mas não tivemos problemas com barulhos, há um isolamento acústico muito bom. Ele fica próximo de supermercados, da orla, farmácias, praças e parques. É igual as fotos, iluminado, muito limpo, chuveiro com uma ótima pressão. A cama e travesseiros são confortáveis e as roupas de cama são de boa qualidade. A cozinha é equipada e conseguimos preparar nossas refeições com tranquilidade. A mesa para refeições tem um bom tamanho e as cadeiras são confortáveis. A internet é boa e estável. A máquina de lavar é muito boa. Julia estava sempre atenta e à disposição caso precisássemos de algo. O check-in e o check-out foram tranquilos. Achamos este apartamento uma ótima opção para passar uma curta ou longa temporada na cidade.</t>
  </si>
  <si>
    <t>Sugiro que você coloque cortinas blackout. Embora não atrapalhou nosso sono, Sempre havia luz vindo da rua durante toda a noite.Obrigado por tudo!</t>
  </si>
  <si>
    <t>Free of clutter;Squeaky-clean bathroom;Pristine kitchen;Looked like the photos;Matched the description;Clear instructions;Always responsive;Considerate;Great restaurants;Lots to do;Walkable;Spotless furniture &amp; linens;Had listed amenities &amp; services</t>
  </si>
  <si>
    <t>28.12.2025</t>
  </si>
  <si>
    <t>HMJRB42DZ9</t>
  </si>
  <si>
    <t>Все шикарно! Новая, свежая, чистая квартира. Все необходимое есть, центр города, выходишь и сразу попадаешь на площадь Европы. Общение легкое, проблем не было, шумоизоляция прекрасна, интернет работает хорошо. Рекомендую! Спасибо 😍</t>
  </si>
  <si>
    <t>Looked like the photos;Matched the description;Responsive host;Clear instructions;Easy to find;Felt right at home;Always responsive;Local recommendations;Proactive;Considerate;Had listed amenities &amp; services</t>
  </si>
  <si>
    <t>HMXNYSYJ3P</t>
  </si>
  <si>
    <t>Отличная квартира, полностью соответствует фото в объявлении. Очень хорошая планировка, удобно работать за столом и фоном поглядывать в телевизор. Жили в декабре, боялись что будет холодно, тк нет газового отопления, но сплит-система жарит так сильно, что приходилось даже убавлять. Однозначно, рекомендую! Летом планируем в очередной раз в Батуми, будем пытаться попасть сюда же!</t>
  </si>
  <si>
    <t>Все было, отлично. Но если будет возможность: добавьте обувную ложку. Ее не хватало)</t>
  </si>
  <si>
    <t>Free of clutter;Squeaky-clean bathroom;Pristine kitchen;Looked like the photos;Matched the description;Responsive host;Clear instructions;Easy to find;Easy to get inside;Felt right at home;Always responsive;Proactive;Considerate;Peaceful;Beautiful surroundings;Walkable;Spotless furniture &amp; linens;Had listed amenities &amp; services</t>
  </si>
  <si>
    <t>HM8F99THKC</t>
  </si>
  <si>
    <t>Прекрасная светлая квартира очень близко к набережной. Внизу есть рестораны, магазины. Нас еще порадовала пешая доступность скейт-парка! Можно прям из квартиры смотреть как взлетают или садятся самолеты - это всегда вызвало неподдельный детский восторг!</t>
  </si>
  <si>
    <t>Squeaky-clean bathroom;Pristine kitchen;Looked like the photos;Matched the description;Responsive host;Clear instructions;Easy to find;Easy to get inside;Felt right at home;Always responsive;Proactive;Helpful instructions;Considerate;Peaceful;Beautiful surroundings;Great restaurants;Walkable;Spotless furniture &amp; linens;Had listed amenities &amp; services</t>
  </si>
  <si>
    <t>26.12.2025</t>
  </si>
  <si>
    <t>HMQ2F958YQ</t>
  </si>
  <si>
    <t>בשכירת דירה ב־באטומי יש שילוב מצוין של נוחות, גמישות ותמורה גבוהה למחיר. העיר מציעה היצע רחב של דירות מודרניות, לעיתים חדשות ומאובזרות, במחירים נוחים משמעותית ביחס לערים דומות. הקרבה לים, הטיילת, השירותים והתחבורה – יחד עם קהילה בינלאומית ותשתיות מתפתחות – הופכים את ההשכרה בבאטומי לפתרון נעים, יעיל ומשתלם הן לשהייה קצרה והן למגורים לתקופה ארוכה.</t>
  </si>
  <si>
    <t>25.12.2025</t>
  </si>
  <si>
    <t>HM32NQACMJ</t>
  </si>
  <si>
    <t>Burası şehrin merkezine çok yakında deniz manzaralı harika bir daire burda kalmaktan fazlasıyla memnuniyet duydum daire he cok güzel hemde tertemizde üstelik her şey mevcut içeride bir daha bu ülkeye gelirsem mutlaka tekrar kalmayı isteyeceğim yer teşekkür ediyorum kendilerine🙏😊</t>
  </si>
  <si>
    <t>Free of clutter;Squeaky-clean bathroom;Easy to find;Felt right at home</t>
  </si>
  <si>
    <t>24.12.2025</t>
  </si>
  <si>
    <t>5 | TG A8 | Tropical Garden | Studio</t>
  </si>
  <si>
    <t>HM3KDW2YKC</t>
  </si>
  <si>
    <t>Хорошие апартаменты, главное в них - шикарный вид из окна на море в 100 метрах.  Когда нужна тишина и покой - идеально.Жилье соответствует описанию, удобное самостоятельное заселение.В зоне кухни есть минимально необходимый набор посуды для  приготовления.Телевизор TCL со Smart TV, есть приставка Magti.Освещение в апарте имеет несколько вариантов и зонировано.Матрас и подушки удобные.Кондиционер и отдельно отопление есть.Интернет - скорость около 10-20 mbit, периодически \падает\"</t>
  </si>
  <si>
    <t>для нетребовательных ситуаций ок</t>
  </si>
  <si>
    <t>но если вам критично стабильная связь для удаленной работы - нужно иметь запасной вариант (4G/5G). Как и иметь Powerbank - отключения эл.энергии - не редкость (везде в Грузии).Шумоизоляция между апартами невысокая</t>
  </si>
  <si>
    <t>23.12.2025</t>
  </si>
  <si>
    <t>HMS8JY8W9W</t>
  </si>
  <si>
    <t>.</t>
  </si>
  <si>
    <t>22.12.2025</t>
  </si>
  <si>
    <t>HMSFYBFT3Z</t>
  </si>
  <si>
    <t>This is the best Airbnb I've stayed in. The place is new and luxurious. You get 5 star quality for an affordable price. It's right on the beach with a great view and many shops and restaurants at your feet. The vibe is incredible. The amenities you get are outstanding. The bathroom has superb lighting and even heated shower and bathroom floors. The bath towels are XL, thick cotton, and luxurious. The bed is the most comfortable bed I've had in Georgia. The TV is a large Samsung smart TV. The elevators and lobby are very nice. Everything was immaculate. We had refreshments upon check in and everything we could need was provided. I will definitely stay here again next time I'm in Batumi. The host was also very accommodating, kind and helpful. Many thanks! 💓✨️</t>
  </si>
  <si>
    <t>I just left a 5 star review. We really enjoyed our stay. I'm not sure if you're aware, but the bathroom sink spigot is loose. Someone could easily break it if it isn't tightened soon. Thank you again for everything. 💓✨️</t>
  </si>
  <si>
    <t>Free of clutter;Squeaky-clean bathroom;Pristine kitchen;Looked like the photos;Matched the description;Responsive host;Clear instructions;Easy to find;Easy to get inside;Flexible check-in;Felt right at home;Always responsive;Local recommendations;Proactive;Helpful instructions;Considerate;Peaceful;Beautiful surroundings;Great restaurants;Lots to do;Walkable;Spotless furniture &amp; linens;Had listed amenities &amp; services</t>
  </si>
  <si>
    <t>21.12.2025</t>
  </si>
  <si>
    <t>HMXSCKWHMX</t>
  </si>
  <si>
    <t>Gayet güzeldi konaklama</t>
  </si>
  <si>
    <t>20.12.2025</t>
  </si>
  <si>
    <t>HMFBY2B9AX</t>
  </si>
  <si>
    <t>Batum’un kalbinde, kusursuz bir konaklama deneyimi yaşadık.Daire, tam anlamıyla merkezde yer alıyordu ve şehri hissetmek isteyen biri için konumu harika.Yürüyerek  Batumi Boulevard, Europe Square ve Piazza Square gibi Batum’un ruhu olan noktalara ulaşabiliyorduk.Çevresi;çok iyi restoranlar,kafeler, mağazalar ve uzun yürüyüş yollarıyla doluydu. Şehrin dokusunu cidden yaşadık.Daireye adım attığımız anda tertemiz, ferah  temizlik kokusu ilk andan  doğru yerde olduğumuzu hissettirdi.Dekorasyon çok özenli,şık ve sıcak bir atmosfere sahipti. Mutfakta ihtiyaç duyulabilecek tüm ekipmanlar vardı.banyosu çok geniş rahattı. Yatak odası ferah, salon konforlu ve kullanışlıydı.En sevdiğimiz detay;yatak odası ve salondan çıkılan,çok geniş,ferah ve sigara içilebilen terastı.Ev sahibinin ilgisi harikaydı.Mekan,restoran ve gezilecek yer önerilerinde bulundu önerdiği her yer gerçekten güvenle gidilebilecek, çok kaliteli ama aynı zamanda fiyat-performans açısından çok başarılı mekanlardı.Çok teşekkürler?</t>
  </si>
  <si>
    <t>HMMF338T28</t>
  </si>
  <si>
    <t>The apartment is very modern with a beautiful view of the Black Sea from the balcony. It has all the amenities you need for a stay. We stayed 5 days. You can access the sea by walking straight across the street. The bed was clean, the kitchen has pots, pans, glasses, silverware, cooking utensils, and plates. The only con is the hot water heater. For us, the shower got cold rather quickly. Other than that, I highly recommend. It's a beautiful place and the host is very accommodating and very responsive. Many thanks! 💓</t>
  </si>
  <si>
    <t>Free of clutter;Looked like the photos;Matched the description;Responsive host;Clear instructions;Easy to find;Easy to get inside;Flexible check-in;Felt right at home;Always responsive;Local recommendations;Proactive;Helpful instructions;Considerate;Peaceful;Beautiful surroundings;Walkable;Spotless furniture &amp; linens;Had listed amenities &amp; services</t>
  </si>
  <si>
    <t>19.12.2025</t>
  </si>
  <si>
    <t>HM3NWW3JJ3</t>
  </si>
  <si>
    <t>The apartment was comfortable and well equipped, with a good bed, fast internet, large TVs, and a lovely sea view from the balcony. The room’s location at the end of the corridor also offered good privacy.The hosting company was excellent. Communication was smooth throughout, and Julia in particular went above and beyond to help during my stay. Any issues that came up were handled quickly and professionally by the host team.Overall, a pleasant stay with very responsive hosts.</t>
  </si>
  <si>
    <t>Responsive host;Clear instructions;Easy to find;Easy to get inside;Flexible check-in;Felt right at home;Beautiful surroundings;Lots to do;Walkable</t>
  </si>
  <si>
    <t>HM2JCP9FST</t>
  </si>
  <si>
    <t>Мне очень понравилось пребывание в жильё Mavi Guest. Жильё полностью соответствует фотографиям и описанию. Было убрано и очень чисто. Хозяин очень отзывчивый. Из-за личных обстоятельств пришлось уменьшить количество дней пребывания - хозяин пошёл навстречу. Однозначно доволен, однозначно рекомендую!</t>
  </si>
  <si>
    <t>Всё супер!</t>
  </si>
  <si>
    <t>Pristine kitchen;Looked like the photos;Matched the description;Responsive host;Clear instructions;Easy to find;Easy to get inside;Felt right at home;Always responsive;Considerate;Peaceful;Beautiful surroundings;Walkable;Spotless furniture &amp; linens;Had listed amenities &amp; services</t>
  </si>
  <si>
    <t>HMF4F2FHJZ</t>
  </si>
  <si>
    <t>Лучшие апартаменты, в который когда-либо останавливались. Было уютно , как дома. С удовольствием еще бы остановились здесь!</t>
  </si>
  <si>
    <t>Все было замечательно, спасибо за уютные апартаменты !</t>
  </si>
  <si>
    <t>Pristine kitchen;Looked like the photos;Matched the description;Easy to find;Easy to get inside;Felt right at home;Helpful instructions;Peaceful;Great restaurants;Lots to do;Spotless furniture &amp; linens;Had listed amenities &amp; services</t>
  </si>
  <si>
    <t>HMWXTJ33NT</t>
  </si>
  <si>
    <t>Hands down, it is the most amazing stay I have ever lived in. The panaromic view of the Black Sea from the balcony of this 39th floor apt is just breathtaking. It is right at the centre of the city, with a lot of points at walkable distance from the apt.</t>
  </si>
  <si>
    <t>Everything went well. No suggestions at all. Super happy</t>
  </si>
  <si>
    <t>Free of clutter;Looked like the photos;Matched the description;Clear instructions;Easy to get inside;Peaceful;Beautiful surroundings;Lots to do;Spotless furniture &amp; linens</t>
  </si>
  <si>
    <t>18.12.2025</t>
  </si>
  <si>
    <t>HMDSPADWPZ</t>
  </si>
  <si>
    <t>Квартира новая, очень уютная, чистая, красивая. Все продумано до мелочей, красивый дизайн. Есть все, что может понадобиться. Место тихое, спать было очень удобно и спокойно. Рядом набережная, красивый парк, супермаркет, остановка транспорта. Рекомендую на все 100%! Спасибо за гостеприимство и приятный отдых!🥰</t>
  </si>
  <si>
    <t>Спасибо за заботу о гостях! Квартира отличная, все удобно, чисто и красиво! Обязательно приеду к вам еще!🤗</t>
  </si>
  <si>
    <t>Free of clutter;Squeaky-clean bathroom;Pristine kitchen;Looked like the photos;Matched the description;Clear instructions;Easy to get inside;Helpful instructions;Considerate;Peaceful;Beautiful surroundings;Walkable;Spotless furniture &amp; linens;Had listed amenities &amp; services</t>
  </si>
  <si>
    <t>17.12.2025</t>
  </si>
  <si>
    <t>HMJ9EQB4CQ</t>
  </si>
  <si>
    <t>Всё прошло хорошо. Жильё соответствует описанию и фотографиям, чисто и уютно. Заселение и выезд прошли без проблем, хозяин был на связи и оперативно отвечал на вопросы. В целом остались довольны проживанием, можем рекомендовать.</t>
  </si>
  <si>
    <t>Free of clutter;Pristine kitchen;Looked like the photos;Matched the description;Responsive host;Clear instructions;Easy to find;Easy to get inside;Felt right at home;Always responsive;Local recommendations;Proactive;Helpful instructions;Considerate;Beautiful surroundings;Great restaurants;Lots to do;Walkable;Spotless furniture &amp; linens;Had listed amenities &amp; services</t>
  </si>
  <si>
    <t>Confirmation code</t>
  </si>
  <si>
    <t>Guest name</t>
  </si>
  <si>
    <t>Check-in</t>
  </si>
  <si>
    <t>Check-out</t>
  </si>
  <si>
    <t>Revenue</t>
  </si>
  <si>
    <t>Channel</t>
  </si>
  <si>
    <t>Accommodation</t>
  </si>
  <si>
    <t>Channel Commission</t>
  </si>
  <si>
    <t>Татьяна</t>
  </si>
  <si>
    <t>02.01.2026</t>
  </si>
  <si>
    <t>Airbnb</t>
  </si>
  <si>
    <t>HMDHKC2DNM</t>
  </si>
  <si>
    <t>Anastasiia</t>
  </si>
  <si>
    <t xml:space="preserve">1 | WS B 1510 | White Sails |Studio </t>
  </si>
  <si>
    <t>noname1</t>
  </si>
  <si>
    <t>Direct</t>
  </si>
  <si>
    <t>Юлия Сопова</t>
  </si>
  <si>
    <t>06.01.2026</t>
  </si>
  <si>
    <t>Albert</t>
  </si>
  <si>
    <t>09.01.2026</t>
  </si>
  <si>
    <t>Yousef</t>
  </si>
  <si>
    <t>HMKA89R5HF</t>
  </si>
  <si>
    <t>Natasha Wehrli</t>
  </si>
  <si>
    <t>02.02.2026</t>
  </si>
  <si>
    <t>Joanna</t>
  </si>
  <si>
    <t>12.01.2026</t>
  </si>
  <si>
    <t xml:space="preserve">1 | WH 176 | White House |Studio </t>
  </si>
  <si>
    <t>Elli</t>
  </si>
  <si>
    <t>HM8YP98P3M</t>
  </si>
  <si>
    <t>Alisa Litvin</t>
  </si>
  <si>
    <t>Анастасия</t>
  </si>
  <si>
    <t>HMBRRT5Z3C</t>
  </si>
  <si>
    <t>4 | MZ C 1408 | Mziuri Gardens | 1+1</t>
  </si>
  <si>
    <t>Vinsent Laitinen</t>
  </si>
  <si>
    <t>20.02.2026</t>
  </si>
  <si>
    <t>2 | Orbi D2 503 | Orbi Sity | 1+1</t>
  </si>
  <si>
    <t>Далай Ошоров</t>
  </si>
  <si>
    <t>HMTRMWJDZN</t>
  </si>
  <si>
    <t>Jayme</t>
  </si>
  <si>
    <t>Kirill</t>
  </si>
  <si>
    <t xml:space="preserve">1 | WS A 907 | White Sails |Studio </t>
  </si>
  <si>
    <t>Abdul-Aziz Farhan</t>
  </si>
  <si>
    <t>Booking.com</t>
  </si>
  <si>
    <t>Александр Кириллов</t>
  </si>
  <si>
    <t>HMDYTZZKXT</t>
  </si>
  <si>
    <t>Alexandru Popa</t>
  </si>
  <si>
    <t>14.02.2026</t>
  </si>
  <si>
    <t>1 | BV A 147 | Batumi View | 1+1</t>
  </si>
  <si>
    <t>Валерия Иващенко</t>
  </si>
  <si>
    <t>HMSKTSPJP3</t>
  </si>
  <si>
    <t>Николай</t>
  </si>
  <si>
    <t xml:space="preserve">1 | WS A 608 | White Sails |Studio </t>
  </si>
  <si>
    <t xml:space="preserve">1 | WS A 805 | White Sails |Studio </t>
  </si>
  <si>
    <t>Максим Захаркин</t>
  </si>
  <si>
    <t>HMFDTYEDBN</t>
  </si>
  <si>
    <t>2 | Orbi C 1443 | Orbi Sity | 1+1</t>
  </si>
  <si>
    <t>Екатерина Иванова</t>
  </si>
  <si>
    <t>12.02.2026</t>
  </si>
  <si>
    <t>HM24APP2HQ</t>
  </si>
  <si>
    <t>1 | OBT 2906 | Orbi Beach Tower | Studio</t>
  </si>
  <si>
    <t>Hlib Shahov</t>
  </si>
  <si>
    <t>2 | NW 307 | Next White | Studio</t>
  </si>
  <si>
    <t>Sukiasian Diana</t>
  </si>
  <si>
    <t>Recep Fatih</t>
  </si>
  <si>
    <t>15.01.2026</t>
  </si>
  <si>
    <t xml:space="preserve">1 | WS B 807 | White Sails |Studio </t>
  </si>
  <si>
    <t>Александр Гук</t>
  </si>
  <si>
    <t>18.02.2026</t>
  </si>
  <si>
    <t>HMX2HMWARA</t>
  </si>
  <si>
    <t>Tan Bostancıoğlu</t>
  </si>
  <si>
    <t>16.02.2026</t>
  </si>
  <si>
    <t>Jean</t>
  </si>
  <si>
    <t>Виктория Дрючкова</t>
  </si>
  <si>
    <t>HM9AKQ2F82</t>
  </si>
  <si>
    <t>Tatiana Demochkina</t>
  </si>
  <si>
    <t>17.03.2026</t>
  </si>
  <si>
    <t>HMJNHBCB8C</t>
  </si>
  <si>
    <t>1 | WS B 212 | White Sails |2+1</t>
  </si>
  <si>
    <t>Michael Passos</t>
  </si>
  <si>
    <t>15.02.2026</t>
  </si>
  <si>
    <t>HM33CZAQ3F</t>
  </si>
  <si>
    <t xml:space="preserve">1 | WS F 1008 | White Sails |Studio </t>
  </si>
  <si>
    <t>Андрій Бойчук</t>
  </si>
  <si>
    <t>Haci Mahmut</t>
  </si>
  <si>
    <t>HMYBRYSCWM</t>
  </si>
  <si>
    <t>Kazım</t>
  </si>
  <si>
    <t>18.01.2026</t>
  </si>
  <si>
    <t>HMAXJWAHRB</t>
  </si>
  <si>
    <t>4 | MZ 511 | Mziuri Gardens | Studio</t>
  </si>
  <si>
    <t>Vladimir Nartov</t>
  </si>
  <si>
    <t>Джузеппе</t>
  </si>
  <si>
    <t>Celi̇l</t>
  </si>
  <si>
    <t>HM5AXYDACK</t>
  </si>
  <si>
    <t>Mohsin</t>
  </si>
  <si>
    <t>HMMM54JWXZ</t>
  </si>
  <si>
    <t>Artem Nikolenko</t>
  </si>
  <si>
    <t>22.02.2026</t>
  </si>
  <si>
    <t>PC029090</t>
  </si>
  <si>
    <t xml:space="preserve">1 | WS A 409 | White Sails |Studio </t>
  </si>
  <si>
    <t>Forostov Leonid</t>
  </si>
  <si>
    <t>Кира Барбакадзе</t>
  </si>
  <si>
    <t>25.01.2026</t>
  </si>
  <si>
    <t>Nadezhda Mikhailova</t>
  </si>
  <si>
    <t>19.02.2026</t>
  </si>
  <si>
    <t>HM4YSNF42Y</t>
  </si>
  <si>
    <t>Bogdan Pavlenko</t>
  </si>
  <si>
    <t>HMQME282BY</t>
  </si>
  <si>
    <t>Dmitriy Goncharov</t>
  </si>
  <si>
    <t>22.03.2026</t>
  </si>
  <si>
    <t>HM38EDHE3H</t>
  </si>
  <si>
    <t>Tariel Asatiani</t>
  </si>
  <si>
    <t>Татьяна Миллер</t>
  </si>
  <si>
    <t>Анна Чадунели</t>
  </si>
  <si>
    <t>28.02.2026</t>
  </si>
  <si>
    <t>HM3BDHPP3J</t>
  </si>
  <si>
    <t>Kai Schwarz</t>
  </si>
  <si>
    <t>30.01.2026</t>
  </si>
  <si>
    <t>HMQD3QKAME</t>
  </si>
  <si>
    <t>Iryna Yarashevich</t>
  </si>
  <si>
    <t>Mati Boggón</t>
  </si>
  <si>
    <t>24.01.2026</t>
  </si>
  <si>
    <t>HMBCCQ5AND</t>
  </si>
  <si>
    <t>2 | Orbi A 4049 | Orbi Sity | Studio</t>
  </si>
  <si>
    <t>Igor Monte</t>
  </si>
  <si>
    <t>21.02.2026</t>
  </si>
  <si>
    <t>מיכל אטלן</t>
  </si>
  <si>
    <t>28.01.2026</t>
  </si>
  <si>
    <t>Ksenia Krasnova</t>
  </si>
  <si>
    <t>26.01.2026</t>
  </si>
  <si>
    <t>Artur Yurkevich</t>
  </si>
  <si>
    <t>Viktoriia Giner</t>
  </si>
  <si>
    <t>HMF5KYEDT9</t>
  </si>
  <si>
    <t>2 | Mar 1931 | Courtyard by Marriott | Studio</t>
  </si>
  <si>
    <t>Baraa Elamir</t>
  </si>
  <si>
    <t>20.03.2026</t>
  </si>
  <si>
    <t>Dachi Mikhelidze</t>
  </si>
  <si>
    <t>HMWCDMCQWX</t>
  </si>
  <si>
    <t>Nikoloz Sanadze</t>
  </si>
  <si>
    <t>HMNNTM88X3</t>
  </si>
  <si>
    <t xml:space="preserve">1 | WS F 1103 | White Sails |Studio </t>
  </si>
  <si>
    <t>Bahman Tavoosi</t>
  </si>
  <si>
    <t>HMB8BPQZYP</t>
  </si>
  <si>
    <t>2 | Orbi C 4245 | Orbi Sity | 1+1</t>
  </si>
  <si>
    <t>Farouk Gardachi</t>
  </si>
  <si>
    <t>01.03.2026</t>
  </si>
  <si>
    <t>HMPT9KY4MB</t>
  </si>
  <si>
    <t>Denon Maximchuk</t>
  </si>
  <si>
    <t>01.06.2026</t>
  </si>
  <si>
    <t>HM5HTBBJFB</t>
  </si>
  <si>
    <t>Markus Weber</t>
  </si>
  <si>
    <t>01.05.2026</t>
  </si>
  <si>
    <t>HM9J8NNHMZ</t>
  </si>
  <si>
    <t>Guy Masters</t>
  </si>
  <si>
    <t>HMDE4A5D3W</t>
  </si>
  <si>
    <t>5 | TG A1 | Tropical Garden | 2+1</t>
  </si>
  <si>
    <t>Kylie Quinlan</t>
  </si>
  <si>
    <t>03.03.2026</t>
  </si>
  <si>
    <t>HM9FANHADZ</t>
  </si>
  <si>
    <t>Arina Werema</t>
  </si>
  <si>
    <t>11.02.2026</t>
  </si>
  <si>
    <t>HMZ29QMDQ2</t>
  </si>
  <si>
    <t>1 | Steps 1123 | Steps | Studio</t>
  </si>
  <si>
    <t>Ibrahim Ahmadi</t>
  </si>
  <si>
    <t>HMFDJTMESA</t>
  </si>
  <si>
    <t>5 | TG A3 | Tropical Garden | Studio</t>
  </si>
  <si>
    <t>Patryk Matuszak</t>
  </si>
  <si>
    <t>HM82REFW5F</t>
  </si>
  <si>
    <t>Tristan Kneiske</t>
  </si>
  <si>
    <t>04.02.2026</t>
  </si>
  <si>
    <t>04.03.2026</t>
  </si>
  <si>
    <t>HMPT8AQQZA</t>
  </si>
  <si>
    <t>Khatia Abashidze</t>
  </si>
  <si>
    <t>05.02.2026</t>
  </si>
  <si>
    <t>05.03.2026</t>
  </si>
  <si>
    <t>HMKHR2AAZN</t>
  </si>
  <si>
    <t>Sergey Neskin</t>
  </si>
  <si>
    <t>25.02.2026</t>
  </si>
  <si>
    <t>1 | WS A 409 | White Sails |Studio  - Bcom</t>
  </si>
  <si>
    <t>René Franceschini</t>
  </si>
  <si>
    <t>10.02.2026</t>
  </si>
  <si>
    <t>HM8NFY8E9T</t>
  </si>
  <si>
    <t>1 | BV A 133 | Batumi View | 1+1</t>
  </si>
  <si>
    <t>Lera Ivashchenko</t>
  </si>
  <si>
    <t>06.02.2026</t>
  </si>
  <si>
    <t>13.02.2026</t>
  </si>
  <si>
    <t>HMYF2DRB5M</t>
  </si>
  <si>
    <t>Ксения Соловьева</t>
  </si>
  <si>
    <t>07.03.2026</t>
  </si>
  <si>
    <t>BV A 145</t>
  </si>
  <si>
    <t>HMKJK8SMPW</t>
  </si>
  <si>
    <t>Jonas Gölter</t>
  </si>
  <si>
    <t>13.03.2026</t>
  </si>
  <si>
    <t>HMWE9PTWT3</t>
  </si>
  <si>
    <t>Roman Trofymenko</t>
  </si>
  <si>
    <t>апрель</t>
  </si>
  <si>
    <t>май</t>
  </si>
  <si>
    <t>июнь</t>
  </si>
  <si>
    <t>июль</t>
  </si>
  <si>
    <t>авг</t>
  </si>
  <si>
    <t>сен</t>
  </si>
  <si>
    <t>окт</t>
  </si>
  <si>
    <t>нояб</t>
  </si>
  <si>
    <t>дек</t>
  </si>
  <si>
    <t>Итого</t>
  </si>
  <si>
    <t>месяц</t>
  </si>
  <si>
    <t xml:space="preserve">юнитов; шт </t>
  </si>
  <si>
    <t>заселений</t>
  </si>
  <si>
    <t>отзывов</t>
  </si>
  <si>
    <t>Доля</t>
  </si>
  <si>
    <t>Базовая цена межсезонье</t>
  </si>
  <si>
    <t>Базовая цена 1-15 июня 15-30 сентября</t>
  </si>
  <si>
    <t>Суточно 1-15 июня 15-30 сентября</t>
  </si>
  <si>
    <t>Базовая цена 15 июня-15 июля</t>
  </si>
  <si>
    <t>Суточно 15 июня-15 июля</t>
  </si>
  <si>
    <t>Базовая цена 15 июля-15 сентября</t>
  </si>
  <si>
    <t>Суточно 15 июля - 15 сентября</t>
  </si>
  <si>
    <t>класс апартамента</t>
  </si>
  <si>
    <t>тип</t>
  </si>
  <si>
    <t>Стоимость за месяц</t>
  </si>
  <si>
    <t>сутки; $</t>
  </si>
  <si>
    <t>Задачи Airbnb</t>
  </si>
  <si>
    <t>в сутки; $</t>
  </si>
  <si>
    <t xml:space="preserve"> gel</t>
  </si>
  <si>
    <t>кол-во дней лето</t>
  </si>
  <si>
    <t>Премиум</t>
  </si>
  <si>
    <t>эконом</t>
  </si>
  <si>
    <t>стандарт</t>
  </si>
  <si>
    <t>4.79 
28 отзывов</t>
  </si>
  <si>
    <t xml:space="preserve"> 4.91 
22 отзыва</t>
  </si>
  <si>
    <t>4.96 
28 отзыва</t>
  </si>
  <si>
    <t>4.93 
14 отзыва</t>
  </si>
  <si>
    <t>100/0</t>
  </si>
  <si>
    <t>Лето</t>
  </si>
  <si>
    <t>DL 13/201</t>
  </si>
  <si>
    <t>❌</t>
  </si>
  <si>
    <t>4.95 
22 отзыва</t>
  </si>
  <si>
    <t>4.83
23 отзывов</t>
  </si>
  <si>
    <t>ссылка на фото</t>
  </si>
  <si>
    <t>ссылка на видео</t>
  </si>
  <si>
    <t>ссылка на Арб</t>
  </si>
  <si>
    <t>https://disk.yandex.ru/d/oy0w34AKeqpAxg</t>
  </si>
  <si>
    <t>https://disk.yandex.ru/d/ks2fOBagu7vO5A</t>
  </si>
  <si>
    <t>https://disk.yandex.ru/d/31QwoiWRPjPwKw</t>
  </si>
  <si>
    <t>https://disk.yandex.ru/d/rsgcZNIZVu7kMw</t>
  </si>
  <si>
    <t>https://disk.yandex.ru/d/vMTT-OLG2REewg</t>
  </si>
  <si>
    <t>https://disk.yandex.ru/d/DKB4jlEIFhlTHQ</t>
  </si>
  <si>
    <t>https://disk.yandex.ru/d/zJPVqXGglL0Jiw</t>
  </si>
  <si>
    <t>https://disk.yandex.ru/d/c5S-VbIifah8aA</t>
  </si>
  <si>
    <t>https://disk.yandex.ru/d/HsSVLT9BUT_Xyg</t>
  </si>
  <si>
    <t>https://disk.yandex.ru/d/DXs529vh-atV9w</t>
  </si>
  <si>
    <t>https://disk.yandex.ru/d/-QTEp5X7WqZ5kA</t>
  </si>
  <si>
    <t>https://disk.yandex.ru/d/FHTQ2p6Nmroezw</t>
  </si>
  <si>
    <t>https://disk.yandex.ru/d/JMkiFM4JK_2OOg/WS/WS%20F%201103</t>
  </si>
  <si>
    <t>https://disk.yandex.ru/d/WWvEVcWgb0FI2g</t>
  </si>
  <si>
    <t>https://disk.yandex.ru/d/ml7Prlf2HZvbgA</t>
  </si>
  <si>
    <t>https://disk.yandex.ru/d/JMkiFM4JK_2OOg/Batumi%20View%20/BV%20A%200514</t>
  </si>
  <si>
    <t>https://disk.yandex.ru/d/91PbNubigLHzsA</t>
  </si>
  <si>
    <t>https://disk.yandex.ru/d/JMkiFM4JK_2OOg/OBT/OBT%202906</t>
  </si>
  <si>
    <t>https://disk.yandex.ru/d/K31rmS6JHjsn3Q</t>
  </si>
  <si>
    <t>https://disk.yandex.ru/d/JMkiFM4JK_2OOg/OBT/OBT%202908</t>
  </si>
  <si>
    <t xml:space="preserve"> https://disk.yandex.ru/d/JMkiFM4JK_2OOg/OBT/OBT%202908</t>
  </si>
  <si>
    <t>https://disk.yandex.ru/d/JMkiFM4JK_2OOg/OBT/OBT%202910</t>
  </si>
  <si>
    <t>https://disk.yandex.ru/d/IhR85Z59wxo4yg</t>
  </si>
  <si>
    <t>https://disk.yandex.ru/d/JMkiFM4JK_2OOg/Batumi%20View%20/BV%20А%2C%207%20этаж%2C%20133%20(0715)</t>
  </si>
  <si>
    <t>https://disk.yandex.ru/d/JMkiFM4JK_2OOg/Batumi%20View%20/BV%20А%2C%207%20этаж%2C%20134</t>
  </si>
  <si>
    <t>https://disk.yandex.ru/d/ZTrmIFZVoGT9eA</t>
  </si>
  <si>
    <t>https://disk.yandex.ru/d/ygB745xzalFrgQ</t>
  </si>
  <si>
    <t xml:space="preserve">https://disk.yandex.ru/d/DJHD9S6FQkpbLw </t>
  </si>
  <si>
    <t>https://disk.yandex.ru/d/DJHD9S6FQkpbLw</t>
  </si>
  <si>
    <t>https://disk.yandex.ru/d/JMkiFM4JK_2OOg/Batumi%20View%20/BV%20А%2C%207%20этаж%2C%20147%20(0714)/147</t>
  </si>
  <si>
    <t>https://disk.yandex.ru/d/cO_oL-J9Iv8QmQ</t>
  </si>
  <si>
    <t>https://disk.yandex.ru/d/JMkiFM4JK_2OOg/Batumi%20View%20/BV%20%20А%2C%2011%20этаж%2C%20225</t>
  </si>
  <si>
    <t>https://disk.yandex.ru/d/_Yvj-KUD9FcmFg</t>
  </si>
  <si>
    <t>https://disk.yandex.ru/d/jdsyYNz0yFhtNw</t>
  </si>
  <si>
    <t>https://disk.yandex.ru/d/JMkiFM4JK_2OOg/Batumi%20View%20/BV%20C%2C%205%20этаж%2C%2091%20(0505)</t>
  </si>
  <si>
    <t>https://disk.yandex.ru/d/JMkiFM4JK_2OOg/MC%20A%20708</t>
  </si>
  <si>
    <t>https://disk.yandex.ru/d/fFfcEU0IHRba3g</t>
  </si>
  <si>
    <t>https://disk.yandex.ru/d/7679vTbyjn-94Q</t>
  </si>
  <si>
    <t>https://disk.yandex.ru/d/efm2CHkDrVE5wg</t>
  </si>
  <si>
    <t>https://disk.yandex.ru/d/JMkiFM4JK_2OOg/Шартава%208</t>
  </si>
  <si>
    <t>https://disk.yandex.ru/d/TkzS5lj74-r2Xw</t>
  </si>
  <si>
    <t>https://disk.yandex.ru/d/JMkiFM4JK_2OOg/Думбадзе</t>
  </si>
  <si>
    <t>https://disk.yandex.ru/d/3Ds4cbIsoM2t4A</t>
  </si>
  <si>
    <t>https://disk.yandex.ru/d/FQ9fZB_WFA5bGg</t>
  </si>
  <si>
    <t>https://disk.yandex.ru/d/4GsvNomkrvA1KA</t>
  </si>
  <si>
    <t>https://disk.yandex.ru/d/tBNtMaD_NlKIPA</t>
  </si>
  <si>
    <t>https://disk.yandex.ru/d/UxDfPaLYNCD2cA</t>
  </si>
  <si>
    <t>https://disk.yandex.ru/d/hfP04kV_DMu6bA</t>
  </si>
  <si>
    <t>https://disk.yandex.ru/d/x1wMehYS2yUHzg</t>
  </si>
  <si>
    <t>https://disk.yandex.ru/d/_PZbRXk8MFTs9Q</t>
  </si>
  <si>
    <t>https://disk.yandex.ru/d/yBfSmsT0qwEOYg</t>
  </si>
  <si>
    <t>https://disk.yandex.ru/d/ayu8_Urtrrl1ag</t>
  </si>
  <si>
    <t>https://disk.yandex.ru/d/CSF1pX05cbSZ7g</t>
  </si>
  <si>
    <t>чат в ТГ</t>
  </si>
  <si>
    <t>перевод на HF</t>
  </si>
  <si>
    <t>Новый договор</t>
  </si>
  <si>
    <t>автоматич отчет</t>
  </si>
  <si>
    <t>аудит мастера</t>
  </si>
  <si>
    <t>чистка кондиционера</t>
  </si>
  <si>
    <t>стирка штор</t>
  </si>
  <si>
    <t>проверка посуды</t>
  </si>
  <si>
    <t>АРБ</t>
  </si>
  <si>
    <t>RC</t>
  </si>
  <si>
    <t>студия duble</t>
  </si>
  <si>
    <t>студия twin</t>
  </si>
  <si>
    <t>ОРБИ</t>
  </si>
  <si>
    <t xml:space="preserve">Студия </t>
  </si>
  <si>
    <t>PT</t>
  </si>
  <si>
    <t>Pintrest</t>
  </si>
  <si>
    <t>Boho</t>
  </si>
  <si>
    <t xml:space="preserve">1+1 </t>
  </si>
  <si>
    <t>Тропики</t>
  </si>
  <si>
    <t xml:space="preserve">2+1 </t>
  </si>
  <si>
    <t>Апартамент</t>
  </si>
  <si>
    <t>Ссылка</t>
  </si>
  <si>
    <t>Кол-во отзывов</t>
  </si>
  <si>
    <t>Средняя оценка</t>
  </si>
  <si>
    <t>Название на Abb (не удалять)</t>
  </si>
  <si>
    <t>апартамент</t>
  </si>
  <si>
    <t>МБиП</t>
  </si>
  <si>
    <t>оц</t>
  </si>
  <si>
    <t>текст</t>
  </si>
  <si>
    <t>Скрытый комментарий</t>
  </si>
  <si>
    <t>задачи</t>
  </si>
  <si>
    <t>Отличная квартира, отличный хозяин! Мы хотели бы остаться здесь снова.</t>
  </si>
  <si>
    <t xml:space="preserve">ужасный номер! никогда сюда больше не приеду! </t>
  </si>
  <si>
    <t>МЕСЯЦ</t>
  </si>
  <si>
    <t>ИТОГО</t>
  </si>
  <si>
    <t>Кол дней</t>
  </si>
  <si>
    <t>% загрузки</t>
  </si>
  <si>
    <t>Диана</t>
  </si>
  <si>
    <t>Мотивация</t>
  </si>
  <si>
    <t>август</t>
  </si>
  <si>
    <t>сентябрь</t>
  </si>
  <si>
    <t xml:space="preserve">октябрь </t>
  </si>
  <si>
    <t>ноябрь</t>
  </si>
  <si>
    <t>Бонус за наполняемость</t>
  </si>
  <si>
    <t>Наполняемость факт</t>
  </si>
  <si>
    <t>Доп бонус</t>
  </si>
  <si>
    <t>Итого (сумма)</t>
  </si>
  <si>
    <t>отв</t>
  </si>
  <si>
    <t>долгий срок</t>
  </si>
  <si>
    <t>до 70%</t>
  </si>
  <si>
    <t>от 70 до 80%</t>
  </si>
  <si>
    <t>от 80 до 90%</t>
  </si>
  <si>
    <t>90-100%</t>
  </si>
  <si>
    <t>дней в мес</t>
  </si>
  <si>
    <t>факт</t>
  </si>
  <si>
    <t>Факт</t>
  </si>
  <si>
    <t>кол-во заездов</t>
  </si>
  <si>
    <t>gel</t>
  </si>
  <si>
    <t>%</t>
  </si>
  <si>
    <t>Фотосессии</t>
  </si>
  <si>
    <t>ОКТЯБРЬ 2025</t>
  </si>
  <si>
    <t>Лицевые счета</t>
  </si>
  <si>
    <t>Оплата</t>
  </si>
  <si>
    <t>Обслуж</t>
  </si>
  <si>
    <t>#REF!</t>
  </si>
  <si>
    <t xml:space="preserve"> 291-7e503</t>
  </si>
  <si>
    <t>83,68</t>
  </si>
  <si>
    <t>263/27-409</t>
  </si>
  <si>
    <t>8,54</t>
  </si>
  <si>
    <t>263/27-410</t>
  </si>
  <si>
    <t>1,71</t>
  </si>
  <si>
    <t>9,11</t>
  </si>
  <si>
    <t>19,92</t>
  </si>
  <si>
    <t>18,22</t>
  </si>
  <si>
    <t>17,65</t>
  </si>
  <si>
    <t>DL14-1907</t>
  </si>
  <si>
    <t>степс 1108</t>
  </si>
  <si>
    <t>НОЯБРЬ 2025</t>
  </si>
  <si>
    <t>291-7е3216</t>
  </si>
  <si>
    <t>к возмещению</t>
  </si>
  <si>
    <t>возмещен</t>
  </si>
  <si>
    <t>ДЕКАБРЬ 2025</t>
  </si>
  <si>
    <t xml:space="preserve"> 291-7d3902</t>
  </si>
  <si>
    <t>291-7е503</t>
  </si>
  <si>
    <t>воду оплатит по электричеству отдаст Борису 10 лари</t>
  </si>
  <si>
    <t>возместила</t>
  </si>
  <si>
    <t>263/27-1909</t>
  </si>
  <si>
    <t>На возмещение</t>
  </si>
  <si>
    <t>532/25b-195</t>
  </si>
  <si>
    <t>к возмещ</t>
  </si>
  <si>
    <t>ЯНВАРЬ 2026</t>
  </si>
  <si>
    <t>плюс</t>
  </si>
  <si>
    <t>возм</t>
  </si>
  <si>
    <t>BV A 133</t>
  </si>
  <si>
    <t>ноль</t>
  </si>
  <si>
    <t>BV A 134</t>
  </si>
  <si>
    <t>BV A 144</t>
  </si>
  <si>
    <t>292-8а145</t>
  </si>
  <si>
    <t>BV A 147</t>
  </si>
  <si>
    <t>BV A 164</t>
  </si>
  <si>
    <t>BV A 210</t>
  </si>
  <si>
    <t>292/8a-164</t>
  </si>
  <si>
    <t>BV A 225</t>
  </si>
  <si>
    <t>BV С 137</t>
  </si>
  <si>
    <t>BV С 0505</t>
  </si>
  <si>
    <t>Ы</t>
  </si>
  <si>
    <t>сам</t>
  </si>
  <si>
    <t>ФЕВРАЛЬ 2026</t>
  </si>
  <si>
    <t>166/52а-813</t>
  </si>
  <si>
    <t>МАРТ 2026</t>
  </si>
  <si>
    <t>MC A708</t>
  </si>
  <si>
    <t>№ пп</t>
  </si>
  <si>
    <t>Наименование</t>
  </si>
  <si>
    <t>Комплекс</t>
  </si>
  <si>
    <t>Доверитель</t>
  </si>
  <si>
    <t>Дата выдачи</t>
  </si>
  <si>
    <t xml:space="preserve">Номер </t>
  </si>
  <si>
    <t>Дата окончания</t>
  </si>
  <si>
    <t>Оксана</t>
  </si>
  <si>
    <t>Даша</t>
  </si>
  <si>
    <t>Марина Ивановна</t>
  </si>
  <si>
    <t>Киракосян Владимир Сергеевич</t>
  </si>
  <si>
    <t>77 АЕ 0978423</t>
  </si>
  <si>
    <t>Kerem Haim Zadeh</t>
  </si>
  <si>
    <t>Бабинич Ирина Вячеславовна</t>
  </si>
  <si>
    <t>Потрясаева Ирина</t>
  </si>
  <si>
    <t>Вестерман Семен Владимирович</t>
  </si>
  <si>
    <t>77 АД 8694507</t>
  </si>
  <si>
    <t>Телешева Антонина</t>
  </si>
  <si>
    <t>Ирина Зубрицкая</t>
  </si>
  <si>
    <t>Егоренков Игорь Владимирович</t>
  </si>
  <si>
    <t>70 АА 2157484</t>
  </si>
  <si>
    <t>Станислав Коган (Сергиенко)</t>
  </si>
  <si>
    <t>Дмитри Корытный</t>
  </si>
  <si>
    <t>Tomer Ezra</t>
  </si>
  <si>
    <t>Yoav Ezra</t>
  </si>
  <si>
    <t>BV C 137</t>
  </si>
  <si>
    <t>Титаренко Сергей Викторович</t>
  </si>
  <si>
    <t>Чупин Игорь Михалович</t>
  </si>
  <si>
    <t>Стецюк Людмила</t>
  </si>
  <si>
    <t>Ботвич Юрий Николаевич</t>
  </si>
  <si>
    <t>Лисицын Александр</t>
  </si>
  <si>
    <t>Бажинова Ирина Ивановна</t>
  </si>
  <si>
    <t>47 Б Ф 5155651</t>
  </si>
  <si>
    <t>Рыбина Анастасия Александровна</t>
  </si>
  <si>
    <t>Лукоянов Сергей Вячеславович</t>
  </si>
  <si>
    <t>Тер-Аствацатурян Армаис</t>
  </si>
  <si>
    <t>72АА3156007</t>
  </si>
  <si>
    <t>Мусальянц Армен Манукович</t>
  </si>
  <si>
    <t>61АВ1198538</t>
  </si>
  <si>
    <t>Хан Олег Аркадьевич</t>
  </si>
  <si>
    <t>61АВ1198540</t>
  </si>
  <si>
    <t>Никитина Инна Сергеевна</t>
  </si>
  <si>
    <t>78 АВ 7427085</t>
  </si>
  <si>
    <t>Добрин Андрей Васильевич</t>
  </si>
  <si>
    <t>Пыжевич Дммитрий Михайлович</t>
  </si>
  <si>
    <t>Силин Константин Николаевич</t>
  </si>
  <si>
    <t>50АВ 2692805</t>
  </si>
  <si>
    <t xml:space="preserve">Евгений Попов </t>
  </si>
  <si>
    <t>Удодов Константин Викторович</t>
  </si>
  <si>
    <t>35 АА 2308522</t>
  </si>
  <si>
    <t>Лахтикова Варвара Сергеевна</t>
  </si>
  <si>
    <t>77 АЕ 1468536</t>
  </si>
  <si>
    <t>Шартава 8 2505</t>
  </si>
  <si>
    <t>Коршун Ирина</t>
  </si>
  <si>
    <t>Короткова Яна Александровна</t>
  </si>
  <si>
    <t>36 АВ 488231</t>
  </si>
  <si>
    <t>DL 13-606</t>
  </si>
  <si>
    <t>DL 13-604</t>
  </si>
  <si>
    <t>Кол-во новых отзывов Airnbnb</t>
  </si>
  <si>
    <t>Кол-во новых отзывов Суточно</t>
  </si>
  <si>
    <t>Кол-во новых отзывов Booking</t>
  </si>
  <si>
    <t>сент</t>
  </si>
  <si>
    <t>апр</t>
  </si>
  <si>
    <t>А409</t>
  </si>
  <si>
    <t>А608</t>
  </si>
  <si>
    <t>А907</t>
  </si>
  <si>
    <t>А908</t>
  </si>
  <si>
    <t>А805</t>
  </si>
  <si>
    <t>В212</t>
  </si>
  <si>
    <t>В405</t>
  </si>
  <si>
    <t>В503</t>
  </si>
  <si>
    <t>В1510</t>
  </si>
  <si>
    <t>Е704</t>
  </si>
  <si>
    <t>Е804</t>
  </si>
  <si>
    <t>Е1202</t>
  </si>
  <si>
    <t>F907</t>
  </si>
  <si>
    <t>F1103</t>
  </si>
  <si>
    <t>д3629</t>
  </si>
  <si>
    <t>с732</t>
  </si>
  <si>
    <t>ТГ 195</t>
  </si>
</sst>
</file>

<file path=xl/styles.xml><?xml version="1.0" encoding="utf-8"?>
<styleSheet xmlns="http://schemas.openxmlformats.org/spreadsheetml/2006/main" xmlns:x14ac="http://schemas.microsoft.com/office/spreadsheetml/2009/9/ac" xmlns:mc="http://schemas.openxmlformats.org/markup-compatibility/2006">
  <numFmts count="19">
    <numFmt numFmtId="164" formatCode="m-yyyy"/>
    <numFmt numFmtId="165" formatCode="dd-mm"/>
    <numFmt numFmtId="166" formatCode="&quot; &quot;mmm&quot; &quot;yyyy&quot; г.&quot;"/>
    <numFmt numFmtId="167" formatCode="dd.MM.yyyy"/>
    <numFmt numFmtId="168" formatCode="mmm yyyy"/>
    <numFmt numFmtId="169" formatCode="d/m"/>
    <numFmt numFmtId="170" formatCode="dd.mm"/>
    <numFmt numFmtId="171" formatCode="dd/mm"/>
    <numFmt numFmtId="172" formatCode="dd.mm.yyyy"/>
    <numFmt numFmtId="173" formatCode="dd.mm.yy"/>
    <numFmt numFmtId="174" formatCode="dd/mm/yyyy"/>
    <numFmt numFmtId="175" formatCode="d.m.yyyy"/>
    <numFmt numFmtId="176" formatCode="d mmmm"/>
    <numFmt numFmtId="177" formatCode="d.m.yy"/>
    <numFmt numFmtId="178" formatCode="d/m/yy"/>
    <numFmt numFmtId="179" formatCode="0.0"/>
    <numFmt numFmtId="180" formatCode="#,##0.0"/>
    <numFmt numFmtId="181" formatCode="dd.mm."/>
    <numFmt numFmtId="182" formatCode="d-m"/>
  </numFmts>
  <fonts count="217">
    <font>
      <sz val="10.0"/>
      <color rgb="FF000000"/>
      <name val="Arial"/>
      <scheme val="minor"/>
    </font>
    <font>
      <b/>
      <sz val="14.0"/>
      <color theme="1"/>
      <name val="Arial"/>
    </font>
    <font>
      <b/>
      <color theme="1"/>
      <name val="Arial"/>
    </font>
    <font>
      <b/>
      <u/>
      <color rgb="FF0000FF"/>
    </font>
    <font>
      <color theme="1"/>
      <name val="Arial"/>
    </font>
    <font>
      <sz val="9.0"/>
      <color rgb="FF000000"/>
      <name val="Arial"/>
    </font>
    <font>
      <sz val="7.0"/>
      <color theme="1"/>
      <name val="Arial"/>
    </font>
    <font>
      <b/>
      <sz val="11.0"/>
      <color theme="1"/>
      <name val="Arial"/>
    </font>
    <font>
      <u/>
      <sz val="7.0"/>
      <color rgb="FF0000FF"/>
      <name val="Arial"/>
    </font>
    <font>
      <sz val="9.0"/>
      <color theme="1"/>
      <name val="Arial"/>
    </font>
    <font>
      <u/>
      <sz val="7.0"/>
      <color rgb="FF0000FF"/>
      <name val="Arial"/>
    </font>
    <font>
      <u/>
      <sz val="7.0"/>
      <color rgb="FF1155CC"/>
      <name val="Arial"/>
    </font>
    <font>
      <u/>
      <sz val="7.0"/>
      <color rgb="FF1155CC"/>
      <name val="Arial"/>
    </font>
    <font>
      <u/>
      <sz val="7.0"/>
      <color rgb="FF0000FF"/>
      <name val="Arial"/>
    </font>
    <font>
      <u/>
      <sz val="7.0"/>
      <color rgb="FF0000FF"/>
      <name val="Arial"/>
    </font>
    <font>
      <u/>
      <sz val="7.0"/>
      <color rgb="FF222222"/>
      <name val="Arial"/>
    </font>
    <font>
      <sz val="10.0"/>
      <color theme="1"/>
      <name val="Arial"/>
    </font>
    <font>
      <u/>
      <sz val="7.0"/>
      <color rgb="FF1155CC"/>
      <name val="Arial"/>
    </font>
    <font>
      <u/>
      <sz val="7.0"/>
      <color rgb="FF222222"/>
      <name val="Arial"/>
    </font>
    <font>
      <u/>
      <sz val="7.0"/>
      <color rgb="FF1155CC"/>
      <name val="Arial"/>
    </font>
    <font>
      <u/>
      <sz val="7.0"/>
      <color rgb="FF0000FF"/>
      <name val="Arial"/>
    </font>
    <font>
      <u/>
      <sz val="7.0"/>
      <color rgb="FF222222"/>
      <name val="Arial"/>
    </font>
    <font>
      <u/>
      <sz val="7.0"/>
      <color rgb="FF0000FF"/>
      <name val="Arial"/>
    </font>
    <font>
      <u/>
      <sz val="7.0"/>
      <color rgb="FF1155CC"/>
      <name val="Arial"/>
    </font>
    <font>
      <u/>
      <sz val="7.0"/>
      <color rgb="FF0000FF"/>
      <name val="Arial"/>
    </font>
    <font>
      <u/>
      <sz val="7.0"/>
      <color rgb="FF0000FF"/>
      <name val="Arial"/>
    </font>
    <font>
      <u/>
      <sz val="7.0"/>
      <color rgb="FF1155CC"/>
      <name val="Arial"/>
    </font>
    <font>
      <u/>
      <sz val="7.0"/>
      <color rgb="FF0000FF"/>
      <name val="Arial"/>
    </font>
    <font>
      <u/>
      <sz val="7.0"/>
      <color rgb="FF1155CC"/>
      <name val="Arial"/>
    </font>
    <font>
      <u/>
      <sz val="7.0"/>
      <color rgb="FF1155CC"/>
      <name val="Arial"/>
    </font>
    <font>
      <u/>
      <sz val="7.0"/>
      <color rgb="FF222222"/>
      <name val="Arial"/>
    </font>
    <font>
      <b/>
      <sz val="9.0"/>
      <color theme="1"/>
      <name val="Arial"/>
    </font>
    <font>
      <u/>
      <sz val="7.0"/>
      <color rgb="FF0000FF"/>
      <name val="Arial"/>
    </font>
    <font>
      <u/>
      <sz val="7.0"/>
      <color rgb="FF0000FF"/>
    </font>
    <font>
      <sz val="6.0"/>
      <color theme="1"/>
      <name val="Arial"/>
    </font>
    <font>
      <sz val="8.0"/>
      <color theme="1"/>
      <name val="Arial"/>
    </font>
    <font>
      <b/>
      <sz val="8.0"/>
      <color theme="1"/>
      <name val="Arial"/>
    </font>
    <font>
      <b/>
      <sz val="10.0"/>
      <color theme="1"/>
      <name val="Arial"/>
    </font>
    <font>
      <b/>
      <sz val="6.0"/>
      <color theme="1"/>
      <name val="Arial"/>
    </font>
    <font>
      <u/>
      <color theme="1"/>
      <name val="Arial"/>
    </font>
    <font>
      <b/>
      <u/>
      <color rgb="FF0000FF"/>
      <name val="Arial"/>
    </font>
    <font>
      <u/>
      <color rgb="FF1155CC"/>
      <name val="Arial"/>
    </font>
    <font>
      <u/>
      <color rgb="FF1155CC"/>
      <name val="Arial"/>
    </font>
    <font>
      <u/>
      <color rgb="FF0000FF"/>
      <name val="Arial"/>
    </font>
    <font>
      <u/>
      <sz val="9.0"/>
      <color rgb="FF1155CC"/>
      <name val="Arial"/>
    </font>
    <font>
      <u/>
      <color rgb="FF1155CC"/>
      <name val="Arial"/>
    </font>
    <font>
      <b/>
      <u/>
      <color rgb="FF0000FF"/>
      <name val="Arial"/>
    </font>
    <font>
      <u/>
      <color rgb="FF1155CC"/>
      <name val="Arial"/>
    </font>
    <font>
      <u/>
      <color rgb="FF1155CC"/>
      <name val="Arial"/>
    </font>
    <font>
      <u/>
      <color rgb="FF0000FF"/>
      <name val="Arial"/>
    </font>
    <font>
      <b/>
      <u/>
      <color rgb="FF1155CC"/>
      <name val="Arial"/>
    </font>
    <font>
      <u/>
      <color theme="1"/>
      <name val="Arial"/>
    </font>
    <font>
      <u/>
      <sz val="9.0"/>
      <color theme="1"/>
      <name val="Arial"/>
    </font>
    <font>
      <b/>
      <u/>
      <color rgb="FF1155CC"/>
      <name val="Arial"/>
    </font>
    <font>
      <u/>
      <color rgb="FF0000FF"/>
      <name val="Arial"/>
    </font>
    <font>
      <u/>
      <color rgb="FF0000FF"/>
      <name val="Arial"/>
    </font>
    <font>
      <b/>
      <u/>
      <color rgb="FF0000FF"/>
      <name val="Arial"/>
    </font>
    <font>
      <u/>
      <color rgb="FF0000FF"/>
      <name val="Arial"/>
    </font>
    <font>
      <u/>
      <color theme="1"/>
      <name val="Arial"/>
    </font>
    <font>
      <u/>
      <sz val="9.0"/>
      <color theme="1"/>
      <name val="Arial"/>
    </font>
    <font>
      <u/>
      <color theme="1"/>
      <name val="Arial"/>
    </font>
    <font>
      <b/>
      <u/>
      <color rgb="FF0000FF"/>
      <name val="Arial"/>
    </font>
    <font>
      <u/>
      <color rgb="FF0000FF"/>
      <name val="Arial"/>
    </font>
    <font>
      <u/>
      <color rgb="FF0000FF"/>
      <name val="Arial"/>
    </font>
    <font>
      <sz val="9.0"/>
      <color rgb="FFFF0000"/>
      <name val="Arial"/>
    </font>
    <font/>
    <font>
      <u/>
      <color theme="1"/>
      <name val="Arial"/>
    </font>
    <font>
      <b/>
      <u/>
      <color rgb="FF1155CC"/>
      <name val="Arial"/>
    </font>
    <font>
      <u/>
      <color rgb="FF0000FF"/>
      <name val="Arial"/>
    </font>
    <font>
      <u/>
      <color rgb="FF0000FF"/>
      <name val="Arial"/>
    </font>
    <font>
      <b/>
      <u/>
      <sz val="10.0"/>
      <color rgb="FF1155CC"/>
      <name val="Arial"/>
    </font>
    <font>
      <sz val="1.0"/>
      <color theme="1"/>
      <name val="Arial"/>
    </font>
    <font>
      <u/>
      <sz val="1.0"/>
      <color rgb="FF1155CC"/>
      <name val="Arial"/>
    </font>
    <font>
      <b/>
      <sz val="1.0"/>
      <color rgb="FF000000"/>
      <name val="Arial"/>
    </font>
    <font>
      <u/>
      <color theme="1"/>
      <name val="Arial"/>
    </font>
    <font>
      <b/>
      <u/>
      <sz val="1.0"/>
      <color rgb="FF1155CC"/>
      <name val="Arial"/>
    </font>
    <font>
      <u/>
      <sz val="1.0"/>
      <color rgb="FF0000FF"/>
      <name val="Arial"/>
    </font>
    <font>
      <u/>
      <sz val="9.0"/>
      <color rgb="FF1155CC"/>
      <name val="Arial"/>
    </font>
    <font>
      <u/>
      <color rgb="FF1155CC"/>
      <name val="Arial"/>
    </font>
    <font>
      <b/>
      <u/>
      <color rgb="FF1155CC"/>
      <name val="Arial"/>
    </font>
    <font>
      <u/>
      <color rgb="FF0000FF"/>
      <name val="Arial"/>
    </font>
    <font>
      <u/>
      <sz val="9.0"/>
      <color rgb="FF1155CC"/>
      <name val="Arial"/>
    </font>
    <font>
      <u/>
      <color rgb="FF1155CC"/>
      <name val="Arial"/>
    </font>
    <font>
      <u/>
      <sz val="9.0"/>
      <color theme="1"/>
      <name val="Arial"/>
    </font>
    <font>
      <u/>
      <color rgb="FF0000FF"/>
      <name val="Arial"/>
    </font>
    <font>
      <u/>
      <sz val="11.0"/>
      <color rgb="FF1155CC"/>
      <name val="Arial"/>
    </font>
    <font>
      <u/>
      <color theme="1"/>
      <name val="Arial"/>
    </font>
    <font>
      <b/>
      <u/>
      <color rgb="FF0000FF"/>
      <name val="Arial"/>
    </font>
    <font>
      <u/>
      <color rgb="FF1155CC"/>
      <name val="Arial"/>
    </font>
    <font>
      <u/>
      <color rgb="FF1155CC"/>
      <name val="Arial"/>
    </font>
    <font>
      <b/>
      <u/>
      <sz val="11.0"/>
      <color rgb="FF222222"/>
      <name val="Arial"/>
    </font>
    <font>
      <b/>
      <sz val="11.0"/>
      <color rgb="FF222222"/>
      <name val="Arial"/>
    </font>
    <font>
      <u/>
      <color rgb="FF0000FF"/>
      <name val="Arial"/>
    </font>
    <font>
      <u/>
      <sz val="11.0"/>
      <color rgb="FF1155CC"/>
      <name val="Arial"/>
    </font>
    <font>
      <u/>
      <color theme="1"/>
      <name val="Arial"/>
    </font>
    <font>
      <u/>
      <color rgb="FF000000"/>
      <name val="Arial"/>
    </font>
    <font>
      <u/>
      <color rgb="FF0000FF"/>
      <name val="Arial"/>
    </font>
    <font>
      <u/>
      <color theme="1"/>
      <name val="Arial"/>
    </font>
    <font>
      <u/>
      <sz val="9.0"/>
      <color theme="1"/>
      <name val="Arial"/>
    </font>
    <font>
      <u/>
      <color theme="1"/>
      <name val="Arial"/>
    </font>
    <font>
      <b/>
      <u/>
      <color rgb="FF0000FF"/>
      <name val="Arial"/>
    </font>
    <font>
      <u/>
      <color rgb="FF0000FF"/>
      <name val="Arial"/>
    </font>
    <font>
      <u/>
      <sz val="9.0"/>
      <color theme="1"/>
      <name val="Arial"/>
    </font>
    <font>
      <u/>
      <color theme="1"/>
      <name val="Arial"/>
    </font>
    <font>
      <b/>
      <u/>
      <color rgb="FF0000FF"/>
      <name val="Arial"/>
    </font>
    <font>
      <u/>
      <color rgb="FF0000FF"/>
      <name val="Arial"/>
    </font>
    <font>
      <b/>
      <u/>
      <sz val="9.0"/>
      <color theme="1"/>
      <name val="Arial"/>
    </font>
    <font>
      <u/>
      <color rgb="FF0000FF"/>
      <name val="Arial"/>
    </font>
    <font>
      <b/>
      <u/>
      <color rgb="FF1155CC"/>
      <name val="Arial"/>
    </font>
    <font>
      <u/>
      <color rgb="FF1155CC"/>
      <name val="Arial"/>
    </font>
    <font>
      <b/>
      <u/>
      <color rgb="FF1155CC"/>
      <name val="Arial"/>
    </font>
    <font>
      <u/>
      <color rgb="FF1155CC"/>
      <name val="Arial"/>
    </font>
    <font>
      <u/>
      <color rgb="FF0000FF"/>
      <name val="Arial"/>
    </font>
    <font>
      <b/>
      <u/>
      <sz val="11.0"/>
      <color rgb="FF222222"/>
      <name val="Arial"/>
    </font>
    <font>
      <u/>
      <color theme="1"/>
      <name val="Arial"/>
    </font>
    <font>
      <b/>
      <u/>
      <color rgb="FF1155CC"/>
      <name val="Arial"/>
    </font>
    <font>
      <u/>
      <color rgb="FF1155CC"/>
      <name val="Arial"/>
    </font>
    <font>
      <u/>
      <color rgb="FF0000FF"/>
      <name val="Arial"/>
    </font>
    <font>
      <b/>
      <u/>
      <color rgb="FF1155CC"/>
      <name val="Arial"/>
    </font>
    <font>
      <u/>
      <color rgb="FF1155CC"/>
      <name val="Arial"/>
    </font>
    <font>
      <b/>
      <u/>
      <color rgb="FF0000FF"/>
      <name val="Arial"/>
    </font>
    <font>
      <b/>
      <u/>
      <color rgb="FF1155CC"/>
      <name val="Arial"/>
    </font>
    <font>
      <u/>
      <color rgb="FF0000FF"/>
      <name val="Arial"/>
    </font>
    <font>
      <u/>
      <sz val="9.0"/>
      <color theme="1"/>
      <name val="Arial"/>
    </font>
    <font>
      <b/>
      <u/>
      <color rgb="FF1155CC"/>
      <name val="Arial"/>
    </font>
    <font>
      <b/>
      <u/>
      <sz val="7.0"/>
      <color rgb="FF0000FF"/>
      <name val="Arial"/>
    </font>
    <font>
      <b/>
      <u/>
      <sz val="7.0"/>
      <color rgb="FF1155CC"/>
      <name val="Arial"/>
    </font>
    <font>
      <u/>
      <color rgb="FF0000FF"/>
      <name val="Arial"/>
    </font>
    <font>
      <b/>
      <u/>
      <sz val="7.0"/>
      <color rgb="FF0000FF"/>
      <name val="Arial"/>
    </font>
    <font>
      <b/>
      <u/>
      <sz val="7.0"/>
      <color rgb="FF222222"/>
      <name val="Arial"/>
    </font>
    <font>
      <b/>
      <sz val="7.0"/>
      <color theme="1"/>
      <name val="Arial"/>
    </font>
    <font>
      <u/>
      <color rgb="FF0000FF"/>
    </font>
    <font>
      <u/>
      <sz val="9.0"/>
      <color rgb="FF0000FF"/>
      <name val="Arial"/>
    </font>
    <font>
      <u/>
      <color theme="1"/>
      <name val="Arial"/>
    </font>
    <font>
      <b/>
      <u/>
      <color rgb="FF0000FF"/>
      <name val="Arial"/>
    </font>
    <font>
      <u/>
      <color rgb="FF0000FF"/>
      <name val="Arial"/>
    </font>
    <font>
      <u/>
      <color rgb="FF0000FF"/>
      <name val="Arial"/>
    </font>
    <font>
      <u/>
      <color rgb="FF0000FF"/>
      <name val="Arial"/>
    </font>
    <font>
      <sz val="8.0"/>
      <color rgb="FF000000"/>
      <name val="Arial"/>
    </font>
    <font>
      <sz val="10.0"/>
      <color rgb="FF000000"/>
      <name val="Arial"/>
    </font>
    <font>
      <u/>
      <sz val="9.0"/>
      <color rgb="FF0000FF"/>
      <name val="Arial"/>
    </font>
    <font>
      <b/>
      <u/>
      <color rgb="FF0000FF"/>
      <name val="Arial"/>
    </font>
    <font>
      <u/>
      <color theme="1"/>
      <name val="Arial"/>
    </font>
    <font>
      <b/>
      <u/>
      <color rgb="FF0000FF"/>
    </font>
    <font>
      <u/>
      <color rgb="FF0000FF"/>
    </font>
    <font>
      <u/>
      <color theme="1"/>
      <name val="Arial"/>
    </font>
    <font>
      <u/>
      <color rgb="FF1155CC"/>
      <name val="Arial"/>
    </font>
    <font>
      <sz val="6.0"/>
      <color rgb="FF000000"/>
      <name val="Arial"/>
    </font>
    <font>
      <sz val="7.0"/>
      <color rgb="FF274E13"/>
      <name val="Arial"/>
    </font>
    <font>
      <sz val="6.0"/>
      <color rgb="FF274E13"/>
      <name val="Arial"/>
    </font>
    <font>
      <sz val="8.0"/>
      <color rgb="FF274E13"/>
      <name val="Arial"/>
    </font>
    <font>
      <color rgb="FF274E13"/>
      <name val="Arial"/>
    </font>
    <font>
      <b/>
      <sz val="8.0"/>
      <color rgb="FF000000"/>
      <name val="Arial"/>
    </font>
    <font>
      <u/>
      <sz val="6.0"/>
      <color rgb="FF274E13"/>
      <name val="Arial"/>
    </font>
    <font>
      <u/>
      <sz val="8.0"/>
      <color rgb="FF274E13"/>
      <name val="Arial"/>
    </font>
    <font>
      <b/>
      <sz val="8.0"/>
      <color rgb="FF434343"/>
      <name val="Arial"/>
    </font>
    <font>
      <u/>
      <sz val="8.0"/>
      <color rgb="FF0000FF"/>
      <name val="Arial"/>
    </font>
    <font>
      <u/>
      <sz val="8.0"/>
      <color rgb="FF0000FF"/>
      <name val="Arial"/>
    </font>
    <font>
      <u/>
      <sz val="6.0"/>
      <color theme="1"/>
      <name val="Arial"/>
    </font>
    <font>
      <u/>
      <sz val="8.0"/>
      <color rgb="FF0000FF"/>
      <name val="Arial"/>
    </font>
    <font>
      <u/>
      <sz val="8.0"/>
      <color rgb="FF274E13"/>
      <name val="Arial"/>
    </font>
    <font>
      <u/>
      <sz val="8.0"/>
      <color rgb="FF274E13"/>
      <name val="Arial"/>
    </font>
    <font>
      <u/>
      <sz val="6.0"/>
      <color theme="1"/>
      <name val="Arial"/>
    </font>
    <font>
      <u/>
      <sz val="6.0"/>
      <color rgb="FF274E13"/>
      <name val="Arial"/>
    </font>
    <font>
      <u/>
      <sz val="6.0"/>
      <color rgb="FF274E13"/>
      <name val="Arial"/>
    </font>
    <font>
      <u/>
      <sz val="8.0"/>
      <color rgb="FF274E13"/>
      <name val="Arial"/>
    </font>
    <font>
      <u/>
      <sz val="6.0"/>
      <color rgb="FF274E13"/>
      <name val="Arial"/>
    </font>
    <font>
      <u/>
      <sz val="6.0"/>
      <color theme="1"/>
      <name val="Arial"/>
    </font>
    <font>
      <u/>
      <sz val="7.0"/>
      <color theme="1"/>
      <name val="Arial"/>
    </font>
    <font>
      <sz val="9.0"/>
      <color rgb="FF274E13"/>
      <name val="Arial"/>
    </font>
    <font>
      <u/>
      <sz val="9.0"/>
      <color rgb="FF274E13"/>
      <name val="Arial"/>
    </font>
    <font>
      <u/>
      <sz val="9.0"/>
      <color rgb="FF274E13"/>
      <name val="Arial"/>
    </font>
    <font>
      <u/>
      <sz val="9.0"/>
      <color rgb="FF274E13"/>
      <name val="Arial"/>
    </font>
    <font>
      <u/>
      <sz val="9.0"/>
      <color rgb="FF274E13"/>
      <name val="Arial"/>
    </font>
    <font>
      <u/>
      <sz val="9.0"/>
      <color rgb="FF274E13"/>
      <name val="Arial"/>
    </font>
    <font>
      <u/>
      <sz val="9.0"/>
      <color rgb="FF0000FF"/>
    </font>
    <font>
      <b/>
      <sz val="8.0"/>
      <color rgb="FF274E13"/>
      <name val="Arial"/>
    </font>
    <font>
      <b/>
      <sz val="6.0"/>
      <color rgb="FF000000"/>
      <name val="Arial"/>
    </font>
    <font>
      <sz val="11.0"/>
      <color rgb="FFFF0000"/>
      <name val="Arial"/>
    </font>
    <font>
      <b/>
      <sz val="10.0"/>
      <color rgb="FF000000"/>
      <name val="Arial"/>
    </font>
    <font>
      <b/>
      <sz val="11.0"/>
      <color rgb="FF333333"/>
      <name val="&quot;YS Text&quot;"/>
    </font>
    <font>
      <sz val="11.0"/>
      <color theme="1"/>
      <name val="Arial"/>
    </font>
    <font>
      <sz val="11.0"/>
      <color rgb="FF000000"/>
      <name val="Arial"/>
    </font>
    <font>
      <sz val="8.0"/>
      <color rgb="FFFF0000"/>
      <name val="Arial"/>
    </font>
    <font>
      <sz val="10.0"/>
      <color theme="1"/>
      <name val="Times New Roman"/>
    </font>
    <font>
      <sz val="8.0"/>
      <color rgb="FF38761D"/>
      <name val="Arial"/>
    </font>
    <font>
      <sz val="10.0"/>
      <color rgb="FFFF0000"/>
      <name val="Arial"/>
    </font>
    <font>
      <b/>
      <sz val="7.0"/>
      <color rgb="FFFF0000"/>
      <name val="Arial"/>
    </font>
    <font>
      <sz val="9.0"/>
      <color rgb="FF38761D"/>
      <name val="Arial"/>
    </font>
    <font>
      <sz val="9.0"/>
      <color rgb="FF6AA84F"/>
      <name val="Arial"/>
    </font>
    <font>
      <b/>
      <sz val="10.0"/>
      <color theme="1"/>
      <name val="Times New Roman"/>
    </font>
    <font>
      <color rgb="FF000000"/>
      <name val="Calibri"/>
    </font>
    <font>
      <u/>
      <color rgb="FF1155CC"/>
      <name val="Arial"/>
    </font>
    <font>
      <color rgb="FFFF0000"/>
      <name val="Arial"/>
    </font>
    <font>
      <b/>
      <i/>
      <sz val="9.0"/>
      <color theme="1"/>
      <name val="Arial"/>
    </font>
    <font>
      <b/>
      <i/>
      <sz val="8.0"/>
      <color theme="1"/>
      <name val="Arial"/>
    </font>
    <font>
      <i/>
      <sz val="9.0"/>
      <color theme="1"/>
      <name val="Arial"/>
    </font>
    <font>
      <i/>
      <sz val="8.0"/>
      <color theme="1"/>
      <name val="Arial"/>
    </font>
    <font>
      <i/>
      <color theme="1"/>
      <name val="Arial"/>
    </font>
    <font>
      <u/>
      <color rgb="FF0000FF"/>
    </font>
    <font>
      <u/>
      <color rgb="FF0000FF"/>
    </font>
    <font>
      <u/>
      <color rgb="FF0000FF"/>
    </font>
    <font>
      <color rgb="FF1155CC"/>
      <name val="Arial"/>
    </font>
    <font>
      <u/>
      <color rgb="FF0000FF"/>
    </font>
    <font>
      <b/>
      <sz val="7.0"/>
      <color rgb="FF000000"/>
      <name val="Arial"/>
    </font>
    <font>
      <sz val="7.0"/>
      <color rgb="FF000000"/>
      <name val="Arial"/>
    </font>
    <font>
      <sz val="7.0"/>
      <color rgb="FF434343"/>
      <name val="Arial"/>
    </font>
    <font>
      <b/>
      <sz val="9.0"/>
      <color rgb="FF333333"/>
      <name val="Arial"/>
    </font>
    <font>
      <b/>
      <sz val="8.0"/>
      <color rgb="FF333333"/>
      <name val="Arial"/>
    </font>
    <font>
      <color rgb="FF000000"/>
      <name val="Arial"/>
    </font>
    <font>
      <sz val="11.0"/>
      <color rgb="FF222222"/>
      <name val="Circular"/>
    </font>
    <font>
      <b/>
      <sz val="9.0"/>
      <color rgb="FFFF0000"/>
      <name val="Arial"/>
    </font>
    <font>
      <b/>
      <sz val="7.0"/>
      <color rgb="FF434343"/>
      <name val="Arial"/>
    </font>
    <font>
      <sz val="8.0"/>
      <color rgb="FF434343"/>
      <name val="Arial"/>
    </font>
    <font>
      <b/>
      <sz val="9.0"/>
      <color rgb="FF434343"/>
      <name val="Arial"/>
    </font>
    <font>
      <b/>
      <sz val="9.0"/>
      <color rgb="FF000000"/>
      <name val="Arial"/>
    </font>
    <font>
      <u/>
      <color rgb="FF0000FF"/>
    </font>
  </fonts>
  <fills count="56">
    <fill>
      <patternFill patternType="none"/>
    </fill>
    <fill>
      <patternFill patternType="lightGray"/>
    </fill>
    <fill>
      <patternFill patternType="solid">
        <fgColor rgb="FFFFF2CC"/>
        <bgColor rgb="FFFFF2CC"/>
      </patternFill>
    </fill>
    <fill>
      <patternFill patternType="solid">
        <fgColor rgb="FFF1C232"/>
        <bgColor rgb="FFF1C232"/>
      </patternFill>
    </fill>
    <fill>
      <patternFill patternType="solid">
        <fgColor rgb="FFD9D9D9"/>
        <bgColor rgb="FFD9D9D9"/>
      </patternFill>
    </fill>
    <fill>
      <patternFill patternType="solid">
        <fgColor rgb="FFFFFFFF"/>
        <bgColor rgb="FFFFFFFF"/>
      </patternFill>
    </fill>
    <fill>
      <patternFill patternType="solid">
        <fgColor rgb="FFF4CCCC"/>
        <bgColor rgb="FFF4CCCC"/>
      </patternFill>
    </fill>
    <fill>
      <patternFill patternType="solid">
        <fgColor rgb="FFFFFF00"/>
        <bgColor rgb="FFFFFF00"/>
      </patternFill>
    </fill>
    <fill>
      <patternFill patternType="solid">
        <fgColor rgb="FFFCE5CD"/>
        <bgColor rgb="FFFCE5CD"/>
      </patternFill>
    </fill>
    <fill>
      <patternFill patternType="solid">
        <fgColor rgb="FFCFE2F3"/>
        <bgColor rgb="FFCFE2F3"/>
      </patternFill>
    </fill>
    <fill>
      <patternFill patternType="solid">
        <fgColor rgb="FFEAD1DC"/>
        <bgColor rgb="FFEAD1DC"/>
      </patternFill>
    </fill>
    <fill>
      <patternFill patternType="solid">
        <fgColor rgb="FFFFE599"/>
        <bgColor rgb="FFFFE599"/>
      </patternFill>
    </fill>
    <fill>
      <patternFill patternType="solid">
        <fgColor rgb="FFB6D7A8"/>
        <bgColor rgb="FFB6D7A8"/>
      </patternFill>
    </fill>
    <fill>
      <patternFill patternType="solid">
        <fgColor rgb="FF93C47D"/>
        <bgColor rgb="FF93C47D"/>
      </patternFill>
    </fill>
    <fill>
      <patternFill patternType="solid">
        <fgColor rgb="FFB7B7B7"/>
        <bgColor rgb="FFB7B7B7"/>
      </patternFill>
    </fill>
    <fill>
      <patternFill patternType="solid">
        <fgColor rgb="FFCCCCCC"/>
        <bgColor rgb="FFCCCCCC"/>
      </patternFill>
    </fill>
    <fill>
      <patternFill patternType="solid">
        <fgColor rgb="FFD9D2E9"/>
        <bgColor rgb="FFD9D2E9"/>
      </patternFill>
    </fill>
    <fill>
      <patternFill patternType="solid">
        <fgColor rgb="FFD9EAD3"/>
        <bgColor rgb="FFD9EAD3"/>
      </patternFill>
    </fill>
    <fill>
      <patternFill patternType="solid">
        <fgColor rgb="FFF9CB9C"/>
        <bgColor rgb="FFF9CB9C"/>
      </patternFill>
    </fill>
    <fill>
      <patternFill patternType="solid">
        <fgColor rgb="FF999999"/>
        <bgColor rgb="FF999999"/>
      </patternFill>
    </fill>
    <fill>
      <patternFill patternType="solid">
        <fgColor rgb="FFA4C2F4"/>
        <bgColor rgb="FFA4C2F4"/>
      </patternFill>
    </fill>
    <fill>
      <patternFill patternType="solid">
        <fgColor rgb="FFC9DAF8"/>
        <bgColor rgb="FFC9DAF8"/>
      </patternFill>
    </fill>
    <fill>
      <patternFill patternType="solid">
        <fgColor rgb="FFA2C4C9"/>
        <bgColor rgb="FFA2C4C9"/>
      </patternFill>
    </fill>
    <fill>
      <patternFill patternType="solid">
        <fgColor rgb="FFD0E0E3"/>
        <bgColor rgb="FFD0E0E3"/>
      </patternFill>
    </fill>
    <fill>
      <patternFill patternType="solid">
        <fgColor rgb="FFF6B26B"/>
        <bgColor rgb="FFF6B26B"/>
      </patternFill>
    </fill>
    <fill>
      <patternFill patternType="solid">
        <fgColor rgb="FFEA9999"/>
        <bgColor rgb="FFEA9999"/>
      </patternFill>
    </fill>
    <fill>
      <patternFill patternType="solid">
        <fgColor rgb="FFEFEFEF"/>
        <bgColor rgb="FFEFEFEF"/>
      </patternFill>
    </fill>
    <fill>
      <patternFill patternType="solid">
        <fgColor rgb="FF6FA8DC"/>
        <bgColor rgb="FF6FA8DC"/>
      </patternFill>
    </fill>
    <fill>
      <patternFill patternType="solid">
        <fgColor rgb="FF76A5AF"/>
        <bgColor rgb="FF76A5AF"/>
      </patternFill>
    </fill>
    <fill>
      <patternFill patternType="solid">
        <fgColor rgb="FFEFF9F4"/>
        <bgColor rgb="FFEFF9F4"/>
      </patternFill>
    </fill>
    <fill>
      <patternFill patternType="solid">
        <fgColor rgb="FFC8C9A8"/>
        <bgColor rgb="FFC8C9A8"/>
      </patternFill>
    </fill>
    <fill>
      <patternFill patternType="solid">
        <fgColor rgb="FFF7FCFA"/>
        <bgColor rgb="FFF7FCFA"/>
      </patternFill>
    </fill>
    <fill>
      <patternFill patternType="solid">
        <fgColor rgb="FFF5FBF8"/>
        <bgColor rgb="FFF5FBF8"/>
      </patternFill>
    </fill>
    <fill>
      <patternFill patternType="solid">
        <fgColor rgb="FFC0C8A2"/>
        <bgColor rgb="FFC0C8A2"/>
      </patternFill>
    </fill>
    <fill>
      <patternFill patternType="solid">
        <fgColor rgb="FFFFD966"/>
        <bgColor rgb="FFFFD966"/>
      </patternFill>
    </fill>
    <fill>
      <patternFill patternType="solid">
        <fgColor rgb="FFFEFFFF"/>
        <bgColor rgb="FFFEFFFF"/>
      </patternFill>
    </fill>
    <fill>
      <patternFill patternType="solid">
        <fgColor rgb="FFDDF2E8"/>
        <bgColor rgb="FFDDF2E8"/>
      </patternFill>
    </fill>
    <fill>
      <patternFill patternType="solid">
        <fgColor rgb="FFA5C68C"/>
        <bgColor rgb="FFA5C68C"/>
      </patternFill>
    </fill>
    <fill>
      <patternFill patternType="solid">
        <fgColor rgb="FFE0F3E9"/>
        <bgColor rgb="FFE0F3E9"/>
      </patternFill>
    </fill>
    <fill>
      <patternFill patternType="solid">
        <fgColor rgb="FFB9C89C"/>
        <bgColor rgb="FFB9C89C"/>
      </patternFill>
    </fill>
    <fill>
      <patternFill patternType="solid">
        <fgColor rgb="FFCFECDE"/>
        <bgColor rgb="FFCFECDE"/>
      </patternFill>
    </fill>
    <fill>
      <patternFill patternType="solid">
        <fgColor rgb="FFD2EDE0"/>
        <bgColor rgb="FFD2EDE0"/>
      </patternFill>
    </fill>
    <fill>
      <patternFill patternType="solid">
        <fgColor rgb="FFB4C798"/>
        <bgColor rgb="FFB4C798"/>
      </patternFill>
    </fill>
    <fill>
      <patternFill patternType="solid">
        <fgColor rgb="FFD9CAB6"/>
        <bgColor rgb="FFD9CAB6"/>
      </patternFill>
    </fill>
    <fill>
      <patternFill patternType="solid">
        <fgColor rgb="FFAFC794"/>
        <bgColor rgb="FFAFC794"/>
      </patternFill>
    </fill>
    <fill>
      <patternFill patternType="solid">
        <fgColor rgb="FFFCFEFD"/>
        <bgColor rgb="FFFCFEFD"/>
      </patternFill>
    </fill>
    <fill>
      <patternFill patternType="solid">
        <fgColor rgb="FFFF0000"/>
        <bgColor rgb="FFFF0000"/>
      </patternFill>
    </fill>
    <fill>
      <patternFill patternType="solid">
        <fgColor rgb="FFD5EEE2"/>
        <bgColor rgb="FFD5EEE2"/>
      </patternFill>
    </fill>
    <fill>
      <patternFill patternType="solid">
        <fgColor rgb="FFE8F6EF"/>
        <bgColor rgb="FFE8F6EF"/>
      </patternFill>
    </fill>
    <fill>
      <patternFill patternType="solid">
        <fgColor rgb="FF9FC5E8"/>
        <bgColor rgb="FF9FC5E8"/>
      </patternFill>
    </fill>
    <fill>
      <patternFill patternType="solid">
        <fgColor rgb="FFB7E1CD"/>
        <bgColor rgb="FFB7E1CD"/>
      </patternFill>
    </fill>
    <fill>
      <patternFill patternType="solid">
        <fgColor rgb="FF6AA84F"/>
        <bgColor rgb="FF6AA84F"/>
      </patternFill>
    </fill>
    <fill>
      <patternFill patternType="solid">
        <fgColor rgb="FFBF9000"/>
        <bgColor rgb="FFBF9000"/>
      </patternFill>
    </fill>
    <fill>
      <patternFill patternType="solid">
        <fgColor rgb="FF666666"/>
        <bgColor rgb="FF666666"/>
      </patternFill>
    </fill>
    <fill>
      <patternFill patternType="solid">
        <fgColor rgb="FF00FF00"/>
        <bgColor rgb="FF00FF00"/>
      </patternFill>
    </fill>
    <fill>
      <patternFill patternType="solid">
        <fgColor rgb="FFE06666"/>
        <bgColor rgb="FFE06666"/>
      </patternFill>
    </fill>
  </fills>
  <borders count="344">
    <border/>
    <border>
      <left style="medium">
        <color rgb="FF000000"/>
      </left>
      <right style="medium">
        <color rgb="FF000000"/>
      </right>
      <top style="medium">
        <color rgb="FF000000"/>
      </top>
    </border>
    <border>
      <left style="medium">
        <color rgb="FF000000"/>
      </left>
      <right style="medium">
        <color rgb="FF000000"/>
      </right>
      <top style="medium">
        <color rgb="FF000000"/>
      </top>
      <bottom style="dotted">
        <color rgb="FF000000"/>
      </bottom>
    </border>
    <border>
      <left style="medium">
        <color rgb="FF000000"/>
      </left>
      <right style="medium">
        <color rgb="FF000000"/>
      </right>
    </border>
    <border>
      <left style="medium">
        <color rgb="FF000000"/>
      </left>
      <right style="medium">
        <color rgb="FF000000"/>
      </right>
      <top style="dotted">
        <color rgb="FF000000"/>
      </top>
      <bottom style="dotted">
        <color rgb="FF000000"/>
      </bottom>
    </border>
    <border>
      <left style="medium">
        <color rgb="FF000000"/>
      </left>
      <right style="medium">
        <color rgb="FF000000"/>
      </right>
      <top style="dotted">
        <color rgb="FF000000"/>
      </top>
    </border>
    <border>
      <left style="medium">
        <color rgb="FF000000"/>
      </left>
      <right style="medium">
        <color rgb="FF000000"/>
      </right>
      <bottom style="dotted">
        <color rgb="FF000000"/>
      </bottom>
    </border>
    <border>
      <right style="medium">
        <color rgb="FF000000"/>
      </right>
      <top style="dotted">
        <color rgb="FF000000"/>
      </top>
      <bottom style="dotted">
        <color rgb="FF000000"/>
      </bottom>
    </border>
    <border>
      <left style="medium">
        <color rgb="FF000000"/>
      </left>
      <right style="medium">
        <color rgb="FF000000"/>
      </right>
      <top style="dotted">
        <color rgb="FF000000"/>
      </top>
      <bottom style="medium">
        <color rgb="FF000000"/>
      </bottom>
    </border>
    <border>
      <right style="medium">
        <color rgb="FF000000"/>
      </right>
      <top style="medium">
        <color rgb="FF000000"/>
      </top>
    </border>
    <border>
      <left style="medium">
        <color rgb="FF000000"/>
      </left>
      <right style="medium">
        <color rgb="FF000000"/>
      </right>
      <top style="thin">
        <color rgb="FF000000"/>
      </top>
      <bottom style="thin">
        <color rgb="FF000000"/>
      </bottom>
    </border>
    <border>
      <left style="medium">
        <color rgb="FF000000"/>
      </left>
      <right style="medium">
        <color rgb="FF000000"/>
      </right>
      <bottom style="medium">
        <color rgb="FF000000"/>
      </bottom>
    </border>
    <border>
      <right style="medium">
        <color rgb="FF000000"/>
      </right>
      <top style="dotted">
        <color rgb="FF000000"/>
      </top>
      <bottom style="medium">
        <color rgb="FF000000"/>
      </bottom>
    </border>
    <border>
      <bottom style="medium">
        <color rgb="FF666666"/>
      </bottom>
    </border>
    <border>
      <left style="medium">
        <color rgb="FF666666"/>
      </left>
      <right style="medium">
        <color rgb="FF666666"/>
      </right>
      <bottom style="medium">
        <color rgb="FF666666"/>
      </bottom>
    </border>
    <border>
      <left style="medium">
        <color rgb="FF666666"/>
      </left>
      <right style="medium">
        <color rgb="FF666666"/>
      </right>
      <bottom style="dotted">
        <color rgb="FF666666"/>
      </bottom>
    </border>
    <border>
      <left style="medium">
        <color rgb="FF666666"/>
      </left>
      <right style="medium">
        <color rgb="FF666666"/>
      </right>
      <top style="dotted">
        <color rgb="FF666666"/>
      </top>
      <bottom style="dotted">
        <color rgb="FF666666"/>
      </bottom>
    </border>
    <border>
      <left style="medium">
        <color rgb="FF666666"/>
      </left>
      <right style="medium">
        <color rgb="FF666666"/>
      </right>
      <top style="dotted">
        <color rgb="FF666666"/>
      </top>
    </border>
    <border>
      <left style="medium">
        <color rgb="FF666666"/>
      </left>
      <right style="medium">
        <color rgb="FF666666"/>
      </right>
    </border>
    <border>
      <left style="thin">
        <color rgb="FF674EA7"/>
      </left>
      <right style="thin">
        <color rgb="FF674EA7"/>
      </right>
      <top style="thin">
        <color rgb="FF674EA7"/>
      </top>
    </border>
    <border>
      <left style="thin">
        <color rgb="FF674EA7"/>
      </left>
      <top style="thin">
        <color rgb="FF674EA7"/>
      </top>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medium">
        <color rgb="FF000000"/>
      </top>
    </border>
    <border>
      <left style="medium">
        <color rgb="FF000000"/>
      </left>
      <right style="medium">
        <color rgb="FF000000"/>
      </right>
      <top style="hair">
        <color rgb="FF000000"/>
      </top>
      <bottom style="hair">
        <color rgb="FF000000"/>
      </bottom>
    </border>
    <border>
      <left style="medium">
        <color rgb="FF000000"/>
      </left>
      <top style="medium">
        <color rgb="FF000000"/>
      </top>
    </border>
    <border>
      <left style="thin">
        <color rgb="FF000000"/>
      </left>
      <right style="thin">
        <color rgb="FF000000"/>
      </right>
      <top style="thin">
        <color rgb="FF000000"/>
      </top>
      <bottom style="thin">
        <color rgb="FF000000"/>
      </bottom>
    </border>
    <border>
      <right style="medium">
        <color rgb="FF000000"/>
      </right>
    </border>
    <border>
      <left style="medium">
        <color rgb="FF000000"/>
      </left>
    </border>
    <border>
      <left style="medium">
        <color rgb="FF000000"/>
      </left>
      <right style="medium">
        <color rgb="FF000000"/>
      </right>
      <top style="hair">
        <color rgb="FF000000"/>
      </top>
    </border>
    <border>
      <left style="thin">
        <color rgb="FF000000"/>
      </left>
      <right style="thin">
        <color rgb="FF000000"/>
      </right>
    </border>
    <border>
      <left style="thin">
        <color rgb="FF000000"/>
      </left>
      <right style="thin">
        <color rgb="FF000000"/>
      </right>
      <top style="thin">
        <color rgb="FF000000"/>
      </top>
    </border>
    <border>
      <left style="thin">
        <color rgb="FF000000"/>
      </left>
      <right style="medium">
        <color rgb="FF000000"/>
      </right>
      <top style="thin">
        <color rgb="FF000000"/>
      </top>
    </border>
    <border>
      <top style="thin">
        <color rgb="FF000000"/>
      </top>
    </border>
    <border>
      <left style="medium">
        <color rgb="FF000000"/>
      </left>
      <right style="medium">
        <color rgb="FF000000"/>
      </right>
      <top style="thin">
        <color rgb="FF000000"/>
      </top>
    </border>
    <border>
      <right style="medium">
        <color rgb="FF000000"/>
      </right>
      <top style="thin">
        <color rgb="FF000000"/>
      </top>
    </border>
    <border>
      <left style="thin">
        <color rgb="FF000000"/>
      </left>
      <right style="medium">
        <color rgb="FF000000"/>
      </right>
    </border>
    <border>
      <left style="thin">
        <color rgb="FF000000"/>
      </left>
      <right style="medium">
        <color rgb="FF000000"/>
      </right>
      <bottom style="thin">
        <color rgb="FF000000"/>
      </bottom>
    </border>
    <border>
      <bottom style="thin">
        <color rgb="FF000000"/>
      </bottom>
    </border>
    <border>
      <left style="medium">
        <color rgb="FF000000"/>
      </left>
      <right style="medium">
        <color rgb="FF000000"/>
      </right>
      <bottom style="thin">
        <color rgb="FF000000"/>
      </bottom>
    </border>
    <border>
      <right style="medium">
        <color rgb="FF000000"/>
      </right>
      <bottom style="thin">
        <color rgb="FF000000"/>
      </bottom>
    </border>
    <border>
      <left style="thin">
        <color rgb="FF000000"/>
      </left>
      <right style="thin">
        <color rgb="FF000000"/>
      </right>
      <bottom style="thin">
        <color rgb="FF000000"/>
      </bottom>
    </border>
    <border>
      <left style="medium">
        <color rgb="FF000000"/>
      </left>
      <right style="medium">
        <color rgb="FF000000"/>
      </right>
      <bottom style="hair">
        <color rgb="FF000000"/>
      </bottom>
    </border>
    <border>
      <bottom style="medium">
        <color rgb="FF000000"/>
      </bottom>
    </border>
    <border>
      <right style="medium">
        <color rgb="FF000000"/>
      </right>
      <bottom style="medium">
        <color rgb="FF000000"/>
      </bottom>
    </border>
    <border>
      <left style="medium">
        <color rgb="FF000000"/>
      </left>
      <bottom style="medium">
        <color rgb="FF000000"/>
      </bottom>
    </border>
    <border>
      <left style="medium">
        <color rgb="FF000000"/>
      </left>
      <right style="medium">
        <color rgb="FF000000"/>
      </right>
      <top style="medium">
        <color rgb="FF000000"/>
      </top>
      <bottom style="hair">
        <color rgb="FF000000"/>
      </bottom>
    </border>
    <border>
      <left style="medium">
        <color rgb="FF000000"/>
      </left>
      <right style="medium">
        <color rgb="FF000000"/>
      </right>
      <top style="hair">
        <color rgb="FF000000"/>
      </top>
      <bottom style="medium">
        <color rgb="FF000000"/>
      </bottom>
    </border>
    <border>
      <top style="hair">
        <color rgb="FF000000"/>
      </top>
    </border>
    <border>
      <left style="medium">
        <color rgb="FF000000"/>
      </left>
      <top style="hair">
        <color rgb="FF000000"/>
      </top>
    </border>
    <border>
      <left style="medium">
        <color rgb="FF000000"/>
      </left>
      <bottom style="hair">
        <color rgb="FF000000"/>
      </bottom>
    </border>
    <border>
      <right style="thin">
        <color rgb="FF000000"/>
      </right>
      <top style="thin">
        <color rgb="FF000000"/>
      </top>
      <bottom style="thin">
        <color rgb="FF000000"/>
      </bottom>
    </border>
    <border>
      <left style="thick">
        <color rgb="FF000000"/>
      </left>
      <right style="medium">
        <color rgb="FF999999"/>
      </right>
      <top style="thick">
        <color rgb="FF000000"/>
      </top>
      <bottom style="medium">
        <color rgb="FF000000"/>
      </bottom>
    </border>
    <border>
      <left style="medium">
        <color rgb="FF999999"/>
      </left>
      <right style="medium">
        <color rgb="FF999999"/>
      </right>
      <top style="thick">
        <color rgb="FF000000"/>
      </top>
      <bottom style="medium">
        <color rgb="FF000000"/>
      </bottom>
    </border>
    <border>
      <left style="medium">
        <color rgb="FF999999"/>
      </left>
      <right style="medium">
        <color rgb="FF999999"/>
      </right>
      <top style="medium">
        <color rgb="FF000000"/>
      </top>
      <bottom style="medium">
        <color rgb="FF000000"/>
      </bottom>
    </border>
    <border>
      <left style="medium">
        <color rgb="FF999999"/>
      </left>
      <right style="medium">
        <color rgb="FF999999"/>
      </right>
    </border>
    <border>
      <left style="medium">
        <color rgb="FF999999"/>
      </left>
      <right style="medium">
        <color rgb="FF666666"/>
      </right>
    </border>
    <border>
      <left style="thick">
        <color rgb="FF000000"/>
      </left>
      <right style="medium">
        <color rgb="FF999999"/>
      </right>
      <bottom style="dotted">
        <color rgb="FF000000"/>
      </bottom>
    </border>
    <border>
      <left style="medium">
        <color rgb="FF999999"/>
      </left>
      <right style="medium">
        <color rgb="FF999999"/>
      </right>
      <bottom style="dotted">
        <color rgb="FF000000"/>
      </bottom>
    </border>
    <border>
      <left style="thick">
        <color rgb="FF000000"/>
      </left>
      <right style="medium">
        <color rgb="FF999999"/>
      </right>
      <top style="dotted">
        <color rgb="FF000000"/>
      </top>
      <bottom style="dotted">
        <color rgb="FF000000"/>
      </bottom>
    </border>
    <border>
      <left style="medium">
        <color rgb="FF999999"/>
      </left>
      <right style="medium">
        <color rgb="FF999999"/>
      </right>
      <top style="dotted">
        <color rgb="FF000000"/>
      </top>
      <bottom style="dotted">
        <color rgb="FF000000"/>
      </bottom>
    </border>
    <border>
      <left style="medium">
        <color rgb="FF999999"/>
      </left>
      <right style="medium">
        <color rgb="FF999999"/>
      </right>
      <top style="dotted">
        <color rgb="FF000000"/>
      </top>
      <bottom style="thin">
        <color rgb="FF000000"/>
      </bottom>
    </border>
    <border>
      <left style="medium">
        <color rgb="FF999999"/>
      </left>
      <right style="medium">
        <color rgb="FF999999"/>
      </right>
      <top style="dotted">
        <color rgb="FF000000"/>
      </top>
    </border>
    <border>
      <left style="thick">
        <color rgb="FF000000"/>
      </left>
      <right style="medium">
        <color rgb="FF999999"/>
      </right>
      <top style="dotted">
        <color rgb="FF000000"/>
      </top>
      <bottom style="thin">
        <color rgb="FF000000"/>
      </bottom>
    </border>
    <border>
      <left style="medium">
        <color rgb="FF999999"/>
      </left>
      <right style="medium">
        <color rgb="FF999999"/>
      </right>
      <top style="dotted">
        <color rgb="FF000000"/>
      </top>
      <bottom style="medium">
        <color rgb="FF000000"/>
      </bottom>
    </border>
    <border>
      <left style="medium">
        <color rgb="FF999999"/>
      </left>
      <right style="medium">
        <color rgb="FF999999"/>
      </right>
      <top style="dotted">
        <color rgb="FF000000"/>
      </top>
      <bottom style="thick">
        <color rgb="FF000000"/>
      </bottom>
    </border>
    <border>
      <left style="thick">
        <color rgb="FF000000"/>
      </left>
      <right style="medium">
        <color rgb="FF999999"/>
      </right>
      <top style="dotted">
        <color rgb="FF000000"/>
      </top>
    </border>
    <border>
      <left style="medium">
        <color rgb="FF000000"/>
      </left>
      <right style="medium">
        <color rgb="FF999999"/>
      </right>
      <top style="medium">
        <color rgb="FF000000"/>
      </top>
      <bottom style="dotted">
        <color rgb="FF000000"/>
      </bottom>
    </border>
    <border>
      <left style="medium">
        <color rgb="FF999999"/>
      </left>
      <right style="medium">
        <color rgb="FF999999"/>
      </right>
      <top style="medium">
        <color rgb="FF000000"/>
      </top>
      <bottom style="dotted">
        <color rgb="FF000000"/>
      </bottom>
    </border>
    <border>
      <left style="medium">
        <color rgb="FF999999"/>
      </left>
      <right style="medium">
        <color rgb="FF999999"/>
      </right>
      <top style="medium">
        <color rgb="FF000000"/>
      </top>
    </border>
    <border>
      <left style="medium">
        <color rgb="FF999999"/>
      </left>
      <right style="medium">
        <color rgb="FF999999"/>
      </right>
      <top style="medium">
        <color rgb="FF000000"/>
      </top>
      <bottom style="thin">
        <color rgb="FF000000"/>
      </bottom>
    </border>
    <border>
      <left style="medium">
        <color rgb="FF999999"/>
      </left>
      <right style="medium">
        <color rgb="FF666666"/>
      </right>
      <top style="medium">
        <color rgb="FF000000"/>
      </top>
    </border>
    <border>
      <left style="medium">
        <color rgb="FF000000"/>
      </left>
      <right style="medium">
        <color rgb="FF999999"/>
      </right>
      <top style="dotted">
        <color rgb="FF000000"/>
      </top>
      <bottom style="dotted">
        <color rgb="FF000000"/>
      </bottom>
    </border>
    <border>
      <left style="medium">
        <color rgb="FF999999"/>
      </left>
      <right style="medium">
        <color rgb="FF999999"/>
      </right>
      <bottom style="medium">
        <color rgb="FF000000"/>
      </bottom>
    </border>
    <border>
      <left style="medium">
        <color rgb="FF999999"/>
      </left>
      <right style="medium">
        <color rgb="FF666666"/>
      </right>
      <bottom style="medium">
        <color rgb="FF000000"/>
      </bottom>
    </border>
    <border>
      <left style="medium">
        <color rgb="FF999999"/>
      </left>
      <right style="medium">
        <color rgb="FF666666"/>
      </right>
      <bottom style="dotted">
        <color rgb="FF000000"/>
      </bottom>
    </border>
    <border>
      <bottom style="dotted">
        <color rgb="FF000000"/>
      </bottom>
    </border>
    <border>
      <right style="medium">
        <color rgb="FF000000"/>
      </right>
      <bottom style="dotted">
        <color rgb="FF000000"/>
      </bottom>
    </border>
    <border>
      <left style="medium">
        <color rgb="FF999999"/>
      </left>
      <right style="medium">
        <color rgb="FF666666"/>
      </right>
      <top style="dotted">
        <color rgb="FF000000"/>
      </top>
      <bottom style="dotted">
        <color rgb="FF000000"/>
      </bottom>
    </border>
    <border>
      <top style="dotted">
        <color rgb="FF000000"/>
      </top>
      <bottom style="dotted">
        <color rgb="FF000000"/>
      </bottom>
    </border>
    <border>
      <right style="medium">
        <color rgb="FF999999"/>
      </right>
      <top style="dotted">
        <color rgb="FF000000"/>
      </top>
      <bottom style="dotted">
        <color rgb="FF000000"/>
      </bottom>
    </border>
    <border>
      <right style="medium">
        <color rgb="FF999999"/>
      </right>
      <top style="dotted">
        <color rgb="FF000000"/>
      </top>
    </border>
    <border>
      <left style="medium">
        <color rgb="FF999999"/>
      </left>
      <right style="medium">
        <color rgb="FF666666"/>
      </right>
      <top style="dotted">
        <color rgb="FF000000"/>
      </top>
    </border>
    <border>
      <top style="dotted">
        <color rgb="FF000000"/>
      </top>
    </border>
    <border>
      <left style="medium">
        <color rgb="FF999999"/>
      </left>
      <right style="medium">
        <color rgb="FF999999"/>
      </right>
      <top style="medium">
        <color rgb="FF999999"/>
      </top>
      <bottom style="dotted">
        <color rgb="FF000000"/>
      </bottom>
    </border>
    <border>
      <left style="medium">
        <color rgb="FF999999"/>
      </left>
      <right style="medium">
        <color rgb="FF666666"/>
      </right>
      <top style="medium">
        <color rgb="FF999999"/>
      </top>
      <bottom style="dotted">
        <color rgb="FF000000"/>
      </bottom>
    </border>
    <border>
      <top style="medium">
        <color rgb="FF999999"/>
      </top>
      <bottom style="dotted">
        <color rgb="FF000000"/>
      </bottom>
    </border>
    <border>
      <right style="medium">
        <color rgb="FF999999"/>
      </right>
      <top style="medium">
        <color rgb="FF999999"/>
      </top>
      <bottom style="dotted">
        <color rgb="FF000000"/>
      </bottom>
    </border>
    <border>
      <left style="medium">
        <color rgb="FF999999"/>
      </left>
      <right style="medium">
        <color rgb="FF999999"/>
      </right>
      <top style="dotted">
        <color rgb="FF000000"/>
      </top>
      <bottom style="medium">
        <color rgb="FF999999"/>
      </bottom>
    </border>
    <border>
      <left style="medium">
        <color rgb="FF999999"/>
      </left>
      <right style="medium">
        <color rgb="FF999999"/>
      </right>
      <bottom style="medium">
        <color rgb="FF999999"/>
      </bottom>
    </border>
    <border>
      <left style="medium">
        <color rgb="FF999999"/>
      </left>
      <right style="medium">
        <color rgb="FF666666"/>
      </right>
      <top style="dotted">
        <color rgb="FF000000"/>
      </top>
      <bottom style="medium">
        <color rgb="FF999999"/>
      </bottom>
    </border>
    <border>
      <top style="dotted">
        <color rgb="FF000000"/>
      </top>
      <bottom style="medium">
        <color rgb="FF999999"/>
      </bottom>
    </border>
    <border>
      <right style="medium">
        <color rgb="FF999999"/>
      </right>
      <top style="dotted">
        <color rgb="FF000000"/>
      </top>
      <bottom style="medium">
        <color rgb="FF999999"/>
      </bottom>
    </border>
    <border>
      <left style="medium">
        <color rgb="FF000000"/>
      </left>
      <right style="medium">
        <color rgb="FF999999"/>
      </right>
      <bottom style="dotted">
        <color rgb="FF000000"/>
      </bottom>
    </border>
    <border>
      <left style="medium">
        <color rgb="FF000000"/>
      </left>
      <right style="medium">
        <color rgb="FF999999"/>
      </right>
      <top style="dotted">
        <color rgb="FF000000"/>
      </top>
      <bottom style="medium">
        <color rgb="FF000000"/>
      </bottom>
    </border>
    <border>
      <left style="medium">
        <color rgb="FF999999"/>
      </left>
      <right style="medium">
        <color rgb="FF666666"/>
      </right>
      <top style="dotted">
        <color rgb="FF000000"/>
      </top>
      <bottom style="medium">
        <color rgb="FF000000"/>
      </bottom>
    </border>
    <border>
      <top style="dotted">
        <color rgb="FF000000"/>
      </top>
      <bottom style="medium">
        <color rgb="FF000000"/>
      </bottom>
    </border>
    <border>
      <right style="medium">
        <color rgb="FF999999"/>
      </right>
      <bottom style="dotted">
        <color rgb="FF000000"/>
      </bottom>
    </border>
    <border>
      <right style="medium">
        <color rgb="FF999999"/>
      </right>
    </border>
    <border>
      <left style="thick">
        <color rgb="FF000000"/>
      </left>
      <right style="thick">
        <color rgb="FF000000"/>
      </right>
      <top style="thick">
        <color rgb="FF000000"/>
      </top>
      <bottom style="hair">
        <color rgb="FF000000"/>
      </bottom>
    </border>
    <border>
      <left style="thick">
        <color rgb="FF000000"/>
      </left>
      <top style="hair">
        <color rgb="FF000000"/>
      </top>
      <bottom style="hair">
        <color rgb="FF000000"/>
      </bottom>
    </border>
    <border>
      <left style="thick">
        <color rgb="FFFF0000"/>
      </left>
      <top style="thick">
        <color rgb="FFFF0000"/>
      </top>
    </border>
    <border>
      <top style="thick">
        <color rgb="FFFF0000"/>
      </top>
    </border>
    <border>
      <right style="thick">
        <color rgb="FFFF0000"/>
      </right>
      <top style="thick">
        <color rgb="FFFF0000"/>
      </top>
    </border>
    <border>
      <top style="thick">
        <color rgb="FF000000"/>
      </top>
    </border>
    <border>
      <right style="thick">
        <color rgb="FF000000"/>
      </right>
      <top style="thick">
        <color rgb="FF000000"/>
      </top>
    </border>
    <border>
      <left style="thick">
        <color rgb="FF000000"/>
      </left>
      <top style="thick">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thick">
        <color rgb="FFFF0000"/>
      </left>
      <right style="medium">
        <color rgb="FF000000"/>
      </right>
      <top style="medium">
        <color rgb="FF000000"/>
      </top>
      <bottom style="medium">
        <color rgb="FF000000"/>
      </bottom>
    </border>
    <border>
      <left style="thick">
        <color rgb="FF000000"/>
      </left>
      <right style="thick">
        <color rgb="FFFF0000"/>
      </right>
      <top style="medium">
        <color rgb="FF000000"/>
      </top>
      <bottom style="medium">
        <color rgb="FF000000"/>
      </bottom>
    </border>
    <border>
      <left style="medium">
        <color rgb="FF000000"/>
      </left>
      <top style="medium">
        <color rgb="FF000000"/>
      </top>
      <bottom style="dotted">
        <color rgb="FF000000"/>
      </bottom>
    </border>
    <border>
      <left style="thick">
        <color rgb="FF000000"/>
      </left>
      <top style="hair">
        <color rgb="FF000000"/>
      </top>
      <bottom style="dotted">
        <color rgb="FF000000"/>
      </bottom>
    </border>
    <border>
      <left style="thick">
        <color rgb="FFFF0000"/>
      </left>
      <right style="thin">
        <color rgb="FF000000"/>
      </right>
      <top style="medium">
        <color rgb="FF000000"/>
      </top>
      <bottom style="dotted">
        <color rgb="FF000000"/>
      </bottom>
    </border>
    <border>
      <left style="thin">
        <color rgb="FF000000"/>
      </left>
      <right style="thin">
        <color rgb="FF000000"/>
      </right>
      <top style="medium">
        <color rgb="FF000000"/>
      </top>
      <bottom style="dotted">
        <color rgb="FF000000"/>
      </bottom>
    </border>
    <border>
      <left style="thin">
        <color rgb="FF000000"/>
      </left>
      <right style="thick">
        <color rgb="FFFF0000"/>
      </right>
      <top style="medium">
        <color rgb="FF000000"/>
      </top>
      <bottom style="dotted">
        <color rgb="FF000000"/>
      </bottom>
    </border>
    <border>
      <left style="thick">
        <color rgb="FF000000"/>
      </left>
      <right style="medium">
        <color rgb="FF000000"/>
      </right>
      <bottom style="dotted">
        <color rgb="FF000000"/>
      </bottom>
    </border>
    <border>
      <left style="medium">
        <color rgb="FF000000"/>
      </left>
      <right style="dotted">
        <color rgb="FF000000"/>
      </right>
      <top style="medium">
        <color rgb="FF000000"/>
      </top>
      <bottom style="dotted">
        <color rgb="FF000000"/>
      </bottom>
    </border>
    <border>
      <left style="dotted">
        <color rgb="FF000000"/>
      </left>
      <right style="dotted">
        <color rgb="FF000000"/>
      </right>
      <top style="medium">
        <color rgb="FF000000"/>
      </top>
      <bottom style="dotted">
        <color rgb="FF000000"/>
      </bottom>
    </border>
    <border>
      <left style="dotted">
        <color rgb="FF000000"/>
      </left>
      <right style="dotted">
        <color rgb="FF000000"/>
      </right>
      <bottom style="dotted">
        <color rgb="FF000000"/>
      </bottom>
    </border>
    <border>
      <left style="dotted">
        <color rgb="FF000000"/>
      </left>
      <bottom style="dotted">
        <color rgb="FF000000"/>
      </bottom>
    </border>
    <border>
      <right style="thin">
        <color rgb="FF000000"/>
      </right>
      <top style="thin">
        <color rgb="FF000000"/>
      </top>
    </border>
    <border>
      <left style="thin">
        <color rgb="FF000000"/>
      </left>
      <top style="thin">
        <color rgb="FF000000"/>
      </top>
    </border>
    <border>
      <left style="dotted">
        <color rgb="FF000000"/>
      </left>
      <right style="medium">
        <color rgb="FF000000"/>
      </right>
      <bottom style="dotted">
        <color rgb="FF000000"/>
      </bottom>
    </border>
    <border>
      <left style="medium">
        <color rgb="FF000000"/>
      </left>
      <top style="dotted">
        <color rgb="FF000000"/>
      </top>
      <bottom style="dotted">
        <color rgb="FF000000"/>
      </bottom>
    </border>
    <border>
      <left style="thick">
        <color rgb="FF000000"/>
      </left>
      <top style="dotted">
        <color rgb="FF000000"/>
      </top>
      <bottom style="dotted">
        <color rgb="FF000000"/>
      </bottom>
    </border>
    <border>
      <left style="thick">
        <color rgb="FFFF0000"/>
      </left>
      <right style="thin">
        <color rgb="FF000000"/>
      </right>
      <top style="dotted">
        <color rgb="FF000000"/>
      </top>
      <bottom style="dotted">
        <color rgb="FF000000"/>
      </bottom>
    </border>
    <border>
      <left style="thin">
        <color rgb="FF000000"/>
      </left>
      <right style="thin">
        <color rgb="FF000000"/>
      </right>
      <top style="dotted">
        <color rgb="FF000000"/>
      </top>
      <bottom style="dotted">
        <color rgb="FF000000"/>
      </bottom>
    </border>
    <border>
      <left style="thin">
        <color rgb="FF000000"/>
      </left>
      <right style="thick">
        <color rgb="FFFF0000"/>
      </right>
      <top style="dotted">
        <color rgb="FF000000"/>
      </top>
      <bottom style="dotted">
        <color rgb="FF000000"/>
      </bottom>
    </border>
    <border>
      <left style="medium">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dotted">
        <color rgb="FF000000"/>
      </left>
      <top style="dotted">
        <color rgb="FF000000"/>
      </top>
      <bottom style="dotted">
        <color rgb="FF000000"/>
      </bottom>
    </border>
    <border>
      <left style="dotted">
        <color rgb="FF000000"/>
      </left>
      <right style="medium">
        <color rgb="FF000000"/>
      </right>
      <top style="dotted">
        <color rgb="FF000000"/>
      </top>
      <bottom style="dotted">
        <color rgb="FF000000"/>
      </bottom>
    </border>
    <border>
      <left style="medium">
        <color rgb="FF000000"/>
      </left>
      <right style="dotted">
        <color rgb="FF000000"/>
      </right>
      <bottom style="dotted">
        <color rgb="FF000000"/>
      </bottom>
    </border>
    <border>
      <left style="medium">
        <color rgb="FF000000"/>
      </left>
      <top style="dotted">
        <color rgb="FF000000"/>
      </top>
    </border>
    <border>
      <left style="thick">
        <color rgb="FF000000"/>
      </left>
      <top style="dotted">
        <color rgb="FF000000"/>
      </top>
      <bottom style="hair">
        <color rgb="FF000000"/>
      </bottom>
    </border>
    <border>
      <left style="thick">
        <color rgb="FFFF0000"/>
      </left>
      <right style="thin">
        <color rgb="FF000000"/>
      </right>
      <top style="dotted">
        <color rgb="FF000000"/>
      </top>
      <bottom style="hair">
        <color rgb="FF000000"/>
      </bottom>
    </border>
    <border>
      <left style="thin">
        <color rgb="FF000000"/>
      </left>
      <right style="thin">
        <color rgb="FF000000"/>
      </right>
      <top style="dotted">
        <color rgb="FF000000"/>
      </top>
    </border>
    <border>
      <left style="thin">
        <color rgb="FF000000"/>
      </left>
      <right style="thick">
        <color rgb="FFFF0000"/>
      </right>
      <top style="dotted">
        <color rgb="FF000000"/>
      </top>
    </border>
    <border>
      <right style="medium">
        <color rgb="FF000000"/>
      </right>
      <top style="dotted">
        <color rgb="FF000000"/>
      </top>
    </border>
    <border>
      <left style="thick">
        <color rgb="FFFF0000"/>
      </left>
      <right style="thin">
        <color rgb="FF000000"/>
      </right>
      <top style="hair">
        <color rgb="FF000000"/>
      </top>
    </border>
    <border>
      <left style="thin">
        <color rgb="FF000000"/>
      </left>
      <right style="thin">
        <color rgb="FF000000"/>
      </right>
      <top style="hair">
        <color rgb="FF000000"/>
      </top>
    </border>
    <border>
      <left style="thin">
        <color rgb="FF000000"/>
      </left>
      <right style="thick">
        <color rgb="FFFF0000"/>
      </right>
    </border>
    <border>
      <left style="medium">
        <color rgb="FF000000"/>
      </left>
      <top style="hair">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thick">
        <color rgb="FFFF0000"/>
      </right>
      <top style="hair">
        <color rgb="FF000000"/>
      </top>
      <bottom style="hair">
        <color rgb="FF000000"/>
      </bottom>
    </border>
    <border>
      <right style="medium">
        <color rgb="FF000000"/>
      </right>
      <top style="hair">
        <color rgb="FF000000"/>
      </top>
      <bottom style="hair">
        <color rgb="FF000000"/>
      </bottom>
    </border>
    <border>
      <left style="medium">
        <color rgb="FF000000"/>
      </left>
      <right style="dotted">
        <color rgb="FF000000"/>
      </right>
      <top style="dotted">
        <color rgb="FF000000"/>
      </top>
    </border>
    <border>
      <left style="dotted">
        <color rgb="FF000000"/>
      </left>
      <right style="dotted">
        <color rgb="FF000000"/>
      </right>
      <top style="dotted">
        <color rgb="FF000000"/>
      </top>
    </border>
    <border>
      <left style="dotted">
        <color rgb="FF000000"/>
      </left>
      <right style="dotted">
        <color rgb="FF000000"/>
      </right>
    </border>
    <border>
      <left style="dotted">
        <color rgb="FF000000"/>
      </left>
      <top style="dotted">
        <color rgb="FF000000"/>
      </top>
    </border>
    <border>
      <left style="dotted">
        <color rgb="FF000000"/>
      </left>
      <right style="medium">
        <color rgb="FF000000"/>
      </right>
      <top style="dotted">
        <color rgb="FF000000"/>
      </top>
    </border>
    <border>
      <left style="thick">
        <color rgb="FFFF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thick">
        <color rgb="FFFF0000"/>
      </right>
      <top style="medium">
        <color rgb="FF000000"/>
      </top>
      <bottom style="medium">
        <color rgb="FF000000"/>
      </bottom>
    </border>
    <border>
      <left style="medium">
        <color rgb="FF000000"/>
      </left>
      <right style="dotted">
        <color rgb="FF000000"/>
      </right>
      <top style="medium">
        <color rgb="FF000000"/>
      </top>
      <bottom style="medium">
        <color rgb="FF000000"/>
      </bottom>
    </border>
    <border>
      <left style="dotted">
        <color rgb="FF000000"/>
      </left>
      <right style="dotted">
        <color rgb="FF000000"/>
      </right>
      <top style="medium">
        <color rgb="FF000000"/>
      </top>
      <bottom style="medium">
        <color rgb="FF000000"/>
      </bottom>
    </border>
    <border>
      <left style="thick">
        <color rgb="FFFF0000"/>
      </left>
      <right style="thin">
        <color rgb="FF000000"/>
      </right>
      <top style="medium">
        <color rgb="FF000000"/>
      </top>
      <bottom style="hair">
        <color rgb="FF000000"/>
      </bottom>
    </border>
    <border>
      <left style="thin">
        <color rgb="FF000000"/>
      </left>
      <right style="thin">
        <color rgb="FF000000"/>
      </right>
      <top style="medium">
        <color rgb="FF000000"/>
      </top>
      <bottom style="hair">
        <color rgb="FF000000"/>
      </bottom>
    </border>
    <border>
      <right style="medium">
        <color rgb="FF000000"/>
      </right>
      <top style="medium">
        <color rgb="FF000000"/>
      </top>
      <bottom style="hair">
        <color rgb="FF000000"/>
      </bottom>
    </border>
    <border>
      <left style="medium">
        <color rgb="FF000000"/>
      </left>
      <top style="medium">
        <color rgb="FF000000"/>
      </top>
      <bottom style="hair">
        <color rgb="FF000000"/>
      </bottom>
    </border>
    <border>
      <left style="thick">
        <color rgb="FFFF0000"/>
      </left>
      <right style="thin">
        <color rgb="FF000000"/>
      </right>
      <top style="hair">
        <color rgb="FF000000"/>
      </top>
      <bottom style="hair">
        <color rgb="FF000000"/>
      </bottom>
    </border>
    <border>
      <right style="medium">
        <color rgb="FF000000"/>
      </right>
      <bottom style="hair">
        <color rgb="FF000000"/>
      </bottom>
    </border>
    <border>
      <right style="medium">
        <color rgb="FF000000"/>
      </right>
      <top style="hair">
        <color rgb="FF000000"/>
      </top>
    </border>
    <border>
      <left style="thick">
        <color rgb="FFFF0000"/>
      </left>
      <right style="thin">
        <color rgb="FF000000"/>
      </right>
      <top style="medium">
        <color rgb="FF000000"/>
      </top>
      <bottom style="thick">
        <color rgb="FFFF0000"/>
      </bottom>
    </border>
    <border>
      <left style="thin">
        <color rgb="FF000000"/>
      </left>
      <right style="thin">
        <color rgb="FF000000"/>
      </right>
      <top style="medium">
        <color rgb="FF000000"/>
      </top>
      <bottom style="thick">
        <color rgb="FFFF0000"/>
      </bottom>
    </border>
    <border>
      <left style="thin">
        <color rgb="FF000000"/>
      </left>
      <right style="thick">
        <color rgb="FFFF0000"/>
      </right>
      <top style="medium">
        <color rgb="FF000000"/>
      </top>
      <bottom style="thick">
        <color rgb="FFFF0000"/>
      </bottom>
    </border>
    <border>
      <left style="dotted">
        <color rgb="FF000000"/>
      </left>
      <top style="medium">
        <color rgb="FF000000"/>
      </top>
      <bottom style="medium">
        <color rgb="FF000000"/>
      </bottom>
    </border>
    <border>
      <left style="dotted">
        <color rgb="FF000000"/>
      </left>
      <right style="medium">
        <color rgb="FF000000"/>
      </right>
      <top style="medium">
        <color rgb="FF000000"/>
      </top>
      <bottom style="medium">
        <color rgb="FF000000"/>
      </bottom>
    </border>
    <border>
      <left style="thick">
        <color rgb="FF000000"/>
      </left>
      <right style="thick">
        <color rgb="FF000000"/>
      </right>
      <top style="hair">
        <color rgb="FF000000"/>
      </top>
      <bottom style="hair">
        <color rgb="FF000000"/>
      </bottom>
    </border>
    <border>
      <right style="thin">
        <color rgb="FF000000"/>
      </right>
      <bottom style="hair">
        <color rgb="FF000000"/>
      </bottom>
    </border>
    <border>
      <left style="thin">
        <color rgb="FF000000"/>
      </left>
      <right style="thin">
        <color rgb="FF000000"/>
      </right>
      <bottom style="hair">
        <color rgb="FF000000"/>
      </bottom>
    </border>
    <border>
      <left style="thin">
        <color rgb="FF000000"/>
      </left>
      <right style="medium">
        <color rgb="FF000000"/>
      </right>
      <bottom style="hair">
        <color rgb="FF000000"/>
      </bottom>
    </border>
    <border>
      <right style="thin">
        <color rgb="FF000000"/>
      </right>
      <top style="hair">
        <color rgb="FF000000"/>
      </top>
      <bottom style="hair">
        <color rgb="FF000000"/>
      </bottom>
    </border>
    <border>
      <left style="thin">
        <color rgb="FF000000"/>
      </left>
      <right style="medium">
        <color rgb="FF000000"/>
      </right>
      <top style="hair">
        <color rgb="FF000000"/>
      </top>
      <bottom style="hair">
        <color rgb="FF000000"/>
      </bottom>
    </border>
    <border>
      <right style="thin">
        <color rgb="FF000000"/>
      </right>
      <top style="hair">
        <color rgb="FF000000"/>
      </top>
    </border>
    <border>
      <left style="thin">
        <color rgb="FF000000"/>
      </left>
      <right style="medium">
        <color rgb="FF000000"/>
      </right>
      <top style="hair">
        <color rgb="FF000000"/>
      </top>
    </border>
    <border>
      <right style="thin">
        <color rgb="FF000000"/>
      </right>
    </border>
    <border>
      <left style="medium">
        <color rgb="FF000000"/>
      </left>
      <top style="hair">
        <color rgb="FF000000"/>
      </top>
      <bottom style="medium">
        <color rgb="FF000000"/>
      </bottom>
    </border>
    <border>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hair">
        <color rgb="FF000000"/>
      </left>
      <top style="hair">
        <color rgb="FF000000"/>
      </top>
      <bottom style="hair">
        <color rgb="FF000000"/>
      </bottom>
    </border>
    <border>
      <left style="hair">
        <color rgb="FF000000"/>
      </left>
      <top style="hair">
        <color rgb="FF000000"/>
      </top>
    </border>
    <border>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top style="thin">
        <color rgb="FF000000"/>
      </top>
      <bottom style="medium">
        <color rgb="FF000000"/>
      </bottom>
    </border>
    <border>
      <left style="medium">
        <color rgb="FF000000"/>
      </left>
      <top style="medium">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left style="medium">
        <color rgb="FF000000"/>
      </left>
      <right style="medium">
        <color rgb="FF000000"/>
      </right>
      <top style="dotted">
        <color rgb="FF000000"/>
      </top>
      <bottom style="hair">
        <color rgb="FF000000"/>
      </bottom>
    </border>
    <border>
      <left style="thin">
        <color rgb="FF000000"/>
      </left>
      <bottom style="thin">
        <color rgb="FF000000"/>
      </bottom>
    </border>
    <border>
      <left style="medium">
        <color rgb="FF999999"/>
      </left>
      <top style="medium">
        <color rgb="FF999999"/>
      </top>
    </border>
    <border>
      <right style="medium">
        <color rgb="FF999999"/>
      </right>
      <top style="medium">
        <color rgb="FF999999"/>
      </top>
    </border>
    <border>
      <left style="medium">
        <color rgb="FF999999"/>
      </left>
      <bottom style="medium">
        <color rgb="FF999999"/>
      </bottom>
    </border>
    <border>
      <right style="medium">
        <color rgb="FF999999"/>
      </right>
      <bottom style="medium">
        <color rgb="FF999999"/>
      </bottom>
    </border>
    <border>
      <left style="medium">
        <color rgb="FF000000"/>
      </left>
      <right style="medium">
        <color rgb="FF999999"/>
      </right>
      <top style="medium">
        <color rgb="FF999999"/>
      </top>
    </border>
    <border>
      <left style="medium">
        <color rgb="FF999999"/>
      </left>
      <right style="medium">
        <color rgb="FF000000"/>
      </right>
      <top style="medium">
        <color rgb="FF999999"/>
      </top>
    </border>
    <border>
      <left style="medium">
        <color rgb="FF999999"/>
      </left>
      <right style="medium">
        <color rgb="FF000000"/>
      </right>
    </border>
    <border>
      <left style="medium">
        <color rgb="FF000000"/>
      </left>
      <right style="medium">
        <color rgb="FF999999"/>
      </right>
      <top style="medium">
        <color rgb="FF000000"/>
      </top>
    </border>
    <border>
      <top style="medium">
        <color rgb="FF000000"/>
      </top>
      <bottom style="dotted">
        <color rgb="FF000000"/>
      </bottom>
    </border>
    <border>
      <left style="medium">
        <color rgb="FF999999"/>
      </left>
      <right style="medium">
        <color rgb="FF000000"/>
      </right>
      <top style="medium">
        <color rgb="FF000000"/>
      </top>
      <bottom style="dotted">
        <color rgb="FF000000"/>
      </bottom>
    </border>
    <border>
      <left style="medium">
        <color rgb="FF000000"/>
      </left>
      <right style="medium">
        <color rgb="FF999999"/>
      </right>
    </border>
    <border>
      <left style="medium">
        <color rgb="FF999999"/>
      </left>
      <right style="medium">
        <color rgb="FF000000"/>
      </right>
      <top style="dotted">
        <color rgb="FF000000"/>
      </top>
      <bottom style="dotted">
        <color rgb="FF000000"/>
      </bottom>
    </border>
    <border>
      <left style="medium">
        <color rgb="FF000000"/>
      </left>
      <right style="medium">
        <color rgb="FF999999"/>
      </right>
      <bottom style="medium">
        <color rgb="FF000000"/>
      </bottom>
    </border>
    <border>
      <left style="medium">
        <color rgb="FF999999"/>
      </left>
      <right style="medium">
        <color rgb="FF000000"/>
      </right>
      <top style="dotted">
        <color rgb="FF000000"/>
      </top>
      <bottom style="medium">
        <color rgb="FF000000"/>
      </bottom>
    </border>
    <border>
      <right style="medium">
        <color rgb="FF999999"/>
      </right>
      <top style="dotted">
        <color rgb="FF000000"/>
      </top>
      <bottom style="medium">
        <color rgb="FF000000"/>
      </bottom>
    </border>
    <border>
      <left style="medium">
        <color rgb="FF999999"/>
      </left>
      <top style="medium">
        <color rgb="FF000000"/>
      </top>
      <bottom style="dotted">
        <color rgb="FF000000"/>
      </bottom>
    </border>
    <border>
      <left style="medium">
        <color rgb="FF999999"/>
      </left>
      <top style="dotted">
        <color rgb="FF000000"/>
      </top>
      <bottom style="medium">
        <color rgb="FF000000"/>
      </bottom>
    </border>
    <border>
      <left style="medium">
        <color rgb="FF999999"/>
      </left>
      <right style="medium">
        <color rgb="FF000000"/>
      </right>
      <bottom style="medium">
        <color rgb="FF000000"/>
      </bottom>
    </border>
    <border>
      <left style="medium">
        <color rgb="FF000000"/>
      </left>
      <right style="medium">
        <color rgb="FF999999"/>
      </right>
      <top style="medium">
        <color rgb="FF000000"/>
      </top>
      <bottom style="medium">
        <color rgb="FF000000"/>
      </bottom>
    </border>
    <border>
      <left style="medium">
        <color rgb="FF999999"/>
      </left>
      <top style="medium">
        <color rgb="FF000000"/>
      </top>
      <bottom style="medium">
        <color rgb="FF000000"/>
      </bottom>
    </border>
    <border>
      <left style="medium">
        <color rgb="FF999999"/>
      </left>
      <right style="medium">
        <color rgb="FF000000"/>
      </right>
      <top style="medium">
        <color rgb="FF000000"/>
      </top>
      <bottom style="medium">
        <color rgb="FF000000"/>
      </bottom>
    </border>
    <border>
      <right style="medium">
        <color rgb="FF999999"/>
      </right>
      <top style="medium">
        <color rgb="FF000000"/>
      </top>
      <bottom style="medium">
        <color rgb="FF000000"/>
      </bottom>
    </border>
    <border>
      <right style="medium">
        <color rgb="FF000000"/>
      </right>
      <top style="medium">
        <color rgb="FF000000"/>
      </top>
      <bottom style="dotted">
        <color rgb="FF000000"/>
      </bottom>
    </border>
    <border>
      <left style="thick">
        <color rgb="FF999999"/>
      </left>
      <top style="thick">
        <color rgb="FF999999"/>
      </top>
      <bottom style="thick">
        <color rgb="FF999999"/>
      </bottom>
    </border>
    <border>
      <top style="thick">
        <color rgb="FF999999"/>
      </top>
      <bottom style="thick">
        <color rgb="FF999999"/>
      </bottom>
    </border>
    <border>
      <left style="medium">
        <color rgb="FF000000"/>
      </left>
      <right style="medium">
        <color rgb="FF000000"/>
      </right>
      <top style="thick">
        <color rgb="FF999999"/>
      </top>
      <bottom style="thick">
        <color rgb="FF999999"/>
      </bottom>
    </border>
    <border>
      <left style="thick">
        <color rgb="FF000000"/>
      </left>
      <top style="thick">
        <color rgb="FF999999"/>
      </top>
      <bottom style="thick">
        <color rgb="FF999999"/>
      </bottom>
    </border>
    <border>
      <left style="medium">
        <color rgb="FF000000"/>
      </left>
      <bottom style="thick">
        <color rgb="FF999999"/>
      </bottom>
    </border>
    <border>
      <right style="medium">
        <color rgb="FF000000"/>
      </right>
      <bottom style="thick">
        <color rgb="FF999999"/>
      </bottom>
    </border>
    <border>
      <bottom style="thick">
        <color rgb="FF999999"/>
      </bottom>
    </border>
    <border>
      <bottom style="medium">
        <color rgb="FF999999"/>
      </bottom>
    </border>
    <border>
      <left style="medium">
        <color rgb="FF000000"/>
      </left>
      <right style="medium">
        <color rgb="FF000000"/>
      </right>
      <bottom style="medium">
        <color rgb="FF999999"/>
      </bottom>
    </border>
    <border>
      <left style="thick">
        <color rgb="FF000000"/>
      </left>
      <bottom style="medium">
        <color rgb="FF999999"/>
      </bottom>
    </border>
    <border>
      <left style="medium">
        <color rgb="FF000000"/>
      </left>
      <bottom style="medium">
        <color rgb="FF999999"/>
      </bottom>
    </border>
    <border>
      <right style="medium">
        <color rgb="FF000000"/>
      </right>
      <bottom style="medium">
        <color rgb="FF999999"/>
      </bottom>
    </border>
    <border>
      <top style="medium">
        <color rgb="FF999999"/>
      </top>
      <bottom style="medium">
        <color rgb="FF999999"/>
      </bottom>
    </border>
    <border>
      <left style="medium">
        <color rgb="FF000000"/>
      </left>
      <right style="medium">
        <color rgb="FF000000"/>
      </right>
      <top style="medium">
        <color rgb="FF999999"/>
      </top>
      <bottom style="medium">
        <color rgb="FF999999"/>
      </bottom>
    </border>
    <border>
      <left style="thick">
        <color rgb="FF000000"/>
      </left>
      <top style="medium">
        <color rgb="FF999999"/>
      </top>
      <bottom style="medium">
        <color rgb="FF999999"/>
      </bottom>
    </border>
    <border>
      <left style="medium">
        <color rgb="FF000000"/>
      </left>
      <top style="medium">
        <color rgb="FF999999"/>
      </top>
      <bottom style="medium">
        <color rgb="FF999999"/>
      </bottom>
    </border>
    <border>
      <right style="medium">
        <color rgb="FF000000"/>
      </right>
      <top style="medium">
        <color rgb="FF999999"/>
      </top>
      <bottom style="medium">
        <color rgb="FF999999"/>
      </bottom>
    </border>
    <border>
      <top style="medium">
        <color rgb="FF999999"/>
      </top>
    </border>
    <border>
      <left style="medium">
        <color rgb="FF000000"/>
      </left>
      <right style="medium">
        <color rgb="FF000000"/>
      </right>
      <top style="medium">
        <color rgb="FF999999"/>
      </top>
    </border>
    <border>
      <left style="thick">
        <color rgb="FF000000"/>
      </left>
      <top style="medium">
        <color rgb="FF999999"/>
      </top>
    </border>
    <border>
      <left style="medium">
        <color rgb="FF000000"/>
      </left>
      <top style="medium">
        <color rgb="FF999999"/>
      </top>
    </border>
    <border>
      <right style="medium">
        <color rgb="FF000000"/>
      </right>
      <top style="medium">
        <color rgb="FF999999"/>
      </top>
    </border>
    <border>
      <left style="thick">
        <color rgb="FF000000"/>
      </left>
      <right style="medium">
        <color rgb="FF434343"/>
      </right>
      <top style="medium">
        <color rgb="FF000000"/>
      </top>
    </border>
    <border>
      <left style="medium">
        <color rgb="FF434343"/>
      </left>
      <right style="medium">
        <color rgb="FF434343"/>
      </right>
      <top style="medium">
        <color rgb="FF000000"/>
      </top>
    </border>
    <border>
      <left style="medium">
        <color rgb="FF434343"/>
      </left>
      <top style="medium">
        <color rgb="FF000000"/>
      </top>
    </border>
    <border>
      <left style="medium">
        <color rgb="FF000000"/>
      </left>
      <right style="dotted">
        <color rgb="FF000000"/>
      </right>
      <top style="medium">
        <color rgb="FF000000"/>
      </top>
    </border>
    <border>
      <left style="dotted">
        <color rgb="FF000000"/>
      </left>
      <right style="medium">
        <color rgb="FF000000"/>
      </right>
      <top style="medium">
        <color rgb="FF000000"/>
      </top>
    </border>
    <border>
      <left style="dotted">
        <color rgb="FF000000"/>
      </left>
      <right style="dotted">
        <color rgb="FF000000"/>
      </right>
      <top style="medium">
        <color rgb="FF000000"/>
      </top>
    </border>
    <border>
      <right style="dotted">
        <color rgb="FF000000"/>
      </right>
      <top style="medium">
        <color rgb="FF000000"/>
      </top>
    </border>
    <border>
      <left style="dotted">
        <color rgb="FF000000"/>
      </left>
      <right style="medium">
        <color rgb="FF000000"/>
      </right>
      <top style="medium">
        <color rgb="FF000000"/>
      </top>
      <bottom style="dotted">
        <color rgb="FF000000"/>
      </bottom>
    </border>
    <border>
      <left style="dotted">
        <color rgb="FF000000"/>
      </left>
      <top style="medium">
        <color rgb="FF000000"/>
      </top>
      <bottom style="dotted">
        <color rgb="FF000000"/>
      </bottom>
    </border>
    <border>
      <left style="medium">
        <color rgb="FF000000"/>
      </left>
      <top style="dotted">
        <color rgb="FF000000"/>
      </top>
      <bottom style="medium">
        <color rgb="FF000000"/>
      </bottom>
    </border>
    <border>
      <left style="medium">
        <color rgb="FF000000"/>
      </left>
      <right style="dotted">
        <color rgb="FF000000"/>
      </right>
      <top style="dotted">
        <color rgb="FF000000"/>
      </top>
      <bottom style="medium">
        <color rgb="FF000000"/>
      </bottom>
    </border>
    <border>
      <left style="dotted">
        <color rgb="FF000000"/>
      </left>
      <right style="medium">
        <color rgb="FF000000"/>
      </right>
      <top style="dotted">
        <color rgb="FF000000"/>
      </top>
      <bottom style="medium">
        <color rgb="FF000000"/>
      </bottom>
    </border>
    <border>
      <left style="dotted">
        <color rgb="FF000000"/>
      </left>
      <top style="dotted">
        <color rgb="FF000000"/>
      </top>
      <bottom style="medium">
        <color rgb="FF000000"/>
      </bottom>
    </border>
    <border>
      <right style="hair">
        <color rgb="FF000000"/>
      </right>
      <bottom style="medium">
        <color rgb="FF000000"/>
      </bottom>
    </border>
    <border>
      <left style="hair">
        <color rgb="FF000000"/>
      </left>
      <bottom style="medium">
        <color rgb="FF000000"/>
      </bottom>
    </border>
    <border>
      <left style="hair">
        <color rgb="FF000000"/>
      </left>
      <right style="hair">
        <color rgb="FF000000"/>
      </right>
      <top style="medium">
        <color rgb="FF000000"/>
      </top>
    </border>
    <border>
      <left style="hair">
        <color rgb="FF000000"/>
      </left>
      <right style="medium">
        <color rgb="FF000000"/>
      </right>
      <top style="medium">
        <color rgb="FF000000"/>
      </top>
    </border>
    <border>
      <left style="medium">
        <color rgb="FF000000"/>
      </left>
      <right style="hair">
        <color rgb="FF000000"/>
      </right>
    </border>
    <border>
      <left style="hair">
        <color rgb="FF000000"/>
      </left>
      <right style="hair">
        <color rgb="FF000000"/>
      </right>
    </border>
    <border>
      <right style="hair">
        <color rgb="FF000000"/>
      </right>
    </border>
    <border>
      <left style="dotted">
        <color rgb="FF000000"/>
      </left>
      <right style="hair">
        <color rgb="FF000000"/>
      </right>
      <bottom style="dotted">
        <color rgb="FF000000"/>
      </bottom>
    </border>
    <border>
      <left style="medium">
        <color rgb="FF000000"/>
      </left>
      <top style="dotted">
        <color rgb="FF000000"/>
      </top>
      <bottom style="hair">
        <color rgb="FF000000"/>
      </bottom>
    </border>
    <border>
      <top style="dotted">
        <color rgb="FF000000"/>
      </top>
      <bottom style="hair">
        <color rgb="FF000000"/>
      </bottom>
    </border>
    <border>
      <left style="hair">
        <color rgb="FF000000"/>
      </left>
      <right style="hair">
        <color rgb="FF000000"/>
      </right>
      <top style="dotted">
        <color rgb="FF000000"/>
      </top>
      <bottom style="hair">
        <color rgb="FF000000"/>
      </bottom>
    </border>
    <border>
      <left style="hair">
        <color rgb="FF000000"/>
      </left>
      <right style="medium">
        <color rgb="FF000000"/>
      </right>
      <top style="dotted">
        <color rgb="FF000000"/>
      </top>
      <bottom style="hair">
        <color rgb="FF000000"/>
      </bottom>
    </border>
    <border>
      <left style="medium">
        <color rgb="FF000000"/>
      </left>
      <right style="hair">
        <color rgb="FF000000"/>
      </right>
      <top style="dotted">
        <color rgb="FF000000"/>
      </top>
      <bottom style="hair">
        <color rgb="FF000000"/>
      </bottom>
    </border>
    <border>
      <left style="medium">
        <color rgb="FF000000"/>
      </left>
      <right style="hair">
        <color rgb="FF000000"/>
      </right>
      <top style="hair">
        <color rgb="FF000000"/>
      </top>
      <bottom style="hair">
        <color rgb="FF000000"/>
      </bottom>
    </border>
    <border>
      <right style="hair">
        <color rgb="FF000000"/>
      </right>
      <bottom style="hair">
        <color rgb="FF000000"/>
      </bottom>
    </border>
    <border>
      <left style="hair">
        <color rgb="FF000000"/>
      </left>
      <right style="medium">
        <color rgb="FF000000"/>
      </right>
      <top style="hair">
        <color rgb="FF000000"/>
      </top>
      <bottom style="hair">
        <color rgb="FF000000"/>
      </bottom>
    </border>
    <border>
      <left style="dotted">
        <color rgb="FF000000"/>
      </left>
      <right style="hair">
        <color rgb="FF000000"/>
      </right>
      <top style="dotted">
        <color rgb="FF000000"/>
      </top>
      <bottom style="dotted">
        <color rgb="FF000000"/>
      </bottom>
    </border>
    <border>
      <left style="hair">
        <color rgb="FF000000"/>
      </left>
      <right style="hair">
        <color rgb="FF000000"/>
      </right>
      <top style="hair">
        <color rgb="FF000000"/>
      </top>
      <bottom style="hair">
        <color rgb="FF000000"/>
      </bottom>
    </border>
    <border>
      <right style="hair">
        <color rgb="FF000000"/>
      </right>
      <top style="hair">
        <color rgb="FF000000"/>
      </top>
      <bottom style="hair">
        <color rgb="FF000000"/>
      </bottom>
    </border>
    <border>
      <left style="medium">
        <color rgb="FF000000"/>
      </left>
      <right style="medium">
        <color rgb="FF000000"/>
      </right>
      <top style="hair">
        <color rgb="FF000000"/>
      </top>
      <bottom style="dotted">
        <color rgb="FF000000"/>
      </bottom>
    </border>
    <border>
      <left style="hair">
        <color rgb="FF000000"/>
      </left>
      <right style="hair">
        <color rgb="FF000000"/>
      </right>
      <top style="hair">
        <color rgb="FF000000"/>
      </top>
      <bottom style="dotted">
        <color rgb="FF000000"/>
      </bottom>
    </border>
    <border>
      <left style="hair">
        <color rgb="FF000000"/>
      </left>
      <right style="medium">
        <color rgb="FF000000"/>
      </right>
      <top style="hair">
        <color rgb="FF000000"/>
      </top>
      <bottom style="dotted">
        <color rgb="FF000000"/>
      </bottom>
    </border>
    <border>
      <left style="medium">
        <color rgb="FF000000"/>
      </left>
      <right style="hair">
        <color rgb="FF000000"/>
      </right>
      <top style="hair">
        <color rgb="FF000000"/>
      </top>
      <bottom style="dotted">
        <color rgb="FF000000"/>
      </bottom>
    </border>
    <border>
      <left style="medium">
        <color rgb="FF000000"/>
      </left>
      <top style="hair">
        <color rgb="FF000000"/>
      </top>
      <bottom style="dotted">
        <color rgb="FF000000"/>
      </bottom>
    </border>
    <border>
      <right style="hair">
        <color rgb="FF000000"/>
      </right>
      <top style="hair">
        <color rgb="FF000000"/>
      </top>
    </border>
    <border>
      <left style="medium">
        <color rgb="FF000000"/>
      </left>
      <right style="hair">
        <color rgb="FF000000"/>
      </right>
      <bottom style="dotted">
        <color rgb="FF000000"/>
      </bottom>
    </border>
    <border>
      <left style="hair">
        <color rgb="FF000000"/>
      </left>
      <right style="hair">
        <color rgb="FF000000"/>
      </right>
      <bottom style="dotted">
        <color rgb="FF000000"/>
      </bottom>
    </border>
    <border>
      <left style="hair">
        <color rgb="FF000000"/>
      </left>
      <right style="medium">
        <color rgb="FF000000"/>
      </right>
      <bottom style="dotted">
        <color rgb="FF000000"/>
      </bottom>
    </border>
    <border>
      <left style="medium">
        <color rgb="FF000000"/>
      </left>
      <bottom style="dotted">
        <color rgb="FF000000"/>
      </bottom>
    </border>
    <border>
      <left style="hair">
        <color rgb="FF000000"/>
      </left>
      <right style="hair">
        <color rgb="FF000000"/>
      </right>
      <bottom style="medium">
        <color rgb="FF000000"/>
      </bottom>
    </border>
    <border>
      <left style="hair">
        <color rgb="FF000000"/>
      </left>
      <right style="medium">
        <color rgb="FF000000"/>
      </right>
      <bottom style="medium">
        <color rgb="FF000000"/>
      </bottom>
    </border>
    <border>
      <left style="medium">
        <color rgb="FF000000"/>
      </left>
      <right style="hair">
        <color rgb="FF000000"/>
      </right>
      <bottom style="medium">
        <color rgb="FF000000"/>
      </bottom>
    </border>
    <border>
      <left style="medium">
        <color rgb="FF000000"/>
      </left>
      <right style="hair">
        <color rgb="FF000000"/>
      </right>
      <top style="hair">
        <color rgb="FF000000"/>
      </top>
      <bottom style="medium">
        <color rgb="FF000000"/>
      </bottom>
    </border>
    <border>
      <left style="hair">
        <color rgb="FF000000"/>
      </left>
      <right style="medium">
        <color rgb="FF000000"/>
      </right>
      <top style="hair">
        <color rgb="FF000000"/>
      </top>
      <bottom style="medium">
        <color rgb="FF000000"/>
      </bottom>
    </border>
    <border>
      <left style="dotted">
        <color rgb="FF000000"/>
      </left>
      <right style="dotted">
        <color rgb="FF000000"/>
      </right>
      <top style="dotted">
        <color rgb="FF000000"/>
      </top>
      <bottom style="medium">
        <color rgb="FF000000"/>
      </bottom>
    </border>
    <border>
      <left style="dotted">
        <color rgb="FF000000"/>
      </left>
      <right style="hair">
        <color rgb="FF000000"/>
      </right>
      <top style="dotted">
        <color rgb="FF000000"/>
      </top>
      <bottom style="medium">
        <color rgb="FF000000"/>
      </bottom>
    </border>
    <border>
      <left style="medium">
        <color rgb="FF000000"/>
      </left>
      <right style="hair">
        <color rgb="FF000000"/>
      </right>
      <bottom style="hair">
        <color rgb="FF000000"/>
      </bottom>
    </border>
    <border>
      <left style="hair">
        <color rgb="FF000000"/>
      </left>
      <right style="medium">
        <color rgb="FF000000"/>
      </right>
      <bottom style="hair">
        <color rgb="FF000000"/>
      </bottom>
    </border>
    <border>
      <left style="hair">
        <color rgb="FF000000"/>
      </left>
      <right style="hair">
        <color rgb="FF000000"/>
      </right>
      <top style="dotted">
        <color rgb="FF000000"/>
      </top>
      <bottom style="dotted">
        <color rgb="FF000000"/>
      </bottom>
    </border>
    <border>
      <left style="hair">
        <color rgb="FF000000"/>
      </left>
      <right style="medium">
        <color rgb="FF000000"/>
      </right>
      <top style="dotted">
        <color rgb="FF000000"/>
      </top>
      <bottom style="dotted">
        <color rgb="FF000000"/>
      </bottom>
    </border>
    <border>
      <left style="medium">
        <color rgb="FF000000"/>
      </left>
      <right style="hair">
        <color rgb="FF000000"/>
      </right>
      <top style="dotted">
        <color rgb="FF000000"/>
      </top>
      <bottom style="dotted">
        <color rgb="FF000000"/>
      </bottom>
    </border>
    <border>
      <left style="hair">
        <color rgb="FF000000"/>
      </left>
      <right style="hair">
        <color rgb="FF000000"/>
      </right>
      <top style="hair">
        <color rgb="FF000000"/>
      </top>
      <bottom style="medium">
        <color rgb="FF000000"/>
      </bottom>
    </border>
    <border>
      <right style="hair">
        <color rgb="FF000000"/>
      </right>
      <top style="hair">
        <color rgb="FF000000"/>
      </top>
      <bottom style="medium">
        <color rgb="FF000000"/>
      </bottom>
    </border>
    <border>
      <bottom style="hair">
        <color rgb="FF000000"/>
      </bottom>
    </border>
    <border>
      <left style="hair">
        <color rgb="FF000000"/>
      </left>
      <right style="hair">
        <color rgb="FF000000"/>
      </right>
      <bottom style="hair">
        <color rgb="FF000000"/>
      </bottom>
    </border>
    <border>
      <left style="medium">
        <color rgb="FF000000"/>
      </left>
      <right style="hair">
        <color rgb="FF000000"/>
      </right>
      <top style="dotted">
        <color rgb="FF000000"/>
      </top>
    </border>
    <border>
      <left style="hair">
        <color rgb="FF000000"/>
      </left>
      <right style="hair">
        <color rgb="FF000000"/>
      </right>
      <top style="dotted">
        <color rgb="FF000000"/>
      </top>
    </border>
    <border>
      <left style="hair">
        <color rgb="FF000000"/>
      </left>
      <right style="medium">
        <color rgb="FF000000"/>
      </right>
      <top style="dotted">
        <color rgb="FF000000"/>
      </top>
    </border>
    <border>
      <left style="medium">
        <color rgb="FF000000"/>
      </left>
      <right style="hair">
        <color rgb="FF000000"/>
      </right>
      <top style="hair">
        <color rgb="FF000000"/>
      </top>
    </border>
    <border>
      <left style="hair">
        <color rgb="FF000000"/>
      </left>
      <right style="hair">
        <color rgb="FF000000"/>
      </right>
      <top style="hair">
        <color rgb="FF000000"/>
      </top>
    </border>
    <border>
      <left style="hair">
        <color rgb="FF000000"/>
      </left>
      <right style="medium">
        <color rgb="FF000000"/>
      </right>
      <top style="hair">
        <color rgb="FF000000"/>
      </top>
    </border>
    <border>
      <left style="dotted">
        <color rgb="FF000000"/>
      </left>
      <right style="medium">
        <color rgb="FF000000"/>
      </right>
      <top style="dotted">
        <color rgb="FF000000"/>
      </top>
      <bottom style="hair">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medium">
        <color rgb="FF000000"/>
      </right>
      <top style="thin">
        <color rgb="FF000000"/>
      </top>
      <bottom style="medium">
        <color rgb="FF000000"/>
      </bottom>
    </border>
    <border>
      <left style="thin">
        <color rgb="FF000000"/>
      </left>
    </border>
    <border>
      <right style="thin">
        <color rgb="FF000000"/>
      </right>
      <bottom style="thin">
        <color rgb="FF000000"/>
      </bottom>
    </border>
    <border>
      <left style="thick">
        <color rgb="FF000000"/>
      </left>
      <right style="thin">
        <color rgb="FF000000"/>
      </right>
      <top style="medium">
        <color rgb="FF000000"/>
      </top>
      <bottom style="thin">
        <color rgb="FF000000"/>
      </bottom>
    </border>
    <border>
      <left style="thin">
        <color rgb="FF000000"/>
      </left>
      <right style="thin">
        <color rgb="FF000000"/>
      </right>
      <top style="medium">
        <color rgb="FF000000"/>
      </top>
    </border>
    <border>
      <left style="thin">
        <color rgb="FF000000"/>
      </left>
      <right style="thick">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ck">
        <color rgb="FF000000"/>
      </left>
      <top style="thin">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ttom style="thin">
        <color rgb="FF000000"/>
      </bottom>
    </border>
    <border>
      <left style="medium">
        <color rgb="FF000000"/>
      </left>
      <right style="thin">
        <color rgb="FF000000"/>
      </right>
    </border>
    <border>
      <left style="medium">
        <color rgb="FF000000"/>
      </left>
      <right style="thin">
        <color rgb="FF000000"/>
      </right>
      <bottom style="thin">
        <color rgb="FF000000"/>
      </bottom>
    </border>
    <border>
      <left style="thick">
        <color rgb="FF000000"/>
      </lef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ck">
        <color rgb="FF000000"/>
      </left>
      <bottom style="hair">
        <color rgb="FF000000"/>
      </bottom>
    </border>
    <border>
      <left style="medium">
        <color rgb="FF000000"/>
      </left>
      <right style="thin">
        <color rgb="FF000000"/>
      </right>
      <bottom style="hair">
        <color rgb="FF000000"/>
      </bottom>
    </border>
    <border>
      <left style="thin">
        <color rgb="FF000000"/>
      </left>
      <bottom style="hair">
        <color rgb="FF000000"/>
      </bottom>
    </border>
    <border>
      <left style="medium">
        <color rgb="FF000000"/>
      </left>
      <right style="thin">
        <color rgb="FF000000"/>
      </right>
      <top style="hair">
        <color rgb="FF000000"/>
      </top>
      <bottom style="hair">
        <color rgb="FF000000"/>
      </bottom>
    </border>
    <border>
      <left style="thin">
        <color rgb="FF000000"/>
      </left>
      <top style="hair">
        <color rgb="FF000000"/>
      </top>
      <bottom style="hair">
        <color rgb="FF000000"/>
      </bottom>
    </border>
    <border>
      <left style="thick">
        <color rgb="FF000000"/>
      </left>
      <top style="hair">
        <color rgb="FF000000"/>
      </top>
      <bottom style="thin">
        <color rgb="FF000000"/>
      </bottom>
    </border>
    <border>
      <left style="medium">
        <color rgb="FF000000"/>
      </left>
      <right style="thin">
        <color rgb="FF000000"/>
      </right>
      <top style="hair">
        <color rgb="FF000000"/>
      </top>
      <bottom style="thin">
        <color rgb="FF000000"/>
      </bottom>
    </border>
    <border>
      <left style="thin">
        <color rgb="FF000000"/>
      </left>
      <right style="thin">
        <color rgb="FF000000"/>
      </right>
      <top style="hair">
        <color rgb="FF000000"/>
      </top>
      <bottom style="thin">
        <color rgb="FF000000"/>
      </bottom>
    </border>
    <border>
      <left style="thin">
        <color rgb="FF000000"/>
      </left>
      <right style="medium">
        <color rgb="FF000000"/>
      </right>
      <top style="hair">
        <color rgb="FF000000"/>
      </top>
      <bottom style="thin">
        <color rgb="FF000000"/>
      </bottom>
    </border>
    <border>
      <right style="thin">
        <color rgb="FF000000"/>
      </right>
      <top style="hair">
        <color rgb="FF000000"/>
      </top>
      <bottom style="thin">
        <color rgb="FF000000"/>
      </bottom>
    </border>
    <border>
      <left style="thin">
        <color rgb="FF000000"/>
      </left>
      <top style="hair">
        <color rgb="FF000000"/>
      </top>
      <bottom style="thin">
        <color rgb="FF000000"/>
      </bottom>
    </border>
    <border>
      <left style="thick">
        <color rgb="FF000000"/>
      </left>
    </border>
    <border>
      <left style="thick">
        <color rgb="FF000000"/>
      </left>
      <top style="thin">
        <color rgb="FF000000"/>
      </top>
      <bottom style="hair">
        <color rgb="FF000000"/>
      </bottom>
    </border>
    <border>
      <left style="medium">
        <color rgb="FF000000"/>
      </left>
      <right style="thin">
        <color rgb="FF000000"/>
      </right>
      <top style="thin">
        <color rgb="FF000000"/>
      </top>
      <bottom style="hair">
        <color rgb="FF000000"/>
      </bottom>
    </border>
    <border>
      <left style="thin">
        <color rgb="FF000000"/>
      </left>
      <right style="thin">
        <color rgb="FF000000"/>
      </right>
      <top style="thin">
        <color rgb="FF000000"/>
      </top>
      <bottom style="hair">
        <color rgb="FF000000"/>
      </bottom>
    </border>
    <border>
      <left style="thin">
        <color rgb="FF000000"/>
      </left>
      <right style="medium">
        <color rgb="FF000000"/>
      </right>
      <top style="thin">
        <color rgb="FF000000"/>
      </top>
      <bottom style="hair">
        <color rgb="FF000000"/>
      </bottom>
    </border>
    <border>
      <right style="thin">
        <color rgb="FF000000"/>
      </right>
      <top style="thin">
        <color rgb="FF000000"/>
      </top>
      <bottom style="hair">
        <color rgb="FF000000"/>
      </bottom>
    </border>
    <border>
      <left style="thin">
        <color rgb="FF000000"/>
      </left>
      <top style="thin">
        <color rgb="FF000000"/>
      </top>
      <bottom style="hair">
        <color rgb="FF000000"/>
      </bottom>
    </border>
    <border>
      <left style="thin">
        <color rgb="FF000000"/>
      </left>
      <top style="hair">
        <color rgb="FF000000"/>
      </top>
    </border>
    <border>
      <top style="hair">
        <color rgb="FF000000"/>
      </top>
      <bottom style="hair">
        <color rgb="FF000000"/>
      </bottom>
    </border>
    <border>
      <left style="thick">
        <color rgb="FF000000"/>
      </left>
      <top style="thin">
        <color rgb="FF000000"/>
      </top>
    </border>
  </borders>
  <cellStyleXfs count="1">
    <xf borderId="0" fillId="0" fontId="0" numFmtId="0" applyAlignment="1" applyFont="1"/>
  </cellStyleXfs>
  <cellXfs count="2327">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2" fontId="4" numFmtId="0" xfId="0" applyAlignment="1" applyFill="1" applyFont="1">
      <alignment horizontal="center" vertical="bottom"/>
    </xf>
    <xf borderId="0" fillId="2" fontId="4" numFmtId="0" xfId="0" applyAlignment="1" applyFont="1">
      <alignment vertical="bottom"/>
    </xf>
    <xf borderId="0" fillId="2" fontId="5" numFmtId="0" xfId="0" applyAlignment="1" applyFont="1">
      <alignment horizontal="left"/>
    </xf>
    <xf borderId="0" fillId="0" fontId="4" numFmtId="0" xfId="0" applyAlignment="1" applyFont="1">
      <alignment horizontal="center"/>
    </xf>
    <xf borderId="0" fillId="0" fontId="6" numFmtId="0" xfId="0" applyAlignment="1" applyFont="1">
      <alignment shrinkToFit="0" vertical="bottom" wrapText="0"/>
    </xf>
    <xf borderId="1" fillId="0" fontId="4" numFmtId="0" xfId="0" applyAlignment="1" applyBorder="1" applyFont="1">
      <alignment horizontal="center"/>
    </xf>
    <xf borderId="1" fillId="3" fontId="7" numFmtId="3" xfId="0" applyAlignment="1" applyBorder="1" applyFill="1" applyFont="1" applyNumberFormat="1">
      <alignment horizontal="center"/>
    </xf>
    <xf borderId="2" fillId="4" fontId="4" numFmtId="0" xfId="0" applyAlignment="1" applyBorder="1" applyFill="1" applyFont="1">
      <alignment vertical="bottom"/>
    </xf>
    <xf borderId="2" fillId="2" fontId="5" numFmtId="0" xfId="0" applyAlignment="1" applyBorder="1" applyFont="1">
      <alignment horizontal="left"/>
    </xf>
    <xf borderId="2" fillId="0" fontId="4" numFmtId="0" xfId="0" applyAlignment="1" applyBorder="1" applyFont="1">
      <alignment horizontal="center"/>
    </xf>
    <xf borderId="2" fillId="0" fontId="8" numFmtId="0" xfId="0" applyAlignment="1" applyBorder="1" applyFont="1">
      <alignment shrinkToFit="0" vertical="bottom" wrapText="0"/>
    </xf>
    <xf borderId="3" fillId="0" fontId="4" numFmtId="0" xfId="0" applyAlignment="1" applyBorder="1" applyFont="1">
      <alignment horizontal="center"/>
    </xf>
    <xf borderId="3" fillId="0" fontId="4" numFmtId="3" xfId="0" applyAlignment="1" applyBorder="1" applyFont="1" applyNumberFormat="1">
      <alignment horizontal="center"/>
    </xf>
    <xf borderId="0" fillId="5" fontId="5" numFmtId="49" xfId="0" applyAlignment="1" applyFill="1" applyFont="1" applyNumberFormat="1">
      <alignment horizontal="center"/>
    </xf>
    <xf borderId="4" fillId="4" fontId="4" numFmtId="0" xfId="0" applyAlignment="1" applyBorder="1" applyFont="1">
      <alignment vertical="bottom"/>
    </xf>
    <xf borderId="4" fillId="2" fontId="9" numFmtId="0" xfId="0" applyAlignment="1" applyBorder="1" applyFont="1">
      <alignment horizontal="left"/>
    </xf>
    <xf borderId="4" fillId="0" fontId="4" numFmtId="0" xfId="0" applyAlignment="1" applyBorder="1" applyFont="1">
      <alignment horizontal="center"/>
    </xf>
    <xf borderId="4" fillId="0" fontId="10" numFmtId="0" xfId="0" applyAlignment="1" applyBorder="1" applyFont="1">
      <alignment shrinkToFit="0" vertical="bottom" wrapText="0"/>
    </xf>
    <xf borderId="4" fillId="2" fontId="9" numFmtId="0" xfId="0" applyAlignment="1" applyBorder="1" applyFont="1">
      <alignment horizontal="left" vertical="bottom"/>
    </xf>
    <xf borderId="4" fillId="0" fontId="11" numFmtId="0" xfId="0" applyAlignment="1" applyBorder="1" applyFont="1">
      <alignment shrinkToFit="0" vertical="bottom" wrapText="0"/>
    </xf>
    <xf borderId="4" fillId="6" fontId="9" numFmtId="0" xfId="0" applyAlignment="1" applyBorder="1" applyFill="1" applyFont="1">
      <alignment horizontal="left" vertical="bottom"/>
    </xf>
    <xf borderId="4" fillId="2" fontId="5" numFmtId="0" xfId="0" applyAlignment="1" applyBorder="1" applyFont="1">
      <alignment horizontal="left"/>
    </xf>
    <xf borderId="4" fillId="5" fontId="5" numFmtId="0" xfId="0" applyAlignment="1" applyBorder="1" applyFont="1">
      <alignment horizontal="center"/>
    </xf>
    <xf borderId="5" fillId="4" fontId="4" numFmtId="0" xfId="0" applyAlignment="1" applyBorder="1" applyFont="1">
      <alignment vertical="bottom"/>
    </xf>
    <xf borderId="3" fillId="2" fontId="5" numFmtId="0" xfId="0" applyAlignment="1" applyBorder="1" applyFont="1">
      <alignment horizontal="left"/>
    </xf>
    <xf borderId="3" fillId="0" fontId="5" numFmtId="0" xfId="0" applyAlignment="1" applyBorder="1" applyFont="1">
      <alignment horizontal="center"/>
    </xf>
    <xf borderId="5" fillId="0" fontId="4" numFmtId="0" xfId="0" applyAlignment="1" applyBorder="1" applyFont="1">
      <alignment horizontal="center"/>
    </xf>
    <xf borderId="3" fillId="0" fontId="12" numFmtId="0" xfId="0" applyAlignment="1" applyBorder="1" applyFont="1">
      <alignment shrinkToFit="0" vertical="bottom" wrapText="0"/>
    </xf>
    <xf borderId="3" fillId="5" fontId="5" numFmtId="0" xfId="0" applyAlignment="1" applyBorder="1" applyFont="1">
      <alignment horizontal="center"/>
    </xf>
    <xf borderId="3" fillId="0" fontId="13" numFmtId="0" xfId="0" applyAlignment="1" applyBorder="1" applyFont="1">
      <alignment shrinkToFit="0" vertical="bottom" wrapText="0"/>
    </xf>
    <xf borderId="3" fillId="7" fontId="5" numFmtId="0" xfId="0" applyAlignment="1" applyBorder="1" applyFill="1" applyFont="1">
      <alignment horizontal="left"/>
    </xf>
    <xf borderId="3" fillId="7" fontId="5" numFmtId="0" xfId="0" applyAlignment="1" applyBorder="1" applyFont="1">
      <alignment horizontal="center"/>
    </xf>
    <xf borderId="6" fillId="8" fontId="4" numFmtId="0" xfId="0" applyAlignment="1" applyBorder="1" applyFill="1" applyFont="1">
      <alignment vertical="bottom"/>
    </xf>
    <xf borderId="6" fillId="9" fontId="9" numFmtId="0" xfId="0" applyAlignment="1" applyBorder="1" applyFill="1" applyFont="1">
      <alignment horizontal="left"/>
    </xf>
    <xf borderId="6" fillId="0" fontId="4" numFmtId="0" xfId="0" applyAlignment="1" applyBorder="1" applyFont="1">
      <alignment horizontal="center"/>
    </xf>
    <xf borderId="6" fillId="9" fontId="4" numFmtId="0" xfId="0" applyAlignment="1" applyBorder="1" applyFont="1">
      <alignment horizontal="center"/>
    </xf>
    <xf borderId="6" fillId="0" fontId="14" numFmtId="0" xfId="0" applyAlignment="1" applyBorder="1" applyFont="1">
      <alignment shrinkToFit="0" vertical="bottom" wrapText="0"/>
    </xf>
    <xf borderId="4" fillId="9" fontId="9" numFmtId="0" xfId="0" applyAlignment="1" applyBorder="1" applyFont="1">
      <alignment horizontal="left"/>
    </xf>
    <xf borderId="4" fillId="9" fontId="4" numFmtId="0" xfId="0" applyAlignment="1" applyBorder="1" applyFont="1">
      <alignment horizontal="center"/>
    </xf>
    <xf borderId="7" fillId="0" fontId="15" numFmtId="0" xfId="0" applyAlignment="1" applyBorder="1" applyFont="1">
      <alignment shrinkToFit="0" wrapText="0"/>
    </xf>
    <xf borderId="4" fillId="10" fontId="16" numFmtId="0" xfId="0" applyAlignment="1" applyBorder="1" applyFill="1" applyFont="1">
      <alignment horizontal="left" vertical="bottom"/>
    </xf>
    <xf borderId="4" fillId="10" fontId="9" numFmtId="0" xfId="0" applyAlignment="1" applyBorder="1" applyFont="1">
      <alignment horizontal="left"/>
    </xf>
    <xf borderId="5" fillId="9" fontId="4" numFmtId="0" xfId="0" applyAlignment="1" applyBorder="1" applyFont="1">
      <alignment horizontal="center"/>
    </xf>
    <xf borderId="4" fillId="10" fontId="9" numFmtId="0" xfId="0" applyAlignment="1" applyBorder="1" applyFont="1">
      <alignment horizontal="left" vertical="bottom"/>
    </xf>
    <xf borderId="4" fillId="0" fontId="17" numFmtId="0" xfId="0" applyAlignment="1" applyBorder="1" applyFont="1">
      <alignment horizontal="left" shrinkToFit="0" vertical="bottom" wrapText="0"/>
    </xf>
    <xf borderId="4" fillId="0" fontId="18" numFmtId="0" xfId="0" applyAlignment="1" applyBorder="1" applyFont="1">
      <alignment horizontal="left" shrinkToFit="0" wrapText="0"/>
    </xf>
    <xf borderId="4" fillId="7" fontId="9" numFmtId="0" xfId="0" applyAlignment="1" applyBorder="1" applyFont="1">
      <alignment horizontal="left" vertical="bottom"/>
    </xf>
    <xf borderId="6" fillId="0" fontId="19" numFmtId="0" xfId="0" applyAlignment="1" applyBorder="1" applyFont="1">
      <alignment horizontal="left" shrinkToFit="0" vertical="bottom" wrapText="0"/>
    </xf>
    <xf borderId="4" fillId="10" fontId="5" numFmtId="0" xfId="0" applyAlignment="1" applyBorder="1" applyFont="1">
      <alignment horizontal="left"/>
    </xf>
    <xf borderId="6" fillId="0" fontId="20" numFmtId="0" xfId="0" applyAlignment="1" applyBorder="1" applyFont="1">
      <alignment horizontal="left" shrinkToFit="0" vertical="bottom" wrapText="0"/>
    </xf>
    <xf borderId="2" fillId="10" fontId="9" numFmtId="0" xfId="0" applyAlignment="1" applyBorder="1" applyFont="1">
      <alignment horizontal="left" vertical="bottom"/>
    </xf>
    <xf borderId="2" fillId="11" fontId="16" numFmtId="0" xfId="0" applyAlignment="1" applyBorder="1" applyFill="1" applyFont="1">
      <alignment horizontal="center"/>
    </xf>
    <xf borderId="4" fillId="11" fontId="16" numFmtId="0" xfId="0" applyAlignment="1" applyBorder="1" applyFont="1">
      <alignment horizontal="center"/>
    </xf>
    <xf borderId="8" fillId="10" fontId="16" numFmtId="0" xfId="0" applyAlignment="1" applyBorder="1" applyFont="1">
      <alignment horizontal="left" vertical="bottom"/>
    </xf>
    <xf borderId="8" fillId="7" fontId="9" numFmtId="0" xfId="0" applyAlignment="1" applyBorder="1" applyFont="1">
      <alignment horizontal="left" vertical="bottom"/>
    </xf>
    <xf borderId="8" fillId="11" fontId="16" numFmtId="0" xfId="0" applyAlignment="1" applyBorder="1" applyFont="1">
      <alignment horizontal="center"/>
    </xf>
    <xf borderId="8" fillId="0" fontId="4" numFmtId="0" xfId="0" applyAlignment="1" applyBorder="1" applyFont="1">
      <alignment horizontal="center"/>
    </xf>
    <xf borderId="5" fillId="0" fontId="6" numFmtId="0" xfId="0" applyAlignment="1" applyBorder="1" applyFont="1">
      <alignment shrinkToFit="0" vertical="bottom" wrapText="0"/>
    </xf>
    <xf borderId="1" fillId="10" fontId="9" numFmtId="0" xfId="0" applyAlignment="1" applyBorder="1" applyFont="1">
      <alignment horizontal="left" vertical="bottom"/>
    </xf>
    <xf borderId="9" fillId="0" fontId="21" numFmtId="0" xfId="0" applyAlignment="1" applyBorder="1" applyFont="1">
      <alignment shrinkToFit="0" wrapText="0"/>
    </xf>
    <xf borderId="10" fillId="10" fontId="5" numFmtId="0" xfId="0" applyAlignment="1" applyBorder="1" applyFont="1">
      <alignment horizontal="left"/>
    </xf>
    <xf borderId="3" fillId="0" fontId="22" numFmtId="0" xfId="0" applyAlignment="1" applyBorder="1" applyFont="1">
      <alignment horizontal="left" shrinkToFit="0" vertical="bottom" wrapText="0"/>
    </xf>
    <xf borderId="11" fillId="10" fontId="9" numFmtId="0" xfId="0" applyAlignment="1" applyBorder="1" applyFont="1">
      <alignment horizontal="left" vertical="bottom"/>
    </xf>
    <xf borderId="11" fillId="0" fontId="4" numFmtId="0" xfId="0" applyAlignment="1" applyBorder="1" applyFont="1">
      <alignment horizontal="center"/>
    </xf>
    <xf borderId="11" fillId="0" fontId="23" numFmtId="0" xfId="0" applyAlignment="1" applyBorder="1" applyFont="1">
      <alignment horizontal="left" shrinkToFit="0" vertical="bottom" wrapText="0"/>
    </xf>
    <xf borderId="2" fillId="10" fontId="16" numFmtId="0" xfId="0" applyAlignment="1" applyBorder="1" applyFont="1">
      <alignment horizontal="left" vertical="bottom"/>
    </xf>
    <xf borderId="4" fillId="0" fontId="24" numFmtId="0" xfId="0" applyAlignment="1" applyBorder="1" applyFont="1">
      <alignment horizontal="left" shrinkToFit="0" vertical="bottom" wrapText="0"/>
    </xf>
    <xf borderId="8" fillId="10" fontId="9" numFmtId="0" xfId="0" applyAlignment="1" applyBorder="1" applyFont="1">
      <alignment horizontal="left" vertical="bottom"/>
    </xf>
    <xf borderId="12" fillId="0" fontId="25" numFmtId="0" xfId="0" applyAlignment="1" applyBorder="1" applyFont="1">
      <alignment horizontal="left" shrinkToFit="0" vertical="bottom" wrapText="0"/>
    </xf>
    <xf borderId="2" fillId="4" fontId="9" numFmtId="0" xfId="0" applyAlignment="1" applyBorder="1" applyFont="1">
      <alignment horizontal="left" vertical="bottom"/>
    </xf>
    <xf borderId="2" fillId="4" fontId="4" numFmtId="0" xfId="0" applyAlignment="1" applyBorder="1" applyFont="1">
      <alignment horizontal="center"/>
    </xf>
    <xf borderId="2" fillId="4" fontId="26" numFmtId="0" xfId="0" applyAlignment="1" applyBorder="1" applyFont="1">
      <alignment shrinkToFit="0" vertical="bottom" wrapText="0"/>
    </xf>
    <xf borderId="4" fillId="4" fontId="9" numFmtId="0" xfId="0" applyAlignment="1" applyBorder="1" applyFont="1">
      <alignment horizontal="left" vertical="bottom"/>
    </xf>
    <xf borderId="4" fillId="4" fontId="4" numFmtId="0" xfId="0" applyAlignment="1" applyBorder="1" applyFont="1">
      <alignment horizontal="center"/>
    </xf>
    <xf borderId="4" fillId="4" fontId="27" numFmtId="0" xfId="0" applyAlignment="1" applyBorder="1" applyFont="1">
      <alignment shrinkToFit="0" vertical="bottom" wrapText="0"/>
    </xf>
    <xf borderId="4" fillId="4" fontId="16" numFmtId="0" xfId="0" applyAlignment="1" applyBorder="1" applyFont="1">
      <alignment horizontal="left" vertical="bottom"/>
    </xf>
    <xf borderId="4" fillId="4" fontId="28" numFmtId="0" xfId="0" applyAlignment="1" applyBorder="1" applyFont="1">
      <alignment shrinkToFit="0" vertical="bottom" wrapText="0"/>
    </xf>
    <xf borderId="8" fillId="4" fontId="9" numFmtId="0" xfId="0" applyAlignment="1" applyBorder="1" applyFont="1">
      <alignment horizontal="left" vertical="bottom"/>
    </xf>
    <xf borderId="8" fillId="4" fontId="4" numFmtId="0" xfId="0" applyAlignment="1" applyBorder="1" applyFont="1">
      <alignment horizontal="center"/>
    </xf>
    <xf borderId="8" fillId="4" fontId="29" numFmtId="0" xfId="0" applyAlignment="1" applyBorder="1" applyFont="1">
      <alignment shrinkToFit="0" vertical="bottom" wrapText="0"/>
    </xf>
    <xf borderId="6" fillId="4" fontId="4" numFmtId="0" xfId="0" applyAlignment="1" applyBorder="1" applyFont="1">
      <alignment vertical="bottom"/>
    </xf>
    <xf borderId="6" fillId="4" fontId="5" numFmtId="0" xfId="0" applyAlignment="1" applyBorder="1" applyFont="1">
      <alignment horizontal="left" vertical="bottom"/>
    </xf>
    <xf borderId="6" fillId="4" fontId="4" numFmtId="0" xfId="0" applyAlignment="1" applyBorder="1" applyFont="1">
      <alignment horizontal="center"/>
    </xf>
    <xf borderId="4" fillId="4" fontId="5" numFmtId="0" xfId="0" applyAlignment="1" applyBorder="1" applyFont="1">
      <alignment horizontal="left" vertical="bottom"/>
    </xf>
    <xf borderId="4" fillId="7" fontId="5" numFmtId="0" xfId="0" applyAlignment="1" applyBorder="1" applyFont="1">
      <alignment horizontal="left" vertical="bottom"/>
    </xf>
    <xf borderId="4" fillId="0" fontId="6" numFmtId="0" xfId="0" applyAlignment="1" applyBorder="1" applyFont="1">
      <alignment shrinkToFit="0" vertical="bottom" wrapText="0"/>
    </xf>
    <xf borderId="4" fillId="0" fontId="30" numFmtId="0" xfId="0" applyAlignment="1" applyBorder="1" applyFont="1">
      <alignment shrinkToFit="0" wrapText="0"/>
    </xf>
    <xf borderId="4" fillId="12" fontId="31" numFmtId="0" xfId="0" applyAlignment="1" applyBorder="1" applyFill="1" applyFont="1">
      <alignment horizontal="left" vertical="bottom"/>
    </xf>
    <xf borderId="4" fillId="13" fontId="31" numFmtId="0" xfId="0" applyAlignment="1" applyBorder="1" applyFill="1" applyFont="1">
      <alignment horizontal="left" vertical="bottom"/>
    </xf>
    <xf borderId="3" fillId="0" fontId="4" numFmtId="0" xfId="0" applyBorder="1" applyFont="1"/>
    <xf borderId="0" fillId="0" fontId="4" numFmtId="0" xfId="0" applyFont="1"/>
    <xf borderId="0" fillId="14" fontId="5" numFmtId="49" xfId="0" applyAlignment="1" applyFill="1" applyFont="1" applyNumberFormat="1">
      <alignment horizontal="center"/>
    </xf>
    <xf borderId="4" fillId="14" fontId="16" numFmtId="0" xfId="0" applyAlignment="1" applyBorder="1" applyFont="1">
      <alignment horizontal="left" vertical="bottom"/>
    </xf>
    <xf borderId="3" fillId="14" fontId="9" numFmtId="0" xfId="0" applyAlignment="1" applyBorder="1" applyFont="1">
      <alignment horizontal="left" vertical="bottom"/>
    </xf>
    <xf borderId="3" fillId="14" fontId="4" numFmtId="0" xfId="0" applyAlignment="1" applyBorder="1" applyFont="1">
      <alignment horizontal="center"/>
    </xf>
    <xf borderId="4" fillId="14" fontId="4" numFmtId="0" xfId="0" applyAlignment="1" applyBorder="1" applyFont="1">
      <alignment horizontal="center"/>
    </xf>
    <xf borderId="3" fillId="14" fontId="32" numFmtId="0" xfId="0" applyAlignment="1" applyBorder="1" applyFont="1">
      <alignment horizontal="left" shrinkToFit="0" vertical="bottom" wrapText="0"/>
    </xf>
    <xf borderId="3" fillId="14" fontId="4" numFmtId="3" xfId="0" applyAlignment="1" applyBorder="1" applyFont="1" applyNumberFormat="1">
      <alignment horizontal="center"/>
    </xf>
    <xf borderId="0" fillId="14" fontId="4" numFmtId="0" xfId="0" applyFont="1"/>
    <xf borderId="4" fillId="4" fontId="31" numFmtId="0" xfId="0" applyAlignment="1" applyBorder="1" applyFont="1">
      <alignment horizontal="left" vertical="bottom"/>
    </xf>
    <xf borderId="4" fillId="0" fontId="33" numFmtId="0" xfId="0" applyAlignment="1" applyBorder="1" applyFont="1">
      <alignment shrinkToFit="0" wrapText="0"/>
    </xf>
    <xf borderId="11" fillId="0" fontId="4" numFmtId="3" xfId="0" applyAlignment="1" applyBorder="1" applyFont="1" applyNumberFormat="1">
      <alignment horizontal="center"/>
    </xf>
    <xf borderId="13" fillId="0" fontId="4" numFmtId="0" xfId="0" applyAlignment="1" applyBorder="1" applyFont="1">
      <alignment horizontal="center"/>
    </xf>
    <xf borderId="13" fillId="0" fontId="4" numFmtId="0" xfId="0" applyBorder="1" applyFont="1"/>
    <xf borderId="13" fillId="0" fontId="6" numFmtId="0" xfId="0" applyBorder="1" applyFont="1"/>
    <xf borderId="14" fillId="0" fontId="4" numFmtId="0" xfId="0" applyAlignment="1" applyBorder="1" applyFont="1">
      <alignment horizontal="center"/>
    </xf>
    <xf borderId="14" fillId="0" fontId="4" numFmtId="0" xfId="0" applyBorder="1" applyFont="1"/>
    <xf borderId="14" fillId="0" fontId="6" numFmtId="0" xfId="0" applyBorder="1" applyFont="1"/>
    <xf borderId="15" fillId="0" fontId="4" numFmtId="0" xfId="0" applyAlignment="1" applyBorder="1" applyFont="1">
      <alignment horizontal="center"/>
    </xf>
    <xf borderId="15" fillId="0" fontId="4" numFmtId="0" xfId="0" applyBorder="1" applyFont="1"/>
    <xf borderId="15" fillId="0" fontId="6" numFmtId="0" xfId="0" applyBorder="1" applyFont="1"/>
    <xf borderId="16" fillId="0" fontId="4" numFmtId="0" xfId="0" applyAlignment="1" applyBorder="1" applyFont="1">
      <alignment horizontal="center"/>
    </xf>
    <xf borderId="16" fillId="0" fontId="4" numFmtId="0" xfId="0" applyBorder="1" applyFont="1"/>
    <xf borderId="16" fillId="0" fontId="6" numFmtId="0" xfId="0" applyBorder="1" applyFont="1"/>
    <xf borderId="17" fillId="0" fontId="4" numFmtId="0" xfId="0" applyAlignment="1" applyBorder="1" applyFont="1">
      <alignment horizontal="center"/>
    </xf>
    <xf borderId="17" fillId="0" fontId="4" numFmtId="0" xfId="0" applyBorder="1" applyFont="1"/>
    <xf borderId="17" fillId="0" fontId="6" numFmtId="0" xfId="0" applyBorder="1" applyFont="1"/>
    <xf borderId="18" fillId="0" fontId="4" numFmtId="0" xfId="0" applyAlignment="1" applyBorder="1" applyFont="1">
      <alignment horizontal="center"/>
    </xf>
    <xf borderId="18" fillId="0" fontId="4" numFmtId="0" xfId="0" applyBorder="1" applyFont="1"/>
    <xf borderId="18" fillId="0" fontId="6" numFmtId="0" xfId="0" applyBorder="1" applyFont="1"/>
    <xf borderId="1" fillId="9" fontId="4" numFmtId="0" xfId="0" applyAlignment="1" applyBorder="1" applyFont="1">
      <alignment readingOrder="0"/>
    </xf>
    <xf borderId="1" fillId="5" fontId="5" numFmtId="49" xfId="0" applyBorder="1" applyFont="1" applyNumberFormat="1"/>
    <xf borderId="1" fillId="8" fontId="9" numFmtId="0" xfId="0" applyAlignment="1" applyBorder="1" applyFont="1">
      <alignment horizontal="left" shrinkToFit="0" wrapText="1"/>
    </xf>
    <xf borderId="1" fillId="15" fontId="34" numFmtId="0" xfId="0" applyAlignment="1" applyBorder="1" applyFill="1" applyFont="1">
      <alignment horizontal="right" shrinkToFit="0" wrapText="1"/>
    </xf>
    <xf borderId="1" fillId="15" fontId="6" numFmtId="0" xfId="0" applyAlignment="1" applyBorder="1" applyFont="1">
      <alignment horizontal="center" shrinkToFit="0" wrapText="1"/>
    </xf>
    <xf borderId="1" fillId="4" fontId="9" numFmtId="0" xfId="0" applyAlignment="1" applyBorder="1" applyFont="1">
      <alignment horizontal="center" shrinkToFit="0" vertical="center" wrapText="1"/>
    </xf>
    <xf borderId="1" fillId="4" fontId="35" numFmtId="0" xfId="0" applyAlignment="1" applyBorder="1" applyFont="1">
      <alignment horizontal="center" shrinkToFit="0" vertical="center" wrapText="1"/>
    </xf>
    <xf borderId="1" fillId="6" fontId="36" numFmtId="0" xfId="0" applyAlignment="1" applyBorder="1" applyFont="1">
      <alignment horizontal="center" shrinkToFit="0" vertical="center" wrapText="1"/>
    </xf>
    <xf borderId="1" fillId="9" fontId="35" numFmtId="0" xfId="0" applyAlignment="1" applyBorder="1" applyFont="1">
      <alignment horizontal="center" shrinkToFit="0" vertical="center" wrapText="1"/>
    </xf>
    <xf borderId="1" fillId="16" fontId="35" numFmtId="0" xfId="0" applyAlignment="1" applyBorder="1" applyFill="1" applyFont="1">
      <alignment horizontal="center" shrinkToFit="0" vertical="center" wrapText="1"/>
    </xf>
    <xf borderId="1" fillId="0" fontId="35" numFmtId="0" xfId="0" applyAlignment="1" applyBorder="1" applyFont="1">
      <alignment horizontal="center" shrinkToFit="0" vertical="center" wrapText="1"/>
    </xf>
    <xf borderId="19" fillId="16" fontId="36" numFmtId="0" xfId="0" applyAlignment="1" applyBorder="1" applyFont="1">
      <alignment horizontal="center" shrinkToFit="0" vertical="bottom" wrapText="1"/>
    </xf>
    <xf borderId="19" fillId="2" fontId="36" numFmtId="0" xfId="0" applyAlignment="1" applyBorder="1" applyFont="1">
      <alignment horizontal="center" shrinkToFit="0" vertical="bottom" wrapText="1"/>
    </xf>
    <xf borderId="19" fillId="9" fontId="36" numFmtId="0" xfId="0" applyAlignment="1" applyBorder="1" applyFont="1">
      <alignment horizontal="center" shrinkToFit="0" vertical="bottom" wrapText="1"/>
    </xf>
    <xf borderId="20" fillId="17" fontId="37" numFmtId="0" xfId="0" applyAlignment="1" applyBorder="1" applyFill="1" applyFont="1">
      <alignment horizontal="center" shrinkToFit="0" vertical="bottom" wrapText="1"/>
    </xf>
    <xf borderId="0" fillId="17" fontId="38" numFmtId="0" xfId="0" applyAlignment="1" applyFont="1">
      <alignment horizontal="center" shrinkToFit="0" vertical="bottom" wrapText="1"/>
    </xf>
    <xf borderId="21" fillId="0" fontId="35" numFmtId="0" xfId="0" applyAlignment="1" applyBorder="1" applyFont="1">
      <alignment horizontal="left"/>
    </xf>
    <xf borderId="22" fillId="0" fontId="35" numFmtId="0" xfId="0" applyAlignment="1" applyBorder="1" applyFont="1">
      <alignment horizontal="left"/>
    </xf>
    <xf borderId="0" fillId="0" fontId="35" numFmtId="0" xfId="0" applyFont="1"/>
    <xf borderId="1" fillId="2" fontId="4" numFmtId="0" xfId="0" applyAlignment="1" applyBorder="1" applyFont="1">
      <alignment vertical="bottom"/>
    </xf>
    <xf borderId="23" fillId="5" fontId="5" numFmtId="49" xfId="0" applyBorder="1" applyFont="1" applyNumberFormat="1"/>
    <xf borderId="1" fillId="2" fontId="5" numFmtId="0" xfId="0" applyAlignment="1" applyBorder="1" applyFont="1">
      <alignment horizontal="left"/>
    </xf>
    <xf borderId="23" fillId="5" fontId="34" numFmtId="0" xfId="0" applyAlignment="1" applyBorder="1" applyFont="1">
      <alignment horizontal="right"/>
    </xf>
    <xf borderId="24" fillId="5" fontId="6" numFmtId="0" xfId="0" applyAlignment="1" applyBorder="1" applyFont="1">
      <alignment horizontal="center"/>
    </xf>
    <xf borderId="9" fillId="4" fontId="9" numFmtId="0" xfId="0" applyAlignment="1" applyBorder="1" applyFont="1">
      <alignment vertical="bottom"/>
    </xf>
    <xf borderId="23" fillId="4" fontId="39" numFmtId="0" xfId="0" applyAlignment="1" applyBorder="1" applyFont="1">
      <alignment vertical="bottom"/>
    </xf>
    <xf borderId="1" fillId="6" fontId="40" numFmtId="0" xfId="0" applyAlignment="1" applyBorder="1" applyFont="1">
      <alignment shrinkToFit="0" vertical="bottom" wrapText="1"/>
    </xf>
    <xf borderId="1" fillId="9" fontId="41" numFmtId="0" xfId="0" applyAlignment="1" applyBorder="1" applyFont="1">
      <alignment vertical="bottom"/>
    </xf>
    <xf borderId="1" fillId="16" fontId="42" numFmtId="0" xfId="0" applyAlignment="1" applyBorder="1" applyFont="1">
      <alignment shrinkToFit="0" vertical="bottom" wrapText="1"/>
    </xf>
    <xf borderId="25" fillId="0" fontId="43" numFmtId="0" xfId="0" applyAlignment="1" applyBorder="1" applyFont="1">
      <alignment vertical="bottom"/>
    </xf>
    <xf borderId="1" fillId="16" fontId="35" numFmtId="0" xfId="0" applyAlignment="1" applyBorder="1" applyFont="1">
      <alignment horizontal="center" vertical="bottom"/>
    </xf>
    <xf borderId="23" fillId="2" fontId="35" numFmtId="0" xfId="0" applyAlignment="1" applyBorder="1" applyFont="1">
      <alignment horizontal="center" vertical="bottom"/>
    </xf>
    <xf borderId="25" fillId="9" fontId="35" numFmtId="0" xfId="0" applyAlignment="1" applyBorder="1" applyFont="1">
      <alignment horizontal="center" vertical="bottom"/>
    </xf>
    <xf borderId="26" fillId="17" fontId="9" numFmtId="0" xfId="0" applyAlignment="1" applyBorder="1" applyFont="1">
      <alignment horizontal="center" vertical="bottom"/>
    </xf>
    <xf borderId="26" fillId="0" fontId="35" numFmtId="0" xfId="0" applyAlignment="1" applyBorder="1" applyFont="1">
      <alignment horizontal="left" vertical="center"/>
    </xf>
    <xf borderId="26" fillId="2" fontId="35" numFmtId="0" xfId="0" applyAlignment="1" applyBorder="1" applyFont="1">
      <alignment horizontal="left" vertical="center"/>
    </xf>
    <xf borderId="26" fillId="17" fontId="4" numFmtId="0" xfId="0" applyAlignment="1" applyBorder="1" applyFont="1">
      <alignment vertical="center"/>
    </xf>
    <xf borderId="26" fillId="17" fontId="35" numFmtId="0" xfId="0" applyAlignment="1" applyBorder="1" applyFont="1">
      <alignment vertical="center"/>
    </xf>
    <xf borderId="0" fillId="0" fontId="35" numFmtId="0" xfId="0" applyAlignment="1" applyFont="1">
      <alignment vertical="bottom"/>
    </xf>
    <xf borderId="0" fillId="17" fontId="35" numFmtId="0" xfId="0" applyAlignment="1" applyFont="1">
      <alignment vertical="bottom"/>
    </xf>
    <xf borderId="0" fillId="0" fontId="4" numFmtId="0" xfId="0" applyAlignment="1" applyFont="1">
      <alignment vertical="bottom"/>
    </xf>
    <xf borderId="3" fillId="2" fontId="4" numFmtId="0" xfId="0" applyAlignment="1" applyBorder="1" applyFont="1">
      <alignment vertical="bottom"/>
    </xf>
    <xf borderId="0" fillId="5" fontId="5" numFmtId="49" xfId="0" applyFont="1" applyNumberFormat="1"/>
    <xf borderId="3" fillId="2" fontId="9" numFmtId="0" xfId="0" applyAlignment="1" applyBorder="1" applyFont="1">
      <alignment horizontal="left"/>
    </xf>
    <xf borderId="0" fillId="5" fontId="34" numFmtId="0" xfId="0" applyAlignment="1" applyFont="1">
      <alignment horizontal="right"/>
    </xf>
    <xf borderId="27" fillId="4" fontId="44" numFmtId="0" xfId="0" applyAlignment="1" applyBorder="1" applyFont="1">
      <alignment vertical="bottom"/>
    </xf>
    <xf borderId="0" fillId="4" fontId="45" numFmtId="0" xfId="0" applyAlignment="1" applyFont="1">
      <alignment vertical="bottom"/>
    </xf>
    <xf borderId="3" fillId="6" fontId="46" numFmtId="0" xfId="0" applyAlignment="1" applyBorder="1" applyFont="1">
      <alignment shrinkToFit="0" vertical="bottom" wrapText="1"/>
    </xf>
    <xf borderId="3" fillId="9" fontId="47" numFmtId="0" xfId="0" applyAlignment="1" applyBorder="1" applyFont="1">
      <alignment vertical="bottom"/>
    </xf>
    <xf borderId="3" fillId="16" fontId="48" numFmtId="0" xfId="0" applyAlignment="1" applyBorder="1" applyFont="1">
      <alignment shrinkToFit="0" vertical="bottom" wrapText="1"/>
    </xf>
    <xf borderId="28" fillId="0" fontId="49" numFmtId="0" xfId="0" applyAlignment="1" applyBorder="1" applyFont="1">
      <alignment vertical="bottom"/>
    </xf>
    <xf borderId="3" fillId="16" fontId="35" numFmtId="0" xfId="0" applyAlignment="1" applyBorder="1" applyFont="1">
      <alignment horizontal="center" vertical="bottom"/>
    </xf>
    <xf borderId="0" fillId="2" fontId="35" numFmtId="0" xfId="0" applyAlignment="1" applyFont="1">
      <alignment horizontal="center" vertical="bottom"/>
    </xf>
    <xf borderId="28" fillId="9" fontId="35" numFmtId="0" xfId="0" applyAlignment="1" applyBorder="1" applyFont="1">
      <alignment horizontal="center" vertical="bottom"/>
    </xf>
    <xf borderId="26" fillId="6" fontId="4" numFmtId="0" xfId="0" applyAlignment="1" applyBorder="1" applyFont="1">
      <alignment vertical="center"/>
    </xf>
    <xf borderId="0" fillId="17" fontId="4" numFmtId="0" xfId="0" applyAlignment="1" applyFont="1">
      <alignment vertical="bottom"/>
    </xf>
    <xf borderId="3" fillId="6" fontId="50" numFmtId="0" xfId="0" applyAlignment="1" applyBorder="1" applyFont="1">
      <alignment shrinkToFit="0" vertical="bottom" wrapText="1"/>
    </xf>
    <xf borderId="3" fillId="2" fontId="9" numFmtId="0" xfId="0" applyAlignment="1" applyBorder="1" applyFont="1">
      <alignment horizontal="left" vertical="bottom"/>
    </xf>
    <xf borderId="27" fillId="4" fontId="9" numFmtId="0" xfId="0" applyAlignment="1" applyBorder="1" applyFont="1">
      <alignment vertical="bottom"/>
    </xf>
    <xf borderId="0" fillId="4" fontId="51" numFmtId="0" xfId="0" applyAlignment="1" applyFont="1">
      <alignment vertical="bottom"/>
    </xf>
    <xf borderId="0" fillId="2" fontId="35" numFmtId="0" xfId="0" applyAlignment="1" applyFont="1">
      <alignment horizontal="center" shrinkToFit="0" vertical="bottom" wrapText="1"/>
    </xf>
    <xf borderId="27" fillId="4" fontId="52" numFmtId="0" xfId="0" applyAlignment="1" applyBorder="1" applyFont="1">
      <alignment vertical="bottom"/>
    </xf>
    <xf borderId="28" fillId="0" fontId="4" numFmtId="0" xfId="0" applyAlignment="1" applyBorder="1" applyFont="1">
      <alignment vertical="bottom"/>
    </xf>
    <xf borderId="26" fillId="5" fontId="35" numFmtId="0" xfId="0" applyAlignment="1" applyBorder="1" applyFont="1">
      <alignment horizontal="left" vertical="center"/>
    </xf>
    <xf borderId="26" fillId="0" fontId="35" numFmtId="0" xfId="0" applyAlignment="1" applyBorder="1" applyFont="1">
      <alignment vertical="bottom"/>
    </xf>
    <xf borderId="3" fillId="6" fontId="53" numFmtId="0" xfId="0" applyAlignment="1" applyBorder="1" applyFont="1">
      <alignment vertical="bottom"/>
    </xf>
    <xf borderId="0" fillId="5" fontId="35" numFmtId="0" xfId="0" applyAlignment="1" applyFont="1">
      <alignment vertical="bottom"/>
    </xf>
    <xf borderId="0" fillId="4" fontId="54" numFmtId="0" xfId="0" applyAlignment="1" applyFont="1">
      <alignment vertical="bottom"/>
    </xf>
    <xf borderId="28" fillId="0" fontId="55" numFmtId="0" xfId="0" applyBorder="1" applyFont="1"/>
    <xf borderId="3" fillId="16" fontId="35" numFmtId="0" xfId="0" applyAlignment="1" applyBorder="1" applyFont="1">
      <alignment horizontal="center"/>
    </xf>
    <xf borderId="3" fillId="6" fontId="56" numFmtId="0" xfId="0" applyAlignment="1" applyBorder="1" applyFont="1">
      <alignment vertical="bottom"/>
    </xf>
    <xf borderId="26" fillId="10" fontId="35" numFmtId="0" xfId="0" applyAlignment="1" applyBorder="1" applyFont="1">
      <alignment horizontal="left" vertical="center"/>
    </xf>
    <xf borderId="26" fillId="0" fontId="4" numFmtId="0" xfId="0" applyAlignment="1" applyBorder="1" applyFont="1">
      <alignment vertical="center"/>
    </xf>
    <xf borderId="28" fillId="7" fontId="4" numFmtId="0" xfId="0" applyAlignment="1" applyBorder="1" applyFont="1">
      <alignment vertical="bottom"/>
    </xf>
    <xf borderId="26" fillId="0" fontId="6" numFmtId="0" xfId="0" applyAlignment="1" applyBorder="1" applyFont="1">
      <alignment vertical="bottom"/>
    </xf>
    <xf borderId="0" fillId="15" fontId="35" numFmtId="0" xfId="0" applyAlignment="1" applyFont="1">
      <alignment horizontal="center" vertical="bottom"/>
    </xf>
    <xf borderId="28" fillId="15" fontId="35" numFmtId="0" xfId="0" applyAlignment="1" applyBorder="1" applyFont="1">
      <alignment horizontal="center" vertical="bottom"/>
    </xf>
    <xf borderId="26" fillId="15" fontId="9" numFmtId="0" xfId="0" applyAlignment="1" applyBorder="1" applyFont="1">
      <alignment horizontal="center" vertical="bottom"/>
    </xf>
    <xf borderId="3" fillId="16" fontId="57" numFmtId="0" xfId="0" applyAlignment="1" applyBorder="1" applyFont="1">
      <alignment vertical="bottom"/>
    </xf>
    <xf borderId="29" fillId="5" fontId="6" numFmtId="0" xfId="0" applyAlignment="1" applyBorder="1" applyFont="1">
      <alignment horizontal="center"/>
    </xf>
    <xf borderId="3" fillId="4" fontId="58" numFmtId="0" xfId="0" applyAlignment="1" applyBorder="1" applyFont="1">
      <alignment vertical="bottom"/>
    </xf>
    <xf borderId="3" fillId="9" fontId="4" numFmtId="0" xfId="0" applyAlignment="1" applyBorder="1" applyFont="1">
      <alignment vertical="bottom"/>
    </xf>
    <xf borderId="3" fillId="0" fontId="4" numFmtId="0" xfId="0" applyAlignment="1" applyBorder="1" applyFont="1">
      <alignment vertical="bottom"/>
    </xf>
    <xf borderId="3" fillId="2" fontId="35" numFmtId="0" xfId="0" applyAlignment="1" applyBorder="1" applyFont="1">
      <alignment horizontal="center" vertical="bottom"/>
    </xf>
    <xf borderId="30" fillId="17" fontId="5" numFmtId="0" xfId="0" applyAlignment="1" applyBorder="1" applyFont="1">
      <alignment horizontal="center" vertical="bottom"/>
    </xf>
    <xf borderId="31" fillId="17" fontId="9" numFmtId="0" xfId="0" applyAlignment="1" applyBorder="1" applyFont="1">
      <alignment horizontal="center" vertical="bottom"/>
    </xf>
    <xf borderId="31" fillId="17" fontId="4" numFmtId="0" xfId="0" applyAlignment="1" applyBorder="1" applyFont="1">
      <alignment vertical="center"/>
    </xf>
    <xf borderId="31" fillId="17" fontId="35" numFmtId="0" xfId="0" applyAlignment="1" applyBorder="1" applyFont="1">
      <alignment vertical="center"/>
    </xf>
    <xf borderId="31" fillId="0" fontId="35" numFmtId="0" xfId="0" applyAlignment="1" applyBorder="1" applyFont="1">
      <alignment vertical="bottom"/>
    </xf>
    <xf borderId="32" fillId="2" fontId="9" numFmtId="0" xfId="0" applyAlignment="1" applyBorder="1" applyFont="1">
      <alignment horizontal="left" vertical="bottom"/>
    </xf>
    <xf borderId="33" fillId="5" fontId="34" numFmtId="0" xfId="0" applyAlignment="1" applyBorder="1" applyFont="1">
      <alignment horizontal="right"/>
    </xf>
    <xf borderId="34" fillId="5" fontId="6" numFmtId="0" xfId="0" applyAlignment="1" applyBorder="1" applyFont="1">
      <alignment horizontal="center"/>
    </xf>
    <xf borderId="35" fillId="4" fontId="59" numFmtId="0" xfId="0" applyAlignment="1" applyBorder="1" applyFont="1">
      <alignment vertical="bottom"/>
    </xf>
    <xf borderId="34" fillId="4" fontId="60" numFmtId="0" xfId="0" applyAlignment="1" applyBorder="1" applyFont="1">
      <alignment vertical="bottom"/>
    </xf>
    <xf borderId="34" fillId="6" fontId="61" numFmtId="0" xfId="0" applyAlignment="1" applyBorder="1" applyFont="1">
      <alignment shrinkToFit="0" vertical="bottom" wrapText="1"/>
    </xf>
    <xf borderId="34" fillId="9" fontId="62" numFmtId="0" xfId="0" applyAlignment="1" applyBorder="1" applyFont="1">
      <alignment vertical="bottom"/>
    </xf>
    <xf borderId="34" fillId="16" fontId="63" numFmtId="0" xfId="0" applyAlignment="1" applyBorder="1" applyFont="1">
      <alignment vertical="bottom"/>
    </xf>
    <xf borderId="34" fillId="0" fontId="4" numFmtId="0" xfId="0" applyAlignment="1" applyBorder="1" applyFont="1">
      <alignment vertical="bottom"/>
    </xf>
    <xf borderId="34" fillId="16" fontId="35" numFmtId="0" xfId="0" applyAlignment="1" applyBorder="1" applyFont="1">
      <alignment horizontal="center" vertical="bottom"/>
    </xf>
    <xf borderId="10" fillId="2" fontId="35" numFmtId="0" xfId="0" applyAlignment="1" applyBorder="1" applyFont="1">
      <alignment horizontal="center" vertical="bottom"/>
    </xf>
    <xf borderId="10" fillId="9" fontId="35" numFmtId="0" xfId="0" applyAlignment="1" applyBorder="1" applyFont="1">
      <alignment horizontal="center" vertical="bottom"/>
    </xf>
    <xf borderId="31" fillId="17" fontId="64" numFmtId="0" xfId="0" applyAlignment="1" applyBorder="1" applyFont="1">
      <alignment horizontal="center" vertical="bottom"/>
    </xf>
    <xf borderId="31" fillId="0" fontId="35" numFmtId="0" xfId="0" applyAlignment="1" applyBorder="1" applyFont="1">
      <alignment horizontal="left" vertical="center"/>
    </xf>
    <xf borderId="31" fillId="2" fontId="35" numFmtId="0" xfId="0" applyAlignment="1" applyBorder="1" applyFont="1">
      <alignment horizontal="left" vertical="center"/>
    </xf>
    <xf borderId="30" fillId="17" fontId="4" numFmtId="0" xfId="0" applyAlignment="1" applyBorder="1" applyFont="1">
      <alignment vertical="center"/>
    </xf>
    <xf borderId="30" fillId="17" fontId="35" numFmtId="0" xfId="0" applyAlignment="1" applyBorder="1" applyFont="1">
      <alignment vertical="center"/>
    </xf>
    <xf borderId="36" fillId="2" fontId="9" numFmtId="0" xfId="0" applyAlignment="1" applyBorder="1" applyFont="1">
      <alignment horizontal="left" vertical="bottom"/>
    </xf>
    <xf borderId="3" fillId="5" fontId="6" numFmtId="0" xfId="0" applyAlignment="1" applyBorder="1" applyFont="1">
      <alignment horizontal="center"/>
    </xf>
    <xf borderId="27" fillId="0" fontId="65" numFmtId="0" xfId="0" applyBorder="1" applyFont="1"/>
    <xf borderId="3" fillId="0" fontId="65" numFmtId="0" xfId="0" applyBorder="1" applyFont="1"/>
    <xf borderId="30" fillId="17" fontId="64" numFmtId="0" xfId="0" applyAlignment="1" applyBorder="1" applyFont="1">
      <alignment horizontal="center" vertical="bottom"/>
    </xf>
    <xf borderId="30" fillId="17" fontId="9" numFmtId="0" xfId="0" applyAlignment="1" applyBorder="1" applyFont="1">
      <alignment horizontal="center" vertical="bottom"/>
    </xf>
    <xf borderId="30" fillId="0" fontId="65" numFmtId="0" xfId="0" applyBorder="1" applyFont="1"/>
    <xf borderId="37" fillId="2" fontId="9" numFmtId="0" xfId="0" applyAlignment="1" applyBorder="1" applyFont="1">
      <alignment horizontal="left" vertical="bottom"/>
    </xf>
    <xf borderId="38" fillId="5" fontId="34" numFmtId="0" xfId="0" applyAlignment="1" applyBorder="1" applyFont="1">
      <alignment horizontal="right"/>
    </xf>
    <xf borderId="39" fillId="5" fontId="6" numFmtId="0" xfId="0" applyAlignment="1" applyBorder="1" applyFont="1">
      <alignment horizontal="center"/>
    </xf>
    <xf borderId="40" fillId="0" fontId="65" numFmtId="0" xfId="0" applyBorder="1" applyFont="1"/>
    <xf borderId="39" fillId="4" fontId="66" numFmtId="0" xfId="0" applyAlignment="1" applyBorder="1" applyFont="1">
      <alignment vertical="bottom"/>
    </xf>
    <xf borderId="39" fillId="6" fontId="67" numFmtId="0" xfId="0" applyAlignment="1" applyBorder="1" applyFont="1">
      <alignment shrinkToFit="0" vertical="bottom" wrapText="1"/>
    </xf>
    <xf borderId="39" fillId="0" fontId="65" numFmtId="0" xfId="0" applyBorder="1" applyFont="1"/>
    <xf borderId="39" fillId="16" fontId="4" numFmtId="0" xfId="0" applyAlignment="1" applyBorder="1" applyFont="1">
      <alignment vertical="bottom"/>
    </xf>
    <xf borderId="39" fillId="0" fontId="4" numFmtId="0" xfId="0" applyAlignment="1" applyBorder="1" applyFont="1">
      <alignment vertical="bottom"/>
    </xf>
    <xf borderId="39" fillId="16" fontId="35" numFmtId="0" xfId="0" applyAlignment="1" applyBorder="1" applyFont="1">
      <alignment horizontal="center" vertical="bottom"/>
    </xf>
    <xf borderId="41" fillId="17" fontId="64" numFmtId="0" xfId="0" applyAlignment="1" applyBorder="1" applyFont="1">
      <alignment horizontal="center" vertical="bottom"/>
    </xf>
    <xf borderId="41" fillId="17" fontId="9" numFmtId="0" xfId="0" applyAlignment="1" applyBorder="1" applyFont="1">
      <alignment horizontal="center" vertical="bottom"/>
    </xf>
    <xf borderId="41" fillId="0" fontId="65" numFmtId="0" xfId="0" applyBorder="1" applyFont="1"/>
    <xf borderId="3" fillId="9" fontId="68" numFmtId="0" xfId="0" applyAlignment="1" applyBorder="1" applyFont="1">
      <alignment vertical="bottom"/>
    </xf>
    <xf borderId="0" fillId="0" fontId="9" numFmtId="0" xfId="0" applyFont="1"/>
    <xf borderId="30" fillId="17" fontId="9" numFmtId="49" xfId="0" applyAlignment="1" applyBorder="1" applyFont="1" applyNumberFormat="1">
      <alignment horizontal="center" vertical="bottom"/>
    </xf>
    <xf borderId="3" fillId="16" fontId="4" numFmtId="0" xfId="0" applyAlignment="1" applyBorder="1" applyFont="1">
      <alignment vertical="bottom"/>
    </xf>
    <xf borderId="3" fillId="5" fontId="34" numFmtId="0" xfId="0" applyAlignment="1" applyBorder="1" applyFont="1">
      <alignment horizontal="right"/>
    </xf>
    <xf borderId="42" fillId="5" fontId="6" numFmtId="0" xfId="0" applyAlignment="1" applyBorder="1" applyFont="1">
      <alignment horizontal="center"/>
    </xf>
    <xf borderId="3" fillId="0" fontId="69" numFmtId="0" xfId="0" applyAlignment="1" applyBorder="1" applyFont="1">
      <alignment vertical="bottom"/>
    </xf>
    <xf borderId="41" fillId="17" fontId="9" numFmtId="49" xfId="0" applyAlignment="1" applyBorder="1" applyFont="1" applyNumberFormat="1">
      <alignment horizontal="center" vertical="bottom"/>
    </xf>
    <xf borderId="41" fillId="17" fontId="4" numFmtId="0" xfId="0" applyAlignment="1" applyBorder="1" applyFont="1">
      <alignment vertical="center"/>
    </xf>
    <xf borderId="41" fillId="17" fontId="35" numFmtId="0" xfId="0" applyAlignment="1" applyBorder="1" applyFont="1">
      <alignment vertical="center"/>
    </xf>
    <xf borderId="3" fillId="6" fontId="70" numFmtId="0" xfId="0" applyAlignment="1" applyBorder="1" applyFont="1">
      <alignment shrinkToFit="0" vertical="bottom" wrapText="1"/>
    </xf>
    <xf borderId="3" fillId="9" fontId="71" numFmtId="0" xfId="0" applyAlignment="1" applyBorder="1" applyFont="1">
      <alignment vertical="bottom"/>
    </xf>
    <xf borderId="3" fillId="16" fontId="72" numFmtId="0" xfId="0" applyAlignment="1" applyBorder="1" applyFont="1">
      <alignment shrinkToFit="0" vertical="bottom" wrapText="1"/>
    </xf>
    <xf borderId="3" fillId="16" fontId="35" numFmtId="49" xfId="0" applyAlignment="1" applyBorder="1" applyFont="1" applyNumberFormat="1">
      <alignment horizontal="center" vertical="bottom"/>
    </xf>
    <xf borderId="31" fillId="10" fontId="35" numFmtId="0" xfId="0" applyAlignment="1" applyBorder="1" applyFont="1">
      <alignment horizontal="left" vertical="center"/>
    </xf>
    <xf borderId="3" fillId="6" fontId="73" numFmtId="0" xfId="0" applyAlignment="1" applyBorder="1" applyFont="1">
      <alignment shrinkToFit="0" vertical="bottom" wrapText="1"/>
    </xf>
    <xf borderId="3" fillId="16" fontId="71" numFmtId="0" xfId="0" applyAlignment="1" applyBorder="1" applyFont="1">
      <alignment vertical="bottom"/>
    </xf>
    <xf borderId="11" fillId="2" fontId="4" numFmtId="0" xfId="0" applyAlignment="1" applyBorder="1" applyFont="1">
      <alignment vertical="bottom"/>
    </xf>
    <xf borderId="11" fillId="2" fontId="9" numFmtId="0" xfId="0" applyAlignment="1" applyBorder="1" applyFont="1">
      <alignment horizontal="left" vertical="bottom"/>
    </xf>
    <xf borderId="43" fillId="5" fontId="34" numFmtId="0" xfId="0" applyAlignment="1" applyBorder="1" applyFont="1">
      <alignment horizontal="right"/>
    </xf>
    <xf borderId="44" fillId="4" fontId="9" numFmtId="0" xfId="0" applyAlignment="1" applyBorder="1" applyFont="1">
      <alignment vertical="bottom"/>
    </xf>
    <xf borderId="43" fillId="4" fontId="74" numFmtId="0" xfId="0" applyAlignment="1" applyBorder="1" applyFont="1">
      <alignment vertical="bottom"/>
    </xf>
    <xf borderId="11" fillId="6" fontId="75" numFmtId="0" xfId="0" applyAlignment="1" applyBorder="1" applyFont="1">
      <alignment shrinkToFit="0" vertical="bottom" wrapText="1"/>
    </xf>
    <xf borderId="11" fillId="9" fontId="71" numFmtId="0" xfId="0" applyAlignment="1" applyBorder="1" applyFont="1">
      <alignment vertical="bottom"/>
    </xf>
    <xf borderId="11" fillId="16" fontId="76" numFmtId="0" xfId="0" applyAlignment="1" applyBorder="1" applyFont="1">
      <alignment shrinkToFit="0" vertical="bottom" wrapText="1"/>
    </xf>
    <xf borderId="45" fillId="0" fontId="4" numFmtId="0" xfId="0" applyAlignment="1" applyBorder="1" applyFont="1">
      <alignment vertical="bottom"/>
    </xf>
    <xf borderId="11" fillId="16" fontId="35" numFmtId="49" xfId="0" applyAlignment="1" applyBorder="1" applyFont="1" applyNumberFormat="1">
      <alignment horizontal="center" vertical="bottom"/>
    </xf>
    <xf borderId="43" fillId="2" fontId="35" numFmtId="0" xfId="0" applyAlignment="1" applyBorder="1" applyFont="1">
      <alignment horizontal="center" vertical="bottom"/>
    </xf>
    <xf borderId="45" fillId="9" fontId="35" numFmtId="0" xfId="0" applyAlignment="1" applyBorder="1" applyFont="1">
      <alignment horizontal="center" vertical="bottom"/>
    </xf>
    <xf borderId="1" fillId="8" fontId="16" numFmtId="0" xfId="0" applyAlignment="1" applyBorder="1" applyFont="1">
      <alignment horizontal="left" vertical="bottom"/>
    </xf>
    <xf borderId="1" fillId="9" fontId="9" numFmtId="0" xfId="0" applyAlignment="1" applyBorder="1" applyFont="1">
      <alignment horizontal="left"/>
    </xf>
    <xf borderId="1" fillId="5" fontId="34" numFmtId="0" xfId="0" applyAlignment="1" applyBorder="1" applyFont="1">
      <alignment horizontal="right"/>
    </xf>
    <xf borderId="46" fillId="5" fontId="6" numFmtId="0" xfId="0" applyAlignment="1" applyBorder="1" applyFont="1">
      <alignment horizontal="center"/>
    </xf>
    <xf borderId="1" fillId="4" fontId="77" numFmtId="0" xfId="0" applyAlignment="1" applyBorder="1" applyFont="1">
      <alignment vertical="bottom"/>
    </xf>
    <xf borderId="1" fillId="4" fontId="78" numFmtId="0" xfId="0" applyAlignment="1" applyBorder="1" applyFont="1">
      <alignment vertical="bottom"/>
    </xf>
    <xf borderId="1" fillId="6" fontId="79" numFmtId="0" xfId="0" applyAlignment="1" applyBorder="1" applyFont="1">
      <alignment shrinkToFit="0" vertical="bottom" wrapText="1"/>
    </xf>
    <xf borderId="1" fillId="0" fontId="80" numFmtId="0" xfId="0" applyAlignment="1" applyBorder="1" applyFont="1">
      <alignment vertical="bottom"/>
    </xf>
    <xf borderId="1" fillId="14" fontId="35" numFmtId="0" xfId="0" applyAlignment="1" applyBorder="1" applyFont="1">
      <alignment horizontal="center" vertical="bottom"/>
    </xf>
    <xf borderId="1" fillId="15" fontId="35" numFmtId="0" xfId="0" applyAlignment="1" applyBorder="1" applyFont="1">
      <alignment horizontal="center" vertical="bottom"/>
    </xf>
    <xf borderId="26" fillId="14" fontId="16" numFmtId="0" xfId="0" applyAlignment="1" applyBorder="1" applyFont="1">
      <alignment horizontal="center" vertical="bottom"/>
    </xf>
    <xf borderId="3" fillId="8" fontId="16" numFmtId="0" xfId="0" applyAlignment="1" applyBorder="1" applyFont="1">
      <alignment horizontal="left" vertical="bottom"/>
    </xf>
    <xf borderId="3" fillId="9" fontId="9" numFmtId="0" xfId="0" applyAlignment="1" applyBorder="1" applyFont="1">
      <alignment horizontal="left"/>
    </xf>
    <xf borderId="3" fillId="4" fontId="81" numFmtId="0" xfId="0" applyAlignment="1" applyBorder="1" applyFont="1">
      <alignment vertical="bottom"/>
    </xf>
    <xf borderId="3" fillId="4" fontId="82" numFmtId="0" xfId="0" applyAlignment="1" applyBorder="1" applyFont="1">
      <alignment vertical="bottom"/>
    </xf>
    <xf borderId="3" fillId="14" fontId="35" numFmtId="0" xfId="0" applyAlignment="1" applyBorder="1" applyFont="1">
      <alignment horizontal="center" vertical="bottom"/>
    </xf>
    <xf borderId="3" fillId="15" fontId="35" numFmtId="0" xfId="0" applyAlignment="1" applyBorder="1" applyFont="1">
      <alignment horizontal="center" vertical="bottom"/>
    </xf>
    <xf borderId="3" fillId="4" fontId="83" numFmtId="0" xfId="0" applyAlignment="1" applyBorder="1" applyFont="1">
      <alignment vertical="bottom"/>
    </xf>
    <xf borderId="3" fillId="16" fontId="84" numFmtId="0" xfId="0" applyAlignment="1" applyBorder="1" applyFont="1">
      <alignment shrinkToFit="0" vertical="bottom" wrapText="1"/>
    </xf>
    <xf borderId="3" fillId="9" fontId="85" numFmtId="0" xfId="0" applyAlignment="1" applyBorder="1" applyFont="1">
      <alignment vertical="bottom"/>
    </xf>
    <xf borderId="11" fillId="8" fontId="16" numFmtId="0" xfId="0" applyAlignment="1" applyBorder="1" applyFont="1">
      <alignment horizontal="left" vertical="bottom"/>
    </xf>
    <xf borderId="11" fillId="9" fontId="9" numFmtId="0" xfId="0" applyAlignment="1" applyBorder="1" applyFont="1">
      <alignment horizontal="left"/>
    </xf>
    <xf borderId="11" fillId="5" fontId="34" numFmtId="0" xfId="0" applyAlignment="1" applyBorder="1" applyFont="1">
      <alignment horizontal="right"/>
    </xf>
    <xf borderId="47" fillId="5" fontId="6" numFmtId="0" xfId="0" applyAlignment="1" applyBorder="1" applyFont="1">
      <alignment horizontal="center"/>
    </xf>
    <xf borderId="11" fillId="4" fontId="9" numFmtId="0" xfId="0" applyAlignment="1" applyBorder="1" applyFont="1">
      <alignment vertical="bottom"/>
    </xf>
    <xf borderId="11" fillId="4" fontId="86" numFmtId="0" xfId="0" applyAlignment="1" applyBorder="1" applyFont="1">
      <alignment vertical="bottom"/>
    </xf>
    <xf borderId="11" fillId="14" fontId="87" numFmtId="0" xfId="0" applyAlignment="1" applyBorder="1" applyFont="1">
      <alignment shrinkToFit="0" vertical="bottom" wrapText="1"/>
    </xf>
    <xf borderId="11" fillId="9" fontId="88" numFmtId="0" xfId="0" applyAlignment="1" applyBorder="1" applyFont="1">
      <alignment vertical="bottom"/>
    </xf>
    <xf borderId="11" fillId="16" fontId="89" numFmtId="0" xfId="0" applyAlignment="1" applyBorder="1" applyFont="1">
      <alignment shrinkToFit="0" vertical="bottom" wrapText="1"/>
    </xf>
    <xf borderId="11" fillId="14" fontId="35" numFmtId="0" xfId="0" applyAlignment="1" applyBorder="1" applyFont="1">
      <alignment horizontal="center" vertical="bottom"/>
    </xf>
    <xf borderId="11" fillId="15" fontId="35" numFmtId="0" xfId="0" applyAlignment="1" applyBorder="1" applyFont="1">
      <alignment horizontal="center" vertical="bottom"/>
    </xf>
    <xf borderId="26" fillId="7" fontId="35" numFmtId="0" xfId="0" applyAlignment="1" applyBorder="1" applyFont="1">
      <alignment vertical="bottom"/>
    </xf>
    <xf borderId="0" fillId="7" fontId="35" numFmtId="0" xfId="0" applyAlignment="1" applyFont="1">
      <alignment vertical="bottom"/>
    </xf>
    <xf borderId="26" fillId="9" fontId="35" numFmtId="0" xfId="0" applyAlignment="1" applyBorder="1" applyFont="1">
      <alignment horizontal="left" vertical="center"/>
    </xf>
    <xf borderId="3" fillId="7" fontId="9" numFmtId="0" xfId="0" applyAlignment="1" applyBorder="1" applyFont="1">
      <alignment horizontal="left"/>
    </xf>
    <xf borderId="0" fillId="5" fontId="90" numFmtId="0" xfId="0" applyFont="1"/>
    <xf borderId="0" fillId="17" fontId="4" numFmtId="0" xfId="0" applyFont="1"/>
    <xf borderId="3" fillId="4" fontId="9" numFmtId="0" xfId="0" applyAlignment="1" applyBorder="1" applyFont="1">
      <alignment vertical="bottom"/>
    </xf>
    <xf borderId="3" fillId="4" fontId="4" numFmtId="0" xfId="0" applyAlignment="1" applyBorder="1" applyFont="1">
      <alignment vertical="bottom"/>
    </xf>
    <xf borderId="0" fillId="5" fontId="91" numFmtId="0" xfId="0" applyFont="1"/>
    <xf borderId="3" fillId="6" fontId="16" numFmtId="0" xfId="0" applyAlignment="1" applyBorder="1" applyFont="1">
      <alignment horizontal="left" vertical="bottom"/>
    </xf>
    <xf borderId="1" fillId="6" fontId="9" numFmtId="0" xfId="0" applyAlignment="1" applyBorder="1" applyFont="1">
      <alignment horizontal="left"/>
    </xf>
    <xf borderId="27" fillId="7" fontId="4" numFmtId="0" xfId="0" applyAlignment="1" applyBorder="1" applyFont="1">
      <alignment vertical="bottom"/>
    </xf>
    <xf borderId="28" fillId="7" fontId="92" numFmtId="0" xfId="0" applyAlignment="1" applyBorder="1" applyFont="1">
      <alignment vertical="bottom"/>
    </xf>
    <xf borderId="1" fillId="2" fontId="35" numFmtId="0" xfId="0" applyAlignment="1" applyBorder="1" applyFont="1">
      <alignment horizontal="center" vertical="bottom"/>
    </xf>
    <xf borderId="26" fillId="7" fontId="16" numFmtId="0" xfId="0" applyAlignment="1" applyBorder="1" applyFont="1">
      <alignment horizontal="center" vertical="bottom"/>
    </xf>
    <xf borderId="3" fillId="6" fontId="9" numFmtId="0" xfId="0" applyAlignment="1" applyBorder="1" applyFont="1">
      <alignment horizontal="left" vertical="bottom"/>
    </xf>
    <xf borderId="3" fillId="4" fontId="93" numFmtId="0" xfId="0" applyAlignment="1" applyBorder="1" applyFont="1">
      <alignment vertical="bottom"/>
    </xf>
    <xf borderId="3" fillId="5" fontId="94" numFmtId="0" xfId="0" applyAlignment="1" applyBorder="1" applyFont="1">
      <alignment vertical="bottom"/>
    </xf>
    <xf borderId="3" fillId="5" fontId="95" numFmtId="0" xfId="0" applyAlignment="1" applyBorder="1" applyFont="1">
      <alignment vertical="bottom"/>
    </xf>
    <xf borderId="26" fillId="17" fontId="16" numFmtId="0" xfId="0" applyAlignment="1" applyBorder="1" applyFont="1">
      <alignment horizontal="center" vertical="bottom"/>
    </xf>
    <xf borderId="0" fillId="12" fontId="35" numFmtId="0" xfId="0" applyAlignment="1" applyFont="1">
      <alignment vertical="bottom"/>
    </xf>
    <xf borderId="31" fillId="9" fontId="35" numFmtId="0" xfId="0" applyAlignment="1" applyBorder="1" applyFont="1">
      <alignment horizontal="left" vertical="center"/>
    </xf>
    <xf borderId="3" fillId="7" fontId="96" numFmtId="0" xfId="0" applyAlignment="1" applyBorder="1" applyFont="1">
      <alignment vertical="bottom"/>
    </xf>
    <xf borderId="0" fillId="0" fontId="97" numFmtId="0" xfId="0" applyAlignment="1" applyFont="1">
      <alignment vertical="bottom"/>
    </xf>
    <xf borderId="3" fillId="6" fontId="2" numFmtId="0" xfId="0" applyAlignment="1" applyBorder="1" applyFont="1">
      <alignment vertical="bottom"/>
    </xf>
    <xf borderId="28" fillId="9" fontId="35" numFmtId="0" xfId="0" applyAlignment="1" applyBorder="1" applyFont="1">
      <alignment horizontal="center" shrinkToFit="0" vertical="bottom" wrapText="1"/>
    </xf>
    <xf borderId="26" fillId="17" fontId="16" numFmtId="0" xfId="0" applyAlignment="1" applyBorder="1" applyFont="1">
      <alignment horizontal="center" shrinkToFit="0" vertical="bottom" wrapText="1"/>
    </xf>
    <xf borderId="29" fillId="6" fontId="9" numFmtId="0" xfId="0" applyAlignment="1" applyBorder="1" applyFont="1">
      <alignment horizontal="left" vertical="bottom"/>
    </xf>
    <xf borderId="48" fillId="5" fontId="34" numFmtId="0" xfId="0" applyAlignment="1" applyBorder="1" applyFont="1">
      <alignment horizontal="right"/>
    </xf>
    <xf borderId="29" fillId="4" fontId="98" numFmtId="0" xfId="0" applyAlignment="1" applyBorder="1" applyFont="1">
      <alignment vertical="bottom"/>
    </xf>
    <xf borderId="48" fillId="0" fontId="99" numFmtId="0" xfId="0" applyAlignment="1" applyBorder="1" applyFont="1">
      <alignment vertical="bottom"/>
    </xf>
    <xf borderId="29" fillId="6" fontId="100" numFmtId="0" xfId="0" applyAlignment="1" applyBorder="1" applyFont="1">
      <alignment vertical="bottom"/>
    </xf>
    <xf borderId="29" fillId="16" fontId="101" numFmtId="0" xfId="0" applyAlignment="1" applyBorder="1" applyFont="1">
      <alignment vertical="bottom"/>
    </xf>
    <xf borderId="49" fillId="0" fontId="4" numFmtId="0" xfId="0" applyAlignment="1" applyBorder="1" applyFont="1">
      <alignment vertical="bottom"/>
    </xf>
    <xf borderId="29" fillId="16" fontId="35" numFmtId="0" xfId="0" applyAlignment="1" applyBorder="1" applyFont="1">
      <alignment horizontal="center" vertical="bottom"/>
    </xf>
    <xf borderId="48" fillId="2" fontId="35" numFmtId="0" xfId="0" applyAlignment="1" applyBorder="1" applyFont="1">
      <alignment horizontal="center" shrinkToFit="0" vertical="bottom" wrapText="1"/>
    </xf>
    <xf borderId="49" fillId="9" fontId="35" numFmtId="0" xfId="0" applyAlignment="1" applyBorder="1" applyFont="1">
      <alignment horizontal="center" shrinkToFit="0" vertical="bottom" wrapText="1"/>
    </xf>
    <xf borderId="27" fillId="7" fontId="4" numFmtId="0" xfId="0" applyAlignment="1" applyBorder="1" applyFont="1">
      <alignment horizontal="left" vertical="bottom"/>
    </xf>
    <xf borderId="3" fillId="5" fontId="102" numFmtId="0" xfId="0" applyAlignment="1" applyBorder="1" applyFont="1">
      <alignment vertical="bottom"/>
    </xf>
    <xf borderId="0" fillId="5" fontId="103" numFmtId="0" xfId="0" applyAlignment="1" applyFont="1">
      <alignment vertical="bottom"/>
    </xf>
    <xf borderId="3" fillId="5" fontId="104" numFmtId="0" xfId="0" applyAlignment="1" applyBorder="1" applyFont="1">
      <alignment horizontal="left" vertical="bottom"/>
    </xf>
    <xf borderId="3" fillId="5" fontId="105" numFmtId="0" xfId="0" applyAlignment="1" applyBorder="1" applyFont="1">
      <alignment horizontal="left" vertical="bottom"/>
    </xf>
    <xf borderId="28" fillId="5" fontId="4" numFmtId="0" xfId="0" applyAlignment="1" applyBorder="1" applyFont="1">
      <alignment vertical="bottom"/>
    </xf>
    <xf borderId="0" fillId="4" fontId="35" numFmtId="0" xfId="0" applyAlignment="1" applyFont="1">
      <alignment horizontal="center" vertical="bottom"/>
    </xf>
    <xf borderId="28" fillId="4" fontId="35" numFmtId="0" xfId="0" applyAlignment="1" applyBorder="1" applyFont="1">
      <alignment horizontal="center" vertical="bottom"/>
    </xf>
    <xf borderId="26" fillId="18" fontId="16" numFmtId="0" xfId="0" applyAlignment="1" applyBorder="1" applyFill="1" applyFont="1">
      <alignment horizontal="center" vertical="bottom"/>
    </xf>
    <xf borderId="3" fillId="5" fontId="106" numFmtId="0" xfId="0" applyAlignment="1" applyBorder="1" applyFont="1">
      <alignment vertical="bottom"/>
    </xf>
    <xf borderId="0" fillId="7" fontId="35" numFmtId="0" xfId="0" applyAlignment="1" applyFont="1">
      <alignment horizontal="center" vertical="bottom"/>
    </xf>
    <xf borderId="28" fillId="7" fontId="35" numFmtId="0" xfId="0" applyAlignment="1" applyBorder="1" applyFont="1">
      <alignment horizontal="center" vertical="bottom"/>
    </xf>
    <xf borderId="26" fillId="17" fontId="35" numFmtId="0" xfId="0" applyAlignment="1" applyBorder="1" applyFont="1">
      <alignment vertical="bottom"/>
    </xf>
    <xf borderId="0" fillId="17" fontId="35" numFmtId="0" xfId="0" applyAlignment="1" applyFont="1">
      <alignment vertical="center"/>
    </xf>
    <xf borderId="27" fillId="7" fontId="107" numFmtId="0" xfId="0" applyAlignment="1" applyBorder="1" applyFont="1">
      <alignment horizontal="left" vertical="bottom"/>
    </xf>
    <xf borderId="3" fillId="5" fontId="4" numFmtId="0" xfId="0" applyAlignment="1" applyBorder="1" applyFont="1">
      <alignment horizontal="left" vertical="bottom"/>
    </xf>
    <xf borderId="30" fillId="10" fontId="35" numFmtId="0" xfId="0" applyAlignment="1" applyBorder="1" applyFont="1">
      <alignment horizontal="left" vertical="center"/>
    </xf>
    <xf borderId="41" fillId="10" fontId="35" numFmtId="0" xfId="0" applyAlignment="1" applyBorder="1" applyFont="1">
      <alignment horizontal="left" vertical="center"/>
    </xf>
    <xf borderId="3" fillId="5" fontId="108" numFmtId="0" xfId="0" applyAlignment="1" applyBorder="1" applyFont="1">
      <alignment horizontal="left" shrinkToFit="0" vertical="bottom" wrapText="1"/>
    </xf>
    <xf borderId="3" fillId="5" fontId="109" numFmtId="0" xfId="0" applyAlignment="1" applyBorder="1" applyFont="1">
      <alignment horizontal="left" shrinkToFit="0" vertical="bottom" wrapText="1"/>
    </xf>
    <xf borderId="3" fillId="5" fontId="35" numFmtId="49" xfId="0" applyAlignment="1" applyBorder="1" applyFont="1" applyNumberFormat="1">
      <alignment horizontal="center" vertical="bottom"/>
    </xf>
    <xf borderId="26" fillId="5" fontId="16" numFmtId="0" xfId="0" applyAlignment="1" applyBorder="1" applyFont="1">
      <alignment horizontal="center" vertical="bottom"/>
    </xf>
    <xf borderId="3" fillId="15" fontId="110" numFmtId="0" xfId="0" applyAlignment="1" applyBorder="1" applyFont="1">
      <alignment horizontal="left" shrinkToFit="0" vertical="bottom" wrapText="0"/>
    </xf>
    <xf borderId="3" fillId="15" fontId="111" numFmtId="0" xfId="0" applyAlignment="1" applyBorder="1" applyFont="1">
      <alignment horizontal="left" shrinkToFit="0" vertical="bottom" wrapText="0"/>
    </xf>
    <xf borderId="28" fillId="15" fontId="4" numFmtId="0" xfId="0" applyAlignment="1" applyBorder="1" applyFont="1">
      <alignment vertical="bottom"/>
    </xf>
    <xf borderId="3" fillId="19" fontId="34" numFmtId="0" xfId="0" applyAlignment="1" applyBorder="1" applyFill="1" applyFont="1">
      <alignment horizontal="right"/>
    </xf>
    <xf borderId="3" fillId="15" fontId="112" numFmtId="0" xfId="0" applyAlignment="1" applyBorder="1" applyFont="1">
      <alignment vertical="bottom"/>
    </xf>
    <xf borderId="3" fillId="5" fontId="113" numFmtId="0" xfId="0" applyAlignment="1" applyBorder="1" applyFont="1">
      <alignment horizontal="left"/>
    </xf>
    <xf borderId="3" fillId="5" fontId="35" numFmtId="0" xfId="0" applyAlignment="1" applyBorder="1" applyFont="1">
      <alignment horizontal="center"/>
    </xf>
    <xf borderId="3" fillId="5" fontId="35" numFmtId="0" xfId="0" applyAlignment="1" applyBorder="1" applyFont="1">
      <alignment horizontal="center" vertical="bottom"/>
    </xf>
    <xf borderId="28" fillId="5" fontId="35" numFmtId="0" xfId="0" applyAlignment="1" applyBorder="1" applyFont="1">
      <alignment horizontal="center" vertical="bottom"/>
    </xf>
    <xf borderId="42" fillId="6" fontId="9" numFmtId="0" xfId="0" applyAlignment="1" applyBorder="1" applyFont="1">
      <alignment horizontal="left" vertical="bottom"/>
    </xf>
    <xf borderId="42" fillId="5" fontId="34" numFmtId="0" xfId="0" applyAlignment="1" applyBorder="1" applyFont="1">
      <alignment horizontal="right"/>
    </xf>
    <xf borderId="42" fillId="5" fontId="9" numFmtId="0" xfId="0" applyAlignment="1" applyBorder="1" applyFont="1">
      <alignment vertical="bottom"/>
    </xf>
    <xf borderId="42" fillId="5" fontId="114" numFmtId="0" xfId="0" applyAlignment="1" applyBorder="1" applyFont="1">
      <alignment vertical="bottom"/>
    </xf>
    <xf borderId="42" fillId="15" fontId="115" numFmtId="0" xfId="0" applyAlignment="1" applyBorder="1" applyFont="1">
      <alignment horizontal="left" shrinkToFit="0" vertical="bottom" wrapText="1"/>
    </xf>
    <xf borderId="42" fillId="15" fontId="116" numFmtId="0" xfId="0" applyAlignment="1" applyBorder="1" applyFont="1">
      <alignment horizontal="left" shrinkToFit="0" vertical="bottom" wrapText="1"/>
    </xf>
    <xf borderId="42" fillId="15" fontId="117" numFmtId="0" xfId="0" applyAlignment="1" applyBorder="1" applyFont="1">
      <alignment vertical="bottom"/>
    </xf>
    <xf borderId="42" fillId="16" fontId="35" numFmtId="0" xfId="0" applyAlignment="1" applyBorder="1" applyFont="1">
      <alignment horizontal="center" vertical="bottom"/>
    </xf>
    <xf borderId="42" fillId="2" fontId="35" numFmtId="0" xfId="0" applyAlignment="1" applyBorder="1" applyFont="1">
      <alignment horizontal="center" vertical="bottom"/>
    </xf>
    <xf borderId="50" fillId="9" fontId="35" numFmtId="0" xfId="0" applyAlignment="1" applyBorder="1" applyFont="1">
      <alignment horizontal="center" vertical="bottom"/>
    </xf>
    <xf borderId="42" fillId="7" fontId="9" numFmtId="0" xfId="0" applyAlignment="1" applyBorder="1" applyFont="1">
      <alignment horizontal="left" vertical="bottom"/>
    </xf>
    <xf borderId="3" fillId="5" fontId="9" numFmtId="0" xfId="0" applyAlignment="1" applyBorder="1" applyFont="1">
      <alignment vertical="bottom"/>
    </xf>
    <xf borderId="3" fillId="5" fontId="4" numFmtId="0" xfId="0" applyAlignment="1" applyBorder="1" applyFont="1">
      <alignment vertical="bottom"/>
    </xf>
    <xf borderId="3" fillId="15" fontId="118" numFmtId="0" xfId="0" applyAlignment="1" applyBorder="1" applyFont="1">
      <alignment horizontal="left" shrinkToFit="0" vertical="bottom" wrapText="1"/>
    </xf>
    <xf borderId="3" fillId="15" fontId="119" numFmtId="0" xfId="0" applyAlignment="1" applyBorder="1" applyFont="1">
      <alignment horizontal="left" shrinkToFit="0" vertical="bottom" wrapText="1"/>
    </xf>
    <xf borderId="3" fillId="15" fontId="4" numFmtId="0" xfId="0" applyAlignment="1" applyBorder="1" applyFont="1">
      <alignment vertical="bottom"/>
    </xf>
    <xf borderId="3" fillId="15" fontId="120" numFmtId="0" xfId="0" applyAlignment="1" applyBorder="1" applyFont="1">
      <alignment shrinkToFit="0" vertical="bottom" wrapText="1"/>
    </xf>
    <xf borderId="27" fillId="15" fontId="4" numFmtId="0" xfId="0" applyAlignment="1" applyBorder="1" applyFont="1">
      <alignment vertical="bottom"/>
    </xf>
    <xf borderId="3" fillId="15" fontId="4" numFmtId="0" xfId="0" applyBorder="1" applyFont="1"/>
    <xf borderId="3" fillId="7" fontId="35" numFmtId="0" xfId="0" applyAlignment="1" applyBorder="1" applyFont="1">
      <alignment horizontal="center"/>
    </xf>
    <xf borderId="3" fillId="7" fontId="35" numFmtId="0" xfId="0" applyAlignment="1" applyBorder="1" applyFont="1">
      <alignment horizontal="center" vertical="bottom"/>
    </xf>
    <xf borderId="0" fillId="7" fontId="16" numFmtId="0" xfId="0" applyAlignment="1" applyFont="1">
      <alignment horizontal="center" vertical="bottom"/>
    </xf>
    <xf borderId="3" fillId="15" fontId="121" numFmtId="0" xfId="0" applyAlignment="1" applyBorder="1" applyFont="1">
      <alignment shrinkToFit="0" vertical="bottom" wrapText="1"/>
    </xf>
    <xf borderId="27" fillId="15" fontId="122" numFmtId="0" xfId="0" applyAlignment="1" applyBorder="1" applyFont="1">
      <alignment vertical="bottom"/>
    </xf>
    <xf borderId="11" fillId="6" fontId="16" numFmtId="0" xfId="0" applyAlignment="1" applyBorder="1" applyFont="1">
      <alignment horizontal="left" vertical="bottom"/>
    </xf>
    <xf borderId="11" fillId="6" fontId="9" numFmtId="0" xfId="0" applyAlignment="1" applyBorder="1" applyFont="1">
      <alignment horizontal="left" vertical="bottom"/>
    </xf>
    <xf borderId="11" fillId="19" fontId="34" numFmtId="0" xfId="0" applyAlignment="1" applyBorder="1" applyFont="1">
      <alignment horizontal="right"/>
    </xf>
    <xf borderId="11" fillId="5" fontId="123" numFmtId="0" xfId="0" applyAlignment="1" applyBorder="1" applyFont="1">
      <alignment vertical="bottom"/>
    </xf>
    <xf borderId="11" fillId="5" fontId="4" numFmtId="0" xfId="0" applyAlignment="1" applyBorder="1" applyFont="1">
      <alignment vertical="bottom"/>
    </xf>
    <xf borderId="11" fillId="15" fontId="124" numFmtId="0" xfId="0" applyAlignment="1" applyBorder="1" applyFont="1">
      <alignment shrinkToFit="0" vertical="bottom" wrapText="1"/>
    </xf>
    <xf borderId="11" fillId="15" fontId="4" numFmtId="0" xfId="0" applyAlignment="1" applyBorder="1" applyFont="1">
      <alignment vertical="bottom"/>
    </xf>
    <xf borderId="11" fillId="15" fontId="4" numFmtId="0" xfId="0" applyBorder="1" applyFont="1"/>
    <xf borderId="11" fillId="7" fontId="35" numFmtId="0" xfId="0" applyAlignment="1" applyBorder="1" applyFont="1">
      <alignment horizontal="center"/>
    </xf>
    <xf borderId="11" fillId="7" fontId="35" numFmtId="0" xfId="0" applyAlignment="1" applyBorder="1" applyFont="1">
      <alignment horizontal="center" vertical="bottom"/>
    </xf>
    <xf borderId="45" fillId="7" fontId="35" numFmtId="0" xfId="0" applyAlignment="1" applyBorder="1" applyFont="1">
      <alignment horizontal="center" vertical="bottom"/>
    </xf>
    <xf borderId="3" fillId="0" fontId="9" numFmtId="0" xfId="0" applyAlignment="1" applyBorder="1" applyFont="1">
      <alignment vertical="bottom"/>
    </xf>
    <xf borderId="3" fillId="16" fontId="5" numFmtId="164" xfId="0" applyAlignment="1" applyBorder="1" applyFont="1" applyNumberFormat="1">
      <alignment horizontal="left" vertical="bottom"/>
    </xf>
    <xf borderId="3" fillId="6" fontId="125" numFmtId="0" xfId="0" applyAlignment="1" applyBorder="1" applyFont="1">
      <alignment shrinkToFit="0" vertical="bottom" wrapText="1"/>
    </xf>
    <xf borderId="3" fillId="19" fontId="35" numFmtId="0" xfId="0" applyAlignment="1" applyBorder="1" applyFont="1">
      <alignment horizontal="center" vertical="bottom"/>
    </xf>
    <xf borderId="28" fillId="19" fontId="35" numFmtId="0" xfId="0" applyAlignment="1" applyBorder="1" applyFont="1">
      <alignment horizontal="center" vertical="bottom"/>
    </xf>
    <xf borderId="26" fillId="8" fontId="4" numFmtId="0" xfId="0" applyAlignment="1" applyBorder="1" applyFont="1">
      <alignment vertical="center"/>
    </xf>
    <xf borderId="3" fillId="16" fontId="5" numFmtId="0" xfId="0" applyAlignment="1" applyBorder="1" applyFont="1">
      <alignment horizontal="left" vertical="bottom"/>
    </xf>
    <xf borderId="3" fillId="6" fontId="126" numFmtId="0" xfId="0" applyAlignment="1" applyBorder="1" applyFont="1">
      <alignment shrinkToFit="0" vertical="bottom" wrapText="1"/>
    </xf>
    <xf borderId="3" fillId="7" fontId="4" numFmtId="0" xfId="0" applyAlignment="1" applyBorder="1" applyFont="1">
      <alignment vertical="bottom"/>
    </xf>
    <xf borderId="3" fillId="16" fontId="5" numFmtId="165" xfId="0" applyAlignment="1" applyBorder="1" applyFont="1" applyNumberFormat="1">
      <alignment horizontal="left" vertical="bottom"/>
    </xf>
    <xf borderId="3" fillId="19" fontId="35" numFmtId="0" xfId="0" applyAlignment="1" applyBorder="1" applyFont="1">
      <alignment horizontal="center"/>
    </xf>
    <xf borderId="3" fillId="4" fontId="127" numFmtId="0" xfId="0" applyAlignment="1" applyBorder="1" applyFont="1">
      <alignment vertical="bottom"/>
    </xf>
    <xf borderId="3" fillId="6" fontId="128" numFmtId="0" xfId="0" applyAlignment="1" applyBorder="1" applyFont="1">
      <alignment vertical="bottom"/>
    </xf>
    <xf borderId="3" fillId="6" fontId="129" numFmtId="0" xfId="0" applyBorder="1" applyFont="1"/>
    <xf borderId="0" fillId="19" fontId="35" numFmtId="0" xfId="0" applyAlignment="1" applyFont="1">
      <alignment horizontal="center" vertical="bottom"/>
    </xf>
    <xf borderId="26" fillId="7" fontId="4" numFmtId="0" xfId="0" applyAlignment="1" applyBorder="1" applyFont="1">
      <alignment vertical="center"/>
    </xf>
    <xf borderId="3" fillId="7" fontId="5" numFmtId="0" xfId="0" applyAlignment="1" applyBorder="1" applyFont="1">
      <alignment horizontal="left" vertical="bottom"/>
    </xf>
    <xf borderId="3" fillId="6" fontId="130" numFmtId="0" xfId="0" applyAlignment="1" applyBorder="1" applyFont="1">
      <alignment shrinkToFit="0" vertical="bottom" wrapText="1"/>
    </xf>
    <xf borderId="0" fillId="0" fontId="131" numFmtId="0" xfId="0" applyFont="1"/>
    <xf borderId="26" fillId="0" fontId="4" numFmtId="0" xfId="0" applyAlignment="1" applyBorder="1" applyFont="1">
      <alignment vertical="bottom"/>
    </xf>
    <xf borderId="1" fillId="0" fontId="9" numFmtId="0" xfId="0" applyAlignment="1" applyBorder="1" applyFont="1">
      <alignment vertical="bottom"/>
    </xf>
    <xf borderId="1" fillId="20" fontId="31" numFmtId="0" xfId="0" applyAlignment="1" applyBorder="1" applyFill="1" applyFont="1">
      <alignment horizontal="left" vertical="bottom"/>
    </xf>
    <xf borderId="9" fillId="4" fontId="132" numFmtId="0" xfId="0" applyAlignment="1" applyBorder="1" applyFont="1">
      <alignment vertical="bottom"/>
    </xf>
    <xf borderId="23" fillId="0" fontId="133" numFmtId="0" xfId="0" applyAlignment="1" applyBorder="1" applyFont="1">
      <alignment vertical="bottom"/>
    </xf>
    <xf borderId="1" fillId="6" fontId="134" numFmtId="0" xfId="0" applyAlignment="1" applyBorder="1" applyFont="1">
      <alignment vertical="bottom"/>
    </xf>
    <xf borderId="1" fillId="9" fontId="135" numFmtId="0" xfId="0" applyAlignment="1" applyBorder="1" applyFont="1">
      <alignment vertical="bottom"/>
    </xf>
    <xf borderId="1" fillId="16" fontId="136" numFmtId="0" xfId="0" applyAlignment="1" applyBorder="1" applyFont="1">
      <alignment vertical="bottom"/>
    </xf>
    <xf borderId="1" fillId="9" fontId="35" numFmtId="0" xfId="0" applyAlignment="1" applyBorder="1" applyFont="1">
      <alignment horizontal="center" vertical="bottom"/>
    </xf>
    <xf borderId="0" fillId="17" fontId="16" numFmtId="0" xfId="0" applyAlignment="1" applyFont="1">
      <alignment horizontal="center" vertical="bottom"/>
    </xf>
    <xf borderId="31" fillId="17" fontId="35" numFmtId="0" xfId="0" applyAlignment="1" applyBorder="1" applyFont="1">
      <alignment horizontal="left" vertical="bottom"/>
    </xf>
    <xf borderId="22" fillId="17" fontId="35" numFmtId="0" xfId="0" applyAlignment="1" applyBorder="1" applyFont="1">
      <alignment horizontal="left" vertical="bottom"/>
    </xf>
    <xf borderId="3" fillId="20" fontId="31" numFmtId="0" xfId="0" applyAlignment="1" applyBorder="1" applyFont="1">
      <alignment horizontal="left" vertical="bottom"/>
    </xf>
    <xf borderId="3" fillId="9" fontId="35" numFmtId="0" xfId="0" applyAlignment="1" applyBorder="1" applyFont="1">
      <alignment horizontal="center" vertical="bottom"/>
    </xf>
    <xf borderId="0" fillId="0" fontId="137" numFmtId="0" xfId="0" applyAlignment="1" applyFont="1">
      <alignment vertical="bottom"/>
    </xf>
    <xf borderId="0" fillId="2" fontId="138" numFmtId="0" xfId="0" applyAlignment="1" applyFont="1">
      <alignment horizontal="center" vertical="bottom"/>
    </xf>
    <xf borderId="0" fillId="17" fontId="139" numFmtId="0" xfId="0" applyAlignment="1" applyFont="1">
      <alignment horizontal="center" vertical="bottom"/>
    </xf>
    <xf borderId="27" fillId="4" fontId="140" numFmtId="0" xfId="0" applyAlignment="1" applyBorder="1" applyFont="1">
      <alignment vertical="bottom"/>
    </xf>
    <xf borderId="3" fillId="7" fontId="141" numFmtId="0" xfId="0" applyAlignment="1" applyBorder="1" applyFont="1">
      <alignment vertical="bottom"/>
    </xf>
    <xf borderId="11" fillId="0" fontId="9" numFmtId="0" xfId="0" applyAlignment="1" applyBorder="1" applyFont="1">
      <alignment vertical="bottom"/>
    </xf>
    <xf borderId="11" fillId="20" fontId="31" numFmtId="0" xfId="0" applyAlignment="1" applyBorder="1" applyFont="1">
      <alignment horizontal="left" vertical="bottom"/>
    </xf>
    <xf borderId="44" fillId="0" fontId="9" numFmtId="0" xfId="0" applyAlignment="1" applyBorder="1" applyFont="1">
      <alignment vertical="bottom"/>
    </xf>
    <xf borderId="43" fillId="0" fontId="142" numFmtId="0" xfId="0" applyAlignment="1" applyBorder="1" applyFont="1">
      <alignment vertical="bottom"/>
    </xf>
    <xf borderId="11" fillId="0" fontId="143" numFmtId="0" xfId="0" applyBorder="1" applyFont="1"/>
    <xf borderId="11" fillId="0" fontId="144" numFmtId="0" xfId="0" applyBorder="1" applyFont="1"/>
    <xf borderId="11" fillId="16" fontId="35" numFmtId="0" xfId="0" applyAlignment="1" applyBorder="1" applyFont="1">
      <alignment horizontal="center"/>
    </xf>
    <xf borderId="43" fillId="2" fontId="35" numFmtId="0" xfId="0" applyAlignment="1" applyBorder="1" applyFont="1">
      <alignment horizontal="center"/>
    </xf>
    <xf borderId="11" fillId="9" fontId="35" numFmtId="0" xfId="0" applyAlignment="1" applyBorder="1" applyFont="1">
      <alignment horizontal="center"/>
    </xf>
    <xf borderId="43" fillId="17" fontId="16" numFmtId="0" xfId="0" applyAlignment="1" applyBorder="1" applyFont="1">
      <alignment horizontal="center"/>
    </xf>
    <xf borderId="3" fillId="10" fontId="16" numFmtId="0" xfId="0" applyAlignment="1" applyBorder="1" applyFont="1">
      <alignment horizontal="left" vertical="bottom"/>
    </xf>
    <xf borderId="3" fillId="15" fontId="145" numFmtId="0" xfId="0" applyAlignment="1" applyBorder="1" applyFont="1">
      <alignment vertical="bottom"/>
    </xf>
    <xf borderId="3" fillId="9" fontId="146" numFmtId="0" xfId="0" applyAlignment="1" applyBorder="1" applyFont="1">
      <alignment shrinkToFit="0" vertical="bottom" wrapText="1"/>
    </xf>
    <xf borderId="3" fillId="19" fontId="4" numFmtId="0" xfId="0" applyAlignment="1" applyBorder="1" applyFont="1">
      <alignment vertical="bottom"/>
    </xf>
    <xf borderId="0" fillId="19" fontId="16" numFmtId="0" xfId="0" applyAlignment="1" applyFont="1">
      <alignment horizontal="center" vertical="bottom"/>
    </xf>
    <xf borderId="51" fillId="0" fontId="35" numFmtId="0" xfId="0" applyAlignment="1" applyBorder="1" applyFont="1">
      <alignment horizontal="left" vertical="bottom"/>
    </xf>
    <xf borderId="26" fillId="0" fontId="35" numFmtId="0" xfId="0" applyAlignment="1" applyBorder="1" applyFont="1">
      <alignment horizontal="left" vertical="bottom"/>
    </xf>
    <xf borderId="22" fillId="0" fontId="35" numFmtId="0" xfId="0" applyAlignment="1" applyBorder="1" applyFont="1">
      <alignment horizontal="left" vertical="bottom"/>
    </xf>
    <xf borderId="27" fillId="0" fontId="4" numFmtId="0" xfId="0" applyBorder="1" applyFont="1"/>
    <xf borderId="3" fillId="5" fontId="9" numFmtId="0" xfId="0" applyAlignment="1" applyBorder="1" applyFont="1">
      <alignment horizontal="center" vertical="bottom"/>
    </xf>
    <xf borderId="3" fillId="5" fontId="16" numFmtId="0" xfId="0" applyAlignment="1" applyBorder="1" applyFont="1">
      <alignment horizontal="center" vertical="bottom"/>
    </xf>
    <xf borderId="0" fillId="0" fontId="34" numFmtId="166" xfId="0" applyAlignment="1" applyFont="1" applyNumberFormat="1">
      <alignment horizontal="right" vertical="bottom"/>
    </xf>
    <xf borderId="0" fillId="0" fontId="6" numFmtId="166" xfId="0" applyAlignment="1" applyFont="1" applyNumberFormat="1">
      <alignment vertical="bottom"/>
    </xf>
    <xf borderId="0" fillId="0" fontId="9" numFmtId="0" xfId="0" applyAlignment="1" applyFont="1">
      <alignment vertical="bottom"/>
    </xf>
    <xf borderId="0" fillId="0" fontId="16" numFmtId="0" xfId="0" applyFont="1"/>
    <xf borderId="51" fillId="0" fontId="35" numFmtId="0" xfId="0" applyAlignment="1" applyBorder="1" applyFont="1">
      <alignment horizontal="left"/>
    </xf>
    <xf borderId="0" fillId="5" fontId="5" numFmtId="49" xfId="0" applyAlignment="1" applyFont="1" applyNumberFormat="1">
      <alignment vertical="bottom"/>
    </xf>
    <xf borderId="0" fillId="0" fontId="9" numFmtId="0" xfId="0" applyAlignment="1" applyFont="1">
      <alignment horizontal="left" vertical="bottom"/>
    </xf>
    <xf borderId="0" fillId="0" fontId="34" numFmtId="0" xfId="0" applyAlignment="1" applyFont="1">
      <alignment horizontal="right" vertical="bottom"/>
    </xf>
    <xf borderId="0" fillId="12" fontId="35" numFmtId="0" xfId="0" applyAlignment="1" applyFont="1">
      <alignment horizontal="center" shrinkToFit="0" vertical="center" wrapText="1"/>
    </xf>
    <xf borderId="52" fillId="12" fontId="35" numFmtId="0" xfId="0" applyAlignment="1" applyBorder="1" applyFont="1">
      <alignment horizontal="center" shrinkToFit="0" vertical="center" wrapText="1"/>
    </xf>
    <xf borderId="53" fillId="17" fontId="35" numFmtId="0" xfId="0" applyAlignment="1" applyBorder="1" applyFont="1">
      <alignment horizontal="center" shrinkToFit="0" vertical="center" wrapText="1"/>
    </xf>
    <xf borderId="53" fillId="4" fontId="35" numFmtId="0" xfId="0" applyAlignment="1" applyBorder="1" applyFont="1">
      <alignment horizontal="center" shrinkToFit="0" vertical="center" wrapText="1"/>
    </xf>
    <xf borderId="53" fillId="21" fontId="36" numFmtId="167" xfId="0" applyAlignment="1" applyBorder="1" applyFill="1" applyFont="1" applyNumberFormat="1">
      <alignment horizontal="center" shrinkToFit="0" vertical="center" wrapText="1"/>
    </xf>
    <xf borderId="53" fillId="21" fontId="36" numFmtId="0" xfId="0" applyAlignment="1" applyBorder="1" applyFont="1">
      <alignment horizontal="center" shrinkToFit="0" vertical="center" wrapText="1"/>
    </xf>
    <xf borderId="53" fillId="20" fontId="36" numFmtId="3" xfId="0" applyAlignment="1" applyBorder="1" applyFont="1" applyNumberFormat="1">
      <alignment horizontal="center" shrinkToFit="0" vertical="center" wrapText="1"/>
    </xf>
    <xf borderId="53" fillId="12" fontId="35" numFmtId="0" xfId="0" applyAlignment="1" applyBorder="1" applyFont="1">
      <alignment horizontal="center" shrinkToFit="0" vertical="center" wrapText="1"/>
    </xf>
    <xf borderId="53" fillId="2" fontId="6" numFmtId="0" xfId="0" applyAlignment="1" applyBorder="1" applyFont="1">
      <alignment horizontal="center" shrinkToFit="0" vertical="center" wrapText="1"/>
    </xf>
    <xf borderId="53" fillId="2" fontId="6" numFmtId="49" xfId="0" applyAlignment="1" applyBorder="1" applyFont="1" applyNumberFormat="1">
      <alignment horizontal="center" shrinkToFit="0" vertical="center" wrapText="1"/>
    </xf>
    <xf borderId="54" fillId="6" fontId="31" numFmtId="0" xfId="0" applyAlignment="1" applyBorder="1" applyFont="1">
      <alignment horizontal="center" shrinkToFit="0" vertical="center" wrapText="1"/>
    </xf>
    <xf borderId="54" fillId="0" fontId="35" numFmtId="0" xfId="0" applyAlignment="1" applyBorder="1" applyFont="1">
      <alignment horizontal="center" shrinkToFit="0" vertical="center" wrapText="1"/>
    </xf>
    <xf borderId="54" fillId="2" fontId="6" numFmtId="0" xfId="0" applyAlignment="1" applyBorder="1" applyFont="1">
      <alignment horizontal="center" shrinkToFit="0" vertical="center" wrapText="1"/>
    </xf>
    <xf borderId="54" fillId="2" fontId="35" numFmtId="0" xfId="0" applyAlignment="1" applyBorder="1" applyFont="1">
      <alignment horizontal="center" shrinkToFit="0" vertical="center" wrapText="1"/>
    </xf>
    <xf borderId="53" fillId="22" fontId="36" numFmtId="0" xfId="0" applyAlignment="1" applyBorder="1" applyFill="1" applyFont="1">
      <alignment horizontal="center" shrinkToFit="0" vertical="center" wrapText="1"/>
    </xf>
    <xf borderId="54" fillId="8" fontId="35" numFmtId="0" xfId="0" applyAlignment="1" applyBorder="1" applyFont="1">
      <alignment horizontal="center" shrinkToFit="0" vertical="center" wrapText="1"/>
    </xf>
    <xf borderId="54" fillId="6" fontId="35" numFmtId="0" xfId="0" applyAlignment="1" applyBorder="1" applyFont="1">
      <alignment horizontal="center" shrinkToFit="0" vertical="center" wrapText="1"/>
    </xf>
    <xf borderId="54" fillId="9" fontId="35" numFmtId="0" xfId="0" applyAlignment="1" applyBorder="1" applyFont="1">
      <alignment horizontal="center" shrinkToFit="0" vertical="center" wrapText="1"/>
    </xf>
    <xf borderId="54" fillId="23" fontId="35" numFmtId="0" xfId="0" applyAlignment="1" applyBorder="1" applyFill="1" applyFont="1">
      <alignment horizontal="center" shrinkToFit="0" vertical="center" wrapText="1"/>
    </xf>
    <xf borderId="54" fillId="12" fontId="36" numFmtId="0" xfId="0" applyAlignment="1" applyBorder="1" applyFont="1">
      <alignment horizontal="center" shrinkToFit="0" vertical="center" wrapText="1"/>
    </xf>
    <xf borderId="55" fillId="18" fontId="35" numFmtId="0" xfId="0" applyAlignment="1" applyBorder="1" applyFont="1">
      <alignment horizontal="center" shrinkToFit="0" vertical="center" wrapText="1"/>
    </xf>
    <xf borderId="55" fillId="24" fontId="35" numFmtId="0" xfId="0" applyAlignment="1" applyBorder="1" applyFill="1" applyFont="1">
      <alignment horizontal="center" shrinkToFit="0" vertical="center" wrapText="1"/>
    </xf>
    <xf borderId="55" fillId="0" fontId="35" numFmtId="0" xfId="0" applyAlignment="1" applyBorder="1" applyFont="1">
      <alignment horizontal="center" shrinkToFit="0" vertical="center" wrapText="1"/>
    </xf>
    <xf borderId="56" fillId="0" fontId="35" numFmtId="0" xfId="0" applyAlignment="1" applyBorder="1" applyFont="1">
      <alignment horizontal="center" shrinkToFit="0" vertical="center" wrapText="1"/>
    </xf>
    <xf borderId="0" fillId="0" fontId="35" numFmtId="0" xfId="0" applyAlignment="1" applyFont="1">
      <alignment horizontal="center" shrinkToFit="0" vertical="center" wrapText="1"/>
    </xf>
    <xf borderId="0" fillId="12" fontId="4" numFmtId="0" xfId="0" applyAlignment="1" applyFont="1">
      <alignment vertical="bottom"/>
    </xf>
    <xf borderId="57" fillId="12" fontId="4" numFmtId="0" xfId="0" applyAlignment="1" applyBorder="1" applyFont="1">
      <alignment vertical="bottom"/>
    </xf>
    <xf borderId="58" fillId="17" fontId="138" numFmtId="0" xfId="0" applyAlignment="1" applyBorder="1" applyFont="1">
      <alignment horizontal="left"/>
    </xf>
    <xf borderId="58" fillId="17" fontId="138" numFmtId="0" xfId="0" applyAlignment="1" applyBorder="1" applyFont="1">
      <alignment horizontal="center"/>
    </xf>
    <xf borderId="55" fillId="4" fontId="34" numFmtId="0" xfId="0" applyBorder="1" applyFont="1"/>
    <xf borderId="58" fillId="4" fontId="147" numFmtId="0" xfId="0" applyAlignment="1" applyBorder="1" applyFont="1">
      <alignment horizontal="left"/>
    </xf>
    <xf borderId="55" fillId="0" fontId="6" numFmtId="167" xfId="0" applyBorder="1" applyFont="1" applyNumberFormat="1"/>
    <xf borderId="55" fillId="0" fontId="6" numFmtId="3" xfId="0" applyAlignment="1" applyBorder="1" applyFont="1" applyNumberFormat="1">
      <alignment horizontal="center"/>
    </xf>
    <xf borderId="55" fillId="0" fontId="35" numFmtId="0" xfId="0" applyBorder="1" applyFont="1"/>
    <xf borderId="58" fillId="5" fontId="9" numFmtId="0" xfId="0" applyAlignment="1" applyBorder="1" applyFont="1">
      <alignment horizontal="center"/>
    </xf>
    <xf borderId="58" fillId="12" fontId="148" numFmtId="0" xfId="0" applyAlignment="1" applyBorder="1" applyFont="1">
      <alignment horizontal="center"/>
    </xf>
    <xf borderId="58" fillId="6" fontId="149" numFmtId="0" xfId="0" applyAlignment="1" applyBorder="1" applyFont="1">
      <alignment horizontal="left"/>
    </xf>
    <xf borderId="58" fillId="12" fontId="150" numFmtId="0" xfId="0" applyAlignment="1" applyBorder="1" applyFont="1">
      <alignment horizontal="center"/>
    </xf>
    <xf borderId="58" fillId="22" fontId="151" numFmtId="0" xfId="0" applyAlignment="1" applyBorder="1" applyFont="1">
      <alignment horizontal="center"/>
    </xf>
    <xf borderId="58" fillId="12" fontId="149" numFmtId="0" xfId="0" applyAlignment="1" applyBorder="1" applyFont="1">
      <alignment horizontal="left"/>
    </xf>
    <xf borderId="58" fillId="2" fontId="149" numFmtId="0" xfId="0" applyAlignment="1" applyBorder="1" applyFont="1">
      <alignment horizontal="left"/>
    </xf>
    <xf borderId="58" fillId="12" fontId="151" numFmtId="0" xfId="0" applyAlignment="1" applyBorder="1" applyFont="1">
      <alignment horizontal="center"/>
    </xf>
    <xf borderId="55" fillId="0" fontId="4" numFmtId="0" xfId="0" applyBorder="1" applyFont="1"/>
    <xf borderId="56" fillId="0" fontId="4" numFmtId="0" xfId="0" applyBorder="1" applyFont="1"/>
    <xf borderId="59" fillId="12" fontId="4" numFmtId="0" xfId="0" applyAlignment="1" applyBorder="1" applyFont="1">
      <alignment vertical="bottom"/>
    </xf>
    <xf borderId="60" fillId="17" fontId="138" numFmtId="0" xfId="0" applyAlignment="1" applyBorder="1" applyFont="1">
      <alignment horizontal="left"/>
    </xf>
    <xf borderId="60" fillId="17" fontId="138" numFmtId="0" xfId="0" applyAlignment="1" applyBorder="1" applyFont="1">
      <alignment horizontal="center"/>
    </xf>
    <xf borderId="60" fillId="4" fontId="147" numFmtId="0" xfId="0" applyAlignment="1" applyBorder="1" applyFont="1">
      <alignment horizontal="left"/>
    </xf>
    <xf borderId="60" fillId="5" fontId="9" numFmtId="0" xfId="0" applyAlignment="1" applyBorder="1" applyFont="1">
      <alignment horizontal="center"/>
    </xf>
    <xf borderId="60" fillId="12" fontId="148" numFmtId="0" xfId="0" applyAlignment="1" applyBorder="1" applyFont="1">
      <alignment horizontal="center"/>
    </xf>
    <xf borderId="60" fillId="6" fontId="149" numFmtId="0" xfId="0" applyAlignment="1" applyBorder="1" applyFont="1">
      <alignment horizontal="left"/>
    </xf>
    <xf borderId="60" fillId="12" fontId="150" numFmtId="0" xfId="0" applyAlignment="1" applyBorder="1" applyFont="1">
      <alignment horizontal="center"/>
    </xf>
    <xf borderId="60" fillId="22" fontId="151" numFmtId="0" xfId="0" applyAlignment="1" applyBorder="1" applyFont="1">
      <alignment horizontal="center"/>
    </xf>
    <xf borderId="60" fillId="12" fontId="149" numFmtId="0" xfId="0" applyAlignment="1" applyBorder="1" applyFont="1">
      <alignment horizontal="left"/>
    </xf>
    <xf borderId="60" fillId="2" fontId="149" numFmtId="0" xfId="0" applyAlignment="1" applyBorder="1" applyFont="1">
      <alignment horizontal="left"/>
    </xf>
    <xf borderId="60" fillId="12" fontId="151" numFmtId="0" xfId="0" applyAlignment="1" applyBorder="1" applyFont="1">
      <alignment horizontal="center"/>
    </xf>
    <xf borderId="0" fillId="12" fontId="4" numFmtId="0" xfId="0" applyFont="1"/>
    <xf borderId="59" fillId="12" fontId="4" numFmtId="0" xfId="0" applyBorder="1" applyFont="1"/>
    <xf borderId="60" fillId="17" fontId="138" numFmtId="0" xfId="0" applyAlignment="1" applyBorder="1" applyFont="1">
      <alignment horizontal="left" vertical="bottom"/>
    </xf>
    <xf borderId="60" fillId="17" fontId="138" numFmtId="0" xfId="0" applyAlignment="1" applyBorder="1" applyFont="1">
      <alignment horizontal="center" vertical="bottom"/>
    </xf>
    <xf borderId="54" fillId="0" fontId="9" numFmtId="0" xfId="0" applyAlignment="1" applyBorder="1" applyFont="1">
      <alignment horizontal="center" shrinkToFit="0" vertical="center" wrapText="1"/>
    </xf>
    <xf borderId="0" fillId="10" fontId="4" numFmtId="0" xfId="0" applyAlignment="1" applyFont="1">
      <alignment vertical="bottom"/>
    </xf>
    <xf borderId="59" fillId="10" fontId="4" numFmtId="0" xfId="0" applyAlignment="1" applyBorder="1" applyFont="1">
      <alignment vertical="bottom"/>
    </xf>
    <xf borderId="60" fillId="5" fontId="148" numFmtId="0" xfId="0" applyAlignment="1" applyBorder="1" applyFont="1">
      <alignment horizontal="center"/>
    </xf>
    <xf borderId="60" fillId="5" fontId="150" numFmtId="0" xfId="0" applyAlignment="1" applyBorder="1" applyFont="1">
      <alignment horizontal="center"/>
    </xf>
    <xf borderId="60" fillId="5" fontId="149" numFmtId="0" xfId="0" applyAlignment="1" applyBorder="1" applyFont="1">
      <alignment horizontal="left"/>
    </xf>
    <xf borderId="60" fillId="5" fontId="151" numFmtId="0" xfId="0" applyAlignment="1" applyBorder="1" applyFont="1">
      <alignment horizontal="center"/>
    </xf>
    <xf borderId="0" fillId="7" fontId="4" numFmtId="0" xfId="0" applyFont="1"/>
    <xf borderId="59" fillId="7" fontId="4" numFmtId="0" xfId="0" applyBorder="1" applyFont="1"/>
    <xf borderId="55" fillId="5" fontId="6" numFmtId="167" xfId="0" applyBorder="1" applyFont="1" applyNumberFormat="1"/>
    <xf borderId="55" fillId="5" fontId="6" numFmtId="3" xfId="0" applyAlignment="1" applyBorder="1" applyFont="1" applyNumberFormat="1">
      <alignment horizontal="center"/>
    </xf>
    <xf borderId="55" fillId="5" fontId="35" numFmtId="0" xfId="0" applyBorder="1" applyFont="1"/>
    <xf borderId="55" fillId="5" fontId="4" numFmtId="0" xfId="0" applyBorder="1" applyFont="1"/>
    <xf borderId="56" fillId="5" fontId="4" numFmtId="0" xfId="0" applyBorder="1" applyFont="1"/>
    <xf borderId="0" fillId="5" fontId="4" numFmtId="0" xfId="0" applyFont="1"/>
    <xf borderId="0" fillId="4" fontId="4" numFmtId="0" xfId="0" applyFont="1"/>
    <xf borderId="59" fillId="4" fontId="4" numFmtId="0" xfId="0" applyBorder="1" applyFont="1"/>
    <xf borderId="60" fillId="2" fontId="150" numFmtId="0" xfId="0" applyAlignment="1" applyBorder="1" applyFont="1">
      <alignment horizontal="center"/>
    </xf>
    <xf borderId="60" fillId="2" fontId="151" numFmtId="0" xfId="0" applyAlignment="1" applyBorder="1" applyFont="1">
      <alignment horizontal="center"/>
    </xf>
    <xf borderId="60" fillId="4" fontId="148" numFmtId="0" xfId="0" applyAlignment="1" applyBorder="1" applyFont="1">
      <alignment horizontal="center"/>
    </xf>
    <xf borderId="60" fillId="4" fontId="150" numFmtId="0" xfId="0" applyAlignment="1" applyBorder="1" applyFont="1">
      <alignment horizontal="center"/>
    </xf>
    <xf borderId="0" fillId="16" fontId="4" numFmtId="0" xfId="0" applyAlignment="1" applyFont="1">
      <alignment vertical="bottom"/>
    </xf>
    <xf borderId="59" fillId="16" fontId="4" numFmtId="0" xfId="0" applyAlignment="1" applyBorder="1" applyFont="1">
      <alignment vertical="bottom"/>
    </xf>
    <xf borderId="60" fillId="17" fontId="152" numFmtId="0" xfId="0" applyAlignment="1" applyBorder="1" applyFont="1">
      <alignment horizontal="left"/>
    </xf>
    <xf borderId="60" fillId="17" fontId="152" numFmtId="0" xfId="0" applyAlignment="1" applyBorder="1" applyFont="1">
      <alignment horizontal="center"/>
    </xf>
    <xf borderId="60" fillId="17" fontId="148" numFmtId="0" xfId="0" applyAlignment="1" applyBorder="1" applyFont="1">
      <alignment horizontal="center"/>
    </xf>
    <xf borderId="60" fillId="6" fontId="153" numFmtId="0" xfId="0" applyAlignment="1" applyBorder="1" applyFont="1">
      <alignment horizontal="left"/>
    </xf>
    <xf borderId="60" fillId="17" fontId="150" numFmtId="0" xfId="0" applyAlignment="1" applyBorder="1" applyFont="1">
      <alignment horizontal="center"/>
    </xf>
    <xf borderId="61" fillId="22" fontId="151" numFmtId="0" xfId="0" applyAlignment="1" applyBorder="1" applyFont="1">
      <alignment horizontal="center"/>
    </xf>
    <xf borderId="60" fillId="17" fontId="150" numFmtId="0" xfId="0" applyAlignment="1" applyBorder="1" applyFont="1">
      <alignment horizontal="left"/>
    </xf>
    <xf borderId="60" fillId="17" fontId="151" numFmtId="0" xfId="0" applyAlignment="1" applyBorder="1" applyFont="1">
      <alignment horizontal="center"/>
    </xf>
    <xf borderId="60" fillId="17" fontId="36" numFmtId="0" xfId="0" applyAlignment="1" applyBorder="1" applyFont="1">
      <alignment vertical="bottom"/>
    </xf>
    <xf borderId="60" fillId="17" fontId="36" numFmtId="0" xfId="0" applyAlignment="1" applyBorder="1" applyFont="1">
      <alignment horizontal="center" vertical="bottom"/>
    </xf>
    <xf borderId="60" fillId="4" fontId="34" numFmtId="0" xfId="0" applyAlignment="1" applyBorder="1" applyFont="1">
      <alignment vertical="bottom"/>
    </xf>
    <xf borderId="60" fillId="17" fontId="154" numFmtId="0" xfId="0" applyAlignment="1" applyBorder="1" applyFont="1">
      <alignment horizontal="left"/>
    </xf>
    <xf borderId="55" fillId="0" fontId="35" numFmtId="0" xfId="0" applyAlignment="1" applyBorder="1" applyFont="1">
      <alignment vertical="bottom"/>
    </xf>
    <xf borderId="55" fillId="0" fontId="4" numFmtId="0" xfId="0" applyAlignment="1" applyBorder="1" applyFont="1">
      <alignment vertical="bottom"/>
    </xf>
    <xf borderId="56" fillId="0" fontId="4" numFmtId="0" xfId="0" applyAlignment="1" applyBorder="1" applyFont="1">
      <alignment vertical="bottom"/>
    </xf>
    <xf borderId="0" fillId="16" fontId="4" numFmtId="0" xfId="0" applyFont="1"/>
    <xf borderId="59" fillId="16" fontId="4" numFmtId="0" xfId="0" applyBorder="1" applyFont="1"/>
    <xf borderId="60" fillId="17" fontId="155" numFmtId="0" xfId="0" applyAlignment="1" applyBorder="1" applyFont="1">
      <alignment horizontal="left"/>
    </xf>
    <xf borderId="60" fillId="17" fontId="155" numFmtId="0" xfId="0" applyAlignment="1" applyBorder="1" applyFont="1">
      <alignment horizontal="center"/>
    </xf>
    <xf borderId="60" fillId="4" fontId="34" numFmtId="0" xfId="0" applyBorder="1" applyFont="1"/>
    <xf borderId="55" fillId="6" fontId="6" numFmtId="167" xfId="0" applyBorder="1" applyFont="1" applyNumberFormat="1"/>
    <xf borderId="55" fillId="6" fontId="6" numFmtId="3" xfId="0" applyAlignment="1" applyBorder="1" applyFont="1" applyNumberFormat="1">
      <alignment horizontal="center"/>
    </xf>
    <xf borderId="55" fillId="6" fontId="35" numFmtId="0" xfId="0" applyBorder="1" applyFont="1"/>
    <xf borderId="60" fillId="6" fontId="9" numFmtId="0" xfId="0" applyAlignment="1" applyBorder="1" applyFont="1">
      <alignment horizontal="center"/>
    </xf>
    <xf borderId="60" fillId="6" fontId="148" numFmtId="0" xfId="0" applyAlignment="1" applyBorder="1" applyFont="1">
      <alignment horizontal="center"/>
    </xf>
    <xf borderId="60" fillId="6" fontId="150" numFmtId="0" xfId="0" applyAlignment="1" applyBorder="1" applyFont="1">
      <alignment horizontal="center"/>
    </xf>
    <xf borderId="61" fillId="6" fontId="151" numFmtId="0" xfId="0" applyAlignment="1" applyBorder="1" applyFont="1">
      <alignment horizontal="center"/>
    </xf>
    <xf borderId="60" fillId="6" fontId="150" numFmtId="0" xfId="0" applyAlignment="1" applyBorder="1" applyFont="1">
      <alignment horizontal="left"/>
    </xf>
    <xf borderId="60" fillId="6" fontId="151" numFmtId="0" xfId="0" applyAlignment="1" applyBorder="1" applyFont="1">
      <alignment horizontal="center"/>
    </xf>
    <xf borderId="55" fillId="6" fontId="4" numFmtId="0" xfId="0" applyBorder="1" applyFont="1"/>
    <xf borderId="56" fillId="6" fontId="4" numFmtId="0" xfId="0" applyBorder="1" applyFont="1"/>
    <xf borderId="0" fillId="6" fontId="4" numFmtId="0" xfId="0" applyFont="1"/>
    <xf borderId="61" fillId="17" fontId="151" numFmtId="0" xfId="0" applyAlignment="1" applyBorder="1" applyFont="1">
      <alignment horizontal="center"/>
    </xf>
    <xf borderId="60" fillId="17" fontId="156" numFmtId="0" xfId="0" applyAlignment="1" applyBorder="1" applyFont="1">
      <alignment horizontal="left"/>
    </xf>
    <xf borderId="60" fillId="7" fontId="157" numFmtId="0" xfId="0" applyAlignment="1" applyBorder="1" applyFont="1">
      <alignment horizontal="left"/>
    </xf>
    <xf borderId="62" fillId="5" fontId="148" numFmtId="0" xfId="0" applyAlignment="1" applyBorder="1" applyFont="1">
      <alignment horizontal="center"/>
    </xf>
    <xf borderId="60" fillId="6" fontId="158" numFmtId="0" xfId="0" applyAlignment="1" applyBorder="1" applyFont="1">
      <alignment horizontal="left"/>
    </xf>
    <xf borderId="62" fillId="5" fontId="150" numFmtId="0" xfId="0" applyAlignment="1" applyBorder="1" applyFont="1">
      <alignment horizontal="center"/>
    </xf>
    <xf borderId="62" fillId="22" fontId="151" numFmtId="0" xfId="0" applyAlignment="1" applyBorder="1" applyFont="1">
      <alignment horizontal="center"/>
    </xf>
    <xf borderId="62" fillId="5" fontId="159" numFmtId="0" xfId="0" applyAlignment="1" applyBorder="1" applyFont="1">
      <alignment horizontal="left"/>
    </xf>
    <xf borderId="62" fillId="5" fontId="160" numFmtId="0" xfId="0" applyAlignment="1" applyBorder="1" applyFont="1">
      <alignment horizontal="left"/>
    </xf>
    <xf borderId="62" fillId="5" fontId="150" numFmtId="0" xfId="0" applyAlignment="1" applyBorder="1" applyFont="1">
      <alignment horizontal="left"/>
    </xf>
    <xf borderId="62" fillId="5" fontId="151" numFmtId="0" xfId="0" applyAlignment="1" applyBorder="1" applyFont="1">
      <alignment horizontal="center"/>
    </xf>
    <xf borderId="62" fillId="12" fontId="151" numFmtId="0" xfId="0" applyAlignment="1" applyBorder="1" applyFont="1">
      <alignment horizontal="center"/>
    </xf>
    <xf borderId="60" fillId="5" fontId="161" numFmtId="0" xfId="0" applyAlignment="1" applyBorder="1" applyFont="1">
      <alignment horizontal="left"/>
    </xf>
    <xf borderId="60" fillId="5" fontId="150" numFmtId="0" xfId="0" applyAlignment="1" applyBorder="1" applyFont="1">
      <alignment horizontal="left"/>
    </xf>
    <xf borderId="55" fillId="6" fontId="162" numFmtId="0" xfId="0" applyAlignment="1" applyBorder="1" applyFont="1">
      <alignment horizontal="left"/>
    </xf>
    <xf borderId="55" fillId="5" fontId="150" numFmtId="0" xfId="0" applyAlignment="1" applyBorder="1" applyFont="1">
      <alignment horizontal="center"/>
    </xf>
    <xf borderId="0" fillId="11" fontId="4" numFmtId="0" xfId="0" applyFont="1"/>
    <xf borderId="59" fillId="11" fontId="4" numFmtId="0" xfId="0" applyBorder="1" applyFont="1"/>
    <xf borderId="62" fillId="6" fontId="163" numFmtId="0" xfId="0" applyAlignment="1" applyBorder="1" applyFont="1">
      <alignment horizontal="left" vertical="center"/>
    </xf>
    <xf borderId="55" fillId="0" fontId="65" numFmtId="0" xfId="0" applyBorder="1" applyFont="1"/>
    <xf borderId="58" fillId="0" fontId="65" numFmtId="0" xfId="0" applyBorder="1" applyFont="1"/>
    <xf borderId="63" fillId="16" fontId="4" numFmtId="0" xfId="0" applyBorder="1" applyFont="1"/>
    <xf borderId="61" fillId="17" fontId="138" numFmtId="0" xfId="0" applyAlignment="1" applyBorder="1" applyFont="1">
      <alignment horizontal="left"/>
    </xf>
    <xf borderId="61" fillId="17" fontId="138" numFmtId="0" xfId="0" applyAlignment="1" applyBorder="1" applyFont="1">
      <alignment horizontal="center"/>
    </xf>
    <xf borderId="61" fillId="4" fontId="34" numFmtId="0" xfId="0" applyBorder="1" applyFont="1"/>
    <xf borderId="61" fillId="5" fontId="148" numFmtId="0" xfId="0" applyAlignment="1" applyBorder="1" applyFont="1">
      <alignment horizontal="center"/>
    </xf>
    <xf borderId="61" fillId="6" fontId="164" numFmtId="0" xfId="0" applyAlignment="1" applyBorder="1" applyFont="1">
      <alignment horizontal="left"/>
    </xf>
    <xf borderId="61" fillId="5" fontId="150" numFmtId="0" xfId="0" applyAlignment="1" applyBorder="1" applyFont="1">
      <alignment horizontal="center"/>
    </xf>
    <xf borderId="64" fillId="5" fontId="165" numFmtId="0" xfId="0" applyAlignment="1" applyBorder="1" applyFont="1">
      <alignment horizontal="left"/>
    </xf>
    <xf borderId="64" fillId="5" fontId="150" numFmtId="0" xfId="0" applyAlignment="1" applyBorder="1" applyFont="1">
      <alignment horizontal="left"/>
    </xf>
    <xf borderId="64" fillId="5" fontId="151" numFmtId="0" xfId="0" applyAlignment="1" applyBorder="1" applyFont="1">
      <alignment horizontal="center"/>
    </xf>
    <xf borderId="61" fillId="5" fontId="151" numFmtId="0" xfId="0" applyAlignment="1" applyBorder="1" applyFont="1">
      <alignment horizontal="center"/>
    </xf>
    <xf borderId="65" fillId="12" fontId="151" numFmtId="0" xfId="0" applyAlignment="1" applyBorder="1" applyFont="1">
      <alignment horizontal="center"/>
    </xf>
    <xf borderId="66" fillId="16" fontId="4" numFmtId="0" xfId="0" applyBorder="1" applyFont="1"/>
    <xf borderId="62" fillId="17" fontId="138" numFmtId="0" xfId="0" applyAlignment="1" applyBorder="1" applyFont="1">
      <alignment horizontal="left"/>
    </xf>
    <xf borderId="62" fillId="17" fontId="138" numFmtId="0" xfId="0" applyAlignment="1" applyBorder="1" applyFont="1">
      <alignment horizontal="center"/>
    </xf>
    <xf borderId="62" fillId="4" fontId="34" numFmtId="0" xfId="0" applyBorder="1" applyFont="1"/>
    <xf borderId="62" fillId="5" fontId="9" numFmtId="0" xfId="0" applyAlignment="1" applyBorder="1" applyFont="1">
      <alignment horizontal="center"/>
    </xf>
    <xf borderId="62" fillId="6" fontId="166" numFmtId="0" xfId="0" applyAlignment="1" applyBorder="1" applyFont="1">
      <alignment horizontal="left"/>
    </xf>
    <xf borderId="0" fillId="11" fontId="9" numFmtId="0" xfId="0" applyFont="1"/>
    <xf borderId="67" fillId="11" fontId="9" numFmtId="0" xfId="0" applyBorder="1" applyFont="1"/>
    <xf borderId="68" fillId="17" fontId="138" numFmtId="0" xfId="0" applyAlignment="1" applyBorder="1" applyFont="1">
      <alignment horizontal="left"/>
    </xf>
    <xf borderId="68" fillId="17" fontId="138" numFmtId="0" xfId="0" applyAlignment="1" applyBorder="1" applyFont="1">
      <alignment horizontal="center"/>
    </xf>
    <xf borderId="68" fillId="4" fontId="34" numFmtId="0" xfId="0" applyBorder="1" applyFont="1"/>
    <xf borderId="69" fillId="0" fontId="6" numFmtId="167" xfId="0" applyBorder="1" applyFont="1" applyNumberFormat="1"/>
    <xf borderId="69" fillId="0" fontId="6" numFmtId="3" xfId="0" applyAlignment="1" applyBorder="1" applyFont="1" applyNumberFormat="1">
      <alignment horizontal="center"/>
    </xf>
    <xf borderId="69" fillId="0" fontId="35" numFmtId="0" xfId="0" applyBorder="1" applyFont="1"/>
    <xf borderId="68" fillId="5" fontId="9" numFmtId="0" xfId="0" applyAlignment="1" applyBorder="1" applyFont="1">
      <alignment horizontal="center"/>
    </xf>
    <xf borderId="68" fillId="5" fontId="148" numFmtId="0" xfId="0" applyAlignment="1" applyBorder="1" applyFont="1">
      <alignment horizontal="center"/>
    </xf>
    <xf borderId="69" fillId="6" fontId="167" numFmtId="0" xfId="0" applyAlignment="1" applyBorder="1" applyFont="1">
      <alignment horizontal="left" vertical="center"/>
    </xf>
    <xf borderId="69" fillId="0" fontId="35" numFmtId="0" xfId="0" applyAlignment="1" applyBorder="1" applyFont="1">
      <alignment horizontal="left" vertical="center"/>
    </xf>
    <xf borderId="69" fillId="0" fontId="168" numFmtId="0" xfId="0" applyAlignment="1" applyBorder="1" applyFont="1">
      <alignment horizontal="left" vertical="center"/>
    </xf>
    <xf borderId="68" fillId="5" fontId="150" numFmtId="0" xfId="0" applyAlignment="1" applyBorder="1" applyFont="1">
      <alignment horizontal="center"/>
    </xf>
    <xf borderId="70" fillId="22" fontId="169" numFmtId="0" xfId="0" applyAlignment="1" applyBorder="1" applyFont="1">
      <alignment horizontal="center"/>
    </xf>
    <xf borderId="68" fillId="5" fontId="170" numFmtId="0" xfId="0" applyAlignment="1" applyBorder="1" applyFont="1">
      <alignment horizontal="left"/>
    </xf>
    <xf borderId="68" fillId="7" fontId="171" numFmtId="0" xfId="0" applyAlignment="1" applyBorder="1" applyFont="1">
      <alignment horizontal="left"/>
    </xf>
    <xf borderId="68" fillId="5" fontId="169" numFmtId="0" xfId="0" applyAlignment="1" applyBorder="1" applyFont="1">
      <alignment horizontal="left"/>
    </xf>
    <xf borderId="68" fillId="5" fontId="169" numFmtId="0" xfId="0" applyAlignment="1" applyBorder="1" applyFont="1">
      <alignment horizontal="center"/>
    </xf>
    <xf borderId="68" fillId="12" fontId="169" numFmtId="0" xfId="0" applyAlignment="1" applyBorder="1" applyFont="1">
      <alignment horizontal="center"/>
    </xf>
    <xf borderId="69" fillId="0" fontId="9" numFmtId="0" xfId="0" applyBorder="1" applyFont="1"/>
    <xf borderId="71" fillId="0" fontId="9" numFmtId="0" xfId="0" applyBorder="1" applyFont="1"/>
    <xf borderId="23" fillId="0" fontId="9" numFmtId="0" xfId="0" applyBorder="1" applyFont="1"/>
    <xf borderId="9" fillId="0" fontId="9" numFmtId="0" xfId="0" applyBorder="1" applyFont="1"/>
    <xf borderId="72" fillId="11" fontId="9" numFmtId="0" xfId="0" applyBorder="1" applyFont="1"/>
    <xf borderId="55" fillId="6" fontId="34" numFmtId="0" xfId="0" applyAlignment="1" applyBorder="1" applyFont="1">
      <alignment horizontal="left" vertical="center"/>
    </xf>
    <xf borderId="55" fillId="0" fontId="35" numFmtId="0" xfId="0" applyAlignment="1" applyBorder="1" applyFont="1">
      <alignment horizontal="left" vertical="center"/>
    </xf>
    <xf borderId="55" fillId="0" fontId="6" numFmtId="0" xfId="0" applyAlignment="1" applyBorder="1" applyFont="1">
      <alignment horizontal="left" vertical="center"/>
    </xf>
    <xf borderId="61" fillId="22" fontId="169" numFmtId="0" xfId="0" applyAlignment="1" applyBorder="1" applyFont="1">
      <alignment horizontal="center"/>
    </xf>
    <xf borderId="60" fillId="7" fontId="172" numFmtId="0" xfId="0" applyAlignment="1" applyBorder="1" applyFont="1">
      <alignment horizontal="left"/>
    </xf>
    <xf borderId="60" fillId="5" fontId="169" numFmtId="0" xfId="0" applyAlignment="1" applyBorder="1" applyFont="1">
      <alignment horizontal="left"/>
    </xf>
    <xf borderId="60" fillId="5" fontId="169" numFmtId="0" xfId="0" applyAlignment="1" applyBorder="1" applyFont="1">
      <alignment horizontal="center"/>
    </xf>
    <xf borderId="60" fillId="12" fontId="169" numFmtId="0" xfId="0" applyAlignment="1" applyBorder="1" applyFont="1">
      <alignment horizontal="center"/>
    </xf>
    <xf borderId="55" fillId="0" fontId="9" numFmtId="0" xfId="0" applyBorder="1" applyFont="1"/>
    <xf borderId="56" fillId="0" fontId="9" numFmtId="0" xfId="0" applyBorder="1" applyFont="1"/>
    <xf borderId="27" fillId="0" fontId="9" numFmtId="0" xfId="0" applyBorder="1" applyFont="1"/>
    <xf borderId="60" fillId="5" fontId="173" numFmtId="0" xfId="0" applyAlignment="1" applyBorder="1" applyFont="1">
      <alignment horizontal="left"/>
    </xf>
    <xf borderId="55" fillId="7" fontId="6" numFmtId="167" xfId="0" applyBorder="1" applyFont="1" applyNumberFormat="1"/>
    <xf borderId="55" fillId="7" fontId="6" numFmtId="3" xfId="0" applyAlignment="1" applyBorder="1" applyFont="1" applyNumberFormat="1">
      <alignment horizontal="center"/>
    </xf>
    <xf borderId="55" fillId="7" fontId="35" numFmtId="0" xfId="0" applyBorder="1" applyFont="1"/>
    <xf borderId="62" fillId="7" fontId="9" numFmtId="0" xfId="0" applyAlignment="1" applyBorder="1" applyFont="1">
      <alignment horizontal="center"/>
    </xf>
    <xf borderId="0" fillId="23" fontId="9" numFmtId="0" xfId="0" applyFont="1"/>
    <xf borderId="72" fillId="23" fontId="9" numFmtId="0" xfId="0" applyBorder="1" applyFont="1"/>
    <xf borderId="58" fillId="4" fontId="34" numFmtId="0" xfId="0" applyBorder="1" applyFont="1"/>
    <xf borderId="58" fillId="6" fontId="6" numFmtId="167" xfId="0" applyBorder="1" applyFont="1" applyNumberFormat="1"/>
    <xf borderId="58" fillId="6" fontId="6" numFmtId="3" xfId="0" applyAlignment="1" applyBorder="1" applyFont="1" applyNumberFormat="1">
      <alignment horizontal="center"/>
    </xf>
    <xf borderId="58" fillId="6" fontId="35" numFmtId="0" xfId="0" applyBorder="1" applyFont="1"/>
    <xf borderId="58" fillId="6" fontId="34" numFmtId="0" xfId="0" applyAlignment="1" applyBorder="1" applyFont="1">
      <alignment horizontal="left" vertical="center"/>
    </xf>
    <xf borderId="58" fillId="0" fontId="35" numFmtId="0" xfId="0" applyAlignment="1" applyBorder="1" applyFont="1">
      <alignment horizontal="left" vertical="center"/>
    </xf>
    <xf borderId="58" fillId="0" fontId="6" numFmtId="0" xfId="0" applyAlignment="1" applyBorder="1" applyFont="1">
      <alignment horizontal="left" vertical="center"/>
    </xf>
    <xf borderId="60" fillId="22" fontId="169" numFmtId="0" xfId="0" applyAlignment="1" applyBorder="1" applyFont="1">
      <alignment horizontal="center"/>
    </xf>
    <xf borderId="64" fillId="5" fontId="174" numFmtId="0" xfId="0" applyAlignment="1" applyBorder="1" applyFont="1">
      <alignment horizontal="left"/>
    </xf>
    <xf borderId="64" fillId="5" fontId="169" numFmtId="0" xfId="0" applyAlignment="1" applyBorder="1" applyFont="1">
      <alignment horizontal="left"/>
    </xf>
    <xf borderId="64" fillId="5" fontId="169" numFmtId="0" xfId="0" applyAlignment="1" applyBorder="1" applyFont="1">
      <alignment horizontal="center"/>
    </xf>
    <xf borderId="64" fillId="12" fontId="169" numFmtId="0" xfId="0" applyAlignment="1" applyBorder="1" applyFont="1">
      <alignment horizontal="center"/>
    </xf>
    <xf borderId="73" fillId="0" fontId="35" numFmtId="0" xfId="0" applyBorder="1" applyFont="1"/>
    <xf borderId="73" fillId="0" fontId="9" numFmtId="0" xfId="0" applyBorder="1" applyFont="1"/>
    <xf borderId="74" fillId="0" fontId="9" numFmtId="0" xfId="0" applyBorder="1" applyFont="1"/>
    <xf borderId="43" fillId="0" fontId="9" numFmtId="0" xfId="0" applyBorder="1" applyFont="1"/>
    <xf borderId="44" fillId="0" fontId="9" numFmtId="0" xfId="0" applyBorder="1" applyFont="1"/>
    <xf borderId="60" fillId="6" fontId="6" numFmtId="167" xfId="0" applyBorder="1" applyFont="1" applyNumberFormat="1"/>
    <xf borderId="60" fillId="6" fontId="6" numFmtId="3" xfId="0" applyAlignment="1" applyBorder="1" applyFont="1" applyNumberFormat="1">
      <alignment horizontal="center"/>
    </xf>
    <xf borderId="60" fillId="6" fontId="35" numFmtId="0" xfId="0" applyBorder="1" applyFont="1"/>
    <xf borderId="60" fillId="6" fontId="34" numFmtId="0" xfId="0" applyAlignment="1" applyBorder="1" applyFont="1">
      <alignment horizontal="left" vertical="center"/>
    </xf>
    <xf borderId="60" fillId="0" fontId="35" numFmtId="0" xfId="0" applyAlignment="1" applyBorder="1" applyFont="1">
      <alignment horizontal="left" vertical="center"/>
    </xf>
    <xf borderId="60" fillId="0" fontId="6" numFmtId="0" xfId="0" applyAlignment="1" applyBorder="1" applyFont="1">
      <alignment horizontal="left" vertical="center"/>
    </xf>
    <xf borderId="0" fillId="5" fontId="9" numFmtId="0" xfId="0" applyFont="1"/>
    <xf borderId="72" fillId="5" fontId="9" numFmtId="0" xfId="0" applyBorder="1" applyFont="1"/>
    <xf borderId="60" fillId="0" fontId="6" numFmtId="167" xfId="0" applyBorder="1" applyFont="1" applyNumberFormat="1"/>
    <xf borderId="60" fillId="5" fontId="6" numFmtId="167" xfId="0" applyBorder="1" applyFont="1" applyNumberFormat="1"/>
    <xf borderId="60" fillId="25" fontId="6" numFmtId="3" xfId="0" applyAlignment="1" applyBorder="1" applyFill="1" applyFont="1" applyNumberFormat="1">
      <alignment horizontal="center"/>
    </xf>
    <xf borderId="60" fillId="5" fontId="35" numFmtId="0" xfId="0" applyBorder="1" applyFont="1"/>
    <xf borderId="60" fillId="5" fontId="6" numFmtId="0" xfId="0" applyBorder="1" applyFont="1"/>
    <xf borderId="58" fillId="5" fontId="175" numFmtId="0" xfId="0" applyAlignment="1" applyBorder="1" applyFont="1">
      <alignment horizontal="left"/>
    </xf>
    <xf borderId="58" fillId="0" fontId="35" numFmtId="0" xfId="0" applyBorder="1" applyFont="1"/>
    <xf borderId="58" fillId="0" fontId="9" numFmtId="0" xfId="0" applyBorder="1" applyFont="1"/>
    <xf borderId="75" fillId="0" fontId="9" numFmtId="0" xfId="0" applyBorder="1" applyFont="1"/>
    <xf borderId="76" fillId="0" fontId="9" numFmtId="0" xfId="0" applyBorder="1" applyFont="1"/>
    <xf borderId="77" fillId="0" fontId="9" numFmtId="0" xfId="0" applyBorder="1" applyFont="1"/>
    <xf borderId="59" fillId="5" fontId="9" numFmtId="0" xfId="0" applyBorder="1" applyFont="1"/>
    <xf borderId="60" fillId="7" fontId="6" numFmtId="0" xfId="0" applyBorder="1" applyFont="1"/>
    <xf borderId="60" fillId="15" fontId="6" numFmtId="167" xfId="0" applyBorder="1" applyFont="1" applyNumberFormat="1"/>
    <xf borderId="60" fillId="15" fontId="6" numFmtId="3" xfId="0" applyAlignment="1" applyBorder="1" applyFont="1" applyNumberFormat="1">
      <alignment horizontal="center"/>
    </xf>
    <xf borderId="60" fillId="7" fontId="9" numFmtId="0" xfId="0" applyAlignment="1" applyBorder="1" applyFont="1">
      <alignment horizontal="left"/>
    </xf>
    <xf borderId="60" fillId="0" fontId="4" numFmtId="0" xfId="0" applyBorder="1" applyFont="1"/>
    <xf borderId="60" fillId="5" fontId="9" numFmtId="0" xfId="0" applyBorder="1" applyFont="1"/>
    <xf borderId="78" fillId="0" fontId="4" numFmtId="0" xfId="0" applyBorder="1" applyFont="1"/>
    <xf borderId="79" fillId="0" fontId="4" numFmtId="0" xfId="0" applyBorder="1" applyFont="1"/>
    <xf borderId="60" fillId="7" fontId="6" numFmtId="167" xfId="0" applyBorder="1" applyFont="1" applyNumberFormat="1"/>
    <xf borderId="60" fillId="0" fontId="6" numFmtId="3" xfId="0" applyAlignment="1" applyBorder="1" applyFont="1" applyNumberFormat="1">
      <alignment horizontal="center"/>
    </xf>
    <xf borderId="60" fillId="5" fontId="9" numFmtId="0" xfId="0" applyAlignment="1" applyBorder="1" applyFont="1">
      <alignment horizontal="left"/>
    </xf>
    <xf borderId="60" fillId="15" fontId="9" numFmtId="0" xfId="0" applyBorder="1" applyFont="1"/>
    <xf borderId="78" fillId="15" fontId="9" numFmtId="0" xfId="0" applyBorder="1" applyFont="1"/>
    <xf borderId="79" fillId="15" fontId="9" numFmtId="0" xfId="0" applyBorder="1" applyFont="1"/>
    <xf borderId="60" fillId="7" fontId="130" numFmtId="167" xfId="0" applyBorder="1" applyFont="1" applyNumberFormat="1"/>
    <xf borderId="60" fillId="5" fontId="176" numFmtId="0" xfId="0" applyAlignment="1" applyBorder="1" applyFont="1">
      <alignment horizontal="center"/>
    </xf>
    <xf borderId="80" fillId="5" fontId="9" numFmtId="0" xfId="0" applyBorder="1" applyFont="1"/>
    <xf borderId="60" fillId="17" fontId="35" numFmtId="0" xfId="0" applyBorder="1" applyFont="1"/>
    <xf borderId="60" fillId="17" fontId="35" numFmtId="0" xfId="0" applyAlignment="1" applyBorder="1" applyFont="1">
      <alignment horizontal="center"/>
    </xf>
    <xf borderId="60" fillId="6" fontId="34" numFmtId="0" xfId="0" applyAlignment="1" applyBorder="1" applyFont="1">
      <alignment horizontal="left"/>
    </xf>
    <xf borderId="60" fillId="0" fontId="9" numFmtId="0" xfId="0" applyBorder="1" applyFont="1"/>
    <xf borderId="78" fillId="0" fontId="9" numFmtId="0" xfId="0" applyBorder="1" applyFont="1"/>
    <xf borderId="79" fillId="0" fontId="9" numFmtId="0" xfId="0" applyBorder="1" applyFont="1"/>
    <xf borderId="60" fillId="7" fontId="34" numFmtId="0" xfId="0" applyAlignment="1" applyBorder="1" applyFont="1">
      <alignment horizontal="left"/>
    </xf>
    <xf borderId="81" fillId="5" fontId="9" numFmtId="0" xfId="0" applyBorder="1" applyFont="1"/>
    <xf borderId="62" fillId="17" fontId="35" numFmtId="0" xfId="0" applyBorder="1" applyFont="1"/>
    <xf borderId="62" fillId="17" fontId="35" numFmtId="0" xfId="0" applyAlignment="1" applyBorder="1" applyFont="1">
      <alignment horizontal="center"/>
    </xf>
    <xf borderId="62" fillId="0" fontId="6" numFmtId="167" xfId="0" applyBorder="1" applyFont="1" applyNumberFormat="1"/>
    <xf borderId="62" fillId="0" fontId="6" numFmtId="3" xfId="0" applyAlignment="1" applyBorder="1" applyFont="1" applyNumberFormat="1">
      <alignment horizontal="center"/>
    </xf>
    <xf borderId="62" fillId="5" fontId="35" numFmtId="0" xfId="0" applyBorder="1" applyFont="1"/>
    <xf borderId="62" fillId="5" fontId="9" numFmtId="0" xfId="0" applyBorder="1" applyFont="1"/>
    <xf borderId="62" fillId="5" fontId="6" numFmtId="0" xfId="0" applyBorder="1" applyFont="1"/>
    <xf borderId="62" fillId="6" fontId="34" numFmtId="0" xfId="0" applyAlignment="1" applyBorder="1" applyFont="1">
      <alignment horizontal="left"/>
    </xf>
    <xf borderId="62" fillId="5" fontId="9" numFmtId="0" xfId="0" applyAlignment="1" applyBorder="1" applyFont="1">
      <alignment horizontal="left"/>
    </xf>
    <xf borderId="62" fillId="0" fontId="35" numFmtId="0" xfId="0" applyBorder="1" applyFont="1"/>
    <xf borderId="62" fillId="0" fontId="9" numFmtId="0" xfId="0" applyBorder="1" applyFont="1"/>
    <xf borderId="82" fillId="0" fontId="9" numFmtId="0" xfId="0" applyBorder="1" applyFont="1"/>
    <xf borderId="83" fillId="0" fontId="9" numFmtId="0" xfId="0" applyBorder="1" applyFont="1"/>
    <xf borderId="84" fillId="5" fontId="9" numFmtId="0" xfId="0" applyBorder="1" applyFont="1"/>
    <xf borderId="84" fillId="17" fontId="138" numFmtId="0" xfId="0" applyAlignment="1" applyBorder="1" applyFont="1">
      <alignment horizontal="left"/>
    </xf>
    <xf borderId="84" fillId="17" fontId="138" numFmtId="0" xfId="0" applyAlignment="1" applyBorder="1" applyFont="1">
      <alignment horizontal="center"/>
    </xf>
    <xf borderId="84" fillId="4" fontId="34" numFmtId="0" xfId="0" applyBorder="1" applyFont="1"/>
    <xf borderId="84" fillId="0" fontId="6" numFmtId="167" xfId="0" applyBorder="1" applyFont="1" applyNumberFormat="1"/>
    <xf borderId="84" fillId="0" fontId="6" numFmtId="3" xfId="0" applyAlignment="1" applyBorder="1" applyFont="1" applyNumberFormat="1">
      <alignment horizontal="center"/>
    </xf>
    <xf borderId="84" fillId="5" fontId="35" numFmtId="0" xfId="0" applyBorder="1" applyFont="1"/>
    <xf borderId="84" fillId="5" fontId="9" numFmtId="0" xfId="0" applyAlignment="1" applyBorder="1" applyFont="1">
      <alignment horizontal="center"/>
    </xf>
    <xf borderId="84" fillId="5" fontId="148" numFmtId="0" xfId="0" applyAlignment="1" applyBorder="1" applyFont="1">
      <alignment horizontal="center"/>
    </xf>
    <xf borderId="84" fillId="6" fontId="149" numFmtId="0" xfId="0" applyAlignment="1" applyBorder="1" applyFont="1">
      <alignment horizontal="left"/>
    </xf>
    <xf borderId="84" fillId="5" fontId="150" numFmtId="0" xfId="0" applyAlignment="1" applyBorder="1" applyFont="1">
      <alignment horizontal="center"/>
    </xf>
    <xf borderId="84" fillId="5" fontId="169" numFmtId="0" xfId="0" applyAlignment="1" applyBorder="1" applyFont="1">
      <alignment horizontal="center"/>
    </xf>
    <xf borderId="84" fillId="5" fontId="169" numFmtId="0" xfId="0" applyAlignment="1" applyBorder="1" applyFont="1">
      <alignment horizontal="left"/>
    </xf>
    <xf borderId="84" fillId="0" fontId="35" numFmtId="0" xfId="0" applyBorder="1" applyFont="1"/>
    <xf borderId="84" fillId="0" fontId="9" numFmtId="0" xfId="0" applyBorder="1" applyFont="1"/>
    <xf borderId="85" fillId="0" fontId="9" numFmtId="0" xfId="0" applyBorder="1" applyFont="1"/>
    <xf borderId="86" fillId="0" fontId="9" numFmtId="0" xfId="0" applyBorder="1" applyFont="1"/>
    <xf borderId="87" fillId="0" fontId="9" numFmtId="0" xfId="0" applyBorder="1" applyFont="1"/>
    <xf borderId="60" fillId="0" fontId="35" numFmtId="0" xfId="0" applyBorder="1" applyFont="1"/>
    <xf borderId="80" fillId="0" fontId="9" numFmtId="0" xfId="0" applyBorder="1" applyFont="1"/>
    <xf borderId="60" fillId="15" fontId="35" numFmtId="0" xfId="0" applyBorder="1" applyFont="1"/>
    <xf borderId="80" fillId="15" fontId="9" numFmtId="0" xfId="0" applyBorder="1" applyFont="1"/>
    <xf borderId="88" fillId="5" fontId="9" numFmtId="0" xfId="0" applyBorder="1" applyFont="1"/>
    <xf borderId="88" fillId="17" fontId="138" numFmtId="0" xfId="0" applyAlignment="1" applyBorder="1" applyFont="1">
      <alignment horizontal="left"/>
    </xf>
    <xf borderId="88" fillId="17" fontId="138" numFmtId="0" xfId="0" applyAlignment="1" applyBorder="1" applyFont="1">
      <alignment horizontal="center"/>
    </xf>
    <xf borderId="88" fillId="4" fontId="34" numFmtId="0" xfId="0" applyBorder="1" applyFont="1"/>
    <xf borderId="88" fillId="0" fontId="6" numFmtId="167" xfId="0" applyBorder="1" applyFont="1" applyNumberFormat="1"/>
    <xf borderId="88" fillId="0" fontId="6" numFmtId="3" xfId="0" applyAlignment="1" applyBorder="1" applyFont="1" applyNumberFormat="1">
      <alignment horizontal="center"/>
    </xf>
    <xf borderId="88" fillId="5" fontId="35" numFmtId="0" xfId="0" applyBorder="1" applyFont="1"/>
    <xf borderId="88" fillId="5" fontId="9" numFmtId="0" xfId="0" applyAlignment="1" applyBorder="1" applyFont="1">
      <alignment horizontal="center"/>
    </xf>
    <xf borderId="88" fillId="5" fontId="148" numFmtId="0" xfId="0" applyAlignment="1" applyBorder="1" applyFont="1">
      <alignment horizontal="center"/>
    </xf>
    <xf borderId="88" fillId="6" fontId="149" numFmtId="0" xfId="0" applyAlignment="1" applyBorder="1" applyFont="1">
      <alignment horizontal="left"/>
    </xf>
    <xf borderId="88" fillId="5" fontId="150" numFmtId="0" xfId="0" applyAlignment="1" applyBorder="1" applyFont="1">
      <alignment horizontal="center"/>
    </xf>
    <xf borderId="88" fillId="5" fontId="169" numFmtId="0" xfId="0" applyAlignment="1" applyBorder="1" applyFont="1">
      <alignment horizontal="center"/>
    </xf>
    <xf borderId="88" fillId="5" fontId="169" numFmtId="0" xfId="0" applyAlignment="1" applyBorder="1" applyFont="1">
      <alignment horizontal="left"/>
    </xf>
    <xf borderId="88" fillId="15" fontId="35" numFmtId="0" xfId="0" applyBorder="1" applyFont="1"/>
    <xf borderId="89" fillId="0" fontId="35" numFmtId="0" xfId="0" applyBorder="1" applyFont="1"/>
    <xf borderId="88" fillId="15" fontId="9" numFmtId="0" xfId="0" applyBorder="1" applyFont="1"/>
    <xf borderId="90" fillId="15" fontId="9" numFmtId="0" xfId="0" applyBorder="1" applyFont="1"/>
    <xf borderId="91" fillId="15" fontId="9" numFmtId="0" xfId="0" applyBorder="1" applyFont="1"/>
    <xf borderId="92" fillId="15" fontId="9" numFmtId="0" xfId="0" applyBorder="1" applyFont="1"/>
    <xf borderId="93" fillId="0" fontId="9" numFmtId="0" xfId="0" applyBorder="1" applyFont="1"/>
    <xf borderId="58" fillId="17" fontId="35" numFmtId="0" xfId="0" applyBorder="1" applyFont="1"/>
    <xf borderId="58" fillId="17" fontId="35" numFmtId="0" xfId="0" applyAlignment="1" applyBorder="1" applyFont="1">
      <alignment horizontal="center"/>
    </xf>
    <xf borderId="58" fillId="0" fontId="6" numFmtId="167" xfId="0" applyBorder="1" applyFont="1" applyNumberFormat="1"/>
    <xf borderId="58" fillId="0" fontId="6" numFmtId="3" xfId="0" applyAlignment="1" applyBorder="1" applyFont="1" applyNumberFormat="1">
      <alignment horizontal="center"/>
    </xf>
    <xf borderId="58" fillId="0" fontId="6" numFmtId="0" xfId="0" applyBorder="1" applyFont="1"/>
    <xf borderId="58" fillId="6" fontId="34" numFmtId="0" xfId="0" applyAlignment="1" applyBorder="1" applyFont="1">
      <alignment horizontal="left"/>
    </xf>
    <xf borderId="58" fillId="5" fontId="35" numFmtId="0" xfId="0" applyBorder="1" applyFont="1"/>
    <xf borderId="58" fillId="0" fontId="9" numFmtId="0" xfId="0" applyAlignment="1" applyBorder="1" applyFont="1">
      <alignment horizontal="left"/>
    </xf>
    <xf borderId="58" fillId="0" fontId="9" numFmtId="0" xfId="0" applyAlignment="1" applyBorder="1" applyFont="1">
      <alignment horizontal="center"/>
    </xf>
    <xf borderId="72" fillId="0" fontId="9" numFmtId="0" xfId="0" applyBorder="1" applyFont="1"/>
    <xf borderId="60" fillId="0" fontId="6" numFmtId="0" xfId="0" applyBorder="1" applyFont="1"/>
    <xf borderId="60" fillId="0" fontId="34" numFmtId="0" xfId="0" applyAlignment="1" applyBorder="1" applyFont="1">
      <alignment horizontal="left"/>
    </xf>
    <xf borderId="60" fillId="0" fontId="4" numFmtId="0" xfId="0" applyAlignment="1" applyBorder="1" applyFont="1">
      <alignment horizontal="center"/>
    </xf>
    <xf borderId="7" fillId="0" fontId="4" numFmtId="0" xfId="0" applyBorder="1" applyFont="1"/>
    <xf borderId="94" fillId="0" fontId="9" numFmtId="0" xfId="0" applyBorder="1" applyFont="1"/>
    <xf borderId="64" fillId="17" fontId="35" numFmtId="0" xfId="0" applyBorder="1" applyFont="1"/>
    <xf borderId="64" fillId="17" fontId="35" numFmtId="0" xfId="0" applyAlignment="1" applyBorder="1" applyFont="1">
      <alignment horizontal="center"/>
    </xf>
    <xf borderId="64" fillId="4" fontId="34" numFmtId="0" xfId="0" applyBorder="1" applyFont="1"/>
    <xf borderId="64" fillId="0" fontId="6" numFmtId="167" xfId="0" applyBorder="1" applyFont="1" applyNumberFormat="1"/>
    <xf borderId="64" fillId="0" fontId="6" numFmtId="3" xfId="0" applyAlignment="1" applyBorder="1" applyFont="1" applyNumberFormat="1">
      <alignment horizontal="center"/>
    </xf>
    <xf borderId="64" fillId="0" fontId="35" numFmtId="0" xfId="0" applyBorder="1" applyFont="1"/>
    <xf borderId="64" fillId="0" fontId="4" numFmtId="0" xfId="0" applyBorder="1" applyFont="1"/>
    <xf borderId="64" fillId="0" fontId="6" numFmtId="0" xfId="0" applyBorder="1" applyFont="1"/>
    <xf borderId="64" fillId="6" fontId="34" numFmtId="0" xfId="0" applyAlignment="1" applyBorder="1" applyFont="1">
      <alignment horizontal="left"/>
    </xf>
    <xf borderId="64" fillId="0" fontId="34" numFmtId="0" xfId="0" applyAlignment="1" applyBorder="1" applyFont="1">
      <alignment horizontal="left"/>
    </xf>
    <xf borderId="64" fillId="0" fontId="4" numFmtId="0" xfId="0" applyAlignment="1" applyBorder="1" applyFont="1">
      <alignment horizontal="center"/>
    </xf>
    <xf borderId="95" fillId="0" fontId="4" numFmtId="0" xfId="0" applyBorder="1" applyFont="1"/>
    <xf borderId="96" fillId="0" fontId="4" numFmtId="0" xfId="0" applyBorder="1" applyFont="1"/>
    <xf borderId="12" fillId="0" fontId="4" numFmtId="0" xfId="0" applyBorder="1" applyFont="1"/>
    <xf borderId="97" fillId="0" fontId="4" numFmtId="0" xfId="0" applyBorder="1" applyFont="1"/>
    <xf borderId="58" fillId="0" fontId="4" numFmtId="0" xfId="0" applyBorder="1" applyFont="1"/>
    <xf borderId="58" fillId="0" fontId="34" numFmtId="0" xfId="0" applyAlignment="1" applyBorder="1" applyFont="1">
      <alignment horizontal="left"/>
    </xf>
    <xf borderId="58" fillId="0" fontId="4" numFmtId="0" xfId="0" applyAlignment="1" applyBorder="1" applyFont="1">
      <alignment horizontal="center"/>
    </xf>
    <xf borderId="75" fillId="0" fontId="4" numFmtId="0" xfId="0" applyBorder="1" applyFont="1"/>
    <xf borderId="76" fillId="0" fontId="4" numFmtId="0" xfId="0" applyBorder="1" applyFont="1"/>
    <xf borderId="80" fillId="0" fontId="4" numFmtId="0" xfId="0" applyBorder="1" applyFont="1"/>
    <xf borderId="7" fillId="0" fontId="9" numFmtId="0" xfId="0" applyBorder="1" applyFont="1"/>
    <xf borderId="81" fillId="0" fontId="4" numFmtId="0" xfId="0" applyBorder="1" applyFont="1"/>
    <xf borderId="62" fillId="0" fontId="4" numFmtId="0" xfId="0" applyBorder="1" applyFont="1"/>
    <xf borderId="62" fillId="0" fontId="6" numFmtId="0" xfId="0" applyBorder="1" applyFont="1"/>
    <xf borderId="62" fillId="0" fontId="34" numFmtId="0" xfId="0" applyAlignment="1" applyBorder="1" applyFont="1">
      <alignment horizontal="left"/>
    </xf>
    <xf borderId="62" fillId="0" fontId="4" numFmtId="0" xfId="0" applyAlignment="1" applyBorder="1" applyFont="1">
      <alignment horizontal="center"/>
    </xf>
    <xf borderId="82" fillId="0" fontId="4" numFmtId="0" xfId="0" applyBorder="1" applyFont="1"/>
    <xf borderId="83" fillId="0" fontId="4" numFmtId="0" xfId="0" applyBorder="1" applyFont="1"/>
    <xf borderId="98" fillId="0" fontId="4" numFmtId="0" xfId="0" applyBorder="1" applyFont="1"/>
    <xf borderId="55" fillId="17" fontId="35" numFmtId="0" xfId="0" applyBorder="1" applyFont="1"/>
    <xf borderId="55" fillId="17" fontId="35" numFmtId="0" xfId="0" applyAlignment="1" applyBorder="1" applyFont="1">
      <alignment horizontal="center"/>
    </xf>
    <xf borderId="55" fillId="0" fontId="6" numFmtId="0" xfId="0" applyBorder="1" applyFont="1"/>
    <xf borderId="55" fillId="6" fontId="34" numFmtId="0" xfId="0" applyAlignment="1" applyBorder="1" applyFont="1">
      <alignment horizontal="left"/>
    </xf>
    <xf borderId="55" fillId="0" fontId="34" numFmtId="0" xfId="0" applyAlignment="1" applyBorder="1" applyFont="1">
      <alignment horizontal="left"/>
    </xf>
    <xf borderId="55" fillId="0" fontId="4" numFmtId="0" xfId="0" applyAlignment="1" applyBorder="1" applyFont="1">
      <alignment horizontal="center"/>
    </xf>
    <xf borderId="0" fillId="4" fontId="147" numFmtId="0" xfId="0" applyAlignment="1" applyFont="1">
      <alignment vertical="top"/>
    </xf>
    <xf borderId="0" fillId="4" fontId="177" numFmtId="0" xfId="0" applyAlignment="1" applyFont="1">
      <alignment horizontal="left" vertical="top"/>
    </xf>
    <xf borderId="0" fillId="4" fontId="147" numFmtId="166" xfId="0" applyAlignment="1" applyFont="1" applyNumberFormat="1">
      <alignment horizontal="left" vertical="top"/>
    </xf>
    <xf borderId="99" fillId="3" fontId="177" numFmtId="0" xfId="0" applyAlignment="1" applyBorder="1" applyFont="1">
      <alignment horizontal="center" vertical="top"/>
    </xf>
    <xf borderId="0" fillId="4" fontId="147" numFmtId="3" xfId="0" applyAlignment="1" applyFont="1" applyNumberFormat="1">
      <alignment horizontal="center" vertical="top"/>
    </xf>
    <xf borderId="0" fillId="4" fontId="147" numFmtId="0" xfId="0" applyAlignment="1" applyFont="1">
      <alignment horizontal="center" vertical="top"/>
    </xf>
    <xf borderId="0" fillId="4" fontId="147" numFmtId="4" xfId="0" applyAlignment="1" applyFont="1" applyNumberFormat="1">
      <alignment horizontal="center" vertical="top"/>
    </xf>
    <xf borderId="0" fillId="0" fontId="4" numFmtId="0" xfId="0" applyAlignment="1" applyFont="1">
      <alignment vertical="top"/>
    </xf>
    <xf borderId="27" fillId="0" fontId="36" numFmtId="0" xfId="0" applyAlignment="1" applyBorder="1" applyFont="1">
      <alignment horizontal="left" vertical="top"/>
    </xf>
    <xf borderId="28" fillId="26" fontId="34" numFmtId="166" xfId="0" applyAlignment="1" applyBorder="1" applyFill="1" applyFont="1" applyNumberFormat="1">
      <alignment horizontal="left" vertical="top"/>
    </xf>
    <xf borderId="100" fillId="3" fontId="7" numFmtId="0" xfId="0" applyAlignment="1" applyBorder="1" applyFont="1">
      <alignment horizontal="center" vertical="top"/>
    </xf>
    <xf borderId="101" fillId="8" fontId="178" numFmtId="3" xfId="0" applyAlignment="1" applyBorder="1" applyFont="1" applyNumberFormat="1">
      <alignment horizontal="center" vertical="top"/>
    </xf>
    <xf borderId="102" fillId="0" fontId="65" numFmtId="0" xfId="0" applyBorder="1" applyFont="1"/>
    <xf borderId="103" fillId="0" fontId="65" numFmtId="0" xfId="0" applyBorder="1" applyFont="1"/>
    <xf borderId="104" fillId="6" fontId="179" numFmtId="3" xfId="0" applyAlignment="1" applyBorder="1" applyFont="1" applyNumberFormat="1">
      <alignment horizontal="center" vertical="top"/>
    </xf>
    <xf borderId="105" fillId="0" fontId="65" numFmtId="0" xfId="0" applyBorder="1" applyFont="1"/>
    <xf borderId="106" fillId="16" fontId="179" numFmtId="3" xfId="0" applyAlignment="1" applyBorder="1" applyFont="1" applyNumberFormat="1">
      <alignment horizontal="center" vertical="top"/>
    </xf>
    <xf borderId="106" fillId="4" fontId="179" numFmtId="3" xfId="0" applyAlignment="1" applyBorder="1" applyFont="1" applyNumberFormat="1">
      <alignment horizontal="center" vertical="top"/>
    </xf>
    <xf borderId="107" fillId="21" fontId="4" numFmtId="0" xfId="0" applyAlignment="1" applyBorder="1" applyFont="1">
      <alignment horizontal="center" vertical="top"/>
    </xf>
    <xf borderId="108" fillId="0" fontId="65" numFmtId="0" xfId="0" applyBorder="1" applyFont="1"/>
    <xf borderId="109" fillId="0" fontId="65" numFmtId="0" xfId="0" applyBorder="1" applyFont="1"/>
    <xf borderId="110" fillId="0" fontId="4" numFmtId="0" xfId="0" applyAlignment="1" applyBorder="1" applyFont="1">
      <alignment vertical="center"/>
    </xf>
    <xf borderId="110" fillId="0" fontId="9" numFmtId="0" xfId="0" applyAlignment="1" applyBorder="1" applyFont="1">
      <alignment horizontal="center" shrinkToFit="0" vertical="center" wrapText="1"/>
    </xf>
    <xf borderId="110" fillId="0" fontId="36" numFmtId="0" xfId="0" applyAlignment="1" applyBorder="1" applyFont="1">
      <alignment horizontal="left" shrinkToFit="0" vertical="center" wrapText="1"/>
    </xf>
    <xf borderId="107" fillId="26" fontId="38" numFmtId="166" xfId="0" applyAlignment="1" applyBorder="1" applyFont="1" applyNumberFormat="1">
      <alignment horizontal="left" shrinkToFit="0" vertical="center" wrapText="1"/>
    </xf>
    <xf borderId="100" fillId="3" fontId="180" numFmtId="3" xfId="0" applyAlignment="1" applyBorder="1" applyFont="1" applyNumberFormat="1">
      <alignment horizontal="center" vertical="center"/>
    </xf>
    <xf borderId="111" fillId="8" fontId="181" numFmtId="3" xfId="0" applyAlignment="1" applyBorder="1" applyFont="1" applyNumberFormat="1">
      <alignment horizontal="center" shrinkToFit="0" vertical="center" wrapText="1"/>
    </xf>
    <xf borderId="107" fillId="8" fontId="181" numFmtId="0" xfId="0" applyAlignment="1" applyBorder="1" applyFont="1">
      <alignment horizontal="center" shrinkToFit="0" vertical="center" wrapText="1"/>
    </xf>
    <xf borderId="112" fillId="8" fontId="31" numFmtId="0" xfId="0" applyAlignment="1" applyBorder="1" applyFont="1">
      <alignment horizontal="center" shrinkToFit="0" vertical="center" wrapText="1"/>
    </xf>
    <xf borderId="109" fillId="6" fontId="16" numFmtId="3" xfId="0" applyAlignment="1" applyBorder="1" applyFont="1" applyNumberFormat="1">
      <alignment horizontal="center" shrinkToFit="0" vertical="center" wrapText="1"/>
    </xf>
    <xf borderId="107" fillId="6" fontId="16" numFmtId="4" xfId="0" applyAlignment="1" applyBorder="1" applyFont="1" applyNumberFormat="1">
      <alignment horizontal="center" shrinkToFit="0" vertical="center" wrapText="1"/>
    </xf>
    <xf borderId="107" fillId="16" fontId="16" numFmtId="4" xfId="0" applyAlignment="1" applyBorder="1" applyFont="1" applyNumberFormat="1">
      <alignment horizontal="center" shrinkToFit="0" vertical="center" wrapText="1"/>
    </xf>
    <xf borderId="107" fillId="4" fontId="16" numFmtId="4" xfId="0" applyAlignment="1" applyBorder="1" applyFont="1" applyNumberFormat="1">
      <alignment horizontal="center" shrinkToFit="0" vertical="center" wrapText="1"/>
    </xf>
    <xf borderId="110" fillId="21" fontId="6" numFmtId="3" xfId="0" applyAlignment="1" applyBorder="1" applyFont="1" applyNumberFormat="1">
      <alignment horizontal="center" vertical="center"/>
    </xf>
    <xf borderId="107" fillId="21" fontId="6" numFmtId="3" xfId="0" applyAlignment="1" applyBorder="1" applyFont="1" applyNumberFormat="1">
      <alignment horizontal="center" vertical="center"/>
    </xf>
    <xf borderId="110" fillId="21" fontId="9" numFmtId="3" xfId="0" applyAlignment="1" applyBorder="1" applyFont="1" applyNumberFormat="1">
      <alignment horizontal="center" textRotation="90" vertical="center"/>
    </xf>
    <xf borderId="110" fillId="7" fontId="9" numFmtId="3" xfId="0" applyAlignment="1" applyBorder="1" applyFont="1" applyNumberFormat="1">
      <alignment horizontal="center" vertical="center"/>
    </xf>
    <xf borderId="110" fillId="20" fontId="9" numFmtId="3" xfId="0" applyAlignment="1" applyBorder="1" applyFont="1" applyNumberFormat="1">
      <alignment horizontal="center" textRotation="90" vertical="center"/>
    </xf>
    <xf borderId="110" fillId="27" fontId="9" numFmtId="3" xfId="0" applyAlignment="1" applyBorder="1" applyFill="1" applyFont="1" applyNumberFormat="1">
      <alignment horizontal="center" textRotation="90" vertical="center"/>
    </xf>
    <xf borderId="1" fillId="21" fontId="6" numFmtId="3" xfId="0" applyAlignment="1" applyBorder="1" applyFont="1" applyNumberFormat="1">
      <alignment horizontal="center" vertical="center"/>
    </xf>
    <xf borderId="25" fillId="21" fontId="6" numFmtId="3" xfId="0" applyAlignment="1" applyBorder="1" applyFont="1" applyNumberFormat="1">
      <alignment horizontal="center" vertical="center"/>
    </xf>
    <xf borderId="1" fillId="20" fontId="9" numFmtId="3" xfId="0" applyAlignment="1" applyBorder="1" applyFont="1" applyNumberFormat="1">
      <alignment horizontal="center" textRotation="90" vertical="center"/>
    </xf>
    <xf borderId="110" fillId="28" fontId="9" numFmtId="3" xfId="0" applyAlignment="1" applyBorder="1" applyFill="1" applyFont="1" applyNumberFormat="1">
      <alignment horizontal="center" textRotation="90" vertical="center"/>
    </xf>
    <xf borderId="46" fillId="0" fontId="4" numFmtId="0" xfId="0" applyAlignment="1" applyBorder="1" applyFont="1">
      <alignment vertical="top"/>
    </xf>
    <xf borderId="4" fillId="4" fontId="35" numFmtId="0" xfId="0" applyAlignment="1" applyBorder="1" applyFont="1">
      <alignment vertical="bottom"/>
    </xf>
    <xf borderId="76" fillId="0" fontId="36" numFmtId="0" xfId="0" applyAlignment="1" applyBorder="1" applyFont="1">
      <alignment horizontal="left" vertical="top"/>
    </xf>
    <xf borderId="113" fillId="26" fontId="34" numFmtId="166" xfId="0" applyAlignment="1" applyBorder="1" applyFont="1" applyNumberFormat="1">
      <alignment horizontal="left" vertical="top"/>
    </xf>
    <xf borderId="114" fillId="5" fontId="7" numFmtId="3" xfId="0" applyAlignment="1" applyBorder="1" applyFont="1" applyNumberFormat="1">
      <alignment horizontal="center" vertical="top"/>
    </xf>
    <xf borderId="115" fillId="29" fontId="181" numFmtId="3" xfId="0" applyAlignment="1" applyBorder="1" applyFill="1" applyFont="1" applyNumberFormat="1">
      <alignment horizontal="center" vertical="top"/>
    </xf>
    <xf borderId="116" fillId="30" fontId="182" numFmtId="2" xfId="0" applyAlignment="1" applyBorder="1" applyFill="1" applyFont="1" applyNumberFormat="1">
      <alignment horizontal="center" vertical="top"/>
    </xf>
    <xf borderId="117" fillId="0" fontId="183" numFmtId="0" xfId="0" applyAlignment="1" applyBorder="1" applyFont="1">
      <alignment horizontal="center" vertical="top"/>
    </xf>
    <xf borderId="77" fillId="5" fontId="16" numFmtId="3" xfId="0" applyAlignment="1" applyBorder="1" applyFont="1" applyNumberFormat="1">
      <alignment horizontal="center" vertical="top"/>
    </xf>
    <xf borderId="118" fillId="5" fontId="16" numFmtId="4" xfId="0" applyAlignment="1" applyBorder="1" applyFont="1" applyNumberFormat="1">
      <alignment horizontal="center" vertical="top"/>
    </xf>
    <xf borderId="77" fillId="5" fontId="16" numFmtId="4" xfId="0" applyAlignment="1" applyBorder="1" applyFont="1" applyNumberFormat="1">
      <alignment horizontal="center" vertical="top"/>
    </xf>
    <xf borderId="119" fillId="5" fontId="6" numFmtId="3" xfId="0" applyAlignment="1" applyBorder="1" applyFont="1" applyNumberFormat="1">
      <alignment horizontal="center" vertical="top"/>
    </xf>
    <xf borderId="120" fillId="5" fontId="6" numFmtId="3" xfId="0" applyAlignment="1" applyBorder="1" applyFont="1" applyNumberFormat="1">
      <alignment horizontal="center" vertical="top"/>
    </xf>
    <xf borderId="120" fillId="5" fontId="184" numFmtId="3" xfId="0" applyAlignment="1" applyBorder="1" applyFont="1" applyNumberFormat="1">
      <alignment horizontal="center" vertical="top"/>
    </xf>
    <xf borderId="121" fillId="5" fontId="184" numFmtId="3" xfId="0" applyAlignment="1" applyBorder="1" applyFont="1" applyNumberFormat="1">
      <alignment horizontal="center" vertical="top"/>
    </xf>
    <xf borderId="121" fillId="21" fontId="184" numFmtId="3" xfId="0" applyAlignment="1" applyBorder="1" applyFont="1" applyNumberFormat="1">
      <alignment horizontal="center" vertical="top"/>
    </xf>
    <xf borderId="121" fillId="20" fontId="184" numFmtId="3" xfId="0" applyAlignment="1" applyBorder="1" applyFont="1" applyNumberFormat="1">
      <alignment horizontal="center" vertical="top"/>
    </xf>
    <xf borderId="122" fillId="5" fontId="184" numFmtId="3" xfId="0" applyAlignment="1" applyBorder="1" applyFont="1" applyNumberFormat="1">
      <alignment horizontal="center" vertical="top"/>
    </xf>
    <xf borderId="122" fillId="27" fontId="184" numFmtId="3" xfId="0" applyAlignment="1" applyBorder="1" applyFont="1" applyNumberFormat="1">
      <alignment horizontal="center" vertical="top"/>
    </xf>
    <xf borderId="123" fillId="5" fontId="6" numFmtId="3" xfId="0" applyAlignment="1" applyBorder="1" applyFont="1" applyNumberFormat="1">
      <alignment horizontal="center" vertical="top"/>
    </xf>
    <xf borderId="31" fillId="5" fontId="6" numFmtId="3" xfId="0" applyAlignment="1" applyBorder="1" applyFont="1" applyNumberFormat="1">
      <alignment horizontal="center" vertical="top"/>
    </xf>
    <xf borderId="124" fillId="26" fontId="184" numFmtId="3" xfId="0" applyAlignment="1" applyBorder="1" applyFont="1" applyNumberFormat="1">
      <alignment horizontal="center" vertical="top"/>
    </xf>
    <xf borderId="125" fillId="5" fontId="184" numFmtId="3" xfId="0" applyAlignment="1" applyBorder="1" applyFont="1" applyNumberFormat="1">
      <alignment horizontal="center" vertical="top"/>
    </xf>
    <xf borderId="24" fillId="0" fontId="4" numFmtId="0" xfId="0" applyAlignment="1" applyBorder="1" applyFont="1">
      <alignment vertical="top"/>
    </xf>
    <xf borderId="79" fillId="0" fontId="36" numFmtId="0" xfId="0" applyAlignment="1" applyBorder="1" applyFont="1">
      <alignment horizontal="left" vertical="top"/>
    </xf>
    <xf borderId="126" fillId="26" fontId="34" numFmtId="166" xfId="0" applyAlignment="1" applyBorder="1" applyFont="1" applyNumberFormat="1">
      <alignment horizontal="left" vertical="top"/>
    </xf>
    <xf borderId="127" fillId="5" fontId="7" numFmtId="3" xfId="0" applyAlignment="1" applyBorder="1" applyFont="1" applyNumberFormat="1">
      <alignment horizontal="center" vertical="top"/>
    </xf>
    <xf borderId="128" fillId="31" fontId="181" numFmtId="3" xfId="0" applyAlignment="1" applyBorder="1" applyFill="1" applyFont="1" applyNumberFormat="1">
      <alignment horizontal="center" vertical="top"/>
    </xf>
    <xf borderId="129" fillId="13" fontId="181" numFmtId="2" xfId="0" applyAlignment="1" applyBorder="1" applyFont="1" applyNumberFormat="1">
      <alignment horizontal="center" vertical="top"/>
    </xf>
    <xf borderId="130" fillId="0" fontId="185" numFmtId="0" xfId="0" applyAlignment="1" applyBorder="1" applyFont="1">
      <alignment horizontal="center" vertical="top"/>
    </xf>
    <xf borderId="7" fillId="5" fontId="16" numFmtId="3" xfId="0" applyAlignment="1" applyBorder="1" applyFont="1" applyNumberFormat="1">
      <alignment horizontal="center" vertical="top"/>
    </xf>
    <xf borderId="126" fillId="5" fontId="16" numFmtId="4" xfId="0" applyAlignment="1" applyBorder="1" applyFont="1" applyNumberFormat="1">
      <alignment horizontal="center" vertical="top"/>
    </xf>
    <xf borderId="131" fillId="5" fontId="6" numFmtId="3" xfId="0" applyAlignment="1" applyBorder="1" applyFont="1" applyNumberFormat="1">
      <alignment horizontal="center" vertical="top"/>
    </xf>
    <xf borderId="132" fillId="5" fontId="6" numFmtId="3" xfId="0" applyAlignment="1" applyBorder="1" applyFont="1" applyNumberFormat="1">
      <alignment horizontal="center" vertical="top"/>
    </xf>
    <xf borderId="132" fillId="5" fontId="184" numFmtId="3" xfId="0" applyAlignment="1" applyBorder="1" applyFont="1" applyNumberFormat="1">
      <alignment horizontal="center" vertical="top"/>
    </xf>
    <xf borderId="133" fillId="5" fontId="184" numFmtId="3" xfId="0" applyAlignment="1" applyBorder="1" applyFont="1" applyNumberFormat="1">
      <alignment horizontal="center" vertical="top"/>
    </xf>
    <xf borderId="134" fillId="27" fontId="184" numFmtId="3" xfId="0" applyAlignment="1" applyBorder="1" applyFont="1" applyNumberFormat="1">
      <alignment horizontal="center" vertical="top"/>
    </xf>
    <xf borderId="135" fillId="5" fontId="6" numFmtId="3" xfId="0" applyAlignment="1" applyBorder="1" applyFont="1" applyNumberFormat="1">
      <alignment horizontal="center" vertical="top"/>
    </xf>
    <xf borderId="121" fillId="5" fontId="6" numFmtId="3" xfId="0" applyAlignment="1" applyBorder="1" applyFont="1" applyNumberFormat="1">
      <alignment horizontal="center" vertical="top"/>
    </xf>
    <xf borderId="121" fillId="26" fontId="184" numFmtId="3" xfId="0" applyAlignment="1" applyBorder="1" applyFont="1" applyNumberFormat="1">
      <alignment horizontal="center" vertical="top"/>
    </xf>
    <xf borderId="134" fillId="5" fontId="184" numFmtId="3" xfId="0" applyAlignment="1" applyBorder="1" applyFont="1" applyNumberFormat="1">
      <alignment horizontal="center" vertical="top"/>
    </xf>
    <xf borderId="128" fillId="32" fontId="181" numFmtId="3" xfId="0" applyAlignment="1" applyBorder="1" applyFill="1" applyFont="1" applyNumberFormat="1">
      <alignment horizontal="center" vertical="top"/>
    </xf>
    <xf borderId="129" fillId="33" fontId="181" numFmtId="2" xfId="0" applyAlignment="1" applyBorder="1" applyFill="1" applyFont="1" applyNumberFormat="1">
      <alignment horizontal="center" vertical="top"/>
    </xf>
    <xf borderId="29" fillId="0" fontId="4" numFmtId="0" xfId="0" applyAlignment="1" applyBorder="1" applyFont="1">
      <alignment vertical="top"/>
    </xf>
    <xf borderId="126" fillId="7" fontId="34" numFmtId="0" xfId="0" applyAlignment="1" applyBorder="1" applyFont="1">
      <alignment horizontal="left" vertical="top"/>
    </xf>
    <xf borderId="129" fillId="6" fontId="182" numFmtId="2" xfId="0" applyAlignment="1" applyBorder="1" applyFont="1" applyNumberFormat="1">
      <alignment horizontal="center" vertical="top"/>
    </xf>
    <xf borderId="7" fillId="6" fontId="186" numFmtId="3" xfId="0" applyAlignment="1" applyBorder="1" applyFont="1" applyNumberFormat="1">
      <alignment horizontal="center" vertical="top"/>
    </xf>
    <xf borderId="126" fillId="6" fontId="186" numFmtId="4" xfId="0" applyAlignment="1" applyBorder="1" applyFont="1" applyNumberFormat="1">
      <alignment horizontal="center" vertical="top"/>
    </xf>
    <xf borderId="126" fillId="5" fontId="186" numFmtId="4" xfId="0" applyAlignment="1" applyBorder="1" applyFont="1" applyNumberFormat="1">
      <alignment horizontal="center" vertical="top"/>
    </xf>
    <xf borderId="130" fillId="0" fontId="183" numFmtId="0" xfId="0" applyAlignment="1" applyBorder="1" applyFont="1">
      <alignment horizontal="center" vertical="top"/>
    </xf>
    <xf borderId="126" fillId="26" fontId="34" numFmtId="0" xfId="0" applyAlignment="1" applyBorder="1" applyFont="1">
      <alignment horizontal="left" vertical="top"/>
    </xf>
    <xf borderId="126" fillId="7" fontId="34" numFmtId="168" xfId="0" applyAlignment="1" applyBorder="1" applyFont="1" applyNumberFormat="1">
      <alignment horizontal="left" vertical="top"/>
    </xf>
    <xf borderId="7" fillId="0" fontId="139" numFmtId="3" xfId="0" applyAlignment="1" applyBorder="1" applyFont="1" applyNumberFormat="1">
      <alignment horizontal="center" vertical="top"/>
    </xf>
    <xf borderId="126" fillId="0" fontId="139" numFmtId="4" xfId="0" applyAlignment="1" applyBorder="1" applyFont="1" applyNumberFormat="1">
      <alignment horizontal="center" vertical="top"/>
    </xf>
    <xf borderId="126" fillId="5" fontId="139" numFmtId="4" xfId="0" applyAlignment="1" applyBorder="1" applyFont="1" applyNumberFormat="1">
      <alignment horizontal="center" vertical="top"/>
    </xf>
    <xf borderId="4" fillId="0" fontId="4" numFmtId="0" xfId="0" applyAlignment="1" applyBorder="1" applyFont="1">
      <alignment vertical="top"/>
    </xf>
    <xf borderId="130" fillId="34" fontId="185" numFmtId="0" xfId="0" applyAlignment="1" applyBorder="1" applyFill="1" applyFont="1">
      <alignment horizontal="center" vertical="top"/>
    </xf>
    <xf borderId="127" fillId="5" fontId="7" numFmtId="0" xfId="0" applyAlignment="1" applyBorder="1" applyFont="1">
      <alignment horizontal="center" vertical="top"/>
    </xf>
    <xf borderId="131" fillId="5" fontId="187" numFmtId="3" xfId="0" applyAlignment="1" applyBorder="1" applyFont="1" applyNumberFormat="1">
      <alignment horizontal="center" vertical="top"/>
    </xf>
    <xf borderId="132" fillId="5" fontId="187" numFmtId="3" xfId="0" applyAlignment="1" applyBorder="1" applyFont="1" applyNumberFormat="1">
      <alignment horizontal="center" vertical="top"/>
    </xf>
    <xf borderId="79" fillId="7" fontId="36" numFmtId="0" xfId="0" applyAlignment="1" applyBorder="1" applyFont="1">
      <alignment horizontal="left" vertical="top"/>
    </xf>
    <xf borderId="83" fillId="7" fontId="36" numFmtId="0" xfId="0" applyAlignment="1" applyBorder="1" applyFont="1">
      <alignment horizontal="left" vertical="top"/>
    </xf>
    <xf borderId="136" fillId="7" fontId="34" numFmtId="168" xfId="0" applyAlignment="1" applyBorder="1" applyFont="1" applyNumberFormat="1">
      <alignment horizontal="left" vertical="top"/>
    </xf>
    <xf borderId="137" fillId="5" fontId="7" numFmtId="3" xfId="0" applyAlignment="1" applyBorder="1" applyFont="1" applyNumberFormat="1">
      <alignment horizontal="center" vertical="top"/>
    </xf>
    <xf borderId="138" fillId="32" fontId="181" numFmtId="3" xfId="0" applyAlignment="1" applyBorder="1" applyFont="1" applyNumberFormat="1">
      <alignment horizontal="center" vertical="top"/>
    </xf>
    <xf borderId="139" fillId="6" fontId="182" numFmtId="2" xfId="0" applyAlignment="1" applyBorder="1" applyFont="1" applyNumberFormat="1">
      <alignment horizontal="center" vertical="top"/>
    </xf>
    <xf borderId="140" fillId="0" fontId="185" numFmtId="0" xfId="0" applyAlignment="1" applyBorder="1" applyFont="1">
      <alignment horizontal="center" vertical="top"/>
    </xf>
    <xf borderId="141" fillId="5" fontId="16" numFmtId="3" xfId="0" applyAlignment="1" applyBorder="1" applyFont="1" applyNumberFormat="1">
      <alignment horizontal="center" vertical="top"/>
    </xf>
    <xf borderId="136" fillId="5" fontId="16" numFmtId="4" xfId="0" applyAlignment="1" applyBorder="1" applyFont="1" applyNumberFormat="1">
      <alignment horizontal="center" vertical="top"/>
    </xf>
    <xf borderId="24" fillId="4" fontId="4" numFmtId="0" xfId="0" applyAlignment="1" applyBorder="1" applyFont="1">
      <alignment vertical="top"/>
    </xf>
    <xf borderId="0" fillId="4" fontId="36" numFmtId="0" xfId="0" applyAlignment="1" applyFont="1">
      <alignment horizontal="left" vertical="top"/>
    </xf>
    <xf borderId="49" fillId="7" fontId="34" numFmtId="166" xfId="0" applyAlignment="1" applyBorder="1" applyFont="1" applyNumberFormat="1">
      <alignment horizontal="left" vertical="top"/>
    </xf>
    <xf borderId="100" fillId="5" fontId="7" numFmtId="3" xfId="0" applyAlignment="1" applyBorder="1" applyFont="1" applyNumberFormat="1">
      <alignment horizontal="center" vertical="top"/>
    </xf>
    <xf borderId="142" fillId="35" fontId="181" numFmtId="3" xfId="0" applyAlignment="1" applyBorder="1" applyFill="1" applyFont="1" applyNumberFormat="1">
      <alignment horizontal="center" vertical="top"/>
    </xf>
    <xf borderId="143" fillId="4" fontId="181" numFmtId="0" xfId="0" applyAlignment="1" applyBorder="1" applyFont="1">
      <alignment horizontal="center" vertical="top"/>
    </xf>
    <xf borderId="144" fillId="0" fontId="185" numFmtId="0" xfId="0" applyAlignment="1" applyBorder="1" applyFont="1">
      <alignment horizontal="center" vertical="top"/>
    </xf>
    <xf borderId="27" fillId="5" fontId="16" numFmtId="3" xfId="0" applyAlignment="1" applyBorder="1" applyFont="1" applyNumberFormat="1">
      <alignment horizontal="center" vertical="top"/>
    </xf>
    <xf borderId="28" fillId="5" fontId="16" numFmtId="4" xfId="0" applyAlignment="1" applyBorder="1" applyFont="1" applyNumberFormat="1">
      <alignment horizontal="center" vertical="top"/>
    </xf>
    <xf borderId="145" fillId="7" fontId="34" numFmtId="166" xfId="0" applyAlignment="1" applyBorder="1" applyFont="1" applyNumberFormat="1">
      <alignment horizontal="left" vertical="top"/>
    </xf>
    <xf borderId="146" fillId="4" fontId="181" numFmtId="4" xfId="0" applyAlignment="1" applyBorder="1" applyFont="1" applyNumberFormat="1">
      <alignment horizontal="center" vertical="top"/>
    </xf>
    <xf borderId="147" fillId="0" fontId="185" numFmtId="0" xfId="0" applyAlignment="1" applyBorder="1" applyFont="1">
      <alignment horizontal="center" vertical="top"/>
    </xf>
    <xf borderId="148" fillId="5" fontId="16" numFmtId="3" xfId="0" applyAlignment="1" applyBorder="1" applyFont="1" applyNumberFormat="1">
      <alignment horizontal="center" vertical="top"/>
    </xf>
    <xf borderId="145" fillId="5" fontId="16" numFmtId="4" xfId="0" applyAlignment="1" applyBorder="1" applyFont="1" applyNumberFormat="1">
      <alignment horizontal="center" vertical="top"/>
    </xf>
    <xf borderId="49" fillId="5" fontId="16" numFmtId="4" xfId="0" applyAlignment="1" applyBorder="1" applyFont="1" applyNumberFormat="1">
      <alignment horizontal="center" vertical="top"/>
    </xf>
    <xf borderId="149" fillId="5" fontId="6" numFmtId="3" xfId="0" applyAlignment="1" applyBorder="1" applyFont="1" applyNumberFormat="1">
      <alignment horizontal="center" vertical="top"/>
    </xf>
    <xf borderId="150" fillId="5" fontId="6" numFmtId="3" xfId="0" applyAlignment="1" applyBorder="1" applyFont="1" applyNumberFormat="1">
      <alignment horizontal="center" vertical="top"/>
    </xf>
    <xf borderId="150" fillId="5" fontId="184" numFmtId="3" xfId="0" applyAlignment="1" applyBorder="1" applyFont="1" applyNumberFormat="1">
      <alignment horizontal="center" vertical="top"/>
    </xf>
    <xf borderId="151" fillId="21" fontId="184" numFmtId="3" xfId="0" applyAlignment="1" applyBorder="1" applyFont="1" applyNumberFormat="1">
      <alignment horizontal="center" vertical="top"/>
    </xf>
    <xf borderId="151" fillId="20" fontId="184" numFmtId="3" xfId="0" applyAlignment="1" applyBorder="1" applyFont="1" applyNumberFormat="1">
      <alignment horizontal="center" vertical="top"/>
    </xf>
    <xf borderId="152" fillId="5" fontId="184" numFmtId="3" xfId="0" applyAlignment="1" applyBorder="1" applyFont="1" applyNumberFormat="1">
      <alignment horizontal="center" vertical="top"/>
    </xf>
    <xf borderId="153" fillId="27" fontId="184" numFmtId="3" xfId="0" applyAlignment="1" applyBorder="1" applyFont="1" applyNumberFormat="1">
      <alignment horizontal="center" vertical="top"/>
    </xf>
    <xf borderId="151" fillId="5" fontId="184" numFmtId="3" xfId="0" applyAlignment="1" applyBorder="1" applyFont="1" applyNumberFormat="1">
      <alignment horizontal="center" vertical="top"/>
    </xf>
    <xf borderId="153" fillId="5" fontId="184" numFmtId="3" xfId="0" applyAlignment="1" applyBorder="1" applyFont="1" applyNumberFormat="1">
      <alignment horizontal="center" vertical="top"/>
    </xf>
    <xf borderId="110" fillId="34" fontId="31" numFmtId="0" xfId="0" applyAlignment="1" applyBorder="1" applyFont="1">
      <alignment vertical="top"/>
    </xf>
    <xf borderId="110" fillId="34" fontId="9" numFmtId="0" xfId="0" applyAlignment="1" applyBorder="1" applyFont="1">
      <alignment vertical="top"/>
    </xf>
    <xf borderId="110" fillId="34" fontId="31" numFmtId="0" xfId="0" applyAlignment="1" applyBorder="1" applyFont="1">
      <alignment horizontal="center" vertical="top"/>
    </xf>
    <xf borderId="107" fillId="34" fontId="34" numFmtId="166" xfId="0" applyAlignment="1" applyBorder="1" applyFont="1" applyNumberFormat="1">
      <alignment horizontal="left" vertical="top"/>
    </xf>
    <xf borderId="100" fillId="34" fontId="7" numFmtId="3" xfId="0" applyAlignment="1" applyBorder="1" applyFont="1" applyNumberFormat="1">
      <alignment horizontal="center" vertical="top"/>
    </xf>
    <xf borderId="154" fillId="34" fontId="9" numFmtId="3" xfId="0" applyAlignment="1" applyBorder="1" applyFont="1" applyNumberFormat="1">
      <alignment horizontal="center" vertical="top"/>
    </xf>
    <xf borderId="155" fillId="34" fontId="31" numFmtId="2" xfId="0" applyAlignment="1" applyBorder="1" applyFont="1" applyNumberFormat="1">
      <alignment horizontal="center" vertical="top"/>
    </xf>
    <xf borderId="156" fillId="34" fontId="9" numFmtId="0" xfId="0" applyAlignment="1" applyBorder="1" applyFont="1">
      <alignment vertical="top"/>
    </xf>
    <xf borderId="109" fillId="34" fontId="31" numFmtId="3" xfId="0" applyAlignment="1" applyBorder="1" applyFont="1" applyNumberFormat="1">
      <alignment horizontal="center" vertical="top"/>
    </xf>
    <xf borderId="107" fillId="34" fontId="31" numFmtId="4" xfId="0" applyAlignment="1" applyBorder="1" applyFont="1" applyNumberFormat="1">
      <alignment horizontal="center" vertical="top"/>
    </xf>
    <xf borderId="157" fillId="34" fontId="31" numFmtId="3" xfId="0" applyAlignment="1" applyBorder="1" applyFont="1" applyNumberFormat="1">
      <alignment horizontal="center" vertical="top"/>
    </xf>
    <xf borderId="158" fillId="34" fontId="31" numFmtId="3" xfId="0" applyAlignment="1" applyBorder="1" applyFont="1" applyNumberFormat="1">
      <alignment horizontal="center" vertical="top"/>
    </xf>
    <xf borderId="46" fillId="8" fontId="4" numFmtId="0" xfId="0" applyAlignment="1" applyBorder="1" applyFont="1">
      <alignment vertical="top"/>
    </xf>
    <xf borderId="46" fillId="9" fontId="36" numFmtId="0" xfId="0" applyAlignment="1" applyBorder="1" applyFont="1">
      <alignment horizontal="left" vertical="top"/>
    </xf>
    <xf borderId="145" fillId="5" fontId="34" numFmtId="0" xfId="0" applyAlignment="1" applyBorder="1" applyFont="1">
      <alignment horizontal="left" vertical="top"/>
    </xf>
    <xf borderId="159" fillId="36" fontId="181" numFmtId="3" xfId="0" applyAlignment="1" applyBorder="1" applyFill="1" applyFont="1" applyNumberFormat="1">
      <alignment horizontal="center" vertical="top"/>
    </xf>
    <xf borderId="160" fillId="37" fontId="181" numFmtId="0" xfId="0" applyAlignment="1" applyBorder="1" applyFill="1" applyFont="1">
      <alignment horizontal="center" vertical="top"/>
    </xf>
    <xf borderId="144" fillId="0" fontId="188" numFmtId="0" xfId="0" applyAlignment="1" applyBorder="1" applyFont="1">
      <alignment horizontal="center" vertical="top"/>
    </xf>
    <xf borderId="161" fillId="5" fontId="16" numFmtId="3" xfId="0" applyAlignment="1" applyBorder="1" applyFont="1" applyNumberFormat="1">
      <alignment horizontal="center" vertical="top"/>
    </xf>
    <xf borderId="162" fillId="5" fontId="16" numFmtId="4" xfId="0" applyAlignment="1" applyBorder="1" applyFont="1" applyNumberFormat="1">
      <alignment horizontal="center" vertical="top"/>
    </xf>
    <xf borderId="125" fillId="27" fontId="184" numFmtId="3" xfId="0" applyAlignment="1" applyBorder="1" applyFont="1" applyNumberFormat="1">
      <alignment horizontal="center" vertical="top"/>
    </xf>
    <xf borderId="24" fillId="8" fontId="4" numFmtId="0" xfId="0" applyAlignment="1" applyBorder="1" applyFont="1">
      <alignment vertical="top"/>
    </xf>
    <xf borderId="24" fillId="9" fontId="36" numFmtId="0" xfId="0" applyAlignment="1" applyBorder="1" applyFont="1">
      <alignment horizontal="left" vertical="top"/>
    </xf>
    <xf borderId="163" fillId="38" fontId="181" numFmtId="3" xfId="0" applyAlignment="1" applyBorder="1" applyFill="1" applyFont="1" applyNumberFormat="1">
      <alignment horizontal="center" vertical="top"/>
    </xf>
    <xf borderId="146" fillId="39" fontId="181" numFmtId="0" xfId="0" applyAlignment="1" applyBorder="1" applyFill="1" applyFont="1">
      <alignment horizontal="center" vertical="top"/>
    </xf>
    <xf borderId="147" fillId="0" fontId="188" numFmtId="0" xfId="0" applyAlignment="1" applyBorder="1" applyFont="1">
      <alignment horizontal="center" vertical="top"/>
    </xf>
    <xf borderId="27" fillId="5" fontId="139" numFmtId="3" xfId="0" applyAlignment="1" applyBorder="1" applyFont="1" applyNumberFormat="1">
      <alignment horizontal="center" vertical="top"/>
    </xf>
    <xf borderId="28" fillId="5" fontId="139" numFmtId="4" xfId="0" applyAlignment="1" applyBorder="1" applyFont="1" applyNumberFormat="1">
      <alignment horizontal="center" vertical="top"/>
    </xf>
    <xf borderId="163" fillId="40" fontId="181" numFmtId="3" xfId="0" applyAlignment="1" applyBorder="1" applyFill="1" applyFont="1" applyNumberFormat="1">
      <alignment horizontal="center" vertical="top"/>
    </xf>
    <xf borderId="163" fillId="41" fontId="181" numFmtId="3" xfId="0" applyAlignment="1" applyBorder="1" applyFill="1" applyFont="1" applyNumberFormat="1">
      <alignment horizontal="center" vertical="top"/>
    </xf>
    <xf borderId="146" fillId="42" fontId="181" numFmtId="0" xfId="0" applyAlignment="1" applyBorder="1" applyFill="1" applyFont="1">
      <alignment horizontal="center" vertical="top"/>
    </xf>
    <xf borderId="29" fillId="9" fontId="36" numFmtId="0" xfId="0" applyAlignment="1" applyBorder="1" applyFont="1">
      <alignment horizontal="left" vertical="top"/>
    </xf>
    <xf borderId="163" fillId="36" fontId="181" numFmtId="3" xfId="0" applyAlignment="1" applyBorder="1" applyFont="1" applyNumberFormat="1">
      <alignment horizontal="center" vertical="top"/>
    </xf>
    <xf borderId="146" fillId="43" fontId="181" numFmtId="0" xfId="0" applyAlignment="1" applyBorder="1" applyFill="1" applyFont="1">
      <alignment horizontal="center" vertical="top"/>
    </xf>
    <xf borderId="27" fillId="6" fontId="186" numFmtId="3" xfId="0" applyAlignment="1" applyBorder="1" applyFont="1" applyNumberFormat="1">
      <alignment horizontal="center" vertical="top"/>
    </xf>
    <xf borderId="28" fillId="6" fontId="186" numFmtId="4" xfId="0" applyAlignment="1" applyBorder="1" applyFont="1" applyNumberFormat="1">
      <alignment horizontal="center" vertical="top"/>
    </xf>
    <xf borderId="28" fillId="5" fontId="186" numFmtId="4" xfId="0" applyAlignment="1" applyBorder="1" applyFont="1" applyNumberFormat="1">
      <alignment horizontal="center" vertical="top"/>
    </xf>
    <xf borderId="146" fillId="44" fontId="181" numFmtId="0" xfId="0" applyAlignment="1" applyBorder="1" applyFill="1" applyFont="1">
      <alignment horizontal="center" vertical="top"/>
    </xf>
    <xf borderId="148" fillId="5" fontId="37" numFmtId="3" xfId="0" applyAlignment="1" applyBorder="1" applyFont="1" applyNumberFormat="1">
      <alignment horizontal="center" vertical="top"/>
    </xf>
    <xf borderId="145" fillId="5" fontId="37" numFmtId="4" xfId="0" applyAlignment="1" applyBorder="1" applyFont="1" applyNumberFormat="1">
      <alignment horizontal="center" vertical="top"/>
    </xf>
    <xf borderId="131" fillId="5" fontId="130" numFmtId="3" xfId="0" applyAlignment="1" applyBorder="1" applyFont="1" applyNumberFormat="1">
      <alignment horizontal="center" vertical="top"/>
    </xf>
    <xf borderId="132" fillId="5" fontId="130" numFmtId="3" xfId="0" applyAlignment="1" applyBorder="1" applyFont="1" applyNumberFormat="1">
      <alignment horizontal="center" vertical="top"/>
    </xf>
    <xf borderId="163" fillId="45" fontId="182" numFmtId="3" xfId="0" applyAlignment="1" applyBorder="1" applyFill="1" applyFont="1" applyNumberFormat="1">
      <alignment horizontal="center" vertical="top"/>
    </xf>
    <xf borderId="146" fillId="13" fontId="181" numFmtId="0" xfId="0" applyAlignment="1" applyBorder="1" applyFont="1">
      <alignment horizontal="center" vertical="top"/>
    </xf>
    <xf borderId="145" fillId="5" fontId="34" numFmtId="166" xfId="0" applyAlignment="1" applyBorder="1" applyFont="1" applyNumberFormat="1">
      <alignment horizontal="left" vertical="top"/>
    </xf>
    <xf borderId="144" fillId="0" fontId="189" numFmtId="0" xfId="0" applyAlignment="1" applyBorder="1" applyFont="1">
      <alignment horizontal="center" vertical="top"/>
    </xf>
    <xf borderId="145" fillId="26" fontId="34" numFmtId="0" xfId="0" applyAlignment="1" applyBorder="1" applyFont="1">
      <alignment horizontal="left" vertical="top"/>
    </xf>
    <xf borderId="147" fillId="34" fontId="188" numFmtId="0" xfId="0" applyAlignment="1" applyBorder="1" applyFont="1">
      <alignment horizontal="center" vertical="top"/>
    </xf>
    <xf borderId="27" fillId="0" fontId="139" numFmtId="3" xfId="0" applyAlignment="1" applyBorder="1" applyFont="1" applyNumberFormat="1">
      <alignment horizontal="center" vertical="top"/>
    </xf>
    <xf borderId="28" fillId="0" fontId="139" numFmtId="4" xfId="0" applyAlignment="1" applyBorder="1" applyFont="1" applyNumberFormat="1">
      <alignment horizontal="center" vertical="top"/>
    </xf>
    <xf borderId="49" fillId="7" fontId="34" numFmtId="0" xfId="0" applyAlignment="1" applyBorder="1" applyFont="1">
      <alignment horizontal="left" vertical="top"/>
    </xf>
    <xf borderId="110" fillId="34" fontId="2" numFmtId="0" xfId="0" applyAlignment="1" applyBorder="1" applyFont="1">
      <alignment vertical="top"/>
    </xf>
    <xf borderId="110" fillId="34" fontId="4" numFmtId="0" xfId="0" applyAlignment="1" applyBorder="1" applyFont="1">
      <alignment vertical="top"/>
    </xf>
    <xf borderId="110" fillId="34" fontId="36" numFmtId="0" xfId="0" applyAlignment="1" applyBorder="1" applyFont="1">
      <alignment horizontal="left" vertical="top"/>
    </xf>
    <xf borderId="154" fillId="34" fontId="181" numFmtId="3" xfId="0" applyAlignment="1" applyBorder="1" applyFont="1" applyNumberFormat="1">
      <alignment horizontal="center" vertical="top"/>
    </xf>
    <xf borderId="155" fillId="34" fontId="7" numFmtId="0" xfId="0" applyAlignment="1" applyBorder="1" applyFont="1">
      <alignment horizontal="center" vertical="top"/>
    </xf>
    <xf borderId="156" fillId="34" fontId="31" numFmtId="0" xfId="0" applyAlignment="1" applyBorder="1" applyFont="1">
      <alignment horizontal="center" vertical="top"/>
    </xf>
    <xf borderId="109" fillId="34" fontId="2" numFmtId="3" xfId="0" applyAlignment="1" applyBorder="1" applyFont="1" applyNumberFormat="1">
      <alignment horizontal="center" vertical="top"/>
    </xf>
    <xf borderId="110" fillId="34" fontId="2" numFmtId="4" xfId="0" applyAlignment="1" applyBorder="1" applyFont="1" applyNumberFormat="1">
      <alignment horizontal="center" vertical="top"/>
    </xf>
    <xf borderId="157" fillId="34" fontId="190" numFmtId="3" xfId="0" applyAlignment="1" applyBorder="1" applyFont="1" applyNumberFormat="1">
      <alignment horizontal="center" vertical="top"/>
    </xf>
    <xf borderId="158" fillId="34" fontId="190" numFmtId="3" xfId="0" applyAlignment="1" applyBorder="1" applyFont="1" applyNumberFormat="1">
      <alignment horizontal="center" vertical="top"/>
    </xf>
    <xf borderId="42" fillId="8" fontId="36" numFmtId="0" xfId="0" applyAlignment="1" applyBorder="1" applyFont="1">
      <alignment horizontal="left" vertical="top"/>
    </xf>
    <xf borderId="162" fillId="5" fontId="34" numFmtId="0" xfId="0" applyAlignment="1" applyBorder="1" applyFont="1">
      <alignment horizontal="left" vertical="top"/>
    </xf>
    <xf borderId="146" fillId="46" fontId="182" numFmtId="0" xfId="0" applyAlignment="1" applyBorder="1" applyFill="1" applyFont="1">
      <alignment horizontal="center" vertical="top"/>
    </xf>
    <xf borderId="164" fillId="6" fontId="186" numFmtId="3" xfId="0" applyAlignment="1" applyBorder="1" applyFont="1" applyNumberFormat="1">
      <alignment horizontal="center" vertical="top"/>
    </xf>
    <xf borderId="50" fillId="6" fontId="186" numFmtId="4" xfId="0" applyAlignment="1" applyBorder="1" applyFont="1" applyNumberFormat="1">
      <alignment horizontal="center" vertical="top"/>
    </xf>
    <xf borderId="50" fillId="5" fontId="186" numFmtId="4" xfId="0" applyAlignment="1" applyBorder="1" applyFont="1" applyNumberFormat="1">
      <alignment horizontal="center" vertical="top"/>
    </xf>
    <xf borderId="163" fillId="47" fontId="181" numFmtId="3" xfId="0" applyAlignment="1" applyBorder="1" applyFill="1" applyFont="1" applyNumberFormat="1">
      <alignment horizontal="center" vertical="top"/>
    </xf>
    <xf borderId="148" fillId="6" fontId="186" numFmtId="3" xfId="0" applyAlignment="1" applyBorder="1" applyFont="1" applyNumberFormat="1">
      <alignment horizontal="center" vertical="top"/>
    </xf>
    <xf borderId="145" fillId="6" fontId="186" numFmtId="4" xfId="0" applyAlignment="1" applyBorder="1" applyFont="1" applyNumberFormat="1">
      <alignment horizontal="center" vertical="top"/>
    </xf>
    <xf borderId="145" fillId="5" fontId="186" numFmtId="4" xfId="0" applyAlignment="1" applyBorder="1" applyFont="1" applyNumberFormat="1">
      <alignment horizontal="center" vertical="top"/>
    </xf>
    <xf borderId="145" fillId="8" fontId="34" numFmtId="0" xfId="0" applyAlignment="1" applyBorder="1" applyFont="1">
      <alignment horizontal="left" vertical="top"/>
    </xf>
    <xf borderId="163" fillId="48" fontId="181" numFmtId="3" xfId="0" applyAlignment="1" applyBorder="1" applyFill="1" applyFont="1" applyNumberFormat="1">
      <alignment horizontal="center" vertical="top"/>
    </xf>
    <xf borderId="145" fillId="8" fontId="34" numFmtId="166" xfId="0" applyAlignment="1" applyBorder="1" applyFont="1" applyNumberFormat="1">
      <alignment horizontal="left" vertical="top"/>
    </xf>
    <xf borderId="147" fillId="0" fontId="64" numFmtId="0" xfId="0" applyAlignment="1" applyBorder="1" applyFont="1">
      <alignment horizontal="center" vertical="top"/>
    </xf>
    <xf borderId="148" fillId="5" fontId="139" numFmtId="3" xfId="0" applyAlignment="1" applyBorder="1" applyFont="1" applyNumberFormat="1">
      <alignment horizontal="center" vertical="top"/>
    </xf>
    <xf borderId="145" fillId="5" fontId="139" numFmtId="4" xfId="0" applyAlignment="1" applyBorder="1" applyFont="1" applyNumberFormat="1">
      <alignment horizontal="center" vertical="top"/>
    </xf>
    <xf borderId="49" fillId="5" fontId="139" numFmtId="4" xfId="0" applyAlignment="1" applyBorder="1" applyFont="1" applyNumberFormat="1">
      <alignment horizontal="center" vertical="top"/>
    </xf>
    <xf borderId="100" fillId="5" fontId="7" numFmtId="0" xfId="0" applyAlignment="1" applyBorder="1" applyFont="1">
      <alignment horizontal="center" vertical="top"/>
    </xf>
    <xf borderId="163" fillId="5" fontId="181" numFmtId="3" xfId="0" applyAlignment="1" applyBorder="1" applyFont="1" applyNumberFormat="1">
      <alignment horizontal="center" vertical="top"/>
    </xf>
    <xf borderId="146" fillId="4" fontId="181" numFmtId="0" xfId="0" applyAlignment="1" applyBorder="1" applyFont="1">
      <alignment horizontal="center" vertical="top"/>
    </xf>
    <xf borderId="145" fillId="8" fontId="4" numFmtId="0" xfId="0" applyAlignment="1" applyBorder="1" applyFont="1">
      <alignment vertical="top"/>
    </xf>
    <xf borderId="24" fillId="8" fontId="9" numFmtId="0" xfId="0" applyAlignment="1" applyBorder="1" applyFont="1">
      <alignment vertical="top"/>
    </xf>
    <xf borderId="165" fillId="0" fontId="16" numFmtId="3" xfId="0" applyAlignment="1" applyBorder="1" applyFont="1" applyNumberFormat="1">
      <alignment horizontal="center" vertical="top"/>
    </xf>
    <xf borderId="49" fillId="0" fontId="139" numFmtId="4" xfId="0" applyAlignment="1" applyBorder="1" applyFont="1" applyNumberFormat="1">
      <alignment horizontal="center" vertical="top"/>
    </xf>
    <xf borderId="164" fillId="0" fontId="65" numFmtId="0" xfId="0" applyBorder="1" applyFont="1"/>
    <xf borderId="50" fillId="0" fontId="65" numFmtId="0" xfId="0" applyBorder="1" applyFont="1"/>
    <xf borderId="3" fillId="0" fontId="4" numFmtId="0" xfId="0" applyAlignment="1" applyBorder="1" applyFont="1">
      <alignment vertical="top"/>
    </xf>
    <xf borderId="29" fillId="8" fontId="9" numFmtId="0" xfId="0" applyAlignment="1" applyBorder="1" applyFont="1">
      <alignment vertical="top"/>
    </xf>
    <xf borderId="49" fillId="5" fontId="34" numFmtId="0" xfId="0" applyAlignment="1" applyBorder="1" applyFont="1">
      <alignment horizontal="left" vertical="top"/>
    </xf>
    <xf borderId="42" fillId="7" fontId="36" numFmtId="0" xfId="0" applyAlignment="1" applyBorder="1" applyFont="1">
      <alignment horizontal="left" vertical="top"/>
    </xf>
    <xf borderId="131" fillId="5" fontId="4" numFmtId="3" xfId="0" applyAlignment="1" applyBorder="1" applyFont="1" applyNumberFormat="1">
      <alignment vertical="top"/>
    </xf>
    <xf borderId="132" fillId="5" fontId="4" numFmtId="3" xfId="0" applyAlignment="1" applyBorder="1" applyFont="1" applyNumberFormat="1">
      <alignment vertical="top"/>
    </xf>
    <xf borderId="50" fillId="5" fontId="16" numFmtId="4" xfId="0" applyAlignment="1" applyBorder="1" applyFont="1" applyNumberFormat="1">
      <alignment horizontal="center" vertical="top"/>
    </xf>
    <xf borderId="166" fillId="34" fontId="4" numFmtId="3" xfId="0" applyAlignment="1" applyBorder="1" applyFont="1" applyNumberFormat="1">
      <alignment horizontal="center" vertical="top"/>
    </xf>
    <xf borderId="167" fillId="34" fontId="7" numFmtId="0" xfId="0" applyAlignment="1" applyBorder="1" applyFont="1">
      <alignment horizontal="center" vertical="top"/>
    </xf>
    <xf borderId="168" fillId="34" fontId="31" numFmtId="0" xfId="0" applyAlignment="1" applyBorder="1" applyFont="1">
      <alignment horizontal="center" vertical="top"/>
    </xf>
    <xf borderId="158" fillId="21" fontId="184" numFmtId="3" xfId="0" applyAlignment="1" applyBorder="1" applyFont="1" applyNumberFormat="1">
      <alignment horizontal="center" vertical="top"/>
    </xf>
    <xf borderId="158" fillId="20" fontId="184" numFmtId="3" xfId="0" applyAlignment="1" applyBorder="1" applyFont="1" applyNumberFormat="1">
      <alignment horizontal="center" vertical="top"/>
    </xf>
    <xf borderId="169" fillId="34" fontId="190" numFmtId="0" xfId="0" applyAlignment="1" applyBorder="1" applyFont="1">
      <alignment horizontal="center" vertical="top"/>
    </xf>
    <xf borderId="169" fillId="27" fontId="190" numFmtId="3" xfId="0" applyAlignment="1" applyBorder="1" applyFont="1" applyNumberFormat="1">
      <alignment horizontal="center" vertical="top"/>
    </xf>
    <xf borderId="158" fillId="26" fontId="190" numFmtId="3" xfId="0" applyAlignment="1" applyBorder="1" applyFont="1" applyNumberFormat="1">
      <alignment horizontal="center" vertical="top"/>
    </xf>
    <xf borderId="158" fillId="5" fontId="184" numFmtId="3" xfId="0" applyAlignment="1" applyBorder="1" applyFont="1" applyNumberFormat="1">
      <alignment horizontal="center" vertical="top"/>
    </xf>
    <xf borderId="170" fillId="34" fontId="190" numFmtId="3" xfId="0" applyAlignment="1" applyBorder="1" applyFont="1" applyNumberFormat="1">
      <alignment horizontal="center" vertical="top"/>
    </xf>
    <xf borderId="46" fillId="2" fontId="9" numFmtId="0" xfId="0" applyAlignment="1" applyBorder="1" applyFont="1">
      <alignment vertical="top"/>
    </xf>
    <xf borderId="46" fillId="16" fontId="152" numFmtId="0" xfId="0" applyAlignment="1" applyBorder="1" applyFont="1">
      <alignment horizontal="left" vertical="top"/>
    </xf>
    <xf borderId="162" fillId="5" fontId="34" numFmtId="166" xfId="0" applyAlignment="1" applyBorder="1" applyFont="1" applyNumberFormat="1">
      <alignment horizontal="left" vertical="top"/>
    </xf>
    <xf borderId="171" fillId="5" fontId="7" numFmtId="3" xfId="0" applyAlignment="1" applyBorder="1" applyFont="1" applyNumberFormat="1">
      <alignment horizontal="center" vertical="top"/>
    </xf>
    <xf borderId="172" fillId="5" fontId="181" numFmtId="3" xfId="0" applyAlignment="1" applyBorder="1" applyFont="1" applyNumberFormat="1">
      <alignment horizontal="center" vertical="top"/>
    </xf>
    <xf borderId="173" fillId="4" fontId="178" numFmtId="4" xfId="0" applyAlignment="1" applyBorder="1" applyFont="1" applyNumberFormat="1">
      <alignment horizontal="center" vertical="top"/>
    </xf>
    <xf borderId="174" fillId="0" fontId="188" numFmtId="0" xfId="0" applyAlignment="1" applyBorder="1" applyFont="1">
      <alignment horizontal="center" vertical="top"/>
    </xf>
    <xf borderId="24" fillId="2" fontId="9" numFmtId="0" xfId="0" applyAlignment="1" applyBorder="1" applyFont="1">
      <alignment vertical="top"/>
    </xf>
    <xf borderId="24" fillId="16" fontId="152" numFmtId="0" xfId="0" applyAlignment="1" applyBorder="1" applyFont="1">
      <alignment horizontal="left" vertical="top"/>
    </xf>
    <xf borderId="175" fillId="5" fontId="181" numFmtId="3" xfId="0" applyAlignment="1" applyBorder="1" applyFont="1" applyNumberFormat="1">
      <alignment horizontal="center" vertical="top"/>
    </xf>
    <xf borderId="176" fillId="0" fontId="188" numFmtId="0" xfId="0" applyAlignment="1" applyBorder="1" applyFont="1">
      <alignment horizontal="center" vertical="top"/>
    </xf>
    <xf borderId="146" fillId="4" fontId="178" numFmtId="4" xfId="0" applyAlignment="1" applyBorder="1" applyFont="1" applyNumberFormat="1">
      <alignment horizontal="center" vertical="top"/>
    </xf>
    <xf borderId="0" fillId="16" fontId="4" numFmtId="49" xfId="0" applyFont="1" applyNumberFormat="1"/>
    <xf borderId="175" fillId="12" fontId="181" numFmtId="3" xfId="0" applyAlignment="1" applyBorder="1" applyFont="1" applyNumberFormat="1">
      <alignment horizontal="center" vertical="top"/>
    </xf>
    <xf borderId="146" fillId="12" fontId="181" numFmtId="4" xfId="0" applyAlignment="1" applyBorder="1" applyFont="1" applyNumberFormat="1">
      <alignment horizontal="center" vertical="top"/>
    </xf>
    <xf borderId="49" fillId="5" fontId="34" numFmtId="166" xfId="0" applyAlignment="1" applyBorder="1" applyFont="1" applyNumberFormat="1">
      <alignment horizontal="left" vertical="top"/>
    </xf>
    <xf borderId="177" fillId="12" fontId="181" numFmtId="3" xfId="0" applyAlignment="1" applyBorder="1" applyFont="1" applyNumberFormat="1">
      <alignment horizontal="center" vertical="top"/>
    </xf>
    <xf borderId="143" fillId="12" fontId="181" numFmtId="4" xfId="0" applyAlignment="1" applyBorder="1" applyFont="1" applyNumberFormat="1">
      <alignment horizontal="center" vertical="top"/>
    </xf>
    <xf borderId="178" fillId="0" fontId="188" numFmtId="0" xfId="0" applyAlignment="1" applyBorder="1" applyFont="1">
      <alignment horizontal="center" vertical="top"/>
    </xf>
    <xf borderId="165" fillId="5" fontId="16" numFmtId="3" xfId="0" applyAlignment="1" applyBorder="1" applyFont="1" applyNumberFormat="1">
      <alignment horizontal="center" vertical="top"/>
    </xf>
    <xf borderId="175" fillId="2" fontId="181" numFmtId="3" xfId="0" applyAlignment="1" applyBorder="1" applyFont="1" applyNumberFormat="1">
      <alignment horizontal="center" vertical="top"/>
    </xf>
    <xf borderId="146" fillId="2" fontId="181" numFmtId="4" xfId="0" applyAlignment="1" applyBorder="1" applyFont="1" applyNumberFormat="1">
      <alignment horizontal="center" vertical="top"/>
    </xf>
    <xf borderId="179" fillId="2" fontId="181" numFmtId="3" xfId="0" applyAlignment="1" applyBorder="1" applyFont="1" applyNumberFormat="1">
      <alignment horizontal="center" vertical="top"/>
    </xf>
    <xf borderId="30" fillId="2" fontId="181" numFmtId="4" xfId="0" applyAlignment="1" applyBorder="1" applyFont="1" applyNumberFormat="1">
      <alignment horizontal="center" vertical="top"/>
    </xf>
    <xf borderId="36" fillId="0" fontId="188" numFmtId="0" xfId="0" applyAlignment="1" applyBorder="1" applyFont="1">
      <alignment horizontal="center" vertical="top"/>
    </xf>
    <xf borderId="30" fillId="2" fontId="181" numFmtId="0" xfId="0" applyAlignment="1" applyBorder="1" applyFont="1">
      <alignment horizontal="center" vertical="top"/>
    </xf>
    <xf borderId="11" fillId="0" fontId="4" numFmtId="0" xfId="0" applyAlignment="1" applyBorder="1" applyFont="1">
      <alignment vertical="top"/>
    </xf>
    <xf borderId="47" fillId="2" fontId="9" numFmtId="0" xfId="0" applyAlignment="1" applyBorder="1" applyFont="1">
      <alignment vertical="top"/>
    </xf>
    <xf borderId="47" fillId="16" fontId="152" numFmtId="0" xfId="0" applyAlignment="1" applyBorder="1" applyFont="1">
      <alignment horizontal="left" vertical="top"/>
    </xf>
    <xf borderId="180" fillId="7" fontId="34" numFmtId="166" xfId="0" applyAlignment="1" applyBorder="1" applyFont="1" applyNumberFormat="1">
      <alignment horizontal="left" vertical="top"/>
    </xf>
    <xf borderId="181" fillId="2" fontId="181" numFmtId="3" xfId="0" applyAlignment="1" applyBorder="1" applyFont="1" applyNumberFormat="1">
      <alignment horizontal="center" vertical="top"/>
    </xf>
    <xf borderId="182" fillId="2" fontId="181" numFmtId="4" xfId="0" applyAlignment="1" applyBorder="1" applyFont="1" applyNumberFormat="1">
      <alignment horizontal="center" vertical="top"/>
    </xf>
    <xf borderId="183" fillId="0" fontId="188" numFmtId="0" xfId="0" applyAlignment="1" applyBorder="1" applyFont="1">
      <alignment horizontal="center" vertical="top"/>
    </xf>
    <xf borderId="44" fillId="5" fontId="16" numFmtId="3" xfId="0" applyAlignment="1" applyBorder="1" applyFont="1" applyNumberFormat="1">
      <alignment horizontal="center" vertical="top"/>
    </xf>
    <xf borderId="45" fillId="5" fontId="16" numFmtId="4" xfId="0" applyAlignment="1" applyBorder="1" applyFont="1" applyNumberFormat="1">
      <alignment horizontal="center" vertical="top"/>
    </xf>
    <xf borderId="42" fillId="0" fontId="4" numFmtId="0" xfId="0" applyAlignment="1" applyBorder="1" applyFont="1">
      <alignment vertical="top"/>
    </xf>
    <xf borderId="42" fillId="2" fontId="9" numFmtId="0" xfId="0" applyAlignment="1" applyBorder="1" applyFont="1">
      <alignment vertical="top"/>
    </xf>
    <xf borderId="42" fillId="20" fontId="36" numFmtId="0" xfId="0" applyAlignment="1" applyBorder="1" applyFont="1">
      <alignment horizontal="left" vertical="top"/>
    </xf>
    <xf borderId="50" fillId="7" fontId="34" numFmtId="166" xfId="0" applyAlignment="1" applyBorder="1" applyFont="1" applyNumberFormat="1">
      <alignment horizontal="left" vertical="top"/>
    </xf>
    <xf borderId="172" fillId="12" fontId="181" numFmtId="3" xfId="0" applyAlignment="1" applyBorder="1" applyFont="1" applyNumberFormat="1">
      <alignment horizontal="center" vertical="top"/>
    </xf>
    <xf borderId="173" fillId="4" fontId="178" numFmtId="0" xfId="0" applyAlignment="1" applyBorder="1" applyFont="1">
      <alignment horizontal="center" vertical="top"/>
    </xf>
    <xf borderId="174" fillId="34" fontId="188" numFmtId="0" xfId="0" applyAlignment="1" applyBorder="1" applyFont="1">
      <alignment horizontal="center" vertical="top"/>
    </xf>
    <xf borderId="132" fillId="17" fontId="184" numFmtId="3" xfId="0" applyAlignment="1" applyBorder="1" applyFont="1" applyNumberFormat="1">
      <alignment horizontal="center" vertical="top"/>
    </xf>
    <xf borderId="24" fillId="20" fontId="36" numFmtId="0" xfId="0" applyAlignment="1" applyBorder="1" applyFont="1">
      <alignment horizontal="left" vertical="top"/>
    </xf>
    <xf borderId="175" fillId="6" fontId="181" numFmtId="3" xfId="0" applyAlignment="1" applyBorder="1" applyFont="1" applyNumberFormat="1">
      <alignment horizontal="center" vertical="top"/>
    </xf>
    <xf borderId="28" fillId="0" fontId="65" numFmtId="0" xfId="0" applyBorder="1" applyFont="1"/>
    <xf borderId="178" fillId="34" fontId="188" numFmtId="0" xfId="0" applyAlignment="1" applyBorder="1" applyFont="1">
      <alignment horizontal="center" vertical="top"/>
    </xf>
    <xf borderId="143" fillId="46" fontId="178" numFmtId="0" xfId="0" applyAlignment="1" applyBorder="1" applyFont="1">
      <alignment horizontal="center" vertical="top"/>
    </xf>
    <xf borderId="184" fillId="20" fontId="36" numFmtId="0" xfId="0" applyAlignment="1" applyBorder="1" applyFont="1">
      <alignment horizontal="left" vertical="top"/>
    </xf>
    <xf borderId="146" fillId="6" fontId="181" numFmtId="0" xfId="0" applyAlignment="1" applyBorder="1" applyFont="1">
      <alignment horizontal="center" vertical="top"/>
    </xf>
    <xf borderId="185" fillId="20" fontId="36" numFmtId="0" xfId="0" applyAlignment="1" applyBorder="1" applyFont="1">
      <alignment horizontal="left" vertical="top"/>
    </xf>
    <xf borderId="177" fillId="6" fontId="181" numFmtId="3" xfId="0" applyAlignment="1" applyBorder="1" applyFont="1" applyNumberFormat="1">
      <alignment horizontal="center" vertical="top"/>
    </xf>
    <xf borderId="177" fillId="5" fontId="181" numFmtId="3" xfId="0" applyAlignment="1" applyBorder="1" applyFont="1" applyNumberFormat="1">
      <alignment horizontal="center" vertical="top"/>
    </xf>
    <xf borderId="149" fillId="5" fontId="4" numFmtId="3" xfId="0" applyAlignment="1" applyBorder="1" applyFont="1" applyNumberFormat="1">
      <alignment vertical="top"/>
    </xf>
    <xf borderId="150" fillId="5" fontId="4" numFmtId="3" xfId="0" applyAlignment="1" applyBorder="1" applyFont="1" applyNumberFormat="1">
      <alignment vertical="top"/>
    </xf>
    <xf borderId="11" fillId="11" fontId="2" numFmtId="0" xfId="0" applyAlignment="1" applyBorder="1" applyFont="1">
      <alignment horizontal="center" vertical="top"/>
    </xf>
    <xf borderId="11" fillId="11" fontId="4" numFmtId="0" xfId="0" applyAlignment="1" applyBorder="1" applyFont="1">
      <alignment vertical="top"/>
    </xf>
    <xf borderId="11" fillId="11" fontId="36" numFmtId="0" xfId="0" applyAlignment="1" applyBorder="1" applyFont="1">
      <alignment horizontal="left" vertical="top"/>
    </xf>
    <xf borderId="45" fillId="11" fontId="34" numFmtId="166" xfId="0" applyAlignment="1" applyBorder="1" applyFont="1" applyNumberFormat="1">
      <alignment horizontal="left" vertical="top"/>
    </xf>
    <xf borderId="171" fillId="11" fontId="7" numFmtId="4" xfId="0" applyAlignment="1" applyBorder="1" applyFont="1" applyNumberFormat="1">
      <alignment horizontal="center" vertical="top"/>
    </xf>
    <xf borderId="186" fillId="11" fontId="181" numFmtId="4" xfId="0" applyAlignment="1" applyBorder="1" applyFont="1" applyNumberFormat="1">
      <alignment horizontal="center" vertical="top"/>
    </xf>
    <xf borderId="155" fillId="11" fontId="7" numFmtId="0" xfId="0" applyAlignment="1" applyBorder="1" applyFont="1">
      <alignment horizontal="center" vertical="top"/>
    </xf>
    <xf borderId="187" fillId="11" fontId="31" numFmtId="0" xfId="0" applyAlignment="1" applyBorder="1" applyFont="1">
      <alignment horizontal="center" vertical="top"/>
    </xf>
    <xf borderId="109" fillId="11" fontId="2" numFmtId="3" xfId="0" applyAlignment="1" applyBorder="1" applyFont="1" applyNumberFormat="1">
      <alignment horizontal="center" vertical="top"/>
    </xf>
    <xf borderId="110" fillId="11" fontId="2" numFmtId="4" xfId="0" applyAlignment="1" applyBorder="1" applyFont="1" applyNumberFormat="1">
      <alignment horizontal="center" vertical="top"/>
    </xf>
    <xf borderId="110" fillId="11" fontId="2" numFmtId="0" xfId="0" applyAlignment="1" applyBorder="1" applyFont="1">
      <alignment horizontal="center" vertical="top"/>
    </xf>
    <xf borderId="157" fillId="11" fontId="37" numFmtId="3" xfId="0" applyAlignment="1" applyBorder="1" applyFont="1" applyNumberFormat="1">
      <alignment horizontal="center" vertical="top"/>
    </xf>
    <xf borderId="157" fillId="11" fontId="37" numFmtId="0" xfId="0" applyAlignment="1" applyBorder="1" applyFont="1">
      <alignment horizontal="center" vertical="top"/>
    </xf>
    <xf borderId="107" fillId="11" fontId="37" numFmtId="0" xfId="0" applyAlignment="1" applyBorder="1" applyFont="1">
      <alignment horizontal="center" vertical="top"/>
    </xf>
    <xf borderId="107" fillId="11" fontId="37" numFmtId="3" xfId="0" applyAlignment="1" applyBorder="1" applyFont="1" applyNumberFormat="1">
      <alignment horizontal="center" vertical="top"/>
    </xf>
    <xf borderId="0" fillId="0" fontId="4" numFmtId="3" xfId="0" applyAlignment="1" applyFont="1" applyNumberFormat="1">
      <alignment vertical="top"/>
    </xf>
    <xf borderId="0" fillId="0" fontId="36" numFmtId="0" xfId="0" applyAlignment="1" applyFont="1">
      <alignment horizontal="left" vertical="top"/>
    </xf>
    <xf borderId="0" fillId="0" fontId="34" numFmtId="166" xfId="0" applyAlignment="1" applyFont="1" applyNumberFormat="1">
      <alignment horizontal="left" vertical="top"/>
    </xf>
    <xf borderId="171" fillId="0" fontId="7" numFmtId="0" xfId="0" applyAlignment="1" applyBorder="1" applyFont="1">
      <alignment horizontal="center" vertical="top"/>
    </xf>
    <xf borderId="0" fillId="0" fontId="181" numFmtId="3" xfId="0" applyAlignment="1" applyFont="1" applyNumberFormat="1">
      <alignment vertical="top"/>
    </xf>
    <xf borderId="0" fillId="0" fontId="181" numFmtId="0" xfId="0" applyAlignment="1" applyFont="1">
      <alignment horizontal="center" vertical="top"/>
    </xf>
    <xf borderId="0" fillId="0" fontId="181" numFmtId="0" xfId="0" applyAlignment="1" applyFont="1">
      <alignment vertical="top"/>
    </xf>
    <xf borderId="0" fillId="0" fontId="4" numFmtId="4" xfId="0" applyAlignment="1" applyFont="1" applyNumberFormat="1">
      <alignment vertical="top"/>
    </xf>
    <xf borderId="0" fillId="0" fontId="4" numFmtId="3" xfId="0" applyAlignment="1" applyFont="1" applyNumberFormat="1">
      <alignment horizontal="center" vertical="top"/>
    </xf>
    <xf borderId="0" fillId="0" fontId="4" numFmtId="3" xfId="0" applyFont="1" applyNumberFormat="1"/>
    <xf borderId="0" fillId="0" fontId="191" numFmtId="0" xfId="0" applyAlignment="1" applyFont="1">
      <alignment shrinkToFit="0" wrapText="0"/>
    </xf>
    <xf borderId="0" fillId="0" fontId="4" numFmtId="0" xfId="0" applyAlignment="1" applyFont="1">
      <alignment horizontal="right" vertical="bottom"/>
    </xf>
    <xf borderId="0" fillId="0" fontId="4" numFmtId="0" xfId="0" applyAlignment="1" applyFont="1">
      <alignment horizontal="right" readingOrder="0" vertical="bottom"/>
    </xf>
    <xf borderId="0" fillId="0" fontId="192" numFmtId="0" xfId="0" applyAlignment="1" applyFont="1">
      <alignment vertical="bottom"/>
    </xf>
    <xf borderId="0" fillId="0" fontId="4" numFmtId="4" xfId="0" applyAlignment="1" applyFont="1" applyNumberFormat="1">
      <alignment horizontal="right" vertical="bottom"/>
    </xf>
    <xf borderId="0" fillId="0" fontId="4" numFmtId="0" xfId="0" applyAlignment="1" applyFont="1">
      <alignment horizontal="center" vertical="bottom"/>
    </xf>
    <xf borderId="107" fillId="16" fontId="4" numFmtId="0" xfId="0" applyAlignment="1" applyBorder="1" applyFont="1">
      <alignment horizontal="center" vertical="bottom"/>
    </xf>
    <xf borderId="107" fillId="15" fontId="4" numFmtId="0" xfId="0" applyAlignment="1" applyBorder="1" applyFont="1">
      <alignment horizontal="center" vertical="bottom"/>
    </xf>
    <xf borderId="110" fillId="2" fontId="9" numFmtId="0" xfId="0" applyAlignment="1" applyBorder="1" applyFont="1">
      <alignment horizontal="center" shrinkToFit="0" vertical="center" wrapText="1"/>
    </xf>
    <xf borderId="110" fillId="16" fontId="9" numFmtId="0" xfId="0" applyAlignment="1" applyBorder="1" applyFont="1">
      <alignment horizontal="center" shrinkToFit="0" vertical="center" wrapText="1"/>
    </xf>
    <xf borderId="110" fillId="6" fontId="9" numFmtId="0" xfId="0" applyAlignment="1" applyBorder="1" applyFont="1">
      <alignment horizontal="center" shrinkToFit="0" vertical="center" wrapText="1"/>
    </xf>
    <xf borderId="1" fillId="17" fontId="9" numFmtId="0" xfId="0" applyAlignment="1" applyBorder="1" applyFont="1">
      <alignment horizontal="center" shrinkToFit="0" vertical="center" wrapText="1"/>
    </xf>
    <xf borderId="1" fillId="6" fontId="9" numFmtId="0" xfId="0" applyAlignment="1" applyBorder="1" applyFont="1">
      <alignment horizontal="center" shrinkToFit="0" vertical="center" wrapText="1"/>
    </xf>
    <xf borderId="1" fillId="12" fontId="9" numFmtId="0" xfId="0" applyAlignment="1" applyBorder="1" applyFont="1">
      <alignment horizontal="center" shrinkToFit="0" vertical="center" wrapText="1"/>
    </xf>
    <xf borderId="1" fillId="13" fontId="9" numFmtId="0" xfId="0" applyAlignment="1" applyBorder="1" applyFont="1">
      <alignment horizontal="center" shrinkToFit="0" vertical="center" wrapText="1"/>
    </xf>
    <xf borderId="1" fillId="2" fontId="9" numFmtId="0" xfId="0" applyAlignment="1" applyBorder="1" applyFont="1">
      <alignment horizontal="center" shrinkToFit="0" vertical="center" wrapText="1"/>
    </xf>
    <xf borderId="1" fillId="11" fontId="9" numFmtId="0" xfId="0" applyAlignment="1" applyBorder="1" applyFont="1">
      <alignment horizontal="center" shrinkToFit="0" vertical="center" wrapText="1"/>
    </xf>
    <xf borderId="1" fillId="34" fontId="9" numFmtId="0" xfId="0" applyAlignment="1" applyBorder="1" applyFont="1">
      <alignment horizontal="center" shrinkToFit="0" vertical="center" wrapText="1"/>
    </xf>
    <xf borderId="1" fillId="23" fontId="9" numFmtId="0" xfId="0" applyAlignment="1" applyBorder="1" applyFont="1">
      <alignment horizontal="center" shrinkToFit="0" vertical="center" wrapText="1"/>
    </xf>
    <xf borderId="1" fillId="15" fontId="9" numFmtId="0" xfId="0" applyAlignment="1" applyBorder="1" applyFont="1">
      <alignment horizontal="center" shrinkToFit="0" vertical="center" wrapText="1"/>
    </xf>
    <xf borderId="110" fillId="15" fontId="9" numFmtId="9" xfId="0" applyAlignment="1" applyBorder="1" applyFont="1" applyNumberFormat="1">
      <alignment horizontal="center" shrinkToFit="0" vertical="center" wrapText="1"/>
    </xf>
    <xf borderId="24" fillId="0" fontId="4" numFmtId="0" xfId="0" applyAlignment="1" applyBorder="1" applyFont="1">
      <alignment vertical="bottom"/>
    </xf>
    <xf borderId="46" fillId="2" fontId="193" numFmtId="0" xfId="0" applyAlignment="1" applyBorder="1" applyFont="1">
      <alignment horizontal="center" vertical="bottom"/>
    </xf>
    <xf borderId="46" fillId="16" fontId="4" numFmtId="0" xfId="0" applyAlignment="1" applyBorder="1" applyFont="1">
      <alignment horizontal="center" shrinkToFit="0" vertical="bottom" wrapText="1"/>
    </xf>
    <xf borderId="25" fillId="6" fontId="4" numFmtId="0" xfId="0" applyAlignment="1" applyBorder="1" applyFont="1">
      <alignment horizontal="center" vertical="bottom"/>
    </xf>
    <xf borderId="25" fillId="16" fontId="4" numFmtId="0" xfId="0" applyAlignment="1" applyBorder="1" applyFont="1">
      <alignment horizontal="center" shrinkToFit="0" vertical="bottom" wrapText="1"/>
    </xf>
    <xf borderId="23" fillId="6" fontId="4" numFmtId="0" xfId="0" applyAlignment="1" applyBorder="1" applyFont="1">
      <alignment horizontal="center" vertical="bottom"/>
    </xf>
    <xf borderId="9" fillId="6" fontId="4" numFmtId="0" xfId="0" applyAlignment="1" applyBorder="1" applyFont="1">
      <alignment horizontal="center" vertical="bottom"/>
    </xf>
    <xf borderId="23" fillId="16" fontId="4" numFmtId="0" xfId="0" applyAlignment="1" applyBorder="1" applyFont="1">
      <alignment horizontal="center" shrinkToFit="0" vertical="bottom" wrapText="1"/>
    </xf>
    <xf borderId="25" fillId="15" fontId="4" numFmtId="0" xfId="0" applyAlignment="1" applyBorder="1" applyFont="1">
      <alignment horizontal="center" shrinkToFit="0" vertical="bottom" wrapText="1"/>
    </xf>
    <xf borderId="9" fillId="15" fontId="4" numFmtId="0" xfId="0" applyAlignment="1" applyBorder="1" applyFont="1">
      <alignment horizontal="center" shrinkToFit="0" vertical="bottom" wrapText="1"/>
    </xf>
    <xf borderId="1" fillId="15" fontId="2" numFmtId="9" xfId="0" applyAlignment="1" applyBorder="1" applyFont="1" applyNumberFormat="1">
      <alignment horizontal="center" shrinkToFit="0" vertical="bottom" wrapText="1"/>
    </xf>
    <xf borderId="24" fillId="2" fontId="193" numFmtId="0" xfId="0" applyAlignment="1" applyBorder="1" applyFont="1">
      <alignment horizontal="center" vertical="bottom"/>
    </xf>
    <xf borderId="24" fillId="16" fontId="4" numFmtId="0" xfId="0" applyAlignment="1" applyBorder="1" applyFont="1">
      <alignment horizontal="center" shrinkToFit="0" vertical="bottom" wrapText="1"/>
    </xf>
    <xf borderId="28" fillId="6" fontId="4" numFmtId="0" xfId="0" applyAlignment="1" applyBorder="1" applyFont="1">
      <alignment horizontal="center" vertical="bottom"/>
    </xf>
    <xf borderId="28" fillId="16" fontId="4" numFmtId="0" xfId="0" applyAlignment="1" applyBorder="1" applyFont="1">
      <alignment horizontal="center" shrinkToFit="0" vertical="bottom" wrapText="1"/>
    </xf>
    <xf borderId="0" fillId="6" fontId="4" numFmtId="0" xfId="0" applyAlignment="1" applyFont="1">
      <alignment horizontal="center" vertical="bottom"/>
    </xf>
    <xf borderId="27" fillId="6" fontId="4" numFmtId="0" xfId="0" applyAlignment="1" applyBorder="1" applyFont="1">
      <alignment horizontal="center" vertical="bottom"/>
    </xf>
    <xf borderId="0" fillId="16" fontId="4" numFmtId="0" xfId="0" applyAlignment="1" applyFont="1">
      <alignment horizontal="center" shrinkToFit="0" vertical="bottom" wrapText="1"/>
    </xf>
    <xf borderId="28" fillId="15" fontId="4" numFmtId="0" xfId="0" applyAlignment="1" applyBorder="1" applyFont="1">
      <alignment horizontal="center" shrinkToFit="0" vertical="bottom" wrapText="1"/>
    </xf>
    <xf borderId="27" fillId="15" fontId="4" numFmtId="0" xfId="0" applyAlignment="1" applyBorder="1" applyFont="1">
      <alignment horizontal="center" shrinkToFit="0" vertical="bottom" wrapText="1"/>
    </xf>
    <xf borderId="3" fillId="15" fontId="2" numFmtId="9" xfId="0" applyAlignment="1" applyBorder="1" applyFont="1" applyNumberFormat="1">
      <alignment horizontal="center" shrinkToFit="0" vertical="bottom" wrapText="1"/>
    </xf>
    <xf borderId="27" fillId="6" fontId="2" numFmtId="0" xfId="0" applyAlignment="1" applyBorder="1" applyFont="1">
      <alignment horizontal="center" vertical="bottom"/>
    </xf>
    <xf borderId="0" fillId="6" fontId="2" numFmtId="0" xfId="0" applyAlignment="1" applyFont="1">
      <alignment horizontal="center" vertical="bottom"/>
    </xf>
    <xf borderId="27" fillId="15" fontId="2" numFmtId="0" xfId="0" applyAlignment="1" applyBorder="1" applyFont="1">
      <alignment horizontal="center" shrinkToFit="0" vertical="bottom" wrapText="1"/>
    </xf>
    <xf borderId="47" fillId="2" fontId="193" numFmtId="0" xfId="0" applyAlignment="1" applyBorder="1" applyFont="1">
      <alignment horizontal="center" vertical="bottom"/>
    </xf>
    <xf borderId="47" fillId="16" fontId="4" numFmtId="0" xfId="0" applyAlignment="1" applyBorder="1" applyFont="1">
      <alignment horizontal="center" shrinkToFit="0" vertical="bottom" wrapText="1"/>
    </xf>
    <xf borderId="45" fillId="6" fontId="4" numFmtId="0" xfId="0" applyAlignment="1" applyBorder="1" applyFont="1">
      <alignment horizontal="center" vertical="bottom"/>
    </xf>
    <xf borderId="45" fillId="16" fontId="4" numFmtId="0" xfId="0" applyAlignment="1" applyBorder="1" applyFont="1">
      <alignment horizontal="center" shrinkToFit="0" vertical="bottom" wrapText="1"/>
    </xf>
    <xf borderId="43" fillId="6" fontId="4" numFmtId="0" xfId="0" applyAlignment="1" applyBorder="1" applyFont="1">
      <alignment horizontal="center" vertical="bottom"/>
    </xf>
    <xf borderId="44" fillId="6" fontId="4" numFmtId="0" xfId="0" applyAlignment="1" applyBorder="1" applyFont="1">
      <alignment horizontal="center" vertical="bottom"/>
    </xf>
    <xf borderId="43" fillId="16" fontId="4" numFmtId="0" xfId="0" applyAlignment="1" applyBorder="1" applyFont="1">
      <alignment horizontal="center" shrinkToFit="0" vertical="bottom" wrapText="1"/>
    </xf>
    <xf borderId="45" fillId="15" fontId="4" numFmtId="0" xfId="0" applyAlignment="1" applyBorder="1" applyFont="1">
      <alignment horizontal="center" shrinkToFit="0" vertical="bottom" wrapText="1"/>
    </xf>
    <xf borderId="44" fillId="15" fontId="4" numFmtId="0" xfId="0" applyAlignment="1" applyBorder="1" applyFont="1">
      <alignment horizontal="center" shrinkToFit="0" vertical="bottom" wrapText="1"/>
    </xf>
    <xf borderId="11" fillId="15" fontId="2" numFmtId="9" xfId="0" applyAlignment="1" applyBorder="1" applyFont="1" applyNumberFormat="1">
      <alignment horizontal="center" shrinkToFit="0" vertical="bottom" wrapText="1"/>
    </xf>
    <xf borderId="0" fillId="0" fontId="4" numFmtId="9" xfId="0" applyAlignment="1" applyFont="1" applyNumberFormat="1">
      <alignment vertical="bottom"/>
    </xf>
    <xf borderId="0" fillId="5" fontId="9" numFmtId="0" xfId="0" applyAlignment="1" applyFont="1">
      <alignment horizontal="center" shrinkToFit="0" vertical="center" wrapText="1"/>
    </xf>
    <xf borderId="0" fillId="8" fontId="9" numFmtId="0" xfId="0" applyAlignment="1" applyFont="1">
      <alignment horizontal="left" shrinkToFit="0" wrapText="1"/>
    </xf>
    <xf borderId="0" fillId="0" fontId="9" numFmtId="0" xfId="0" applyAlignment="1" applyFont="1">
      <alignment horizontal="center" shrinkToFit="0" vertical="center" wrapText="1"/>
    </xf>
    <xf borderId="0" fillId="5" fontId="31" numFmtId="0" xfId="0" applyAlignment="1" applyFont="1">
      <alignment horizontal="center" shrinkToFit="0" vertical="center" wrapText="1"/>
    </xf>
    <xf borderId="0" fillId="6" fontId="194" numFmtId="1" xfId="0" applyAlignment="1" applyFont="1" applyNumberFormat="1">
      <alignment horizontal="center" shrinkToFit="0" vertical="center" wrapText="1"/>
    </xf>
    <xf borderId="0" fillId="6" fontId="194" numFmtId="1" xfId="0" applyAlignment="1" applyFont="1" applyNumberFormat="1">
      <alignment horizontal="center" shrinkToFit="0" vertical="center" wrapText="0"/>
    </xf>
    <xf borderId="0" fillId="2" fontId="31" numFmtId="0" xfId="0" applyAlignment="1" applyFont="1">
      <alignment horizontal="center" shrinkToFit="0" vertical="center" wrapText="1"/>
    </xf>
    <xf borderId="0" fillId="2" fontId="31" numFmtId="1" xfId="0" applyAlignment="1" applyFont="1" applyNumberFormat="1">
      <alignment horizontal="center" shrinkToFit="0" vertical="center" wrapText="1"/>
    </xf>
    <xf borderId="110" fillId="5" fontId="9" numFmtId="0" xfId="0" applyAlignment="1" applyBorder="1" applyFont="1">
      <alignment horizontal="center" shrinkToFit="0" vertical="center" wrapText="1"/>
    </xf>
    <xf borderId="110" fillId="8" fontId="9" numFmtId="0" xfId="0" applyAlignment="1" applyBorder="1" applyFont="1">
      <alignment horizontal="left" shrinkToFit="0" wrapText="1"/>
    </xf>
    <xf borderId="110" fillId="5" fontId="31" numFmtId="0" xfId="0" applyAlignment="1" applyBorder="1" applyFont="1">
      <alignment horizontal="center" shrinkToFit="0" vertical="center" wrapText="1"/>
    </xf>
    <xf borderId="110" fillId="6" fontId="194" numFmtId="1" xfId="0" applyAlignment="1" applyBorder="1" applyFont="1" applyNumberFormat="1">
      <alignment horizontal="center" shrinkToFit="0" vertical="center" wrapText="1"/>
    </xf>
    <xf borderId="110" fillId="5" fontId="31" numFmtId="0" xfId="0" applyAlignment="1" applyBorder="1" applyFont="1">
      <alignment horizontal="center"/>
    </xf>
    <xf borderId="110" fillId="5" fontId="31" numFmtId="0" xfId="0" applyAlignment="1" applyBorder="1" applyFont="1">
      <alignment horizontal="center" shrinkToFit="0" wrapText="1"/>
    </xf>
    <xf borderId="110" fillId="2" fontId="195" numFmtId="0" xfId="0" applyAlignment="1" applyBorder="1" applyFont="1">
      <alignment horizontal="center" shrinkToFit="0" vertical="center" wrapText="1"/>
    </xf>
    <xf borderId="0" fillId="5" fontId="31" numFmtId="0" xfId="0" applyAlignment="1" applyFont="1">
      <alignment horizontal="center" shrinkToFit="0" wrapText="1"/>
    </xf>
    <xf borderId="188" fillId="0" fontId="4" numFmtId="0" xfId="0" applyBorder="1" applyFont="1"/>
    <xf borderId="113" fillId="2" fontId="4" numFmtId="0" xfId="0" applyAlignment="1" applyBorder="1" applyFont="1">
      <alignment vertical="bottom"/>
    </xf>
    <xf borderId="6" fillId="5" fontId="9" numFmtId="0" xfId="0" applyAlignment="1" applyBorder="1" applyFont="1">
      <alignment horizontal="center"/>
    </xf>
    <xf borderId="6" fillId="5" fontId="6" numFmtId="0" xfId="0" applyAlignment="1" applyBorder="1" applyFont="1">
      <alignment horizontal="center"/>
    </xf>
    <xf borderId="2" fillId="0" fontId="9" numFmtId="0" xfId="0" applyAlignment="1" applyBorder="1" applyFont="1">
      <alignment horizontal="center"/>
    </xf>
    <xf borderId="4" fillId="6" fontId="196" numFmtId="1" xfId="0" applyAlignment="1" applyBorder="1" applyFont="1" applyNumberFormat="1">
      <alignment horizontal="center"/>
    </xf>
    <xf borderId="4" fillId="2" fontId="196" numFmtId="1" xfId="0" applyAlignment="1" applyBorder="1" applyFont="1" applyNumberFormat="1">
      <alignment horizontal="center"/>
    </xf>
    <xf borderId="4" fillId="9" fontId="37" numFmtId="0" xfId="0" applyAlignment="1" applyBorder="1" applyFont="1">
      <alignment horizontal="center"/>
    </xf>
    <xf borderId="4" fillId="2" fontId="197" numFmtId="1" xfId="0" applyAlignment="1" applyBorder="1" applyFont="1" applyNumberFormat="1">
      <alignment horizontal="center"/>
    </xf>
    <xf borderId="6" fillId="15" fontId="194" numFmtId="0" xfId="0" applyAlignment="1" applyBorder="1" applyFont="1">
      <alignment horizontal="center"/>
    </xf>
    <xf borderId="0" fillId="15" fontId="194" numFmtId="1" xfId="0" applyAlignment="1" applyFont="1" applyNumberFormat="1">
      <alignment horizontal="center"/>
    </xf>
    <xf borderId="126" fillId="2" fontId="4" numFmtId="0" xfId="0" applyAlignment="1" applyBorder="1" applyFont="1">
      <alignment vertical="bottom"/>
    </xf>
    <xf borderId="4" fillId="5" fontId="9" numFmtId="0" xfId="0" applyAlignment="1" applyBorder="1" applyFont="1">
      <alignment horizontal="center"/>
    </xf>
    <xf borderId="4" fillId="5" fontId="6" numFmtId="0" xfId="0" applyAlignment="1" applyBorder="1" applyFont="1">
      <alignment horizontal="center"/>
    </xf>
    <xf borderId="79" fillId="5" fontId="4" numFmtId="0" xfId="0" applyAlignment="1" applyBorder="1" applyFont="1">
      <alignment horizontal="center"/>
    </xf>
    <xf borderId="4" fillId="0" fontId="9" numFmtId="0" xfId="0" applyAlignment="1" applyBorder="1" applyFont="1">
      <alignment horizontal="center"/>
    </xf>
    <xf borderId="4" fillId="8" fontId="197" numFmtId="0" xfId="0" applyAlignment="1" applyBorder="1" applyFont="1">
      <alignment horizontal="center"/>
    </xf>
    <xf borderId="4" fillId="2" fontId="37" numFmtId="0" xfId="0" applyAlignment="1" applyBorder="1" applyFont="1">
      <alignment horizontal="center"/>
    </xf>
    <xf borderId="28" fillId="0" fontId="4" numFmtId="0" xfId="0" applyBorder="1" applyFont="1"/>
    <xf borderId="28" fillId="17" fontId="4" numFmtId="0" xfId="0" applyBorder="1" applyFont="1"/>
    <xf borderId="4" fillId="5" fontId="197" numFmtId="0" xfId="0" applyAlignment="1" applyBorder="1" applyFont="1">
      <alignment horizontal="center"/>
    </xf>
    <xf borderId="189" fillId="17" fontId="4" numFmtId="0" xfId="0" applyBorder="1" applyFont="1"/>
    <xf borderId="190" fillId="0" fontId="4" numFmtId="0" xfId="0" applyBorder="1" applyFont="1"/>
    <xf borderId="190" fillId="5" fontId="4" numFmtId="0" xfId="0" applyBorder="1" applyFont="1"/>
    <xf borderId="79" fillId="5" fontId="9" numFmtId="0" xfId="0" applyAlignment="1" applyBorder="1" applyFont="1">
      <alignment horizontal="center"/>
    </xf>
    <xf borderId="4" fillId="7" fontId="5" numFmtId="0" xfId="0" applyAlignment="1" applyBorder="1" applyFont="1">
      <alignment horizontal="left"/>
    </xf>
    <xf borderId="126" fillId="14" fontId="4" numFmtId="0" xfId="0" applyAlignment="1" applyBorder="1" applyFont="1">
      <alignment vertical="bottom"/>
    </xf>
    <xf borderId="4" fillId="25" fontId="5" numFmtId="0" xfId="0" applyAlignment="1" applyBorder="1" applyFont="1">
      <alignment horizontal="left"/>
    </xf>
    <xf borderId="4" fillId="14" fontId="9" numFmtId="0" xfId="0" applyAlignment="1" applyBorder="1" applyFont="1">
      <alignment horizontal="center"/>
    </xf>
    <xf borderId="79" fillId="14" fontId="9" numFmtId="0" xfId="0" applyAlignment="1" applyBorder="1" applyFont="1">
      <alignment horizontal="center"/>
    </xf>
    <xf borderId="4" fillId="14" fontId="6" numFmtId="0" xfId="0" applyAlignment="1" applyBorder="1" applyFont="1">
      <alignment horizontal="center"/>
    </xf>
    <xf borderId="79" fillId="14" fontId="4" numFmtId="0" xfId="0" applyAlignment="1" applyBorder="1" applyFont="1">
      <alignment horizontal="center"/>
    </xf>
    <xf borderId="4" fillId="14" fontId="5" numFmtId="0" xfId="0" applyAlignment="1" applyBorder="1" applyFont="1">
      <alignment horizontal="left"/>
    </xf>
    <xf borderId="191" fillId="5" fontId="4" numFmtId="0" xfId="0" applyBorder="1" applyFont="1"/>
    <xf borderId="4" fillId="0" fontId="6" numFmtId="0" xfId="0" applyAlignment="1" applyBorder="1" applyFont="1">
      <alignment horizontal="center"/>
    </xf>
    <xf borderId="79" fillId="0" fontId="4" numFmtId="0" xfId="0" applyAlignment="1" applyBorder="1" applyFont="1">
      <alignment horizontal="center"/>
    </xf>
    <xf borderId="22" fillId="5" fontId="4" numFmtId="0" xfId="0" applyBorder="1" applyFont="1"/>
    <xf borderId="4" fillId="5" fontId="4" numFmtId="0" xfId="0" applyAlignment="1" applyBorder="1" applyFont="1">
      <alignment horizontal="center"/>
    </xf>
    <xf borderId="4" fillId="15" fontId="4" numFmtId="1" xfId="0" applyBorder="1" applyFont="1" applyNumberFormat="1"/>
    <xf borderId="4" fillId="2" fontId="4" numFmtId="1" xfId="0" applyBorder="1" applyFont="1" applyNumberFormat="1"/>
    <xf borderId="4" fillId="15" fontId="197" numFmtId="0" xfId="0" applyAlignment="1" applyBorder="1" applyFont="1">
      <alignment horizontal="center"/>
    </xf>
    <xf borderId="4" fillId="15" fontId="4" numFmtId="1" xfId="0" applyAlignment="1" applyBorder="1" applyFont="1" applyNumberFormat="1">
      <alignment horizontal="center"/>
    </xf>
    <xf borderId="4" fillId="15" fontId="197" numFmtId="1" xfId="0" applyAlignment="1" applyBorder="1" applyFont="1" applyNumberFormat="1">
      <alignment horizontal="center"/>
    </xf>
    <xf borderId="4" fillId="16" fontId="9" numFmtId="0" xfId="0" applyAlignment="1" applyBorder="1" applyFont="1">
      <alignment horizontal="center"/>
    </xf>
    <xf borderId="4" fillId="16" fontId="6" numFmtId="0" xfId="0" applyAlignment="1" applyBorder="1" applyFont="1">
      <alignment horizontal="center"/>
    </xf>
    <xf borderId="126" fillId="16" fontId="4" numFmtId="0" xfId="0" applyAlignment="1" applyBorder="1" applyFont="1">
      <alignment vertical="bottom"/>
    </xf>
    <xf borderId="4" fillId="16" fontId="5" numFmtId="0" xfId="0" applyAlignment="1" applyBorder="1" applyFont="1">
      <alignment horizontal="left"/>
    </xf>
    <xf borderId="4" fillId="16" fontId="4" numFmtId="0" xfId="0" applyAlignment="1" applyBorder="1" applyFont="1">
      <alignment horizontal="center"/>
    </xf>
    <xf borderId="4" fillId="5" fontId="31" numFmtId="0" xfId="0" applyAlignment="1" applyBorder="1" applyFont="1">
      <alignment horizontal="center"/>
    </xf>
    <xf borderId="4" fillId="5" fontId="4" numFmtId="1" xfId="0" applyBorder="1" applyFont="1" applyNumberFormat="1"/>
    <xf borderId="4" fillId="5" fontId="4" numFmtId="1" xfId="0" applyAlignment="1" applyBorder="1" applyFont="1" applyNumberFormat="1">
      <alignment horizontal="center"/>
    </xf>
    <xf borderId="4" fillId="6" fontId="198" numFmtId="1" xfId="0" applyAlignment="1" applyBorder="1" applyFont="1" applyNumberFormat="1">
      <alignment horizontal="center"/>
    </xf>
    <xf borderId="4" fillId="2" fontId="198" numFmtId="1" xfId="0" applyAlignment="1" applyBorder="1" applyFont="1" applyNumberFormat="1">
      <alignment horizontal="center"/>
    </xf>
    <xf borderId="4" fillId="7" fontId="37" numFmtId="0" xfId="0" applyAlignment="1" applyBorder="1" applyFont="1">
      <alignment horizontal="center"/>
    </xf>
    <xf borderId="4" fillId="5" fontId="197" numFmtId="0" xfId="0" applyAlignment="1" applyBorder="1" applyFont="1">
      <alignment horizontal="left"/>
    </xf>
    <xf borderId="4" fillId="7" fontId="6" numFmtId="0" xfId="0" applyAlignment="1" applyBorder="1" applyFont="1">
      <alignment horizontal="center"/>
    </xf>
    <xf borderId="4" fillId="14" fontId="4" numFmtId="1" xfId="0" applyAlignment="1" applyBorder="1" applyFont="1" applyNumberFormat="1">
      <alignment horizontal="center"/>
    </xf>
    <xf borderId="4" fillId="14" fontId="197" numFmtId="0" xfId="0" applyAlignment="1" applyBorder="1" applyFont="1">
      <alignment horizontal="center"/>
    </xf>
    <xf borderId="4" fillId="6" fontId="5" numFmtId="0" xfId="0" applyAlignment="1" applyBorder="1" applyFont="1">
      <alignment horizontal="left"/>
    </xf>
    <xf borderId="4" fillId="5" fontId="196" numFmtId="1" xfId="0" applyAlignment="1" applyBorder="1" applyFont="1" applyNumberFormat="1">
      <alignment horizontal="center"/>
    </xf>
    <xf borderId="136" fillId="2" fontId="4" numFmtId="0" xfId="0" applyAlignment="1" applyBorder="1" applyFont="1">
      <alignment vertical="bottom"/>
    </xf>
    <xf borderId="192" fillId="6" fontId="5" numFmtId="0" xfId="0" applyAlignment="1" applyBorder="1" applyFont="1">
      <alignment horizontal="left"/>
    </xf>
    <xf borderId="192" fillId="5" fontId="9" numFmtId="0" xfId="0" applyAlignment="1" applyBorder="1" applyFont="1">
      <alignment horizontal="center"/>
    </xf>
    <xf borderId="5" fillId="0" fontId="9" numFmtId="0" xfId="0" applyAlignment="1" applyBorder="1" applyFont="1">
      <alignment horizontal="center"/>
    </xf>
    <xf borderId="4" fillId="5" fontId="197" numFmtId="1" xfId="0" applyAlignment="1" applyBorder="1" applyFont="1" applyNumberFormat="1">
      <alignment horizontal="left"/>
    </xf>
    <xf borderId="4" fillId="2" fontId="197" numFmtId="1" xfId="0" applyAlignment="1" applyBorder="1" applyFont="1" applyNumberFormat="1">
      <alignment horizontal="left"/>
    </xf>
    <xf borderId="79" fillId="16" fontId="9" numFmtId="0" xfId="0" applyAlignment="1" applyBorder="1" applyFont="1">
      <alignment horizontal="center"/>
    </xf>
    <xf borderId="193" fillId="5" fontId="4" numFmtId="0" xfId="0" applyBorder="1" applyFont="1"/>
    <xf borderId="4" fillId="15" fontId="196" numFmtId="1" xfId="0" applyAlignment="1" applyBorder="1" applyFont="1" applyNumberFormat="1">
      <alignment horizontal="center"/>
    </xf>
    <xf borderId="8" fillId="5" fontId="4" numFmtId="1" xfId="0" applyBorder="1" applyFont="1" applyNumberFormat="1"/>
    <xf borderId="8" fillId="2" fontId="4" numFmtId="1" xfId="0" applyBorder="1" applyFont="1" applyNumberFormat="1"/>
    <xf borderId="8" fillId="15" fontId="4" numFmtId="1" xfId="0" applyBorder="1" applyFont="1" applyNumberFormat="1"/>
    <xf borderId="0" fillId="0" fontId="9" numFmtId="0" xfId="0" applyAlignment="1" applyFont="1">
      <alignment horizontal="center"/>
    </xf>
    <xf borderId="0" fillId="0" fontId="196" numFmtId="1" xfId="0" applyAlignment="1" applyFont="1" applyNumberFormat="1">
      <alignment horizontal="center"/>
    </xf>
    <xf borderId="0" fillId="0" fontId="197" numFmtId="0" xfId="0" applyAlignment="1" applyFont="1">
      <alignment horizontal="center"/>
    </xf>
    <xf borderId="0" fillId="0" fontId="197" numFmtId="1" xfId="0" applyAlignment="1" applyFont="1" applyNumberFormat="1">
      <alignment horizontal="center"/>
    </xf>
    <xf borderId="0" fillId="17" fontId="196" numFmtId="1" xfId="0" applyAlignment="1" applyFont="1" applyNumberFormat="1">
      <alignment horizontal="center"/>
    </xf>
    <xf borderId="0" fillId="2" fontId="197" numFmtId="0" xfId="0" applyAlignment="1" applyFont="1">
      <alignment horizontal="center"/>
    </xf>
    <xf borderId="0" fillId="2" fontId="197" numFmtId="1" xfId="0" applyAlignment="1" applyFont="1" applyNumberFormat="1">
      <alignment horizontal="center"/>
    </xf>
    <xf borderId="110" fillId="5" fontId="4" numFmtId="0" xfId="0" applyAlignment="1" applyBorder="1" applyFont="1">
      <alignment horizontal="center" shrinkToFit="0" vertical="center" wrapText="1"/>
    </xf>
    <xf borderId="110" fillId="0" fontId="4" numFmtId="0" xfId="0" applyAlignment="1" applyBorder="1" applyFont="1">
      <alignment horizontal="center" shrinkToFit="0" vertical="center" wrapText="1"/>
    </xf>
    <xf borderId="110" fillId="0" fontId="4" numFmtId="0" xfId="0" applyAlignment="1" applyBorder="1" applyFont="1">
      <alignment horizontal="center"/>
    </xf>
    <xf borderId="110" fillId="0" fontId="4" numFmtId="0" xfId="0" applyAlignment="1" applyBorder="1" applyFont="1">
      <alignment horizontal="left"/>
    </xf>
    <xf borderId="6" fillId="0" fontId="199" numFmtId="0" xfId="0" applyBorder="1" applyFont="1"/>
    <xf borderId="4" fillId="0" fontId="200" numFmtId="0" xfId="0" applyBorder="1" applyFont="1"/>
    <xf borderId="4" fillId="0" fontId="4" numFmtId="0" xfId="0" applyBorder="1" applyFont="1"/>
    <xf borderId="4" fillId="5" fontId="201" numFmtId="0" xfId="0" applyBorder="1" applyFont="1"/>
    <xf borderId="4" fillId="5" fontId="4" numFmtId="0" xfId="0" applyBorder="1" applyFont="1"/>
    <xf borderId="3" fillId="5" fontId="4" numFmtId="0" xfId="0" applyBorder="1" applyFont="1"/>
    <xf borderId="79" fillId="16" fontId="4" numFmtId="0" xfId="0" applyAlignment="1" applyBorder="1" applyFont="1">
      <alignment horizontal="center"/>
    </xf>
    <xf borderId="4" fillId="5" fontId="202" numFmtId="0" xfId="0" applyBorder="1" applyFont="1"/>
    <xf borderId="126" fillId="15" fontId="4" numFmtId="0" xfId="0" applyAlignment="1" applyBorder="1" applyFont="1">
      <alignment vertical="bottom"/>
    </xf>
    <xf borderId="4" fillId="15" fontId="5" numFmtId="0" xfId="0" applyAlignment="1" applyBorder="1" applyFont="1">
      <alignment horizontal="left"/>
    </xf>
    <xf borderId="4" fillId="15" fontId="6" numFmtId="0" xfId="0" applyAlignment="1" applyBorder="1" applyFont="1">
      <alignment horizontal="center"/>
    </xf>
    <xf borderId="79" fillId="15" fontId="4" numFmtId="0" xfId="0" applyAlignment="1" applyBorder="1" applyFont="1">
      <alignment horizontal="center"/>
    </xf>
    <xf borderId="4" fillId="7" fontId="4" numFmtId="0" xfId="0" applyBorder="1" applyFont="1"/>
    <xf borderId="4" fillId="7" fontId="203" numFmtId="0" xfId="0" applyBorder="1" applyFont="1"/>
    <xf borderId="4" fillId="0" fontId="2" numFmtId="0" xfId="0" applyBorder="1" applyFont="1"/>
    <xf borderId="3" fillId="0" fontId="2" numFmtId="0" xfId="0" applyBorder="1" applyFont="1"/>
    <xf borderId="8" fillId="0" fontId="4" numFmtId="0" xfId="0" applyBorder="1" applyFont="1"/>
    <xf borderId="11" fillId="0" fontId="4" numFmtId="0" xfId="0" applyBorder="1" applyFont="1"/>
    <xf borderId="107" fillId="2" fontId="4" numFmtId="0" xfId="0" applyAlignment="1" applyBorder="1" applyFont="1">
      <alignment horizontal="center" shrinkToFit="0" vertical="center" wrapText="1"/>
    </xf>
    <xf borderId="108" fillId="2" fontId="4" numFmtId="0" xfId="0" applyAlignment="1" applyBorder="1" applyFont="1">
      <alignment horizontal="center" shrinkToFit="0" vertical="center" wrapText="1"/>
    </xf>
    <xf borderId="109" fillId="2" fontId="5" numFmtId="0" xfId="0" applyAlignment="1" applyBorder="1" applyFont="1">
      <alignment horizontal="center" shrinkToFit="0" vertical="center" wrapText="1"/>
    </xf>
    <xf borderId="110" fillId="21" fontId="4" numFmtId="0" xfId="0" applyAlignment="1" applyBorder="1" applyFont="1">
      <alignment horizontal="center" shrinkToFit="0" vertical="center" wrapText="1"/>
    </xf>
    <xf borderId="110" fillId="7" fontId="4" numFmtId="0" xfId="0" applyAlignment="1" applyBorder="1" applyFont="1">
      <alignment horizontal="center" shrinkToFit="0" vertical="center" wrapText="1"/>
    </xf>
    <xf borderId="110" fillId="17" fontId="4" numFmtId="0" xfId="0" applyAlignment="1" applyBorder="1" applyFont="1">
      <alignment horizontal="center" shrinkToFit="0" vertical="center" wrapText="1"/>
    </xf>
    <xf borderId="110" fillId="10" fontId="4" numFmtId="0" xfId="0" applyAlignment="1" applyBorder="1" applyFont="1">
      <alignment horizontal="center" shrinkToFit="0" vertical="center" wrapText="1"/>
    </xf>
    <xf borderId="108" fillId="0" fontId="4" numFmtId="0" xfId="0" applyAlignment="1" applyBorder="1" applyFont="1">
      <alignment horizontal="center" shrinkToFit="0" vertical="center" wrapText="1"/>
    </xf>
    <xf borderId="109" fillId="0" fontId="4" numFmtId="0" xfId="0" applyAlignment="1" applyBorder="1" applyFont="1">
      <alignment horizontal="center" shrinkToFit="0" vertical="center" wrapText="1"/>
    </xf>
    <xf borderId="2" fillId="5" fontId="4" numFmtId="0" xfId="0" applyAlignment="1" applyBorder="1" applyFont="1">
      <alignment horizontal="left"/>
    </xf>
    <xf borderId="4" fillId="5" fontId="4" numFmtId="0" xfId="0" applyAlignment="1" applyBorder="1" applyFont="1">
      <alignment horizontal="left"/>
    </xf>
    <xf borderId="28" fillId="2" fontId="4" numFmtId="0" xfId="0" applyAlignment="1" applyBorder="1" applyFont="1">
      <alignment vertical="bottom"/>
    </xf>
    <xf borderId="3" fillId="5" fontId="4" numFmtId="0" xfId="0" applyAlignment="1" applyBorder="1" applyFont="1">
      <alignment horizontal="left"/>
    </xf>
    <xf borderId="6" fillId="10" fontId="16" numFmtId="0" xfId="0" applyAlignment="1" applyBorder="1" applyFont="1">
      <alignment horizontal="left" vertical="bottom"/>
    </xf>
    <xf borderId="6" fillId="5" fontId="4" numFmtId="0" xfId="0" applyAlignment="1" applyBorder="1" applyFont="1">
      <alignment horizontal="left"/>
    </xf>
    <xf borderId="2" fillId="11" fontId="4" numFmtId="0" xfId="0" applyAlignment="1" applyBorder="1" applyFont="1">
      <alignment horizontal="center"/>
    </xf>
    <xf borderId="4" fillId="11" fontId="4" numFmtId="0" xfId="0" applyAlignment="1" applyBorder="1" applyFont="1">
      <alignment horizontal="center"/>
    </xf>
    <xf borderId="8" fillId="11" fontId="4" numFmtId="0" xfId="0" applyAlignment="1" applyBorder="1" applyFont="1">
      <alignment horizontal="center"/>
    </xf>
    <xf borderId="8" fillId="5" fontId="4" numFmtId="0" xfId="0" applyAlignment="1" applyBorder="1" applyFont="1">
      <alignment horizontal="left"/>
    </xf>
    <xf borderId="1" fillId="10" fontId="16" numFmtId="0" xfId="0" applyAlignment="1" applyBorder="1" applyFont="1">
      <alignment horizontal="left" vertical="bottom"/>
    </xf>
    <xf borderId="1" fillId="5" fontId="4" numFmtId="0" xfId="0" applyAlignment="1" applyBorder="1" applyFont="1">
      <alignment horizontal="left"/>
    </xf>
    <xf borderId="3" fillId="10" fontId="9" numFmtId="0" xfId="0" applyAlignment="1" applyBorder="1" applyFont="1">
      <alignment horizontal="left" vertical="bottom"/>
    </xf>
    <xf borderId="11" fillId="10" fontId="16" numFmtId="0" xfId="0" applyAlignment="1" applyBorder="1" applyFont="1">
      <alignment horizontal="left" vertical="bottom"/>
    </xf>
    <xf borderId="11" fillId="5" fontId="4" numFmtId="0" xfId="0" applyAlignment="1" applyBorder="1" applyFont="1">
      <alignment horizontal="left"/>
    </xf>
    <xf borderId="5" fillId="10" fontId="16" numFmtId="0" xfId="0" applyAlignment="1" applyBorder="1" applyFont="1">
      <alignment horizontal="left" vertical="bottom"/>
    </xf>
    <xf borderId="25" fillId="4" fontId="4" numFmtId="0" xfId="0" applyAlignment="1" applyBorder="1" applyFont="1">
      <alignment vertical="bottom"/>
    </xf>
    <xf borderId="28" fillId="4" fontId="4" numFmtId="0" xfId="0" applyAlignment="1" applyBorder="1" applyFont="1">
      <alignment vertical="bottom"/>
    </xf>
    <xf borderId="45" fillId="4" fontId="4" numFmtId="0" xfId="0" applyAlignment="1" applyBorder="1" applyFont="1">
      <alignment vertical="bottom"/>
    </xf>
    <xf borderId="8" fillId="4" fontId="4" numFmtId="0" xfId="0" applyAlignment="1" applyBorder="1" applyFont="1">
      <alignment vertical="bottom"/>
    </xf>
    <xf borderId="0" fillId="4" fontId="4" numFmtId="0" xfId="0" applyAlignment="1" applyFont="1">
      <alignment vertical="bottom"/>
    </xf>
    <xf borderId="27" fillId="2" fontId="5" numFmtId="0" xfId="0" applyAlignment="1" applyBorder="1" applyFont="1">
      <alignment horizontal="left"/>
    </xf>
    <xf borderId="194" fillId="0" fontId="35" numFmtId="0" xfId="0" applyAlignment="1" applyBorder="1" applyFont="1">
      <alignment horizontal="center" vertical="center"/>
    </xf>
    <xf borderId="195" fillId="0" fontId="65" numFmtId="0" xfId="0" applyBorder="1" applyFont="1"/>
    <xf borderId="107" fillId="18" fontId="152" numFmtId="0" xfId="0" applyAlignment="1" applyBorder="1" applyFont="1">
      <alignment horizontal="center" shrinkToFit="0" vertical="bottom" wrapText="1"/>
    </xf>
    <xf borderId="108" fillId="18" fontId="152" numFmtId="0" xfId="0" applyAlignment="1" applyBorder="1" applyFont="1">
      <alignment horizontal="center" shrinkToFit="0" vertical="bottom" wrapText="1"/>
    </xf>
    <xf borderId="108" fillId="3" fontId="152" numFmtId="0" xfId="0" applyAlignment="1" applyBorder="1" applyFont="1">
      <alignment horizontal="center" shrinkToFit="0" vertical="bottom" wrapText="1"/>
    </xf>
    <xf borderId="196" fillId="0" fontId="65" numFmtId="0" xfId="0" applyBorder="1" applyFont="1"/>
    <xf borderId="197" fillId="0" fontId="65" numFmtId="0" xfId="0" applyBorder="1" applyFont="1"/>
    <xf borderId="198" fillId="12" fontId="204" numFmtId="0" xfId="0" applyAlignment="1" applyBorder="1" applyFont="1">
      <alignment horizontal="center" vertical="bottom"/>
    </xf>
    <xf borderId="199" fillId="11" fontId="205" numFmtId="0" xfId="0" applyAlignment="1" applyBorder="1" applyFont="1">
      <alignment horizontal="center" vertical="bottom"/>
    </xf>
    <xf borderId="98" fillId="12" fontId="204" numFmtId="0" xfId="0" applyAlignment="1" applyBorder="1" applyFont="1">
      <alignment horizontal="center" vertical="bottom"/>
    </xf>
    <xf borderId="200" fillId="11" fontId="205" numFmtId="0" xfId="0" applyAlignment="1" applyBorder="1" applyFont="1">
      <alignment horizontal="center" vertical="bottom"/>
    </xf>
    <xf borderId="55" fillId="12" fontId="204" numFmtId="0" xfId="0" applyAlignment="1" applyBorder="1" applyFont="1">
      <alignment horizontal="center" vertical="bottom"/>
    </xf>
    <xf borderId="201" fillId="2" fontId="31" numFmtId="0" xfId="0" applyAlignment="1" applyBorder="1" applyFont="1">
      <alignment horizontal="center" textRotation="90" vertical="center"/>
    </xf>
    <xf borderId="202" fillId="2" fontId="4" numFmtId="0" xfId="0" applyAlignment="1" applyBorder="1" applyFont="1">
      <alignment vertical="bottom"/>
    </xf>
    <xf borderId="67" fillId="12" fontId="205" numFmtId="1" xfId="0" applyAlignment="1" applyBorder="1" applyFont="1" applyNumberFormat="1">
      <alignment horizontal="center" vertical="bottom"/>
    </xf>
    <xf borderId="203" fillId="11" fontId="205" numFmtId="1" xfId="0" applyAlignment="1" applyBorder="1" applyFont="1" applyNumberFormat="1">
      <alignment horizontal="center" vertical="bottom"/>
    </xf>
    <xf borderId="68" fillId="12" fontId="205" numFmtId="1" xfId="0" applyAlignment="1" applyBorder="1" applyFont="1" applyNumberFormat="1">
      <alignment horizontal="center" vertical="bottom"/>
    </xf>
    <xf borderId="204" fillId="0" fontId="65" numFmtId="0" xfId="0" applyBorder="1" applyFont="1"/>
    <xf borderId="79" fillId="2" fontId="4" numFmtId="0" xfId="0" applyAlignment="1" applyBorder="1" applyFont="1">
      <alignment vertical="bottom"/>
    </xf>
    <xf borderId="72" fillId="12" fontId="205" numFmtId="1" xfId="0" applyAlignment="1" applyBorder="1" applyFont="1" applyNumberFormat="1">
      <alignment horizontal="center" vertical="bottom"/>
    </xf>
    <xf borderId="205" fillId="11" fontId="205" numFmtId="1" xfId="0" applyAlignment="1" applyBorder="1" applyFont="1" applyNumberFormat="1">
      <alignment horizontal="center" vertical="bottom"/>
    </xf>
    <xf borderId="72" fillId="7" fontId="205" numFmtId="1" xfId="0" applyAlignment="1" applyBorder="1" applyFont="1" applyNumberFormat="1">
      <alignment horizontal="center" vertical="bottom"/>
    </xf>
    <xf borderId="60" fillId="12" fontId="205" numFmtId="1" xfId="0" applyAlignment="1" applyBorder="1" applyFont="1" applyNumberFormat="1">
      <alignment horizontal="center" vertical="bottom"/>
    </xf>
    <xf borderId="206" fillId="0" fontId="65" numFmtId="0" xfId="0" applyBorder="1" applyFont="1"/>
    <xf borderId="96" fillId="2" fontId="4" numFmtId="0" xfId="0" applyAlignment="1" applyBorder="1" applyFont="1">
      <alignment vertical="bottom"/>
    </xf>
    <xf borderId="94" fillId="12" fontId="205" numFmtId="1" xfId="0" applyAlignment="1" applyBorder="1" applyFont="1" applyNumberFormat="1">
      <alignment horizontal="center" vertical="bottom"/>
    </xf>
    <xf borderId="207" fillId="11" fontId="205" numFmtId="1" xfId="0" applyAlignment="1" applyBorder="1" applyFont="1" applyNumberFormat="1">
      <alignment horizontal="center" vertical="bottom"/>
    </xf>
    <xf borderId="208" fillId="12" fontId="205" numFmtId="1" xfId="0" applyAlignment="1" applyBorder="1" applyFont="1" applyNumberFormat="1">
      <alignment horizontal="center" vertical="bottom"/>
    </xf>
    <xf borderId="64" fillId="12" fontId="205" numFmtId="1" xfId="0" applyAlignment="1" applyBorder="1" applyFont="1" applyNumberFormat="1">
      <alignment horizontal="center" vertical="bottom"/>
    </xf>
    <xf borderId="201" fillId="9" fontId="31" numFmtId="0" xfId="0" applyAlignment="1" applyBorder="1" applyFont="1">
      <alignment horizontal="center" textRotation="90" vertical="center"/>
    </xf>
    <xf borderId="202" fillId="9" fontId="4" numFmtId="0" xfId="0" applyAlignment="1" applyBorder="1" applyFont="1">
      <alignment vertical="bottom"/>
    </xf>
    <xf borderId="96" fillId="9" fontId="4" numFmtId="0" xfId="0" applyAlignment="1" applyBorder="1" applyFont="1">
      <alignment vertical="bottom"/>
    </xf>
    <xf borderId="94" fillId="12" fontId="206" numFmtId="1" xfId="0" applyAlignment="1" applyBorder="1" applyFont="1" applyNumberFormat="1">
      <alignment horizontal="center" vertical="bottom"/>
    </xf>
    <xf borderId="201" fillId="49" fontId="207" numFmtId="0" xfId="0" applyAlignment="1" applyBorder="1" applyFill="1" applyFont="1">
      <alignment horizontal="center" shrinkToFit="0" textRotation="90" vertical="center" wrapText="1"/>
    </xf>
    <xf borderId="209" fillId="49" fontId="4" numFmtId="0" xfId="0" applyAlignment="1" applyBorder="1" applyFont="1">
      <alignment vertical="bottom"/>
    </xf>
    <xf borderId="210" fillId="49" fontId="4" numFmtId="0" xfId="0" applyAlignment="1" applyBorder="1" applyFont="1">
      <alignment vertical="bottom"/>
    </xf>
    <xf borderId="201" fillId="34" fontId="207" numFmtId="0" xfId="0" applyAlignment="1" applyBorder="1" applyFont="1">
      <alignment horizontal="center" shrinkToFit="0" textRotation="90" vertical="center" wrapText="1"/>
    </xf>
    <xf borderId="209" fillId="34" fontId="4" numFmtId="0" xfId="0" applyAlignment="1" applyBorder="1" applyFont="1">
      <alignment vertical="bottom"/>
    </xf>
    <xf borderId="12" fillId="34" fontId="4" numFmtId="0" xfId="0" applyAlignment="1" applyBorder="1" applyFont="1">
      <alignment vertical="bottom"/>
    </xf>
    <xf borderId="206" fillId="12" fontId="205" numFmtId="1" xfId="0" applyAlignment="1" applyBorder="1" applyFont="1" applyNumberFormat="1">
      <alignment horizontal="center" vertical="bottom"/>
    </xf>
    <xf borderId="211" fillId="11" fontId="205" numFmtId="1" xfId="0" applyAlignment="1" applyBorder="1" applyFont="1" applyNumberFormat="1">
      <alignment horizontal="center" vertical="bottom"/>
    </xf>
    <xf borderId="212" fillId="34" fontId="207" numFmtId="0" xfId="0" applyAlignment="1" applyBorder="1" applyFont="1">
      <alignment horizontal="center" shrinkToFit="0" textRotation="90" vertical="center" wrapText="1"/>
    </xf>
    <xf borderId="213" fillId="34" fontId="4" numFmtId="0" xfId="0" applyAlignment="1" applyBorder="1" applyFont="1">
      <alignment vertical="bottom"/>
    </xf>
    <xf borderId="212" fillId="13" fontId="205" numFmtId="1" xfId="0" applyAlignment="1" applyBorder="1" applyFont="1" applyNumberFormat="1">
      <alignment horizontal="center" vertical="bottom"/>
    </xf>
    <xf borderId="214" fillId="13" fontId="205" numFmtId="1" xfId="0" applyAlignment="1" applyBorder="1" applyFont="1" applyNumberFormat="1">
      <alignment horizontal="center" vertical="bottom"/>
    </xf>
    <xf borderId="215" fillId="13" fontId="205" numFmtId="1" xfId="0" applyAlignment="1" applyBorder="1" applyFont="1" applyNumberFormat="1">
      <alignment horizontal="center" vertical="bottom"/>
    </xf>
    <xf borderId="54" fillId="13" fontId="205" numFmtId="1" xfId="0" applyAlignment="1" applyBorder="1" applyFont="1" applyNumberFormat="1">
      <alignment horizontal="center" vertical="bottom"/>
    </xf>
    <xf borderId="201" fillId="34" fontId="208" numFmtId="0" xfId="0" applyAlignment="1" applyBorder="1" applyFont="1">
      <alignment horizontal="center" shrinkToFit="0" textRotation="90" vertical="center" wrapText="1"/>
    </xf>
    <xf borderId="216" fillId="34" fontId="4" numFmtId="0" xfId="0" applyAlignment="1" applyBorder="1" applyFont="1">
      <alignment vertical="bottom"/>
    </xf>
    <xf borderId="68" fillId="14" fontId="205" numFmtId="1" xfId="0" applyAlignment="1" applyBorder="1" applyFont="1" applyNumberFormat="1">
      <alignment horizontal="center" vertical="bottom"/>
    </xf>
    <xf borderId="203" fillId="14" fontId="205" numFmtId="1" xfId="0" applyAlignment="1" applyBorder="1" applyFont="1" applyNumberFormat="1">
      <alignment horizontal="center" vertical="bottom"/>
    </xf>
    <xf borderId="7" fillId="34" fontId="4" numFmtId="0" xfId="0" applyAlignment="1" applyBorder="1" applyFont="1">
      <alignment vertical="bottom"/>
    </xf>
    <xf borderId="60" fillId="14" fontId="205" numFmtId="1" xfId="0" applyAlignment="1" applyBorder="1" applyFont="1" applyNumberFormat="1">
      <alignment horizontal="center" vertical="bottom"/>
    </xf>
    <xf borderId="205" fillId="14" fontId="205" numFmtId="1" xfId="0" applyAlignment="1" applyBorder="1" applyFont="1" applyNumberFormat="1">
      <alignment horizontal="center" vertical="bottom"/>
    </xf>
    <xf borderId="64" fillId="14" fontId="205" numFmtId="1" xfId="0" applyAlignment="1" applyBorder="1" applyFont="1" applyNumberFormat="1">
      <alignment horizontal="center" vertical="bottom"/>
    </xf>
    <xf borderId="207" fillId="14" fontId="205" numFmtId="1" xfId="0" applyAlignment="1" applyBorder="1" applyFont="1" applyNumberFormat="1">
      <alignment horizontal="center" vertical="bottom"/>
    </xf>
    <xf borderId="0" fillId="0" fontId="4" numFmtId="0" xfId="0" applyAlignment="1" applyFont="1">
      <alignment horizontal="center" vertical="center"/>
    </xf>
    <xf borderId="0" fillId="0" fontId="209" numFmtId="0" xfId="0" applyAlignment="1" applyFont="1">
      <alignment vertical="bottom"/>
    </xf>
    <xf borderId="0" fillId="0" fontId="2" numFmtId="0" xfId="0" applyAlignment="1" applyFont="1">
      <alignment horizontal="center"/>
    </xf>
    <xf borderId="0" fillId="2" fontId="2" numFmtId="0" xfId="0" applyAlignment="1" applyFont="1">
      <alignment horizontal="center"/>
    </xf>
    <xf borderId="0" fillId="0" fontId="4" numFmtId="167" xfId="0" applyFont="1" applyNumberFormat="1"/>
    <xf borderId="0" fillId="0" fontId="4" numFmtId="1" xfId="0" applyFont="1" applyNumberFormat="1"/>
    <xf borderId="0" fillId="0" fontId="4" numFmtId="2" xfId="0" applyFont="1" applyNumberFormat="1"/>
    <xf borderId="0" fillId="0" fontId="4" numFmtId="4" xfId="0" applyFont="1" applyNumberFormat="1"/>
    <xf borderId="0" fillId="0" fontId="4" numFmtId="169" xfId="0" applyFont="1" applyNumberFormat="1"/>
    <xf borderId="0" fillId="0" fontId="4" numFmtId="170" xfId="0" applyFont="1" applyNumberFormat="1"/>
    <xf borderId="0" fillId="0" fontId="4" numFmtId="171" xfId="0" applyFont="1" applyNumberFormat="1"/>
    <xf borderId="0" fillId="0" fontId="4" numFmtId="172" xfId="0" applyFont="1" applyNumberFormat="1"/>
    <xf borderId="0" fillId="0" fontId="4" numFmtId="173" xfId="0" applyFont="1" applyNumberFormat="1"/>
    <xf borderId="0" fillId="0" fontId="4" numFmtId="174" xfId="0" applyFont="1" applyNumberFormat="1"/>
    <xf borderId="0" fillId="0" fontId="4" numFmtId="175" xfId="0" applyFont="1" applyNumberFormat="1"/>
    <xf borderId="0" fillId="0" fontId="2" numFmtId="0" xfId="0" applyAlignment="1" applyFont="1">
      <alignment horizontal="center" shrinkToFit="0" vertical="bottom" wrapText="1"/>
    </xf>
    <xf borderId="0" fillId="50" fontId="36" numFmtId="0" xfId="0" applyAlignment="1" applyFill="1" applyFont="1">
      <alignment horizontal="center" shrinkToFit="0" vertical="bottom" wrapText="1"/>
    </xf>
    <xf borderId="0" fillId="0" fontId="2" numFmtId="0" xfId="0" applyAlignment="1" applyFont="1">
      <alignment horizontal="center" shrinkToFit="0" wrapText="1"/>
    </xf>
    <xf borderId="0" fillId="0" fontId="2" numFmtId="0" xfId="0" applyAlignment="1" applyFont="1">
      <alignment shrinkToFit="0" vertical="bottom" wrapText="1"/>
    </xf>
    <xf borderId="0" fillId="17" fontId="210" numFmtId="0" xfId="0" applyAlignment="1" applyFont="1">
      <alignment shrinkToFit="0" vertical="bottom" wrapText="1"/>
    </xf>
    <xf borderId="0" fillId="5" fontId="4" numFmtId="0" xfId="0" applyAlignment="1" applyFont="1">
      <alignment vertical="bottom"/>
    </xf>
    <xf borderId="0" fillId="5" fontId="4" numFmtId="0" xfId="0" applyAlignment="1" applyFont="1">
      <alignment horizontal="center" vertical="bottom"/>
    </xf>
    <xf borderId="0" fillId="5" fontId="4" numFmtId="0" xfId="0" applyAlignment="1" applyFont="1">
      <alignment horizontal="center"/>
    </xf>
    <xf borderId="0" fillId="5" fontId="16" numFmtId="0" xfId="0" applyAlignment="1" applyFont="1">
      <alignment horizontal="center" vertical="top"/>
    </xf>
    <xf borderId="0" fillId="5" fontId="139" numFmtId="3" xfId="0" applyAlignment="1" applyFont="1" applyNumberFormat="1">
      <alignment horizontal="center" vertical="top"/>
    </xf>
    <xf borderId="1" fillId="5" fontId="16" numFmtId="0" xfId="0" applyAlignment="1" applyBorder="1" applyFont="1">
      <alignment horizontal="center" shrinkToFit="0" vertical="top" wrapText="1"/>
    </xf>
    <xf borderId="0" fillId="5" fontId="37" numFmtId="0" xfId="0" applyAlignment="1" applyFont="1">
      <alignment horizontal="center" shrinkToFit="0" vertical="top" wrapText="1"/>
    </xf>
    <xf borderId="106" fillId="0" fontId="37" numFmtId="0" xfId="0" applyAlignment="1" applyBorder="1" applyFont="1">
      <alignment horizontal="center" vertical="top"/>
    </xf>
    <xf borderId="104" fillId="0" fontId="16" numFmtId="0" xfId="0" applyAlignment="1" applyBorder="1" applyFont="1">
      <alignment horizontal="center" vertical="top"/>
    </xf>
    <xf borderId="104" fillId="0" fontId="16" numFmtId="9" xfId="0" applyAlignment="1" applyBorder="1" applyFont="1" applyNumberFormat="1">
      <alignment horizontal="center" vertical="top"/>
    </xf>
    <xf borderId="107" fillId="20" fontId="37" numFmtId="0" xfId="0" applyAlignment="1" applyBorder="1" applyFont="1">
      <alignment horizontal="center" vertical="top"/>
    </xf>
    <xf borderId="107" fillId="2" fontId="37" numFmtId="0" xfId="0" applyAlignment="1" applyBorder="1" applyFont="1">
      <alignment horizontal="center" vertical="top"/>
    </xf>
    <xf borderId="107" fillId="12" fontId="37" numFmtId="0" xfId="0" applyAlignment="1" applyBorder="1" applyFont="1">
      <alignment horizontal="center" vertical="top"/>
    </xf>
    <xf borderId="107" fillId="13" fontId="37" numFmtId="0" xfId="0" applyAlignment="1" applyBorder="1" applyFont="1">
      <alignment horizontal="center" vertical="top"/>
    </xf>
    <xf borderId="107" fillId="11" fontId="2" numFmtId="0" xfId="0" applyAlignment="1" applyBorder="1" applyFont="1">
      <alignment horizontal="center" vertical="top"/>
    </xf>
    <xf borderId="107" fillId="34" fontId="2" numFmtId="0" xfId="0" applyAlignment="1" applyBorder="1" applyFont="1">
      <alignment horizontal="center" vertical="top"/>
    </xf>
    <xf borderId="217" fillId="20" fontId="36" numFmtId="0" xfId="0" applyAlignment="1" applyBorder="1" applyFont="1">
      <alignment horizontal="center" vertical="center"/>
    </xf>
    <xf borderId="218" fillId="20" fontId="138" numFmtId="3" xfId="0" applyAlignment="1" applyBorder="1" applyFont="1" applyNumberFormat="1">
      <alignment horizontal="center" vertical="center"/>
    </xf>
    <xf borderId="219" fillId="20" fontId="35" numFmtId="0" xfId="0" applyAlignment="1" applyBorder="1" applyFont="1">
      <alignment horizontal="center" shrinkToFit="0" vertical="center" wrapText="1"/>
    </xf>
    <xf borderId="218" fillId="20" fontId="35" numFmtId="0" xfId="0" applyAlignment="1" applyBorder="1" applyFont="1">
      <alignment horizontal="center" shrinkToFit="0" vertical="center" wrapText="1"/>
    </xf>
    <xf borderId="220" fillId="20" fontId="35" numFmtId="3" xfId="0" applyAlignment="1" applyBorder="1" applyFont="1" applyNumberFormat="1">
      <alignment horizontal="center" shrinkToFit="0" vertical="center" wrapText="1"/>
    </xf>
    <xf borderId="218" fillId="20" fontId="35" numFmtId="3" xfId="0" applyAlignment="1" applyBorder="1" applyFont="1" applyNumberFormat="1">
      <alignment horizontal="center" shrinkToFit="0" vertical="center" wrapText="1"/>
    </xf>
    <xf borderId="218" fillId="20" fontId="35" numFmtId="9" xfId="0" applyAlignment="1" applyBorder="1" applyFont="1" applyNumberFormat="1">
      <alignment horizontal="center" shrinkToFit="0" vertical="center" wrapText="1"/>
    </xf>
    <xf borderId="221" fillId="20" fontId="35" numFmtId="3" xfId="0" applyAlignment="1" applyBorder="1" applyFont="1" applyNumberFormat="1">
      <alignment horizontal="center" shrinkToFit="0" vertical="center" wrapText="1"/>
    </xf>
    <xf borderId="222" fillId="20" fontId="35" numFmtId="9" xfId="0" applyAlignment="1" applyBorder="1" applyFont="1" applyNumberFormat="1">
      <alignment horizontal="center" shrinkToFit="0" vertical="center" wrapText="1"/>
    </xf>
    <xf borderId="223" fillId="20" fontId="35" numFmtId="3" xfId="0" applyAlignment="1" applyBorder="1" applyFont="1" applyNumberFormat="1">
      <alignment horizontal="center" shrinkToFit="0" vertical="center" wrapText="1"/>
    </xf>
    <xf borderId="221" fillId="20" fontId="35" numFmtId="3" xfId="0" applyAlignment="1" applyBorder="1" applyFont="1" applyNumberFormat="1">
      <alignment horizontal="center" shrinkToFit="0" wrapText="1"/>
    </xf>
    <xf borderId="223" fillId="20" fontId="35" numFmtId="3" xfId="0" applyAlignment="1" applyBorder="1" applyFont="1" applyNumberFormat="1">
      <alignment horizontal="center" shrinkToFit="0" wrapText="1"/>
    </xf>
    <xf borderId="223" fillId="20" fontId="35" numFmtId="9" xfId="0" applyAlignment="1" applyBorder="1" applyFont="1" applyNumberFormat="1">
      <alignment horizontal="center" shrinkToFit="0" wrapText="1"/>
    </xf>
    <xf borderId="222" fillId="20" fontId="35" numFmtId="9" xfId="0" applyAlignment="1" applyBorder="1" applyFont="1" applyNumberFormat="1">
      <alignment horizontal="center" shrinkToFit="0" wrapText="1"/>
    </xf>
    <xf borderId="224" fillId="11" fontId="36" numFmtId="0" xfId="0" applyAlignment="1" applyBorder="1" applyFont="1">
      <alignment horizontal="center" vertical="center"/>
    </xf>
    <xf borderId="224" fillId="11" fontId="138" numFmtId="3" xfId="0" applyAlignment="1" applyBorder="1" applyFont="1" applyNumberFormat="1">
      <alignment horizontal="center" vertical="center"/>
    </xf>
    <xf borderId="225" fillId="11" fontId="35" numFmtId="3" xfId="0" applyAlignment="1" applyBorder="1" applyFont="1" applyNumberFormat="1">
      <alignment horizontal="center" shrinkToFit="0" vertical="center" wrapText="1"/>
    </xf>
    <xf borderId="224" fillId="11" fontId="35" numFmtId="0" xfId="0" applyAlignment="1" applyBorder="1" applyFont="1">
      <alignment horizontal="center" shrinkToFit="0" vertical="center" wrapText="1"/>
    </xf>
    <xf borderId="226" fillId="11" fontId="35" numFmtId="3" xfId="0" applyAlignment="1" applyBorder="1" applyFont="1" applyNumberFormat="1">
      <alignment horizontal="center" shrinkToFit="0" vertical="center" wrapText="1"/>
    </xf>
    <xf borderId="224" fillId="11" fontId="35" numFmtId="3" xfId="0" applyAlignment="1" applyBorder="1" applyFont="1" applyNumberFormat="1">
      <alignment horizontal="center" shrinkToFit="0" vertical="center" wrapText="1"/>
    </xf>
    <xf borderId="224" fillId="11" fontId="35" numFmtId="9" xfId="0" applyAlignment="1" applyBorder="1" applyFont="1" applyNumberFormat="1">
      <alignment horizontal="center" shrinkToFit="0" vertical="center" wrapText="1"/>
    </xf>
    <xf borderId="227" fillId="11" fontId="35" numFmtId="3" xfId="0" applyAlignment="1" applyBorder="1" applyFont="1" applyNumberFormat="1">
      <alignment horizontal="center" shrinkToFit="0" vertical="center" wrapText="1"/>
    </xf>
    <xf borderId="228" fillId="11" fontId="35" numFmtId="9" xfId="0" applyAlignment="1" applyBorder="1" applyFont="1" applyNumberFormat="1">
      <alignment horizontal="center" shrinkToFit="0" vertical="center" wrapText="1"/>
    </xf>
    <xf borderId="227" fillId="11" fontId="35" numFmtId="3" xfId="0" applyAlignment="1" applyBorder="1" applyFont="1" applyNumberFormat="1">
      <alignment horizontal="center" shrinkToFit="0" wrapText="1"/>
    </xf>
    <xf borderId="224" fillId="11" fontId="35" numFmtId="3" xfId="0" applyAlignment="1" applyBorder="1" applyFont="1" applyNumberFormat="1">
      <alignment horizontal="center" shrinkToFit="0" wrapText="1"/>
    </xf>
    <xf borderId="228" fillId="11" fontId="35" numFmtId="9" xfId="0" applyAlignment="1" applyBorder="1" applyFont="1" applyNumberFormat="1">
      <alignment horizontal="center" shrinkToFit="0" wrapText="1"/>
    </xf>
    <xf borderId="229" fillId="34" fontId="36" numFmtId="0" xfId="0" applyAlignment="1" applyBorder="1" applyFont="1">
      <alignment horizontal="center" vertical="center"/>
    </xf>
    <xf borderId="229" fillId="34" fontId="138" numFmtId="3" xfId="0" applyAlignment="1" applyBorder="1" applyFont="1" applyNumberFormat="1">
      <alignment horizontal="center" vertical="center"/>
    </xf>
    <xf borderId="230" fillId="34" fontId="35" numFmtId="3" xfId="0" applyAlignment="1" applyBorder="1" applyFont="1" applyNumberFormat="1">
      <alignment horizontal="center" shrinkToFit="0" vertical="center" wrapText="1"/>
    </xf>
    <xf borderId="229" fillId="34" fontId="35" numFmtId="0" xfId="0" applyAlignment="1" applyBorder="1" applyFont="1">
      <alignment horizontal="center" shrinkToFit="0" vertical="center" wrapText="1"/>
    </xf>
    <xf borderId="231" fillId="34" fontId="35" numFmtId="3" xfId="0" applyAlignment="1" applyBorder="1" applyFont="1" applyNumberFormat="1">
      <alignment horizontal="center" shrinkToFit="0" vertical="center" wrapText="1"/>
    </xf>
    <xf borderId="229" fillId="34" fontId="35" numFmtId="3" xfId="0" applyAlignment="1" applyBorder="1" applyFont="1" applyNumberFormat="1">
      <alignment horizontal="center" shrinkToFit="0" vertical="center" wrapText="1"/>
    </xf>
    <xf borderId="229" fillId="34" fontId="35" numFmtId="9" xfId="0" applyAlignment="1" applyBorder="1" applyFont="1" applyNumberFormat="1">
      <alignment horizontal="center" shrinkToFit="0" vertical="center" wrapText="1"/>
    </xf>
    <xf borderId="232" fillId="34" fontId="35" numFmtId="3" xfId="0" applyAlignment="1" applyBorder="1" applyFont="1" applyNumberFormat="1">
      <alignment horizontal="center" shrinkToFit="0" vertical="center" wrapText="1"/>
    </xf>
    <xf borderId="233" fillId="34" fontId="35" numFmtId="9" xfId="0" applyAlignment="1" applyBorder="1" applyFont="1" applyNumberFormat="1">
      <alignment horizontal="center" shrinkToFit="0" vertical="center" wrapText="1"/>
    </xf>
    <xf borderId="233" fillId="34" fontId="31" numFmtId="9" xfId="0" applyAlignment="1" applyBorder="1" applyFont="1" applyNumberFormat="1">
      <alignment horizontal="center" shrinkToFit="0" vertical="center" wrapText="1"/>
    </xf>
    <xf borderId="232" fillId="34" fontId="35" numFmtId="3" xfId="0" applyAlignment="1" applyBorder="1" applyFont="1" applyNumberFormat="1">
      <alignment horizontal="center" shrinkToFit="0" wrapText="1"/>
    </xf>
    <xf borderId="229" fillId="34" fontId="35" numFmtId="3" xfId="0" applyAlignment="1" applyBorder="1" applyFont="1" applyNumberFormat="1">
      <alignment horizontal="center" shrinkToFit="0" wrapText="1"/>
    </xf>
    <xf borderId="233" fillId="34" fontId="35" numFmtId="9" xfId="0" applyAlignment="1" applyBorder="1" applyFont="1" applyNumberFormat="1">
      <alignment horizontal="center" shrinkToFit="0" wrapText="1"/>
    </xf>
    <xf borderId="229" fillId="6" fontId="36" numFmtId="0" xfId="0" applyAlignment="1" applyBorder="1" applyFont="1">
      <alignment horizontal="center" vertical="center"/>
    </xf>
    <xf borderId="229" fillId="6" fontId="138" numFmtId="3" xfId="0" applyAlignment="1" applyBorder="1" applyFont="1" applyNumberFormat="1">
      <alignment horizontal="center" vertical="center"/>
    </xf>
    <xf borderId="230" fillId="6" fontId="35" numFmtId="3" xfId="0" applyAlignment="1" applyBorder="1" applyFont="1" applyNumberFormat="1">
      <alignment horizontal="center" shrinkToFit="0" vertical="center" wrapText="1"/>
    </xf>
    <xf borderId="229" fillId="6" fontId="35" numFmtId="0" xfId="0" applyAlignment="1" applyBorder="1" applyFont="1">
      <alignment horizontal="center" shrinkToFit="0" vertical="center" wrapText="1"/>
    </xf>
    <xf borderId="231" fillId="6" fontId="35" numFmtId="3" xfId="0" applyAlignment="1" applyBorder="1" applyFont="1" applyNumberFormat="1">
      <alignment horizontal="center" shrinkToFit="0" vertical="center" wrapText="1"/>
    </xf>
    <xf borderId="229" fillId="6" fontId="35" numFmtId="3" xfId="0" applyAlignment="1" applyBorder="1" applyFont="1" applyNumberFormat="1">
      <alignment horizontal="center" shrinkToFit="0" vertical="center" wrapText="1"/>
    </xf>
    <xf borderId="229" fillId="6" fontId="35" numFmtId="9" xfId="0" applyAlignment="1" applyBorder="1" applyFont="1" applyNumberFormat="1">
      <alignment horizontal="center" shrinkToFit="0" vertical="center" wrapText="1"/>
    </xf>
    <xf borderId="232" fillId="6" fontId="35" numFmtId="3" xfId="0" applyAlignment="1" applyBorder="1" applyFont="1" applyNumberFormat="1">
      <alignment horizontal="center" shrinkToFit="0" vertical="center" wrapText="1"/>
    </xf>
    <xf borderId="233" fillId="6" fontId="35" numFmtId="9" xfId="0" applyAlignment="1" applyBorder="1" applyFont="1" applyNumberFormat="1">
      <alignment horizontal="center" shrinkToFit="0" vertical="center" wrapText="1"/>
    </xf>
    <xf borderId="232" fillId="6" fontId="35" numFmtId="3" xfId="0" applyAlignment="1" applyBorder="1" applyFont="1" applyNumberFormat="1">
      <alignment horizontal="center" shrinkToFit="0" wrapText="1"/>
    </xf>
    <xf borderId="229" fillId="6" fontId="35" numFmtId="3" xfId="0" applyAlignment="1" applyBorder="1" applyFont="1" applyNumberFormat="1">
      <alignment horizontal="center" shrinkToFit="0" wrapText="1"/>
    </xf>
    <xf borderId="233" fillId="6" fontId="35" numFmtId="9" xfId="0" applyAlignment="1" applyBorder="1" applyFont="1" applyNumberFormat="1">
      <alignment horizontal="center" shrinkToFit="0" wrapText="1"/>
    </xf>
    <xf borderId="234" fillId="5" fontId="36" numFmtId="0" xfId="0" applyAlignment="1" applyBorder="1" applyFont="1">
      <alignment horizontal="center" vertical="center"/>
    </xf>
    <xf borderId="234" fillId="5" fontId="138" numFmtId="3" xfId="0" applyAlignment="1" applyBorder="1" applyFont="1" applyNumberFormat="1">
      <alignment horizontal="center" vertical="center"/>
    </xf>
    <xf borderId="235" fillId="5" fontId="35" numFmtId="3" xfId="0" applyAlignment="1" applyBorder="1" applyFont="1" applyNumberFormat="1">
      <alignment horizontal="center" shrinkToFit="0" vertical="center" wrapText="1"/>
    </xf>
    <xf borderId="234" fillId="5" fontId="35" numFmtId="0" xfId="0" applyAlignment="1" applyBorder="1" applyFont="1">
      <alignment horizontal="center" shrinkToFit="0" vertical="center" wrapText="1"/>
    </xf>
    <xf borderId="236" fillId="5" fontId="35" numFmtId="3" xfId="0" applyAlignment="1" applyBorder="1" applyFont="1" applyNumberFormat="1">
      <alignment horizontal="center" shrinkToFit="0" vertical="center" wrapText="1"/>
    </xf>
    <xf borderId="234" fillId="5" fontId="35" numFmtId="3" xfId="0" applyAlignment="1" applyBorder="1" applyFont="1" applyNumberFormat="1">
      <alignment horizontal="center" shrinkToFit="0" vertical="center" wrapText="1"/>
    </xf>
    <xf borderId="234" fillId="5" fontId="35" numFmtId="9" xfId="0" applyAlignment="1" applyBorder="1" applyFont="1" applyNumberFormat="1">
      <alignment horizontal="center" shrinkToFit="0" vertical="center" wrapText="1"/>
    </xf>
    <xf borderId="237" fillId="5" fontId="35" numFmtId="3" xfId="0" applyAlignment="1" applyBorder="1" applyFont="1" applyNumberFormat="1">
      <alignment horizontal="center" shrinkToFit="0" vertical="center" wrapText="1"/>
    </xf>
    <xf borderId="238" fillId="5" fontId="35" numFmtId="9" xfId="0" applyAlignment="1" applyBorder="1" applyFont="1" applyNumberFormat="1">
      <alignment horizontal="center" shrinkToFit="0" vertical="center" wrapText="1"/>
    </xf>
    <xf borderId="237" fillId="5" fontId="31" numFmtId="3" xfId="0" applyAlignment="1" applyBorder="1" applyFont="1" applyNumberFormat="1">
      <alignment horizontal="center" shrinkToFit="0" vertical="center" wrapText="1"/>
    </xf>
    <xf borderId="237" fillId="5" fontId="35" numFmtId="3" xfId="0" applyAlignment="1" applyBorder="1" applyFont="1" applyNumberFormat="1">
      <alignment horizontal="center" shrinkToFit="0" wrapText="1"/>
    </xf>
    <xf borderId="234" fillId="5" fontId="35" numFmtId="3" xfId="0" applyAlignment="1" applyBorder="1" applyFont="1" applyNumberFormat="1">
      <alignment horizontal="center" shrinkToFit="0" wrapText="1"/>
    </xf>
    <xf borderId="238" fillId="5" fontId="35" numFmtId="9" xfId="0" applyAlignment="1" applyBorder="1" applyFont="1" applyNumberFormat="1">
      <alignment horizontal="center" shrinkToFit="0" wrapText="1"/>
    </xf>
    <xf borderId="1" fillId="9" fontId="4" numFmtId="0" xfId="0" applyAlignment="1" applyBorder="1" applyFont="1">
      <alignment horizontal="center" vertical="center"/>
    </xf>
    <xf borderId="1" fillId="5" fontId="5" numFmtId="3" xfId="0" applyAlignment="1" applyBorder="1" applyFont="1" applyNumberFormat="1">
      <alignment horizontal="center" vertical="center"/>
    </xf>
    <xf borderId="1" fillId="8" fontId="9" numFmtId="0" xfId="0" applyAlignment="1" applyBorder="1" applyFont="1">
      <alignment horizontal="center" shrinkToFit="0" vertical="center" wrapText="1"/>
    </xf>
    <xf borderId="25" fillId="15" fontId="9" numFmtId="0" xfId="0" applyAlignment="1" applyBorder="1" applyFont="1">
      <alignment horizontal="center" shrinkToFit="0" vertical="center" wrapText="1"/>
    </xf>
    <xf borderId="239" fillId="17" fontId="35" numFmtId="3" xfId="0" applyAlignment="1" applyBorder="1" applyFont="1" applyNumberFormat="1">
      <alignment horizontal="center" shrinkToFit="0" vertical="center" wrapText="1"/>
    </xf>
    <xf borderId="240" fillId="17" fontId="35" numFmtId="3" xfId="0" applyAlignment="1" applyBorder="1" applyFont="1" applyNumberFormat="1">
      <alignment horizontal="center" shrinkToFit="0" vertical="center" wrapText="1"/>
    </xf>
    <xf borderId="241" fillId="17" fontId="35" numFmtId="9" xfId="0" applyAlignment="1" applyBorder="1" applyFont="1" applyNumberFormat="1">
      <alignment horizontal="center" shrinkToFit="0" vertical="center" wrapText="1"/>
    </xf>
    <xf borderId="25" fillId="17" fontId="6" numFmtId="3" xfId="0" applyAlignment="1" applyBorder="1" applyFont="1" applyNumberFormat="1">
      <alignment horizontal="center" shrinkToFit="0" vertical="center" wrapText="1"/>
    </xf>
    <xf borderId="242" fillId="17" fontId="35" numFmtId="3" xfId="0" applyAlignment="1" applyBorder="1" applyFont="1" applyNumberFormat="1">
      <alignment horizontal="center" shrinkToFit="0" vertical="center" wrapText="1"/>
    </xf>
    <xf borderId="243" fillId="17" fontId="35" numFmtId="0" xfId="0" applyAlignment="1" applyBorder="1" applyFont="1">
      <alignment horizontal="center" shrinkToFit="0" vertical="center" wrapText="1"/>
    </xf>
    <xf borderId="23" fillId="17" fontId="6" numFmtId="3" xfId="0" applyAlignment="1" applyBorder="1" applyFont="1" applyNumberFormat="1">
      <alignment horizontal="center" shrinkToFit="0" vertical="center" wrapText="1"/>
    </xf>
    <xf borderId="242" fillId="17" fontId="36" numFmtId="3" xfId="0" applyAlignment="1" applyBorder="1" applyFont="1" applyNumberFormat="1">
      <alignment horizontal="center" shrinkToFit="0" wrapText="1"/>
    </xf>
    <xf borderId="242" fillId="17" fontId="6" numFmtId="3" xfId="0" applyAlignment="1" applyBorder="1" applyFont="1" applyNumberFormat="1">
      <alignment horizontal="center" shrinkToFit="0" vertical="center" wrapText="1"/>
    </xf>
    <xf borderId="244" fillId="17" fontId="36" numFmtId="3" xfId="0" applyAlignment="1" applyBorder="1" applyFont="1" applyNumberFormat="1">
      <alignment horizontal="center" shrinkToFit="0" wrapText="1"/>
    </xf>
    <xf borderId="245" fillId="17" fontId="6" numFmtId="3" xfId="0" applyAlignment="1" applyBorder="1" applyFont="1" applyNumberFormat="1">
      <alignment horizontal="center" shrinkToFit="0" wrapText="1"/>
    </xf>
    <xf borderId="244" fillId="17" fontId="36" numFmtId="3" xfId="0" applyAlignment="1" applyBorder="1" applyFont="1" applyNumberFormat="1">
      <alignment horizontal="center" shrinkToFit="0" vertical="bottom" wrapText="1"/>
    </xf>
    <xf borderId="243" fillId="17" fontId="35" numFmtId="0" xfId="0" applyAlignment="1" applyBorder="1" applyFont="1">
      <alignment horizontal="center" shrinkToFit="0" wrapText="1"/>
    </xf>
    <xf borderId="242" fillId="17" fontId="6" numFmtId="3" xfId="0" applyAlignment="1" applyBorder="1" applyFont="1" applyNumberFormat="1">
      <alignment horizontal="center" shrinkToFit="0" wrapText="1"/>
    </xf>
    <xf borderId="113" fillId="21" fontId="9" numFmtId="0" xfId="0" applyAlignment="1" applyBorder="1" applyFont="1">
      <alignment horizontal="left" vertical="top"/>
    </xf>
    <xf borderId="202" fillId="5" fontId="5" numFmtId="3" xfId="0" applyAlignment="1" applyBorder="1" applyFont="1" applyNumberFormat="1">
      <alignment horizontal="center" vertical="top"/>
    </xf>
    <xf borderId="2" fillId="9" fontId="9" numFmtId="0" xfId="0" applyAlignment="1" applyBorder="1" applyFont="1">
      <alignment horizontal="left" vertical="top"/>
    </xf>
    <xf borderId="202" fillId="5" fontId="9" numFmtId="0" xfId="0" applyAlignment="1" applyBorder="1" applyFont="1">
      <alignment horizontal="center" vertical="top"/>
    </xf>
    <xf borderId="202" fillId="0" fontId="9" numFmtId="0" xfId="0" applyAlignment="1" applyBorder="1" applyFont="1">
      <alignment horizontal="center" vertical="top"/>
    </xf>
    <xf borderId="202" fillId="0" fontId="9" numFmtId="9" xfId="0" applyAlignment="1" applyBorder="1" applyFont="1" applyNumberFormat="1">
      <alignment horizontal="center" vertical="top"/>
    </xf>
    <xf borderId="113" fillId="0" fontId="9" numFmtId="0" xfId="0" applyAlignment="1" applyBorder="1" applyFont="1">
      <alignment horizontal="center" vertical="top"/>
    </xf>
    <xf borderId="119" fillId="0" fontId="9" numFmtId="0" xfId="0" applyAlignment="1" applyBorder="1" applyFont="1">
      <alignment horizontal="center" vertical="top"/>
    </xf>
    <xf borderId="246" fillId="0" fontId="9" numFmtId="9" xfId="0" applyAlignment="1" applyBorder="1" applyFont="1" applyNumberFormat="1">
      <alignment horizontal="center" vertical="top"/>
    </xf>
    <xf borderId="246" fillId="6" fontId="9" numFmtId="9" xfId="0" applyAlignment="1" applyBorder="1" applyFont="1" applyNumberFormat="1">
      <alignment horizontal="center" vertical="top"/>
    </xf>
    <xf borderId="247" fillId="6" fontId="9" numFmtId="9" xfId="0" applyAlignment="1" applyBorder="1" applyFont="1" applyNumberFormat="1">
      <alignment horizontal="center" vertical="top"/>
    </xf>
    <xf borderId="1" fillId="0" fontId="9" numFmtId="0" xfId="0" applyAlignment="1" applyBorder="1" applyFont="1">
      <alignment horizontal="center" vertical="top"/>
    </xf>
    <xf borderId="23" fillId="0" fontId="9" numFmtId="0" xfId="0" applyAlignment="1" applyBorder="1" applyFont="1">
      <alignment horizontal="center" vertical="top"/>
    </xf>
    <xf borderId="23" fillId="6" fontId="9" numFmtId="9" xfId="0" applyAlignment="1" applyBorder="1" applyFont="1" applyNumberFormat="1">
      <alignment horizontal="center" vertical="top"/>
    </xf>
    <xf borderId="126" fillId="21" fontId="9" numFmtId="0" xfId="0" applyAlignment="1" applyBorder="1" applyFont="1">
      <alignment horizontal="left" vertical="top"/>
    </xf>
    <xf borderId="79" fillId="5" fontId="5" numFmtId="3" xfId="0" applyAlignment="1" applyBorder="1" applyFont="1" applyNumberFormat="1">
      <alignment horizontal="center" vertical="top"/>
    </xf>
    <xf borderId="4" fillId="9" fontId="9" numFmtId="0" xfId="0" applyAlignment="1" applyBorder="1" applyFont="1">
      <alignment horizontal="left" vertical="top"/>
    </xf>
    <xf borderId="79" fillId="5" fontId="9" numFmtId="0" xfId="0" applyAlignment="1" applyBorder="1" applyFont="1">
      <alignment horizontal="center" vertical="top"/>
    </xf>
    <xf borderId="79" fillId="0" fontId="9" numFmtId="0" xfId="0" applyAlignment="1" applyBorder="1" applyFont="1">
      <alignment horizontal="center" vertical="top"/>
    </xf>
    <xf borderId="79" fillId="0" fontId="9" numFmtId="9" xfId="0" applyAlignment="1" applyBorder="1" applyFont="1" applyNumberFormat="1">
      <alignment horizontal="center" vertical="top"/>
    </xf>
    <xf borderId="126" fillId="0" fontId="9" numFmtId="0" xfId="0" applyAlignment="1" applyBorder="1" applyFont="1">
      <alignment horizontal="center" vertical="top"/>
    </xf>
    <xf borderId="131" fillId="0" fontId="9" numFmtId="0" xfId="0" applyAlignment="1" applyBorder="1" applyFont="1">
      <alignment horizontal="center" vertical="top"/>
    </xf>
    <xf borderId="134" fillId="0" fontId="9" numFmtId="9" xfId="0" applyAlignment="1" applyBorder="1" applyFont="1" applyNumberFormat="1">
      <alignment horizontal="center" vertical="top"/>
    </xf>
    <xf borderId="134" fillId="6" fontId="9" numFmtId="9" xfId="0" applyAlignment="1" applyBorder="1" applyFont="1" applyNumberFormat="1">
      <alignment horizontal="center" vertical="top"/>
    </xf>
    <xf borderId="133" fillId="6" fontId="9" numFmtId="9" xfId="0" applyAlignment="1" applyBorder="1" applyFont="1" applyNumberFormat="1">
      <alignment horizontal="center" vertical="top"/>
    </xf>
    <xf borderId="3" fillId="0" fontId="9" numFmtId="0" xfId="0" applyAlignment="1" applyBorder="1" applyFont="1">
      <alignment horizontal="center" vertical="top"/>
    </xf>
    <xf borderId="0" fillId="0" fontId="9" numFmtId="0" xfId="0" applyAlignment="1" applyFont="1">
      <alignment horizontal="center" vertical="top"/>
    </xf>
    <xf borderId="0" fillId="6" fontId="9" numFmtId="9" xfId="0" applyAlignment="1" applyFont="1" applyNumberFormat="1">
      <alignment horizontal="center" vertical="top"/>
    </xf>
    <xf borderId="134" fillId="0" fontId="211" numFmtId="9" xfId="0" applyAlignment="1" applyBorder="1" applyFont="1" applyNumberFormat="1">
      <alignment horizontal="center" vertical="top"/>
    </xf>
    <xf borderId="4" fillId="7" fontId="9" numFmtId="0" xfId="0" applyAlignment="1" applyBorder="1" applyFont="1">
      <alignment horizontal="left" vertical="top"/>
    </xf>
    <xf borderId="131" fillId="5" fontId="9" numFmtId="0" xfId="0" applyAlignment="1" applyBorder="1" applyFont="1">
      <alignment horizontal="center" vertical="top"/>
    </xf>
    <xf borderId="134" fillId="5" fontId="9" numFmtId="9" xfId="0" applyAlignment="1" applyBorder="1" applyFont="1" applyNumberFormat="1">
      <alignment horizontal="center" vertical="top"/>
    </xf>
    <xf borderId="133" fillId="5" fontId="9" numFmtId="9" xfId="0" applyAlignment="1" applyBorder="1" applyFont="1" applyNumberFormat="1">
      <alignment horizontal="center" vertical="top"/>
    </xf>
    <xf borderId="3" fillId="5" fontId="9" numFmtId="0" xfId="0" applyAlignment="1" applyBorder="1" applyFont="1">
      <alignment horizontal="center" vertical="top"/>
    </xf>
    <xf borderId="0" fillId="5" fontId="9" numFmtId="0" xfId="0" applyAlignment="1" applyFont="1">
      <alignment horizontal="center" vertical="top"/>
    </xf>
    <xf borderId="0" fillId="5" fontId="9" numFmtId="9" xfId="0" applyAlignment="1" applyFont="1" applyNumberFormat="1">
      <alignment horizontal="center" vertical="top"/>
    </xf>
    <xf borderId="134" fillId="5" fontId="211" numFmtId="9" xfId="0" applyAlignment="1" applyBorder="1" applyFont="1" applyNumberFormat="1">
      <alignment horizontal="center" vertical="top"/>
    </xf>
    <xf borderId="126" fillId="10" fontId="9" numFmtId="0" xfId="0" applyAlignment="1" applyBorder="1" applyFont="1">
      <alignment horizontal="left" vertical="top"/>
    </xf>
    <xf borderId="4" fillId="10" fontId="9" numFmtId="0" xfId="0" applyAlignment="1" applyBorder="1" applyFont="1">
      <alignment horizontal="left" vertical="top"/>
    </xf>
    <xf borderId="79" fillId="19" fontId="9" numFmtId="0" xfId="0" applyAlignment="1" applyBorder="1" applyFont="1">
      <alignment horizontal="center" vertical="top"/>
    </xf>
    <xf borderId="4" fillId="16" fontId="5" numFmtId="0" xfId="0" applyAlignment="1" applyBorder="1" applyFont="1">
      <alignment horizontal="left" vertical="top"/>
    </xf>
    <xf borderId="126" fillId="10" fontId="9" numFmtId="0" xfId="0" applyAlignment="1" applyBorder="1" applyFont="1">
      <alignment vertical="top"/>
    </xf>
    <xf borderId="79" fillId="0" fontId="9" numFmtId="0" xfId="0" applyAlignment="1" applyBorder="1" applyFont="1">
      <alignment vertical="top"/>
    </xf>
    <xf borderId="131" fillId="0" fontId="9" numFmtId="0" xfId="0" applyAlignment="1" applyBorder="1" applyFont="1">
      <alignment vertical="top"/>
    </xf>
    <xf borderId="248" fillId="10" fontId="9" numFmtId="0" xfId="0" applyAlignment="1" applyBorder="1" applyFont="1">
      <alignment vertical="top"/>
    </xf>
    <xf borderId="96" fillId="5" fontId="5" numFmtId="3" xfId="0" applyAlignment="1" applyBorder="1" applyFont="1" applyNumberFormat="1">
      <alignment horizontal="center" vertical="top"/>
    </xf>
    <xf borderId="8" fillId="16" fontId="5" numFmtId="0" xfId="0" applyAlignment="1" applyBorder="1" applyFont="1">
      <alignment horizontal="left" vertical="top"/>
    </xf>
    <xf borderId="96" fillId="5" fontId="9" numFmtId="0" xfId="0" applyAlignment="1" applyBorder="1" applyFont="1">
      <alignment horizontal="center" vertical="top"/>
    </xf>
    <xf borderId="96" fillId="0" fontId="9" numFmtId="0" xfId="0" applyAlignment="1" applyBorder="1" applyFont="1">
      <alignment horizontal="center" vertical="top"/>
    </xf>
    <xf borderId="96" fillId="0" fontId="9" numFmtId="9" xfId="0" applyAlignment="1" applyBorder="1" applyFont="1" applyNumberFormat="1">
      <alignment horizontal="center" vertical="top"/>
    </xf>
    <xf borderId="248" fillId="0" fontId="9" numFmtId="0" xfId="0" applyAlignment="1" applyBorder="1" applyFont="1">
      <alignment horizontal="center" vertical="top"/>
    </xf>
    <xf borderId="249" fillId="0" fontId="9" numFmtId="0" xfId="0" applyAlignment="1" applyBorder="1" applyFont="1">
      <alignment horizontal="center" vertical="top"/>
    </xf>
    <xf borderId="250" fillId="0" fontId="9" numFmtId="9" xfId="0" applyAlignment="1" applyBorder="1" applyFont="1" applyNumberFormat="1">
      <alignment horizontal="center" vertical="top"/>
    </xf>
    <xf borderId="250" fillId="6" fontId="9" numFmtId="9" xfId="0" applyAlignment="1" applyBorder="1" applyFont="1" applyNumberFormat="1">
      <alignment horizontal="center" vertical="top"/>
    </xf>
    <xf borderId="96" fillId="0" fontId="9" numFmtId="0" xfId="0" applyAlignment="1" applyBorder="1" applyFont="1">
      <alignment vertical="top"/>
    </xf>
    <xf borderId="249" fillId="0" fontId="9" numFmtId="0" xfId="0" applyAlignment="1" applyBorder="1" applyFont="1">
      <alignment vertical="top"/>
    </xf>
    <xf borderId="251" fillId="6" fontId="9" numFmtId="9" xfId="0" applyAlignment="1" applyBorder="1" applyFont="1" applyNumberFormat="1">
      <alignment horizontal="center" vertical="top"/>
    </xf>
    <xf borderId="11" fillId="0" fontId="9" numFmtId="0" xfId="0" applyAlignment="1" applyBorder="1" applyFont="1">
      <alignment horizontal="center" vertical="top"/>
    </xf>
    <xf borderId="43" fillId="0" fontId="9" numFmtId="0" xfId="0" applyAlignment="1" applyBorder="1" applyFont="1">
      <alignment horizontal="center" vertical="top"/>
    </xf>
    <xf borderId="43" fillId="6" fontId="9" numFmtId="9" xfId="0" applyAlignment="1" applyBorder="1" applyFont="1" applyNumberFormat="1">
      <alignment horizontal="center" vertical="top"/>
    </xf>
    <xf borderId="0" fillId="5" fontId="5" numFmtId="3" xfId="0" applyAlignment="1" applyFont="1" applyNumberFormat="1">
      <alignment horizontal="center" vertical="bottom"/>
    </xf>
    <xf borderId="0" fillId="0" fontId="9" numFmtId="166" xfId="0" applyAlignment="1" applyFont="1" applyNumberFormat="1">
      <alignment vertical="bottom"/>
    </xf>
    <xf borderId="0" fillId="0" fontId="4" numFmtId="9" xfId="0" applyAlignment="1" applyFont="1" applyNumberFormat="1">
      <alignment horizontal="center"/>
    </xf>
    <xf borderId="28" fillId="0" fontId="4" numFmtId="0" xfId="0" applyAlignment="1" applyBorder="1" applyFont="1">
      <alignment horizontal="center"/>
    </xf>
    <xf borderId="27" fillId="0" fontId="4" numFmtId="0" xfId="0" applyAlignment="1" applyBorder="1" applyFont="1">
      <alignment horizontal="center"/>
    </xf>
    <xf borderId="27" fillId="0" fontId="4" numFmtId="0" xfId="0" applyAlignment="1" applyBorder="1" applyFont="1">
      <alignment vertical="bottom"/>
    </xf>
    <xf borderId="25" fillId="2" fontId="9" numFmtId="0" xfId="0" applyAlignment="1" applyBorder="1" applyFont="1">
      <alignment horizontal="left" shrinkToFit="0" wrapText="1"/>
    </xf>
    <xf borderId="25" fillId="15" fontId="4" numFmtId="0" xfId="0" applyBorder="1" applyFont="1"/>
    <xf borderId="23" fillId="15" fontId="181" numFmtId="0" xfId="0" applyAlignment="1" applyBorder="1" applyFont="1">
      <alignment horizontal="center" shrinkToFit="0" vertical="top" wrapText="1"/>
    </xf>
    <xf borderId="23" fillId="15" fontId="4" numFmtId="0" xfId="0" applyBorder="1" applyFont="1"/>
    <xf borderId="9" fillId="15" fontId="212" numFmtId="0" xfId="0" applyAlignment="1" applyBorder="1" applyFont="1">
      <alignment horizontal="center" shrinkToFit="0" vertical="bottom" wrapText="1"/>
    </xf>
    <xf borderId="23" fillId="5" fontId="36" numFmtId="3" xfId="0" applyAlignment="1" applyBorder="1" applyFont="1" applyNumberFormat="1">
      <alignment horizontal="center" shrinkToFit="0" wrapText="1"/>
    </xf>
    <xf borderId="9" fillId="5" fontId="35" numFmtId="0" xfId="0" applyAlignment="1" applyBorder="1" applyFont="1">
      <alignment horizontal="center" shrinkToFit="0" vertical="center" wrapText="1"/>
    </xf>
    <xf borderId="1" fillId="5" fontId="35" numFmtId="3" xfId="0" applyAlignment="1" applyBorder="1" applyFont="1" applyNumberFormat="1">
      <alignment horizontal="center" shrinkToFit="0" wrapText="1"/>
    </xf>
    <xf borderId="1" fillId="5" fontId="213" numFmtId="0" xfId="0" applyAlignment="1" applyBorder="1" applyFont="1">
      <alignment horizontal="center" shrinkToFit="0" vertical="bottom" wrapText="1"/>
    </xf>
    <xf borderId="3" fillId="5" fontId="213" numFmtId="0" xfId="0" applyAlignment="1" applyBorder="1" applyFont="1">
      <alignment horizontal="center" shrinkToFit="0" vertical="bottom" wrapText="1"/>
    </xf>
    <xf borderId="0" fillId="5" fontId="37" numFmtId="3" xfId="0" applyAlignment="1" applyFont="1" applyNumberFormat="1">
      <alignment horizontal="center" shrinkToFit="0" wrapText="1"/>
    </xf>
    <xf borderId="1" fillId="5" fontId="214" numFmtId="1" xfId="0" applyAlignment="1" applyBorder="1" applyFont="1" applyNumberFormat="1">
      <alignment horizontal="center" shrinkToFit="0" vertical="bottom" wrapText="1"/>
    </xf>
    <xf borderId="1" fillId="13" fontId="214" numFmtId="1" xfId="0" applyAlignment="1" applyBorder="1" applyFont="1" applyNumberFormat="1">
      <alignment horizontal="center" shrinkToFit="0" vertical="bottom" wrapText="1"/>
    </xf>
    <xf borderId="0" fillId="5" fontId="214" numFmtId="0" xfId="0" applyAlignment="1" applyFont="1">
      <alignment horizontal="center" shrinkToFit="0" vertical="bottom" wrapText="1"/>
    </xf>
    <xf borderId="28" fillId="5" fontId="9" numFmtId="0" xfId="0" applyAlignment="1" applyBorder="1" applyFont="1">
      <alignment horizontal="left" shrinkToFit="0" wrapText="1"/>
    </xf>
    <xf borderId="28" fillId="15" fontId="4" numFmtId="0" xfId="0" applyBorder="1" applyFont="1"/>
    <xf borderId="0" fillId="15" fontId="9" numFmtId="0" xfId="0" applyAlignment="1" applyFont="1">
      <alignment horizontal="center" shrinkToFit="0" vertical="center" wrapText="1"/>
    </xf>
    <xf borderId="0" fillId="15" fontId="4" numFmtId="0" xfId="0" applyFont="1"/>
    <xf borderId="27" fillId="15" fontId="212" numFmtId="0" xfId="0" applyAlignment="1" applyBorder="1" applyFont="1">
      <alignment horizontal="center" shrinkToFit="0" vertical="bottom" wrapText="1"/>
    </xf>
    <xf borderId="0" fillId="5" fontId="36" numFmtId="3" xfId="0" applyAlignment="1" applyFont="1" applyNumberFormat="1">
      <alignment horizontal="center" shrinkToFit="0" wrapText="1"/>
    </xf>
    <xf borderId="27" fillId="5" fontId="35" numFmtId="0" xfId="0" applyAlignment="1" applyBorder="1" applyFont="1">
      <alignment horizontal="center" shrinkToFit="0" vertical="center" wrapText="1"/>
    </xf>
    <xf borderId="3" fillId="5" fontId="35" numFmtId="3" xfId="0" applyAlignment="1" applyBorder="1" applyFont="1" applyNumberFormat="1">
      <alignment horizontal="center" shrinkToFit="0" wrapText="1"/>
    </xf>
    <xf borderId="3" fillId="5" fontId="214" numFmtId="1" xfId="0" applyAlignment="1" applyBorder="1" applyFont="1" applyNumberFormat="1">
      <alignment horizontal="center" shrinkToFit="0" vertical="bottom" wrapText="1"/>
    </xf>
    <xf borderId="3" fillId="13" fontId="214" numFmtId="1" xfId="0" applyAlignment="1" applyBorder="1" applyFont="1" applyNumberFormat="1">
      <alignment horizontal="center" shrinkToFit="0" vertical="bottom" wrapText="1"/>
    </xf>
    <xf borderId="0" fillId="5" fontId="214" numFmtId="1" xfId="0" applyAlignment="1" applyFont="1" applyNumberFormat="1">
      <alignment horizontal="center" shrinkToFit="0" vertical="bottom" wrapText="1"/>
    </xf>
    <xf borderId="45" fillId="5" fontId="9" numFmtId="0" xfId="0" applyAlignment="1" applyBorder="1" applyFont="1">
      <alignment horizontal="left" shrinkToFit="0" wrapText="1"/>
    </xf>
    <xf borderId="45" fillId="15" fontId="4" numFmtId="0" xfId="0" applyBorder="1" applyFont="1"/>
    <xf borderId="43" fillId="15" fontId="9" numFmtId="0" xfId="0" applyAlignment="1" applyBorder="1" applyFont="1">
      <alignment horizontal="center" shrinkToFit="0" vertical="center" wrapText="1"/>
    </xf>
    <xf borderId="43" fillId="15" fontId="4" numFmtId="0" xfId="0" applyBorder="1" applyFont="1"/>
    <xf borderId="44" fillId="15" fontId="212" numFmtId="0" xfId="0" applyAlignment="1" applyBorder="1" applyFont="1">
      <alignment horizontal="center" shrinkToFit="0" vertical="bottom" wrapText="1"/>
    </xf>
    <xf borderId="43" fillId="4" fontId="37" numFmtId="3" xfId="0" applyAlignment="1" applyBorder="1" applyFont="1" applyNumberFormat="1">
      <alignment horizontal="center" shrinkToFit="0" wrapText="1"/>
    </xf>
    <xf borderId="44" fillId="5" fontId="35" numFmtId="0" xfId="0" applyAlignment="1" applyBorder="1" applyFont="1">
      <alignment horizontal="center" shrinkToFit="0" vertical="center" wrapText="1"/>
    </xf>
    <xf borderId="11" fillId="4" fontId="35" numFmtId="3" xfId="0" applyAlignment="1" applyBorder="1" applyFont="1" applyNumberFormat="1">
      <alignment horizontal="center" shrinkToFit="0" wrapText="1"/>
    </xf>
    <xf borderId="11" fillId="5" fontId="213" numFmtId="0" xfId="0" applyAlignment="1" applyBorder="1" applyFont="1">
      <alignment horizontal="center" shrinkToFit="0" vertical="bottom" wrapText="1"/>
    </xf>
    <xf borderId="11" fillId="5" fontId="214" numFmtId="1" xfId="0" applyAlignment="1" applyBorder="1" applyFont="1" applyNumberFormat="1">
      <alignment horizontal="center" shrinkToFit="0" vertical="bottom" wrapText="1"/>
    </xf>
    <xf borderId="11" fillId="7" fontId="214" numFmtId="1" xfId="0" applyAlignment="1" applyBorder="1" applyFont="1" applyNumberFormat="1">
      <alignment horizontal="center" shrinkToFit="0" vertical="bottom" wrapText="1"/>
    </xf>
    <xf borderId="0" fillId="5" fontId="4" numFmtId="0" xfId="0" applyAlignment="1" applyFont="1">
      <alignment horizontal="left" vertical="center"/>
    </xf>
    <xf borderId="0" fillId="17" fontId="9" numFmtId="0" xfId="0" applyAlignment="1" applyFont="1">
      <alignment horizontal="center" shrinkToFit="0" vertical="center" wrapText="1"/>
    </xf>
    <xf borderId="107" fillId="17" fontId="6" numFmtId="0" xfId="0" applyAlignment="1" applyBorder="1" applyFont="1">
      <alignment horizontal="center" shrinkToFit="0" vertical="center" wrapText="1"/>
    </xf>
    <xf borderId="0" fillId="4" fontId="37" numFmtId="3" xfId="0" applyAlignment="1" applyFont="1" applyNumberFormat="1">
      <alignment horizontal="center" shrinkToFit="0" vertical="center" wrapText="1"/>
    </xf>
    <xf borderId="0" fillId="4" fontId="4" numFmtId="0" xfId="0" applyAlignment="1" applyFont="1">
      <alignment horizontal="center" vertical="center"/>
    </xf>
    <xf borderId="0" fillId="5" fontId="37" numFmtId="3" xfId="0" applyAlignment="1" applyFont="1" applyNumberFormat="1">
      <alignment horizontal="center" shrinkToFit="0" vertical="center" wrapText="1"/>
    </xf>
    <xf borderId="0" fillId="5" fontId="4" numFmtId="0" xfId="0" applyAlignment="1" applyFont="1">
      <alignment horizontal="left"/>
    </xf>
    <xf borderId="0" fillId="5" fontId="9" numFmtId="0" xfId="0" applyAlignment="1" applyFont="1">
      <alignment horizontal="center" shrinkToFit="0" wrapText="1"/>
    </xf>
    <xf borderId="1" fillId="17" fontId="6" numFmtId="0" xfId="0" applyAlignment="1" applyBorder="1" applyFont="1">
      <alignment horizontal="center" shrinkToFit="0" vertical="center" wrapText="1"/>
    </xf>
    <xf borderId="110" fillId="2" fontId="212" numFmtId="0" xfId="0" applyAlignment="1" applyBorder="1" applyFont="1">
      <alignment horizontal="center" shrinkToFit="0" vertical="bottom" wrapText="1"/>
    </xf>
    <xf borderId="107" fillId="2" fontId="212" numFmtId="0" xfId="0" applyAlignment="1" applyBorder="1" applyFont="1">
      <alignment horizontal="center" shrinkToFit="0" vertical="bottom" wrapText="1"/>
    </xf>
    <xf borderId="25" fillId="4" fontId="36" numFmtId="3" xfId="0" applyAlignment="1" applyBorder="1" applyFont="1" applyNumberFormat="1">
      <alignment horizontal="center" shrinkToFit="0" wrapText="1"/>
    </xf>
    <xf borderId="23" fillId="0" fontId="65" numFmtId="0" xfId="0" applyBorder="1" applyFont="1"/>
    <xf borderId="9" fillId="0" fontId="65" numFmtId="0" xfId="0" applyBorder="1" applyFont="1"/>
    <xf borderId="1" fillId="13" fontId="2" numFmtId="0" xfId="0" applyAlignment="1" applyBorder="1" applyFont="1">
      <alignment horizontal="center" shrinkToFit="0" wrapText="1"/>
    </xf>
    <xf borderId="1" fillId="12" fontId="2" numFmtId="0" xfId="0" applyAlignment="1" applyBorder="1" applyFont="1">
      <alignment horizontal="center" shrinkToFit="0" wrapText="1"/>
    </xf>
    <xf borderId="1" fillId="12" fontId="2" numFmtId="1" xfId="0" applyAlignment="1" applyBorder="1" applyFont="1" applyNumberFormat="1">
      <alignment horizontal="center" shrinkToFit="0" wrapText="1"/>
    </xf>
    <xf borderId="0" fillId="5" fontId="2" numFmtId="1" xfId="0" applyAlignment="1" applyFont="1" applyNumberFormat="1">
      <alignment horizontal="center" shrinkToFit="0" wrapText="1"/>
    </xf>
    <xf borderId="1" fillId="9" fontId="4" numFmtId="0" xfId="0" applyAlignment="1" applyBorder="1" applyFont="1">
      <alignment horizontal="left"/>
    </xf>
    <xf borderId="11" fillId="0" fontId="65" numFmtId="0" xfId="0" applyBorder="1" applyFont="1"/>
    <xf borderId="110" fillId="2" fontId="130" numFmtId="0" xfId="0" applyAlignment="1" applyBorder="1" applyFont="1">
      <alignment horizontal="center" shrinkToFit="0" wrapText="1"/>
    </xf>
    <xf borderId="110" fillId="6" fontId="130" numFmtId="0" xfId="0" applyAlignment="1" applyBorder="1" applyFont="1">
      <alignment horizontal="center" shrinkToFit="0" wrapText="1"/>
    </xf>
    <xf borderId="252" fillId="11" fontId="130" numFmtId="0" xfId="0" applyAlignment="1" applyBorder="1" applyFont="1">
      <alignment horizontal="center" shrinkToFit="0" wrapText="1"/>
    </xf>
    <xf borderId="253" fillId="34" fontId="130" numFmtId="0" xfId="0" applyAlignment="1" applyBorder="1" applyFont="1">
      <alignment horizontal="center" shrinkToFit="0" wrapText="1"/>
    </xf>
    <xf borderId="44" fillId="3" fontId="130" numFmtId="0" xfId="0" applyAlignment="1" applyBorder="1" applyFont="1">
      <alignment horizontal="center" shrinkToFit="0" wrapText="1"/>
    </xf>
    <xf borderId="110" fillId="4" fontId="35" numFmtId="3" xfId="0" applyAlignment="1" applyBorder="1" applyFont="1" applyNumberFormat="1">
      <alignment horizontal="center" shrinkToFit="0" wrapText="1"/>
    </xf>
    <xf borderId="107" fillId="11" fontId="16" numFmtId="3" xfId="0" applyAlignment="1" applyBorder="1" applyFont="1" applyNumberFormat="1">
      <alignment horizontal="center" shrinkToFit="0" wrapText="1"/>
    </xf>
    <xf borderId="110" fillId="17" fontId="4" numFmtId="9" xfId="0" applyAlignment="1" applyBorder="1" applyFont="1" applyNumberFormat="1">
      <alignment horizontal="center"/>
    </xf>
    <xf borderId="107" fillId="11" fontId="35" numFmtId="3" xfId="0" applyAlignment="1" applyBorder="1" applyFont="1" applyNumberFormat="1">
      <alignment horizontal="center" shrinkToFit="0" wrapText="1"/>
    </xf>
    <xf borderId="25" fillId="8" fontId="16" numFmtId="0" xfId="0" applyAlignment="1" applyBorder="1" applyFont="1">
      <alignment horizontal="left" vertical="center"/>
    </xf>
    <xf borderId="1" fillId="9" fontId="9" numFmtId="0" xfId="0" applyAlignment="1" applyBorder="1" applyFont="1">
      <alignment horizontal="left" vertical="center"/>
    </xf>
    <xf borderId="1" fillId="17" fontId="6" numFmtId="0" xfId="0" applyAlignment="1" applyBorder="1" applyFont="1">
      <alignment horizontal="center" vertical="center"/>
    </xf>
    <xf borderId="23" fillId="2" fontId="6" numFmtId="0" xfId="0" applyAlignment="1" applyBorder="1" applyFont="1">
      <alignment horizontal="center" vertical="center"/>
    </xf>
    <xf borderId="254" fillId="6" fontId="6" numFmtId="0" xfId="0" applyAlignment="1" applyBorder="1" applyFont="1">
      <alignment horizontal="center" vertical="center"/>
    </xf>
    <xf borderId="254" fillId="11" fontId="6" numFmtId="0" xfId="0" applyAlignment="1" applyBorder="1" applyFont="1">
      <alignment horizontal="center" vertical="center"/>
    </xf>
    <xf borderId="254" fillId="34" fontId="6" numFmtId="0" xfId="0" applyAlignment="1" applyBorder="1" applyFont="1">
      <alignment horizontal="center" vertical="center"/>
    </xf>
    <xf borderId="255" fillId="3" fontId="6" numFmtId="0" xfId="0" applyAlignment="1" applyBorder="1" applyFont="1">
      <alignment horizontal="center" vertical="center"/>
    </xf>
    <xf borderId="256" fillId="4" fontId="35" numFmtId="3" xfId="0" applyAlignment="1" applyBorder="1" applyFont="1" applyNumberFormat="1">
      <alignment horizontal="center" shrinkToFit="0" vertical="center" wrapText="1"/>
    </xf>
    <xf borderId="257" fillId="11" fontId="16" numFmtId="3" xfId="0" applyAlignment="1" applyBorder="1" applyFont="1" applyNumberFormat="1">
      <alignment horizontal="center" shrinkToFit="0" vertical="center" wrapText="1"/>
    </xf>
    <xf borderId="255" fillId="17" fontId="35" numFmtId="9" xfId="0" applyAlignment="1" applyBorder="1" applyFont="1" applyNumberFormat="1">
      <alignment horizontal="center" vertical="center"/>
    </xf>
    <xf borderId="1" fillId="13" fontId="4" numFmtId="0" xfId="0" applyAlignment="1" applyBorder="1" applyFont="1">
      <alignment vertical="center"/>
    </xf>
    <xf borderId="1" fillId="12" fontId="35" numFmtId="0" xfId="0" applyAlignment="1" applyBorder="1" applyFont="1">
      <alignment horizontal="center" vertical="center"/>
    </xf>
    <xf borderId="1" fillId="12" fontId="35" numFmtId="1" xfId="0" applyAlignment="1" applyBorder="1" applyFont="1" applyNumberFormat="1">
      <alignment horizontal="center" vertical="center"/>
    </xf>
    <xf borderId="258" fillId="11" fontId="16" numFmtId="3" xfId="0" applyAlignment="1" applyBorder="1" applyFont="1" applyNumberFormat="1">
      <alignment horizontal="center" shrinkToFit="0" vertical="center" wrapText="1"/>
    </xf>
    <xf borderId="135" fillId="4" fontId="35" numFmtId="3" xfId="0" applyAlignment="1" applyBorder="1" applyFont="1" applyNumberFormat="1">
      <alignment horizontal="center" shrinkToFit="0" vertical="center" wrapText="1"/>
    </xf>
    <xf borderId="121" fillId="11" fontId="16" numFmtId="3" xfId="0" applyAlignment="1" applyBorder="1" applyFont="1" applyNumberFormat="1">
      <alignment horizontal="center" shrinkToFit="0" vertical="center" wrapText="1"/>
    </xf>
    <xf borderId="259" fillId="11" fontId="16" numFmtId="3" xfId="0" applyAlignment="1" applyBorder="1" applyFont="1" applyNumberFormat="1">
      <alignment horizontal="center" shrinkToFit="0" vertical="center" wrapText="1"/>
    </xf>
    <xf borderId="0" fillId="5" fontId="35" numFmtId="1" xfId="0" applyAlignment="1" applyFont="1" applyNumberFormat="1">
      <alignment horizontal="center" vertical="center"/>
    </xf>
    <xf borderId="260" fillId="8" fontId="16" numFmtId="0" xfId="0" applyAlignment="1" applyBorder="1" applyFont="1">
      <alignment horizontal="left" vertical="center"/>
    </xf>
    <xf borderId="192" fillId="9" fontId="9" numFmtId="0" xfId="0" applyAlignment="1" applyBorder="1" applyFont="1">
      <alignment horizontal="left" vertical="center"/>
    </xf>
    <xf borderId="192" fillId="5" fontId="6" numFmtId="0" xfId="0" applyAlignment="1" applyBorder="1" applyFont="1">
      <alignment horizontal="center"/>
    </xf>
    <xf borderId="192" fillId="17" fontId="6" numFmtId="0" xfId="0" applyAlignment="1" applyBorder="1" applyFont="1">
      <alignment horizontal="center" vertical="bottom"/>
    </xf>
    <xf borderId="261" fillId="2" fontId="6" numFmtId="0" xfId="0" applyAlignment="1" applyBorder="1" applyFont="1">
      <alignment horizontal="center" vertical="bottom"/>
    </xf>
    <xf borderId="262" fillId="6" fontId="6" numFmtId="0" xfId="0" applyAlignment="1" applyBorder="1" applyFont="1">
      <alignment horizontal="center" vertical="bottom"/>
    </xf>
    <xf borderId="262" fillId="11" fontId="6" numFmtId="0" xfId="0" applyAlignment="1" applyBorder="1" applyFont="1">
      <alignment horizontal="center" vertical="bottom"/>
    </xf>
    <xf borderId="262" fillId="34" fontId="6" numFmtId="0" xfId="0" applyAlignment="1" applyBorder="1" applyFont="1">
      <alignment horizontal="center" vertical="bottom"/>
    </xf>
    <xf borderId="263" fillId="3" fontId="6" numFmtId="0" xfId="0" applyAlignment="1" applyBorder="1" applyFont="1">
      <alignment horizontal="center" vertical="bottom"/>
    </xf>
    <xf borderId="264" fillId="4" fontId="35" numFmtId="3" xfId="0" applyAlignment="1" applyBorder="1" applyFont="1" applyNumberFormat="1">
      <alignment horizontal="center" vertical="bottom"/>
    </xf>
    <xf borderId="262" fillId="11" fontId="16" numFmtId="3" xfId="0" applyAlignment="1" applyBorder="1" applyFont="1" applyNumberFormat="1">
      <alignment horizontal="center" vertical="bottom"/>
    </xf>
    <xf borderId="263" fillId="17" fontId="4" numFmtId="9" xfId="0" applyAlignment="1" applyBorder="1" applyFont="1" applyNumberFormat="1">
      <alignment horizontal="center" vertical="bottom"/>
    </xf>
    <xf borderId="192" fillId="13" fontId="4" numFmtId="0" xfId="0" applyAlignment="1" applyBorder="1" applyFont="1">
      <alignment horizontal="center" vertical="bottom"/>
    </xf>
    <xf borderId="192" fillId="12" fontId="35" numFmtId="0" xfId="0" applyAlignment="1" applyBorder="1" applyFont="1">
      <alignment horizontal="center" vertical="bottom"/>
    </xf>
    <xf borderId="262" fillId="11" fontId="35" numFmtId="3" xfId="0" applyAlignment="1" applyBorder="1" applyFont="1" applyNumberFormat="1">
      <alignment horizontal="center" vertical="bottom"/>
    </xf>
    <xf borderId="263" fillId="17" fontId="35" numFmtId="9" xfId="0" applyAlignment="1" applyBorder="1" applyFont="1" applyNumberFormat="1">
      <alignment horizontal="center" vertical="bottom"/>
    </xf>
    <xf borderId="192" fillId="13" fontId="35" numFmtId="0" xfId="0" applyAlignment="1" applyBorder="1" applyFont="1">
      <alignment horizontal="center" vertical="bottom"/>
    </xf>
    <xf borderId="260" fillId="12" fontId="35" numFmtId="0" xfId="0" applyAlignment="1" applyBorder="1" applyFont="1">
      <alignment horizontal="center" vertical="bottom"/>
    </xf>
    <xf borderId="263" fillId="17" fontId="36" numFmtId="9" xfId="0" applyAlignment="1" applyBorder="1" applyFont="1" applyNumberFormat="1">
      <alignment horizontal="center" vertical="bottom"/>
    </xf>
    <xf borderId="263" fillId="17" fontId="2" numFmtId="9" xfId="0" applyAlignment="1" applyBorder="1" applyFont="1" applyNumberFormat="1">
      <alignment horizontal="center" vertical="bottom"/>
    </xf>
    <xf borderId="192" fillId="12" fontId="4" numFmtId="1" xfId="0" applyAlignment="1" applyBorder="1" applyFont="1" applyNumberFormat="1">
      <alignment horizontal="center" vertical="bottom"/>
    </xf>
    <xf borderId="265" fillId="4" fontId="35" numFmtId="3" xfId="0" applyAlignment="1" applyBorder="1" applyFont="1" applyNumberFormat="1">
      <alignment horizontal="center" vertical="bottom"/>
    </xf>
    <xf borderId="266" fillId="11" fontId="16" numFmtId="3" xfId="0" applyAlignment="1" applyBorder="1" applyFont="1" applyNumberFormat="1">
      <alignment horizontal="center" vertical="bottom"/>
    </xf>
    <xf borderId="267" fillId="17" fontId="4" numFmtId="9" xfId="0" applyAlignment="1" applyBorder="1" applyFont="1" applyNumberFormat="1">
      <alignment horizontal="center" vertical="bottom"/>
    </xf>
    <xf borderId="24" fillId="2" fontId="4" numFmtId="0" xfId="0" applyAlignment="1" applyBorder="1" applyFont="1">
      <alignment horizontal="center" vertical="bottom"/>
    </xf>
    <xf borderId="24" fillId="12" fontId="4" numFmtId="1" xfId="0" applyAlignment="1" applyBorder="1" applyFont="1" applyNumberFormat="1">
      <alignment horizontal="center" vertical="bottom"/>
    </xf>
    <xf borderId="131" fillId="4" fontId="35" numFmtId="3" xfId="0" applyAlignment="1" applyBorder="1" applyFont="1" applyNumberFormat="1">
      <alignment horizontal="center" vertical="bottom"/>
    </xf>
    <xf borderId="132" fillId="11" fontId="16" numFmtId="3" xfId="0" applyAlignment="1" applyBorder="1" applyFont="1" applyNumberFormat="1">
      <alignment horizontal="center" vertical="bottom"/>
    </xf>
    <xf borderId="268" fillId="11" fontId="16" numFmtId="3" xfId="0" applyAlignment="1" applyBorder="1" applyFont="1" applyNumberFormat="1">
      <alignment horizontal="center" vertical="bottom"/>
    </xf>
    <xf borderId="24" fillId="11" fontId="4" numFmtId="0" xfId="0" applyAlignment="1" applyBorder="1" applyFont="1">
      <alignment horizontal="center" vertical="bottom"/>
    </xf>
    <xf borderId="24" fillId="11" fontId="4" numFmtId="1" xfId="0" applyAlignment="1" applyBorder="1" applyFont="1" applyNumberFormat="1">
      <alignment horizontal="center" vertical="bottom"/>
    </xf>
    <xf borderId="0" fillId="5" fontId="4" numFmtId="1" xfId="0" applyAlignment="1" applyFont="1" applyNumberFormat="1">
      <alignment horizontal="center" vertical="bottom"/>
    </xf>
    <xf borderId="24" fillId="17" fontId="6" numFmtId="0" xfId="0" applyAlignment="1" applyBorder="1" applyFont="1">
      <alignment horizontal="center" vertical="bottom"/>
    </xf>
    <xf borderId="269" fillId="6" fontId="6" numFmtId="0" xfId="0" applyAlignment="1" applyBorder="1" applyFont="1">
      <alignment horizontal="center" vertical="bottom"/>
    </xf>
    <xf borderId="269" fillId="11" fontId="6" numFmtId="0" xfId="0" applyAlignment="1" applyBorder="1" applyFont="1">
      <alignment horizontal="center" vertical="bottom"/>
    </xf>
    <xf borderId="269" fillId="34" fontId="6" numFmtId="0" xfId="0" applyAlignment="1" applyBorder="1" applyFont="1">
      <alignment horizontal="center" vertical="bottom"/>
    </xf>
    <xf borderId="267" fillId="3" fontId="6" numFmtId="0" xfId="0" applyAlignment="1" applyBorder="1" applyFont="1">
      <alignment horizontal="center" vertical="bottom"/>
    </xf>
    <xf borderId="269" fillId="11" fontId="16" numFmtId="3" xfId="0" applyAlignment="1" applyBorder="1" applyFont="1" applyNumberFormat="1">
      <alignment horizontal="center" vertical="bottom"/>
    </xf>
    <xf borderId="24" fillId="13" fontId="4" numFmtId="0" xfId="0" applyAlignment="1" applyBorder="1" applyFont="1">
      <alignment horizontal="center" vertical="bottom"/>
    </xf>
    <xf borderId="24" fillId="12" fontId="35" numFmtId="0" xfId="0" applyAlignment="1" applyBorder="1" applyFont="1">
      <alignment horizontal="center" vertical="bottom"/>
    </xf>
    <xf borderId="269" fillId="11" fontId="35" numFmtId="3" xfId="0" applyAlignment="1" applyBorder="1" applyFont="1" applyNumberFormat="1">
      <alignment horizontal="center" vertical="bottom"/>
    </xf>
    <xf borderId="267" fillId="17" fontId="35" numFmtId="9" xfId="0" applyAlignment="1" applyBorder="1" applyFont="1" applyNumberFormat="1">
      <alignment horizontal="center" vertical="bottom"/>
    </xf>
    <xf borderId="24" fillId="13" fontId="35" numFmtId="0" xfId="0" applyAlignment="1" applyBorder="1" applyFont="1">
      <alignment horizontal="center" vertical="bottom"/>
    </xf>
    <xf borderId="145" fillId="12" fontId="35" numFmtId="0" xfId="0" applyAlignment="1" applyBorder="1" applyFont="1">
      <alignment horizontal="center" vertical="bottom"/>
    </xf>
    <xf borderId="24" fillId="17" fontId="35" numFmtId="0" xfId="0" applyAlignment="1" applyBorder="1" applyFont="1">
      <alignment horizontal="center" vertical="bottom"/>
    </xf>
    <xf borderId="24" fillId="17" fontId="4" numFmtId="0" xfId="0" applyAlignment="1" applyBorder="1" applyFont="1">
      <alignment horizontal="center" vertical="bottom"/>
    </xf>
    <xf borderId="270" fillId="11" fontId="16" numFmtId="3" xfId="0" applyAlignment="1" applyBorder="1" applyFont="1" applyNumberFormat="1">
      <alignment horizontal="center" vertical="bottom"/>
    </xf>
    <xf borderId="24" fillId="12" fontId="4" numFmtId="0" xfId="0" applyAlignment="1" applyBorder="1" applyFont="1">
      <alignment horizontal="center" vertical="bottom"/>
    </xf>
    <xf borderId="24" fillId="3" fontId="4" numFmtId="1" xfId="0" applyAlignment="1" applyBorder="1" applyFont="1" applyNumberFormat="1">
      <alignment horizontal="center" vertical="bottom"/>
    </xf>
    <xf borderId="24" fillId="9" fontId="9" numFmtId="0" xfId="0" applyAlignment="1" applyBorder="1" applyFont="1">
      <alignment horizontal="left" vertical="center"/>
    </xf>
    <xf borderId="267" fillId="17" fontId="36" numFmtId="9" xfId="0" applyAlignment="1" applyBorder="1" applyFont="1" applyNumberFormat="1">
      <alignment horizontal="center" vertical="bottom"/>
    </xf>
    <xf borderId="267" fillId="17" fontId="2" numFmtId="9" xfId="0" applyAlignment="1" applyBorder="1" applyFont="1" applyNumberFormat="1">
      <alignment horizontal="center" vertical="bottom"/>
    </xf>
    <xf borderId="24" fillId="51" fontId="4" numFmtId="0" xfId="0" applyAlignment="1" applyBorder="1" applyFill="1" applyFont="1">
      <alignment horizontal="center" vertical="bottom"/>
    </xf>
    <xf borderId="24" fillId="34" fontId="4" numFmtId="1" xfId="0" applyAlignment="1" applyBorder="1" applyFont="1" applyNumberFormat="1">
      <alignment horizontal="center" vertical="bottom"/>
    </xf>
    <xf borderId="4" fillId="19" fontId="9" numFmtId="0" xfId="0" applyAlignment="1" applyBorder="1" applyFont="1">
      <alignment horizontal="center"/>
    </xf>
    <xf borderId="271" fillId="17" fontId="6" numFmtId="0" xfId="0" applyAlignment="1" applyBorder="1" applyFont="1">
      <alignment horizontal="center" vertical="bottom"/>
    </xf>
    <xf borderId="79" fillId="2" fontId="6" numFmtId="0" xfId="0" applyAlignment="1" applyBorder="1" applyFont="1">
      <alignment horizontal="center" vertical="bottom"/>
    </xf>
    <xf borderId="272" fillId="6" fontId="6" numFmtId="0" xfId="0" applyAlignment="1" applyBorder="1" applyFont="1">
      <alignment horizontal="center" vertical="bottom"/>
    </xf>
    <xf borderId="272" fillId="11" fontId="6" numFmtId="0" xfId="0" applyAlignment="1" applyBorder="1" applyFont="1">
      <alignment horizontal="center" vertical="bottom"/>
    </xf>
    <xf borderId="272" fillId="34" fontId="6" numFmtId="0" xfId="0" applyAlignment="1" applyBorder="1" applyFont="1">
      <alignment horizontal="center" vertical="bottom"/>
    </xf>
    <xf borderId="273" fillId="3" fontId="6" numFmtId="0" xfId="0" applyAlignment="1" applyBorder="1" applyFont="1">
      <alignment horizontal="center" vertical="bottom"/>
    </xf>
    <xf borderId="274" fillId="4" fontId="35" numFmtId="3" xfId="0" applyAlignment="1" applyBorder="1" applyFont="1" applyNumberFormat="1">
      <alignment horizontal="center" vertical="bottom"/>
    </xf>
    <xf borderId="272" fillId="11" fontId="16" numFmtId="3" xfId="0" applyAlignment="1" applyBorder="1" applyFont="1" applyNumberFormat="1">
      <alignment horizontal="center" vertical="bottom"/>
    </xf>
    <xf borderId="273" fillId="17" fontId="4" numFmtId="9" xfId="0" applyAlignment="1" applyBorder="1" applyFont="1" applyNumberFormat="1">
      <alignment horizontal="center" vertical="bottom"/>
    </xf>
    <xf borderId="271" fillId="13" fontId="4" numFmtId="0" xfId="0" applyAlignment="1" applyBorder="1" applyFont="1">
      <alignment horizontal="center" vertical="bottom"/>
    </xf>
    <xf borderId="271" fillId="12" fontId="35" numFmtId="0" xfId="0" applyAlignment="1" applyBorder="1" applyFont="1">
      <alignment horizontal="center" vertical="bottom"/>
    </xf>
    <xf borderId="272" fillId="11" fontId="35" numFmtId="3" xfId="0" applyAlignment="1" applyBorder="1" applyFont="1" applyNumberFormat="1">
      <alignment horizontal="center" vertical="bottom"/>
    </xf>
    <xf borderId="273" fillId="17" fontId="35" numFmtId="9" xfId="0" applyAlignment="1" applyBorder="1" applyFont="1" applyNumberFormat="1">
      <alignment horizontal="center" vertical="bottom"/>
    </xf>
    <xf borderId="271" fillId="13" fontId="35" numFmtId="0" xfId="0" applyAlignment="1" applyBorder="1" applyFont="1">
      <alignment horizontal="center" vertical="bottom"/>
    </xf>
    <xf borderId="275" fillId="12" fontId="35" numFmtId="0" xfId="0" applyAlignment="1" applyBorder="1" applyFont="1">
      <alignment horizontal="center" vertical="bottom"/>
    </xf>
    <xf borderId="271" fillId="17" fontId="35" numFmtId="0" xfId="0" applyAlignment="1" applyBorder="1" applyFont="1">
      <alignment horizontal="center" vertical="bottom"/>
    </xf>
    <xf borderId="271" fillId="17" fontId="4" numFmtId="0" xfId="0" applyAlignment="1" applyBorder="1" applyFont="1">
      <alignment horizontal="center" vertical="bottom"/>
    </xf>
    <xf borderId="271" fillId="12" fontId="4" numFmtId="1" xfId="0" applyAlignment="1" applyBorder="1" applyFont="1" applyNumberFormat="1">
      <alignment horizontal="center" vertical="bottom"/>
    </xf>
    <xf borderId="276" fillId="11" fontId="16" numFmtId="3" xfId="0" applyAlignment="1" applyBorder="1" applyFont="1" applyNumberFormat="1">
      <alignment horizontal="center" vertical="bottom"/>
    </xf>
    <xf borderId="132" fillId="11" fontId="186" numFmtId="3" xfId="0" applyAlignment="1" applyBorder="1" applyFont="1" applyNumberFormat="1">
      <alignment horizontal="center" vertical="bottom"/>
    </xf>
    <xf borderId="268" fillId="11" fontId="186" numFmtId="3" xfId="0" applyAlignment="1" applyBorder="1" applyFont="1" applyNumberFormat="1">
      <alignment horizontal="center" vertical="bottom"/>
    </xf>
    <xf borderId="267" fillId="17" fontId="193" numFmtId="9" xfId="0" applyAlignment="1" applyBorder="1" applyFont="1" applyNumberFormat="1">
      <alignment horizontal="center" vertical="bottom"/>
    </xf>
    <xf borderId="24" fillId="7" fontId="9" numFmtId="0" xfId="0" applyAlignment="1" applyBorder="1" applyFont="1">
      <alignment horizontal="left" vertical="center"/>
    </xf>
    <xf borderId="277" fillId="4" fontId="35" numFmtId="3" xfId="0" applyAlignment="1" applyBorder="1" applyFont="1" applyNumberFormat="1">
      <alignment horizontal="center" vertical="bottom"/>
    </xf>
    <xf borderId="278" fillId="11" fontId="16" numFmtId="3" xfId="0" applyAlignment="1" applyBorder="1" applyFont="1" applyNumberFormat="1">
      <alignment horizontal="center" vertical="bottom"/>
    </xf>
    <xf borderId="279" fillId="17" fontId="4" numFmtId="9" xfId="0" applyAlignment="1" applyBorder="1" applyFont="1" applyNumberFormat="1">
      <alignment horizontal="center" vertical="bottom"/>
    </xf>
    <xf borderId="6" fillId="13" fontId="4" numFmtId="0" xfId="0" applyAlignment="1" applyBorder="1" applyFont="1">
      <alignment horizontal="center" vertical="bottom"/>
    </xf>
    <xf borderId="6" fillId="12" fontId="35" numFmtId="0" xfId="0" applyAlignment="1" applyBorder="1" applyFont="1">
      <alignment horizontal="center" vertical="bottom"/>
    </xf>
    <xf borderId="278" fillId="11" fontId="35" numFmtId="3" xfId="0" applyAlignment="1" applyBorder="1" applyFont="1" applyNumberFormat="1">
      <alignment horizontal="center" vertical="bottom"/>
    </xf>
    <xf borderId="279" fillId="17" fontId="35" numFmtId="9" xfId="0" applyAlignment="1" applyBorder="1" applyFont="1" applyNumberFormat="1">
      <alignment horizontal="center" vertical="bottom"/>
    </xf>
    <xf borderId="6" fillId="13" fontId="35" numFmtId="0" xfId="0" applyAlignment="1" applyBorder="1" applyFont="1">
      <alignment horizontal="center" vertical="bottom"/>
    </xf>
    <xf borderId="280" fillId="12" fontId="35" numFmtId="0" xfId="0" applyAlignment="1" applyBorder="1" applyFont="1">
      <alignment horizontal="center" vertical="bottom"/>
    </xf>
    <xf borderId="279" fillId="17" fontId="36" numFmtId="9" xfId="0" applyAlignment="1" applyBorder="1" applyFont="1" applyNumberFormat="1">
      <alignment horizontal="center" vertical="bottom"/>
    </xf>
    <xf borderId="279" fillId="17" fontId="2" numFmtId="9" xfId="0" applyAlignment="1" applyBorder="1" applyFont="1" applyNumberFormat="1">
      <alignment horizontal="center" vertical="bottom"/>
    </xf>
    <xf borderId="6" fillId="12" fontId="4" numFmtId="1" xfId="0" applyAlignment="1" applyBorder="1" applyFont="1" applyNumberFormat="1">
      <alignment horizontal="center" vertical="bottom"/>
    </xf>
    <xf borderId="258" fillId="11" fontId="16" numFmtId="3" xfId="0" applyAlignment="1" applyBorder="1" applyFont="1" applyNumberFormat="1">
      <alignment horizontal="center" vertical="bottom"/>
    </xf>
    <xf borderId="6" fillId="17" fontId="6" numFmtId="0" xfId="0" applyAlignment="1" applyBorder="1" applyFont="1">
      <alignment horizontal="center" vertical="bottom"/>
    </xf>
    <xf borderId="278" fillId="6" fontId="6" numFmtId="0" xfId="0" applyAlignment="1" applyBorder="1" applyFont="1">
      <alignment horizontal="center" vertical="bottom"/>
    </xf>
    <xf borderId="278" fillId="11" fontId="6" numFmtId="0" xfId="0" applyAlignment="1" applyBorder="1" applyFont="1">
      <alignment horizontal="center" vertical="bottom"/>
    </xf>
    <xf borderId="278" fillId="34" fontId="6" numFmtId="0" xfId="0" applyAlignment="1" applyBorder="1" applyFont="1">
      <alignment horizontal="center" vertical="bottom"/>
    </xf>
    <xf borderId="279" fillId="3" fontId="6" numFmtId="0" xfId="0" applyAlignment="1" applyBorder="1" applyFont="1">
      <alignment horizontal="center" vertical="bottom"/>
    </xf>
    <xf borderId="24" fillId="7" fontId="4" numFmtId="1" xfId="0" applyAlignment="1" applyBorder="1" applyFont="1" applyNumberFormat="1">
      <alignment horizontal="center" vertical="bottom"/>
    </xf>
    <xf borderId="248" fillId="8" fontId="16" numFmtId="0" xfId="0" applyAlignment="1" applyBorder="1" applyFont="1">
      <alignment horizontal="left" vertical="center"/>
    </xf>
    <xf borderId="47" fillId="7" fontId="9" numFmtId="0" xfId="0" applyAlignment="1" applyBorder="1" applyFont="1">
      <alignment horizontal="left" vertical="center"/>
    </xf>
    <xf borderId="8" fillId="19" fontId="9" numFmtId="0" xfId="0" applyAlignment="1" applyBorder="1" applyFont="1">
      <alignment horizontal="center"/>
    </xf>
    <xf borderId="11" fillId="17" fontId="6" numFmtId="0" xfId="0" applyAlignment="1" applyBorder="1" applyFont="1">
      <alignment horizontal="center" vertical="bottom"/>
    </xf>
    <xf borderId="96" fillId="2" fontId="6" numFmtId="0" xfId="0" applyAlignment="1" applyBorder="1" applyFont="1">
      <alignment horizontal="center" vertical="bottom"/>
    </xf>
    <xf borderId="281" fillId="6" fontId="6" numFmtId="0" xfId="0" applyAlignment="1" applyBorder="1" applyFont="1">
      <alignment horizontal="center" vertical="bottom"/>
    </xf>
    <xf borderId="281" fillId="11" fontId="6" numFmtId="0" xfId="0" applyAlignment="1" applyBorder="1" applyFont="1">
      <alignment horizontal="center" vertical="bottom"/>
    </xf>
    <xf borderId="281" fillId="34" fontId="6" numFmtId="0" xfId="0" applyAlignment="1" applyBorder="1" applyFont="1">
      <alignment horizontal="center" vertical="bottom"/>
    </xf>
    <xf borderId="282" fillId="3" fontId="6" numFmtId="0" xfId="0" applyAlignment="1" applyBorder="1" applyFont="1">
      <alignment horizontal="center" vertical="bottom"/>
    </xf>
    <xf borderId="283" fillId="4" fontId="35" numFmtId="3" xfId="0" applyAlignment="1" applyBorder="1" applyFont="1" applyNumberFormat="1">
      <alignment horizontal="center" vertical="bottom"/>
    </xf>
    <xf borderId="281" fillId="11" fontId="16" numFmtId="3" xfId="0" applyAlignment="1" applyBorder="1" applyFont="1" applyNumberFormat="1">
      <alignment horizontal="center" vertical="bottom"/>
    </xf>
    <xf borderId="282" fillId="17" fontId="4" numFmtId="9" xfId="0" applyAlignment="1" applyBorder="1" applyFont="1" applyNumberFormat="1">
      <alignment horizontal="center" vertical="bottom"/>
    </xf>
    <xf borderId="11" fillId="13" fontId="4" numFmtId="0" xfId="0" applyAlignment="1" applyBorder="1" applyFont="1">
      <alignment horizontal="center" vertical="bottom"/>
    </xf>
    <xf borderId="11" fillId="12" fontId="35" numFmtId="0" xfId="0" applyAlignment="1" applyBorder="1" applyFont="1">
      <alignment horizontal="center" vertical="bottom"/>
    </xf>
    <xf borderId="281" fillId="11" fontId="35" numFmtId="3" xfId="0" applyAlignment="1" applyBorder="1" applyFont="1" applyNumberFormat="1">
      <alignment horizontal="center" vertical="bottom"/>
    </xf>
    <xf borderId="282" fillId="17" fontId="35" numFmtId="9" xfId="0" applyAlignment="1" applyBorder="1" applyFont="1" applyNumberFormat="1">
      <alignment horizontal="center" vertical="bottom"/>
    </xf>
    <xf borderId="11" fillId="13" fontId="35" numFmtId="0" xfId="0" applyAlignment="1" applyBorder="1" applyFont="1">
      <alignment horizontal="center" vertical="bottom"/>
    </xf>
    <xf borderId="45" fillId="12" fontId="35" numFmtId="0" xfId="0" applyAlignment="1" applyBorder="1" applyFont="1">
      <alignment horizontal="center" vertical="bottom"/>
    </xf>
    <xf borderId="282" fillId="17" fontId="36" numFmtId="9" xfId="0" applyAlignment="1" applyBorder="1" applyFont="1" applyNumberFormat="1">
      <alignment horizontal="center" vertical="bottom"/>
    </xf>
    <xf borderId="282" fillId="17" fontId="2" numFmtId="9" xfId="0" applyAlignment="1" applyBorder="1" applyFont="1" applyNumberFormat="1">
      <alignment horizontal="center" vertical="bottom"/>
    </xf>
    <xf borderId="11" fillId="12" fontId="4" numFmtId="1" xfId="0" applyAlignment="1" applyBorder="1" applyFont="1" applyNumberFormat="1">
      <alignment horizontal="center" vertical="bottom"/>
    </xf>
    <xf borderId="284" fillId="4" fontId="35" numFmtId="3" xfId="0" applyAlignment="1" applyBorder="1" applyFont="1" applyNumberFormat="1">
      <alignment horizontal="center" vertical="bottom"/>
    </xf>
    <xf borderId="252" fillId="11" fontId="16" numFmtId="3" xfId="0" applyAlignment="1" applyBorder="1" applyFont="1" applyNumberFormat="1">
      <alignment horizontal="center" vertical="bottom"/>
    </xf>
    <xf borderId="285" fillId="17" fontId="2" numFmtId="9" xfId="0" applyAlignment="1" applyBorder="1" applyFont="1" applyNumberFormat="1">
      <alignment horizontal="center" vertical="bottom"/>
    </xf>
    <xf borderId="47" fillId="13" fontId="4" numFmtId="0" xfId="0" applyAlignment="1" applyBorder="1" applyFont="1">
      <alignment horizontal="center" vertical="bottom"/>
    </xf>
    <xf borderId="47" fillId="12" fontId="4" numFmtId="1" xfId="0" applyAlignment="1" applyBorder="1" applyFont="1" applyNumberFormat="1">
      <alignment horizontal="center" vertical="bottom"/>
    </xf>
    <xf borderId="249" fillId="4" fontId="35" numFmtId="3" xfId="0" applyAlignment="1" applyBorder="1" applyFont="1" applyNumberFormat="1">
      <alignment horizontal="center" vertical="bottom"/>
    </xf>
    <xf borderId="286" fillId="11" fontId="16" numFmtId="3" xfId="0" applyAlignment="1" applyBorder="1" applyFont="1" applyNumberFormat="1">
      <alignment horizontal="center" vertical="bottom"/>
    </xf>
    <xf borderId="287" fillId="11" fontId="16" numFmtId="3" xfId="0" applyAlignment="1" applyBorder="1" applyFont="1" applyNumberFormat="1">
      <alignment horizontal="center" vertical="bottom"/>
    </xf>
    <xf borderId="285" fillId="17" fontId="4" numFmtId="9" xfId="0" applyAlignment="1" applyBorder="1" applyFont="1" applyNumberFormat="1">
      <alignment horizontal="center" vertical="bottom"/>
    </xf>
    <xf borderId="47" fillId="7" fontId="4" numFmtId="1" xfId="0" applyAlignment="1" applyBorder="1" applyFont="1" applyNumberFormat="1">
      <alignment horizontal="center" vertical="bottom"/>
    </xf>
    <xf borderId="50" fillId="8" fontId="16" numFmtId="0" xfId="0" applyAlignment="1" applyBorder="1" applyFont="1">
      <alignment horizontal="left" vertical="center"/>
    </xf>
    <xf borderId="6" fillId="9" fontId="9" numFmtId="0" xfId="0" applyAlignment="1" applyBorder="1" applyFont="1">
      <alignment horizontal="left" vertical="center"/>
    </xf>
    <xf borderId="6" fillId="19" fontId="9" numFmtId="0" xfId="0" applyAlignment="1" applyBorder="1" applyFont="1">
      <alignment horizontal="center"/>
    </xf>
    <xf borderId="76" fillId="2" fontId="6" numFmtId="0" xfId="0" applyAlignment="1" applyBorder="1" applyFont="1">
      <alignment horizontal="center" vertical="bottom"/>
    </xf>
    <xf borderId="288" fillId="4" fontId="35" numFmtId="3" xfId="0" applyAlignment="1" applyBorder="1" applyFont="1" applyNumberFormat="1">
      <alignment horizontal="center" vertical="bottom"/>
    </xf>
    <xf borderId="289" fillId="17" fontId="2" numFmtId="9" xfId="0" applyAlignment="1" applyBorder="1" applyFont="1" applyNumberFormat="1">
      <alignment horizontal="center" vertical="bottom"/>
    </xf>
    <xf borderId="42" fillId="13" fontId="4" numFmtId="0" xfId="0" applyAlignment="1" applyBorder="1" applyFont="1">
      <alignment horizontal="center" vertical="bottom"/>
    </xf>
    <xf borderId="42" fillId="12" fontId="4" numFmtId="1" xfId="0" applyAlignment="1" applyBorder="1" applyFont="1" applyNumberFormat="1">
      <alignment horizontal="center" vertical="bottom"/>
    </xf>
    <xf borderId="135" fillId="4" fontId="35" numFmtId="3" xfId="0" applyAlignment="1" applyBorder="1" applyFont="1" applyNumberFormat="1">
      <alignment horizontal="center" vertical="bottom"/>
    </xf>
    <xf borderId="121" fillId="11" fontId="16" numFmtId="3" xfId="0" applyAlignment="1" applyBorder="1" applyFont="1" applyNumberFormat="1">
      <alignment horizontal="center" vertical="bottom"/>
    </xf>
    <xf borderId="259" fillId="11" fontId="16" numFmtId="3" xfId="0" applyAlignment="1" applyBorder="1" applyFont="1" applyNumberFormat="1">
      <alignment horizontal="center" vertical="bottom"/>
    </xf>
    <xf borderId="289" fillId="17" fontId="4" numFmtId="9" xfId="0" applyAlignment="1" applyBorder="1" applyFont="1" applyNumberFormat="1">
      <alignment horizontal="center" vertical="bottom"/>
    </xf>
    <xf borderId="4" fillId="9" fontId="9" numFmtId="0" xfId="0" applyAlignment="1" applyBorder="1" applyFont="1">
      <alignment horizontal="left" vertical="center"/>
    </xf>
    <xf borderId="4" fillId="17" fontId="6" numFmtId="0" xfId="0" applyAlignment="1" applyBorder="1" applyFont="1">
      <alignment horizontal="center" vertical="bottom"/>
    </xf>
    <xf borderId="290" fillId="6" fontId="6" numFmtId="0" xfId="0" applyAlignment="1" applyBorder="1" applyFont="1">
      <alignment horizontal="center" vertical="bottom"/>
    </xf>
    <xf borderId="290" fillId="11" fontId="6" numFmtId="0" xfId="0" applyAlignment="1" applyBorder="1" applyFont="1">
      <alignment horizontal="center" vertical="bottom"/>
    </xf>
    <xf borderId="290" fillId="34" fontId="6" numFmtId="0" xfId="0" applyAlignment="1" applyBorder="1" applyFont="1">
      <alignment horizontal="center" vertical="bottom"/>
    </xf>
    <xf borderId="291" fillId="3" fontId="6" numFmtId="0" xfId="0" applyAlignment="1" applyBorder="1" applyFont="1">
      <alignment horizontal="center" vertical="bottom"/>
    </xf>
    <xf borderId="292" fillId="4" fontId="35" numFmtId="3" xfId="0" applyAlignment="1" applyBorder="1" applyFont="1" applyNumberFormat="1">
      <alignment horizontal="center" vertical="bottom"/>
    </xf>
    <xf borderId="290" fillId="11" fontId="16" numFmtId="3" xfId="0" applyAlignment="1" applyBorder="1" applyFont="1" applyNumberFormat="1">
      <alignment horizontal="center" vertical="bottom"/>
    </xf>
    <xf borderId="291" fillId="17" fontId="4" numFmtId="9" xfId="0" applyAlignment="1" applyBorder="1" applyFont="1" applyNumberFormat="1">
      <alignment horizontal="center" vertical="bottom"/>
    </xf>
    <xf borderId="4" fillId="11" fontId="4" numFmtId="0" xfId="0" applyAlignment="1" applyBorder="1" applyFont="1">
      <alignment horizontal="center" vertical="bottom"/>
    </xf>
    <xf borderId="4" fillId="12" fontId="35" numFmtId="0" xfId="0" applyAlignment="1" applyBorder="1" applyFont="1">
      <alignment horizontal="center" vertical="bottom"/>
    </xf>
    <xf borderId="290" fillId="11" fontId="35" numFmtId="3" xfId="0" applyAlignment="1" applyBorder="1" applyFont="1" applyNumberFormat="1">
      <alignment horizontal="center" vertical="bottom"/>
    </xf>
    <xf borderId="291" fillId="17" fontId="35" numFmtId="9" xfId="0" applyAlignment="1" applyBorder="1" applyFont="1" applyNumberFormat="1">
      <alignment horizontal="center" vertical="bottom"/>
    </xf>
    <xf borderId="4" fillId="13" fontId="35" numFmtId="0" xfId="0" applyAlignment="1" applyBorder="1" applyFont="1">
      <alignment horizontal="center" vertical="bottom"/>
    </xf>
    <xf borderId="126" fillId="12" fontId="35" numFmtId="0" xfId="0" applyAlignment="1" applyBorder="1" applyFont="1">
      <alignment horizontal="center" vertical="bottom"/>
    </xf>
    <xf borderId="4" fillId="17" fontId="35" numFmtId="0" xfId="0" applyAlignment="1" applyBorder="1" applyFont="1">
      <alignment horizontal="center" vertical="bottom"/>
    </xf>
    <xf borderId="291" fillId="17" fontId="193" numFmtId="9" xfId="0" applyAlignment="1" applyBorder="1" applyFont="1" applyNumberFormat="1">
      <alignment horizontal="center" vertical="bottom"/>
    </xf>
    <xf borderId="4" fillId="17" fontId="4" numFmtId="0" xfId="0" applyAlignment="1" applyBorder="1" applyFont="1">
      <alignment horizontal="center" vertical="bottom"/>
    </xf>
    <xf borderId="4" fillId="12" fontId="4" numFmtId="1" xfId="0" applyAlignment="1" applyBorder="1" applyFont="1" applyNumberFormat="1">
      <alignment horizontal="center" vertical="bottom"/>
    </xf>
    <xf borderId="4" fillId="11" fontId="35" numFmtId="0" xfId="0" applyAlignment="1" applyBorder="1" applyFont="1">
      <alignment horizontal="center" vertical="bottom"/>
    </xf>
    <xf borderId="24" fillId="12" fontId="2" numFmtId="1" xfId="0" applyAlignment="1" applyBorder="1" applyFont="1" applyNumberFormat="1">
      <alignment horizontal="center" vertical="bottom"/>
    </xf>
    <xf borderId="4" fillId="13" fontId="4" numFmtId="0" xfId="0" applyAlignment="1" applyBorder="1" applyFont="1">
      <alignment horizontal="center" vertical="bottom"/>
    </xf>
    <xf borderId="24" fillId="5" fontId="4" numFmtId="1" xfId="0" applyAlignment="1" applyBorder="1" applyFont="1" applyNumberFormat="1">
      <alignment horizontal="center" vertical="bottom"/>
    </xf>
    <xf borderId="4" fillId="12" fontId="4" numFmtId="0" xfId="0" applyAlignment="1" applyBorder="1" applyFont="1">
      <alignment horizontal="center" vertical="bottom"/>
    </xf>
    <xf borderId="192" fillId="12" fontId="4" numFmtId="0" xfId="0" applyAlignment="1" applyBorder="1" applyFont="1">
      <alignment horizontal="center" vertical="bottom"/>
    </xf>
    <xf borderId="8" fillId="9" fontId="9" numFmtId="0" xfId="0" applyAlignment="1" applyBorder="1" applyFont="1">
      <alignment horizontal="left" vertical="center"/>
    </xf>
    <xf borderId="8" fillId="5" fontId="6" numFmtId="0" xfId="0" applyAlignment="1" applyBorder="1" applyFont="1">
      <alignment horizontal="center"/>
    </xf>
    <xf borderId="47" fillId="17" fontId="6" numFmtId="0" xfId="0" applyAlignment="1" applyBorder="1" applyFont="1">
      <alignment horizontal="center" vertical="bottom"/>
    </xf>
    <xf borderId="293" fillId="6" fontId="6" numFmtId="0" xfId="0" applyAlignment="1" applyBorder="1" applyFont="1">
      <alignment horizontal="center" vertical="bottom"/>
    </xf>
    <xf borderId="293" fillId="11" fontId="6" numFmtId="0" xfId="0" applyAlignment="1" applyBorder="1" applyFont="1">
      <alignment horizontal="center" vertical="bottom"/>
    </xf>
    <xf borderId="293" fillId="34" fontId="6" numFmtId="0" xfId="0" applyAlignment="1" applyBorder="1" applyFont="1">
      <alignment horizontal="center" vertical="bottom"/>
    </xf>
    <xf borderId="285" fillId="3" fontId="6" numFmtId="0" xfId="0" applyAlignment="1" applyBorder="1" applyFont="1">
      <alignment horizontal="center" vertical="bottom"/>
    </xf>
    <xf borderId="293" fillId="11" fontId="16" numFmtId="3" xfId="0" applyAlignment="1" applyBorder="1" applyFont="1" applyNumberFormat="1">
      <alignment horizontal="center" vertical="bottom"/>
    </xf>
    <xf borderId="47" fillId="12" fontId="35" numFmtId="0" xfId="0" applyAlignment="1" applyBorder="1" applyFont="1">
      <alignment horizontal="center" vertical="bottom"/>
    </xf>
    <xf borderId="293" fillId="11" fontId="35" numFmtId="3" xfId="0" applyAlignment="1" applyBorder="1" applyFont="1" applyNumberFormat="1">
      <alignment horizontal="center" vertical="bottom"/>
    </xf>
    <xf borderId="285" fillId="17" fontId="35" numFmtId="9" xfId="0" applyAlignment="1" applyBorder="1" applyFont="1" applyNumberFormat="1">
      <alignment horizontal="center" vertical="bottom"/>
    </xf>
    <xf borderId="47" fillId="13" fontId="35" numFmtId="0" xfId="0" applyAlignment="1" applyBorder="1" applyFont="1">
      <alignment horizontal="center" vertical="bottom"/>
    </xf>
    <xf borderId="285" fillId="17" fontId="193" numFmtId="9" xfId="0" applyAlignment="1" applyBorder="1" applyFont="1" applyNumberFormat="1">
      <alignment horizontal="center" vertical="bottom"/>
    </xf>
    <xf borderId="47" fillId="12" fontId="4" numFmtId="0" xfId="0" applyAlignment="1" applyBorder="1" applyFont="1">
      <alignment horizontal="center" vertical="bottom"/>
    </xf>
    <xf borderId="294" fillId="11" fontId="16" numFmtId="3" xfId="0" applyAlignment="1" applyBorder="1" applyFont="1" applyNumberFormat="1">
      <alignment horizontal="center" vertical="bottom"/>
    </xf>
    <xf borderId="47" fillId="11" fontId="4" numFmtId="0" xfId="0" applyAlignment="1" applyBorder="1" applyFont="1">
      <alignment horizontal="center" vertical="bottom"/>
    </xf>
    <xf borderId="280" fillId="8" fontId="16" numFmtId="0" xfId="0" applyAlignment="1" applyBorder="1" applyFont="1">
      <alignment horizontal="left" vertical="center"/>
    </xf>
    <xf borderId="42" fillId="17" fontId="6" numFmtId="0" xfId="0" applyAlignment="1" applyBorder="1" applyFont="1">
      <alignment horizontal="center" vertical="bottom"/>
    </xf>
    <xf borderId="295" fillId="2" fontId="6" numFmtId="0" xfId="0" applyAlignment="1" applyBorder="1" applyFont="1">
      <alignment horizontal="center" vertical="bottom"/>
    </xf>
    <xf borderId="296" fillId="6" fontId="6" numFmtId="0" xfId="0" applyAlignment="1" applyBorder="1" applyFont="1">
      <alignment horizontal="center" vertical="bottom"/>
    </xf>
    <xf borderId="296" fillId="11" fontId="6" numFmtId="0" xfId="0" applyAlignment="1" applyBorder="1" applyFont="1">
      <alignment horizontal="center" vertical="bottom"/>
    </xf>
    <xf borderId="296" fillId="34" fontId="6" numFmtId="0" xfId="0" applyAlignment="1" applyBorder="1" applyFont="1">
      <alignment horizontal="center" vertical="bottom"/>
    </xf>
    <xf borderId="289" fillId="3" fontId="6" numFmtId="0" xfId="0" applyAlignment="1" applyBorder="1" applyFont="1">
      <alignment horizontal="center" vertical="bottom"/>
    </xf>
    <xf borderId="296" fillId="11" fontId="16" numFmtId="3" xfId="0" applyAlignment="1" applyBorder="1" applyFont="1" applyNumberFormat="1">
      <alignment horizontal="center" vertical="bottom"/>
    </xf>
    <xf borderId="42" fillId="12" fontId="35" numFmtId="0" xfId="0" applyAlignment="1" applyBorder="1" applyFont="1">
      <alignment horizontal="center" vertical="bottom"/>
    </xf>
    <xf borderId="296" fillId="11" fontId="35" numFmtId="3" xfId="0" applyAlignment="1" applyBorder="1" applyFont="1" applyNumberFormat="1">
      <alignment horizontal="center" vertical="bottom"/>
    </xf>
    <xf borderId="289" fillId="17" fontId="35" numFmtId="9" xfId="0" applyAlignment="1" applyBorder="1" applyFont="1" applyNumberFormat="1">
      <alignment horizontal="center" vertical="bottom"/>
    </xf>
    <xf borderId="42" fillId="13" fontId="35" numFmtId="0" xfId="0" applyAlignment="1" applyBorder="1" applyFont="1">
      <alignment horizontal="center" vertical="bottom"/>
    </xf>
    <xf borderId="42" fillId="17" fontId="35" numFmtId="0" xfId="0" applyAlignment="1" applyBorder="1" applyFont="1">
      <alignment horizontal="center" vertical="bottom"/>
    </xf>
    <xf borderId="42" fillId="17" fontId="4" numFmtId="0" xfId="0" applyAlignment="1" applyBorder="1" applyFont="1">
      <alignment horizontal="center" vertical="bottom"/>
    </xf>
    <xf borderId="42" fillId="5" fontId="4" numFmtId="1" xfId="0" applyAlignment="1" applyBorder="1" applyFont="1" applyNumberFormat="1">
      <alignment horizontal="center" vertical="bottom"/>
    </xf>
    <xf borderId="126" fillId="8" fontId="16" numFmtId="0" xfId="0" applyAlignment="1" applyBorder="1" applyFont="1">
      <alignment horizontal="left" vertical="center"/>
    </xf>
    <xf borderId="273" fillId="17" fontId="193" numFmtId="9" xfId="0" applyAlignment="1" applyBorder="1" applyFont="1" applyNumberFormat="1">
      <alignment horizontal="center" vertical="bottom"/>
    </xf>
    <xf borderId="5" fillId="5" fontId="6" numFmtId="0" xfId="0" applyAlignment="1" applyBorder="1" applyFont="1">
      <alignment horizontal="center"/>
    </xf>
    <xf borderId="297" fillId="4" fontId="35" numFmtId="3" xfId="0" applyAlignment="1" applyBorder="1" applyFont="1" applyNumberFormat="1">
      <alignment horizontal="center" vertical="bottom"/>
    </xf>
    <xf borderId="298" fillId="11" fontId="16" numFmtId="3" xfId="0" applyAlignment="1" applyBorder="1" applyFont="1" applyNumberFormat="1">
      <alignment horizontal="center" vertical="bottom"/>
    </xf>
    <xf borderId="299" fillId="17" fontId="4" numFmtId="9" xfId="0" applyAlignment="1" applyBorder="1" applyFont="1" applyNumberFormat="1">
      <alignment horizontal="center" vertical="bottom"/>
    </xf>
    <xf borderId="5" fillId="13" fontId="4" numFmtId="0" xfId="0" applyAlignment="1" applyBorder="1" applyFont="1">
      <alignment horizontal="center" vertical="bottom"/>
    </xf>
    <xf borderId="5" fillId="12" fontId="35" numFmtId="0" xfId="0" applyAlignment="1" applyBorder="1" applyFont="1">
      <alignment horizontal="center" vertical="bottom"/>
    </xf>
    <xf borderId="298" fillId="11" fontId="35" numFmtId="3" xfId="0" applyAlignment="1" applyBorder="1" applyFont="1" applyNumberFormat="1">
      <alignment horizontal="center" vertical="bottom"/>
    </xf>
    <xf borderId="299" fillId="17" fontId="35" numFmtId="9" xfId="0" applyAlignment="1" applyBorder="1" applyFont="1" applyNumberFormat="1">
      <alignment horizontal="center" vertical="bottom"/>
    </xf>
    <xf borderId="5" fillId="13" fontId="35" numFmtId="0" xfId="0" applyAlignment="1" applyBorder="1" applyFont="1">
      <alignment horizontal="center" vertical="bottom"/>
    </xf>
    <xf borderId="299" fillId="17" fontId="36" numFmtId="9" xfId="0" applyAlignment="1" applyBorder="1" applyFont="1" applyNumberFormat="1">
      <alignment horizontal="center" vertical="bottom"/>
    </xf>
    <xf borderId="299" fillId="17" fontId="2" numFmtId="9" xfId="0" applyAlignment="1" applyBorder="1" applyFont="1" applyNumberFormat="1">
      <alignment horizontal="center" vertical="bottom"/>
    </xf>
    <xf borderId="5" fillId="12" fontId="4" numFmtId="1" xfId="0" applyAlignment="1" applyBorder="1" applyFont="1" applyNumberFormat="1">
      <alignment horizontal="center" vertical="bottom"/>
    </xf>
    <xf borderId="145" fillId="8" fontId="16" numFmtId="0" xfId="0" applyAlignment="1" applyBorder="1" applyFont="1">
      <alignment horizontal="left" vertical="center"/>
    </xf>
    <xf borderId="24" fillId="2" fontId="35" numFmtId="0" xfId="0" applyAlignment="1" applyBorder="1" applyFont="1">
      <alignment horizontal="center" vertical="bottom"/>
    </xf>
    <xf borderId="29" fillId="2" fontId="35" numFmtId="0" xfId="0" applyAlignment="1" applyBorder="1" applyFont="1">
      <alignment horizontal="center" vertical="bottom"/>
    </xf>
    <xf borderId="24" fillId="34" fontId="4" numFmtId="0" xfId="0" applyAlignment="1" applyBorder="1" applyFont="1">
      <alignment horizontal="center" vertical="bottom"/>
    </xf>
    <xf borderId="267" fillId="6" fontId="2" numFmtId="9" xfId="0" applyAlignment="1" applyBorder="1" applyFont="1" applyNumberFormat="1">
      <alignment horizontal="center" vertical="bottom"/>
    </xf>
    <xf borderId="24" fillId="52" fontId="4" numFmtId="0" xfId="0" applyAlignment="1" applyBorder="1" applyFill="1" applyFont="1">
      <alignment horizontal="center" vertical="bottom"/>
    </xf>
    <xf borderId="24" fillId="11" fontId="35" numFmtId="0" xfId="0" applyAlignment="1" applyBorder="1" applyFont="1">
      <alignment horizontal="center" vertical="bottom"/>
    </xf>
    <xf borderId="300" fillId="4" fontId="35" numFmtId="3" xfId="0" applyAlignment="1" applyBorder="1" applyFont="1" applyNumberFormat="1">
      <alignment horizontal="center" vertical="bottom"/>
    </xf>
    <xf borderId="301" fillId="11" fontId="16" numFmtId="3" xfId="0" applyAlignment="1" applyBorder="1" applyFont="1" applyNumberFormat="1">
      <alignment horizontal="center" vertical="bottom"/>
    </xf>
    <xf borderId="302" fillId="17" fontId="4" numFmtId="9" xfId="0" applyAlignment="1" applyBorder="1" applyFont="1" applyNumberFormat="1">
      <alignment horizontal="center" vertical="bottom"/>
    </xf>
    <xf borderId="29" fillId="13" fontId="4" numFmtId="0" xfId="0" applyAlignment="1" applyBorder="1" applyFont="1">
      <alignment horizontal="center" vertical="bottom"/>
    </xf>
    <xf borderId="29" fillId="12" fontId="35" numFmtId="0" xfId="0" applyAlignment="1" applyBorder="1" applyFont="1">
      <alignment horizontal="center" vertical="bottom"/>
    </xf>
    <xf borderId="301" fillId="11" fontId="35" numFmtId="3" xfId="0" applyAlignment="1" applyBorder="1" applyFont="1" applyNumberFormat="1">
      <alignment horizontal="center" vertical="bottom"/>
    </xf>
    <xf borderId="302" fillId="17" fontId="35" numFmtId="9" xfId="0" applyAlignment="1" applyBorder="1" applyFont="1" applyNumberFormat="1">
      <alignment horizontal="center" vertical="bottom"/>
    </xf>
    <xf borderId="29" fillId="13" fontId="35" numFmtId="0" xfId="0" applyAlignment="1" applyBorder="1" applyFont="1">
      <alignment horizontal="center" vertical="bottom"/>
    </xf>
    <xf borderId="302" fillId="17" fontId="36" numFmtId="9" xfId="0" applyAlignment="1" applyBorder="1" applyFont="1" applyNumberFormat="1">
      <alignment horizontal="center" vertical="bottom"/>
    </xf>
    <xf borderId="29" fillId="12" fontId="4" numFmtId="1" xfId="0" applyAlignment="1" applyBorder="1" applyFont="1" applyNumberFormat="1">
      <alignment horizontal="center" vertical="bottom"/>
    </xf>
    <xf borderId="49" fillId="8" fontId="16" numFmtId="0" xfId="0" applyAlignment="1" applyBorder="1" applyFont="1">
      <alignment horizontal="left" vertical="center"/>
    </xf>
    <xf borderId="29" fillId="9" fontId="9" numFmtId="0" xfId="0" applyAlignment="1" applyBorder="1" applyFont="1">
      <alignment horizontal="left" vertical="center"/>
    </xf>
    <xf borderId="29" fillId="17" fontId="6" numFmtId="0" xfId="0" applyAlignment="1" applyBorder="1" applyFont="1">
      <alignment horizontal="center" vertical="bottom"/>
    </xf>
    <xf borderId="301" fillId="6" fontId="6" numFmtId="0" xfId="0" applyAlignment="1" applyBorder="1" applyFont="1">
      <alignment horizontal="center" vertical="bottom"/>
    </xf>
    <xf borderId="301" fillId="11" fontId="6" numFmtId="0" xfId="0" applyAlignment="1" applyBorder="1" applyFont="1">
      <alignment horizontal="center" vertical="bottom"/>
    </xf>
    <xf borderId="301" fillId="34" fontId="6" numFmtId="0" xfId="0" applyAlignment="1" applyBorder="1" applyFont="1">
      <alignment horizontal="center" vertical="bottom"/>
    </xf>
    <xf borderId="302" fillId="3" fontId="6" numFmtId="0" xfId="0" applyAlignment="1" applyBorder="1" applyFont="1">
      <alignment horizontal="center" vertical="bottom"/>
    </xf>
    <xf borderId="29" fillId="11" fontId="4" numFmtId="0" xfId="0" applyAlignment="1" applyBorder="1" applyFont="1">
      <alignment horizontal="center" vertical="bottom"/>
    </xf>
    <xf borderId="29" fillId="11" fontId="35" numFmtId="0" xfId="0" applyAlignment="1" applyBorder="1" applyFont="1">
      <alignment horizontal="center" vertical="bottom"/>
    </xf>
    <xf borderId="29" fillId="2" fontId="4" numFmtId="0" xfId="0" applyAlignment="1" applyBorder="1" applyFont="1">
      <alignment horizontal="center" vertical="bottom"/>
    </xf>
    <xf borderId="46" fillId="8" fontId="34" numFmtId="0" xfId="0" applyAlignment="1" applyBorder="1" applyFont="1">
      <alignment horizontal="left" vertical="center"/>
    </xf>
    <xf borderId="46" fillId="9" fontId="9" numFmtId="0" xfId="0" applyAlignment="1" applyBorder="1" applyFont="1">
      <alignment horizontal="left" vertical="center"/>
    </xf>
    <xf borderId="46" fillId="17" fontId="6" numFmtId="0" xfId="0" applyAlignment="1" applyBorder="1" applyFont="1">
      <alignment horizontal="center" vertical="bottom"/>
    </xf>
    <xf borderId="46" fillId="6" fontId="6" numFmtId="0" xfId="0" applyAlignment="1" applyBorder="1" applyFont="1">
      <alignment horizontal="center" vertical="bottom"/>
    </xf>
    <xf borderId="46" fillId="11" fontId="6" numFmtId="0" xfId="0" applyAlignment="1" applyBorder="1" applyFont="1">
      <alignment horizontal="center" vertical="bottom"/>
    </xf>
    <xf borderId="46" fillId="34" fontId="6" numFmtId="0" xfId="0" applyAlignment="1" applyBorder="1" applyFont="1">
      <alignment horizontal="center" vertical="bottom"/>
    </xf>
    <xf borderId="46" fillId="3" fontId="6" numFmtId="0" xfId="0" applyAlignment="1" applyBorder="1" applyFont="1">
      <alignment horizontal="center" vertical="bottom"/>
    </xf>
    <xf borderId="46" fillId="4" fontId="35" numFmtId="3" xfId="0" applyAlignment="1" applyBorder="1" applyFont="1" applyNumberFormat="1">
      <alignment horizontal="center" vertical="bottom"/>
    </xf>
    <xf borderId="46" fillId="11" fontId="16" numFmtId="3" xfId="0" applyAlignment="1" applyBorder="1" applyFont="1" applyNumberFormat="1">
      <alignment horizontal="center" vertical="bottom"/>
    </xf>
    <xf borderId="46" fillId="17" fontId="4" numFmtId="9" xfId="0" applyAlignment="1" applyBorder="1" applyFont="1" applyNumberFormat="1">
      <alignment horizontal="center" vertical="bottom"/>
    </xf>
    <xf borderId="46" fillId="13" fontId="4" numFmtId="0" xfId="0" applyAlignment="1" applyBorder="1" applyFont="1">
      <alignment horizontal="center" vertical="bottom"/>
    </xf>
    <xf borderId="46" fillId="12" fontId="35" numFmtId="0" xfId="0" applyAlignment="1" applyBorder="1" applyFont="1">
      <alignment horizontal="center" vertical="bottom"/>
    </xf>
    <xf borderId="46" fillId="11" fontId="35" numFmtId="3" xfId="0" applyAlignment="1" applyBorder="1" applyFont="1" applyNumberFormat="1">
      <alignment horizontal="center" vertical="bottom"/>
    </xf>
    <xf borderId="46" fillId="17" fontId="35" numFmtId="9" xfId="0" applyAlignment="1" applyBorder="1" applyFont="1" applyNumberFormat="1">
      <alignment horizontal="center" vertical="bottom"/>
    </xf>
    <xf borderId="46" fillId="13" fontId="35" numFmtId="0" xfId="0" applyAlignment="1" applyBorder="1" applyFont="1">
      <alignment horizontal="center" vertical="bottom"/>
    </xf>
    <xf borderId="46" fillId="17" fontId="36" numFmtId="9" xfId="0" applyAlignment="1" applyBorder="1" applyFont="1" applyNumberFormat="1">
      <alignment horizontal="center" vertical="bottom"/>
    </xf>
    <xf borderId="46" fillId="17" fontId="2" numFmtId="9" xfId="0" applyAlignment="1" applyBorder="1" applyFont="1" applyNumberFormat="1">
      <alignment horizontal="center" vertical="bottom"/>
    </xf>
    <xf borderId="46" fillId="2" fontId="4" numFmtId="1" xfId="0" applyAlignment="1" applyBorder="1" applyFont="1" applyNumberFormat="1">
      <alignment horizontal="center" vertical="bottom"/>
    </xf>
    <xf borderId="50" fillId="11" fontId="16" numFmtId="3" xfId="0" applyAlignment="1" applyBorder="1" applyFont="1" applyNumberFormat="1">
      <alignment horizontal="center" vertical="bottom"/>
    </xf>
    <xf borderId="134" fillId="11" fontId="16" numFmtId="3" xfId="0" applyAlignment="1" applyBorder="1" applyFont="1" applyNumberFormat="1">
      <alignment horizontal="center" vertical="bottom"/>
    </xf>
    <xf borderId="24" fillId="8" fontId="34" numFmtId="0" xfId="0" applyAlignment="1" applyBorder="1" applyFont="1">
      <alignment horizontal="left" vertical="center"/>
    </xf>
    <xf borderId="24" fillId="6" fontId="6" numFmtId="0" xfId="0" applyAlignment="1" applyBorder="1" applyFont="1">
      <alignment horizontal="center" vertical="bottom"/>
    </xf>
    <xf borderId="24" fillId="11" fontId="6" numFmtId="0" xfId="0" applyAlignment="1" applyBorder="1" applyFont="1">
      <alignment horizontal="center" vertical="bottom"/>
    </xf>
    <xf borderId="24" fillId="34" fontId="6" numFmtId="0" xfId="0" applyAlignment="1" applyBorder="1" applyFont="1">
      <alignment horizontal="center" vertical="bottom"/>
    </xf>
    <xf borderId="24" fillId="3" fontId="6" numFmtId="0" xfId="0" applyAlignment="1" applyBorder="1" applyFont="1">
      <alignment horizontal="center" vertical="bottom"/>
    </xf>
    <xf borderId="24" fillId="4" fontId="35" numFmtId="3" xfId="0" applyAlignment="1" applyBorder="1" applyFont="1" applyNumberFormat="1">
      <alignment horizontal="center" vertical="bottom"/>
    </xf>
    <xf borderId="24" fillId="11" fontId="16" numFmtId="3" xfId="0" applyAlignment="1" applyBorder="1" applyFont="1" applyNumberFormat="1">
      <alignment horizontal="center" vertical="bottom"/>
    </xf>
    <xf borderId="24" fillId="17" fontId="4" numFmtId="9" xfId="0" applyAlignment="1" applyBorder="1" applyFont="1" applyNumberFormat="1">
      <alignment horizontal="center" vertical="bottom"/>
    </xf>
    <xf borderId="24" fillId="11" fontId="35" numFmtId="3" xfId="0" applyAlignment="1" applyBorder="1" applyFont="1" applyNumberFormat="1">
      <alignment horizontal="center" vertical="bottom"/>
    </xf>
    <xf borderId="24" fillId="17" fontId="35" numFmtId="9" xfId="0" applyAlignment="1" applyBorder="1" applyFont="1" applyNumberFormat="1">
      <alignment horizontal="center" vertical="bottom"/>
    </xf>
    <xf borderId="24" fillId="2" fontId="4" numFmtId="1" xfId="0" applyAlignment="1" applyBorder="1" applyFont="1" applyNumberFormat="1">
      <alignment horizontal="center" vertical="bottom"/>
    </xf>
    <xf borderId="145" fillId="11" fontId="16" numFmtId="3" xfId="0" applyAlignment="1" applyBorder="1" applyFont="1" applyNumberFormat="1">
      <alignment horizontal="center" vertical="bottom"/>
    </xf>
    <xf borderId="24" fillId="17" fontId="193" numFmtId="9" xfId="0" applyAlignment="1" applyBorder="1" applyFont="1" applyNumberFormat="1">
      <alignment horizontal="center" vertical="bottom"/>
    </xf>
    <xf borderId="24" fillId="17" fontId="36" numFmtId="9" xfId="0" applyAlignment="1" applyBorder="1" applyFont="1" applyNumberFormat="1">
      <alignment horizontal="center" vertical="bottom"/>
    </xf>
    <xf borderId="24" fillId="17" fontId="2" numFmtId="9" xfId="0" applyAlignment="1" applyBorder="1" applyFont="1" applyNumberFormat="1">
      <alignment horizontal="center" vertical="bottom"/>
    </xf>
    <xf borderId="24" fillId="17" fontId="209" numFmtId="9" xfId="0" applyAlignment="1" applyBorder="1" applyFont="1" applyNumberFormat="1">
      <alignment horizontal="center" vertical="bottom"/>
    </xf>
    <xf borderId="47" fillId="8" fontId="34" numFmtId="0" xfId="0" applyAlignment="1" applyBorder="1" applyFont="1">
      <alignment horizontal="left" vertical="center"/>
    </xf>
    <xf borderId="47" fillId="9" fontId="9" numFmtId="0" xfId="0" applyAlignment="1" applyBorder="1" applyFont="1">
      <alignment horizontal="left" vertical="center"/>
    </xf>
    <xf borderId="47" fillId="6" fontId="6" numFmtId="0" xfId="0" applyAlignment="1" applyBorder="1" applyFont="1">
      <alignment horizontal="center" vertical="bottom"/>
    </xf>
    <xf borderId="47" fillId="11" fontId="6" numFmtId="0" xfId="0" applyAlignment="1" applyBorder="1" applyFont="1">
      <alignment horizontal="center" vertical="bottom"/>
    </xf>
    <xf borderId="47" fillId="34" fontId="6" numFmtId="0" xfId="0" applyAlignment="1" applyBorder="1" applyFont="1">
      <alignment horizontal="center" vertical="bottom"/>
    </xf>
    <xf borderId="47" fillId="3" fontId="6" numFmtId="0" xfId="0" applyAlignment="1" applyBorder="1" applyFont="1">
      <alignment horizontal="center" vertical="bottom"/>
    </xf>
    <xf borderId="47" fillId="4" fontId="35" numFmtId="3" xfId="0" applyAlignment="1" applyBorder="1" applyFont="1" applyNumberFormat="1">
      <alignment horizontal="center" vertical="bottom"/>
    </xf>
    <xf borderId="47" fillId="11" fontId="16" numFmtId="3" xfId="0" applyAlignment="1" applyBorder="1" applyFont="1" applyNumberFormat="1">
      <alignment horizontal="center" vertical="bottom"/>
    </xf>
    <xf borderId="47" fillId="17" fontId="4" numFmtId="9" xfId="0" applyAlignment="1" applyBorder="1" applyFont="1" applyNumberFormat="1">
      <alignment horizontal="center" vertical="bottom"/>
    </xf>
    <xf borderId="47" fillId="11" fontId="35" numFmtId="3" xfId="0" applyAlignment="1" applyBorder="1" applyFont="1" applyNumberFormat="1">
      <alignment horizontal="center" vertical="bottom"/>
    </xf>
    <xf borderId="47" fillId="17" fontId="35" numFmtId="9" xfId="0" applyAlignment="1" applyBorder="1" applyFont="1" applyNumberFormat="1">
      <alignment horizontal="center" vertical="bottom"/>
    </xf>
    <xf borderId="47" fillId="17" fontId="35" numFmtId="0" xfId="0" applyAlignment="1" applyBorder="1" applyFont="1">
      <alignment horizontal="center" vertical="bottom"/>
    </xf>
    <xf borderId="47" fillId="17" fontId="4" numFmtId="0" xfId="0" applyAlignment="1" applyBorder="1" applyFont="1">
      <alignment horizontal="center" vertical="bottom"/>
    </xf>
    <xf borderId="47" fillId="2" fontId="4" numFmtId="1" xfId="0" applyAlignment="1" applyBorder="1" applyFont="1" applyNumberFormat="1">
      <alignment horizontal="center" vertical="bottom"/>
    </xf>
    <xf borderId="49" fillId="11" fontId="16" numFmtId="3" xfId="0" applyAlignment="1" applyBorder="1" applyFont="1" applyNumberFormat="1">
      <alignment horizontal="center" vertical="bottom"/>
    </xf>
    <xf borderId="42" fillId="8" fontId="16" numFmtId="0" xfId="0" applyAlignment="1" applyBorder="1" applyFont="1">
      <alignment horizontal="left" vertical="center"/>
    </xf>
    <xf borderId="42" fillId="9" fontId="9" numFmtId="0" xfId="0" applyAlignment="1" applyBorder="1" applyFont="1">
      <alignment horizontal="left" vertical="center"/>
    </xf>
    <xf borderId="42" fillId="6" fontId="6" numFmtId="0" xfId="0" applyAlignment="1" applyBorder="1" applyFont="1">
      <alignment horizontal="center" vertical="bottom"/>
    </xf>
    <xf borderId="42" fillId="11" fontId="6" numFmtId="0" xfId="0" applyAlignment="1" applyBorder="1" applyFont="1">
      <alignment horizontal="center" vertical="bottom"/>
    </xf>
    <xf borderId="42" fillId="34" fontId="6" numFmtId="0" xfId="0" applyAlignment="1" applyBorder="1" applyFont="1">
      <alignment horizontal="center" vertical="bottom"/>
    </xf>
    <xf borderId="42" fillId="3" fontId="6" numFmtId="0" xfId="0" applyAlignment="1" applyBorder="1" applyFont="1">
      <alignment horizontal="center" vertical="bottom"/>
    </xf>
    <xf borderId="42" fillId="4" fontId="35" numFmtId="3" xfId="0" applyAlignment="1" applyBorder="1" applyFont="1" applyNumberFormat="1">
      <alignment horizontal="center" vertical="bottom"/>
    </xf>
    <xf borderId="42" fillId="11" fontId="16" numFmtId="3" xfId="0" applyAlignment="1" applyBorder="1" applyFont="1" applyNumberFormat="1">
      <alignment horizontal="center" vertical="bottom"/>
    </xf>
    <xf borderId="42" fillId="17" fontId="4" numFmtId="9" xfId="0" applyAlignment="1" applyBorder="1" applyFont="1" applyNumberFormat="1">
      <alignment horizontal="center" vertical="bottom"/>
    </xf>
    <xf borderId="42" fillId="11" fontId="35" numFmtId="3" xfId="0" applyAlignment="1" applyBorder="1" applyFont="1" applyNumberFormat="1">
      <alignment horizontal="center" vertical="bottom"/>
    </xf>
    <xf borderId="42" fillId="17" fontId="35" numFmtId="9" xfId="0" applyAlignment="1" applyBorder="1" applyFont="1" applyNumberFormat="1">
      <alignment horizontal="center" vertical="bottom"/>
    </xf>
    <xf borderId="42" fillId="17" fontId="36" numFmtId="9" xfId="0" applyAlignment="1" applyBorder="1" applyFont="1" applyNumberFormat="1">
      <alignment horizontal="center" vertical="bottom"/>
    </xf>
    <xf borderId="24" fillId="8" fontId="16" numFmtId="0" xfId="0" applyAlignment="1" applyBorder="1" applyFont="1">
      <alignment horizontal="left" vertical="center"/>
    </xf>
    <xf borderId="303" fillId="11" fontId="16" numFmtId="3" xfId="0" applyAlignment="1" applyBorder="1" applyFont="1" applyNumberFormat="1">
      <alignment horizontal="center" vertical="bottom"/>
    </xf>
    <xf borderId="0" fillId="0" fontId="4" numFmtId="0" xfId="0" applyAlignment="1" applyFont="1">
      <alignment horizontal="left"/>
    </xf>
    <xf borderId="0" fillId="0" fontId="6" numFmtId="0" xfId="0" applyFont="1"/>
    <xf borderId="0" fillId="0" fontId="4" numFmtId="9" xfId="0" applyFont="1" applyNumberFormat="1"/>
    <xf borderId="0" fillId="0" fontId="4" numFmtId="1" xfId="0" applyAlignment="1" applyFont="1" applyNumberFormat="1">
      <alignment horizontal="center"/>
    </xf>
    <xf borderId="0" fillId="5" fontId="4" numFmtId="1" xfId="0" applyAlignment="1" applyFont="1" applyNumberFormat="1">
      <alignment horizontal="center"/>
    </xf>
    <xf borderId="0" fillId="7" fontId="4" numFmtId="1" xfId="0" applyAlignment="1" applyFont="1" applyNumberFormat="1">
      <alignment horizontal="center"/>
    </xf>
    <xf borderId="0" fillId="0" fontId="4" numFmtId="0" xfId="0" applyAlignment="1" applyFont="1">
      <alignment horizontal="left" vertical="bottom"/>
    </xf>
    <xf borderId="0" fillId="8" fontId="31" numFmtId="0" xfId="0" applyAlignment="1" applyFont="1">
      <alignment horizontal="left" shrinkToFit="0" wrapText="1"/>
    </xf>
    <xf borderId="0" fillId="8" fontId="9" numFmtId="0" xfId="0" applyAlignment="1" applyFont="1">
      <alignment horizontal="center" shrinkToFit="0" wrapText="1"/>
    </xf>
    <xf borderId="0" fillId="16" fontId="36" numFmtId="0" xfId="0" applyAlignment="1" applyFont="1">
      <alignment horizontal="center" shrinkToFit="0" vertical="bottom" wrapText="1"/>
    </xf>
    <xf borderId="110" fillId="5" fontId="9" numFmtId="0" xfId="0" applyAlignment="1" applyBorder="1" applyFont="1">
      <alignment horizontal="left" shrinkToFit="0" wrapText="1"/>
    </xf>
    <xf borderId="110" fillId="5" fontId="36" numFmtId="0" xfId="0" applyAlignment="1" applyBorder="1" applyFont="1">
      <alignment horizontal="center" shrinkToFit="0" vertical="bottom" wrapText="1"/>
    </xf>
    <xf borderId="110" fillId="5" fontId="37" numFmtId="0" xfId="0" applyAlignment="1" applyBorder="1" applyFont="1">
      <alignment horizontal="center" shrinkToFit="0" vertical="bottom" wrapText="1"/>
    </xf>
    <xf borderId="110" fillId="5" fontId="31" numFmtId="0" xfId="0" applyAlignment="1" applyBorder="1" applyFont="1">
      <alignment horizontal="center" shrinkToFit="0" vertical="bottom" wrapText="1"/>
    </xf>
    <xf borderId="2" fillId="5" fontId="5" numFmtId="0" xfId="0" applyAlignment="1" applyBorder="1" applyFont="1">
      <alignment horizontal="left"/>
    </xf>
    <xf borderId="2" fillId="5" fontId="35" numFmtId="0" xfId="0" applyAlignment="1" applyBorder="1" applyFont="1">
      <alignment horizontal="center" vertical="bottom"/>
    </xf>
    <xf borderId="6" fillId="5" fontId="35" numFmtId="0" xfId="0" applyAlignment="1" applyBorder="1" applyFont="1">
      <alignment horizontal="center" vertical="bottom"/>
    </xf>
    <xf borderId="2" fillId="5" fontId="9" numFmtId="0" xfId="0" applyAlignment="1" applyBorder="1" applyFont="1">
      <alignment horizontal="center" vertical="bottom"/>
    </xf>
    <xf borderId="6" fillId="5" fontId="9" numFmtId="0" xfId="0" applyAlignment="1" applyBorder="1" applyFont="1">
      <alignment horizontal="center" vertical="bottom"/>
    </xf>
    <xf borderId="4" fillId="5" fontId="9" numFmtId="0" xfId="0" applyAlignment="1" applyBorder="1" applyFont="1">
      <alignment horizontal="left"/>
    </xf>
    <xf borderId="4" fillId="5" fontId="35" numFmtId="0" xfId="0" applyAlignment="1" applyBorder="1" applyFont="1">
      <alignment horizontal="center" vertical="bottom"/>
    </xf>
    <xf borderId="4" fillId="5" fontId="9" numFmtId="0" xfId="0" applyAlignment="1" applyBorder="1" applyFont="1">
      <alignment horizontal="center" vertical="bottom"/>
    </xf>
    <xf borderId="4" fillId="5" fontId="9" numFmtId="0" xfId="0" applyAlignment="1" applyBorder="1" applyFont="1">
      <alignment horizontal="left" vertical="bottom"/>
    </xf>
    <xf borderId="4" fillId="5" fontId="35" numFmtId="0" xfId="0" applyAlignment="1" applyBorder="1" applyFont="1">
      <alignment horizontal="center" shrinkToFit="0" vertical="bottom" wrapText="1"/>
    </xf>
    <xf borderId="4" fillId="5" fontId="9" numFmtId="0" xfId="0" applyAlignment="1" applyBorder="1" applyFont="1">
      <alignment horizontal="center" shrinkToFit="0" vertical="bottom" wrapText="1"/>
    </xf>
    <xf borderId="4" fillId="5" fontId="35" numFmtId="0" xfId="0" applyAlignment="1" applyBorder="1" applyFont="1">
      <alignment horizontal="center"/>
    </xf>
    <xf borderId="5" fillId="5" fontId="35" numFmtId="0" xfId="0" applyAlignment="1" applyBorder="1" applyFont="1">
      <alignment horizontal="center" vertical="bottom"/>
    </xf>
    <xf borderId="5" fillId="5" fontId="9" numFmtId="0" xfId="0" applyAlignment="1" applyBorder="1" applyFont="1">
      <alignment horizontal="center" vertical="bottom"/>
    </xf>
    <xf borderId="6" fillId="0" fontId="65" numFmtId="0" xfId="0" applyBorder="1" applyFont="1"/>
    <xf borderId="4" fillId="5" fontId="35" numFmtId="49" xfId="0" applyAlignment="1" applyBorder="1" applyFont="1" applyNumberFormat="1">
      <alignment horizontal="center" vertical="bottom"/>
    </xf>
    <xf borderId="4" fillId="5" fontId="9" numFmtId="49" xfId="0" applyAlignment="1" applyBorder="1" applyFont="1" applyNumberFormat="1">
      <alignment horizontal="center" vertical="bottom"/>
    </xf>
    <xf borderId="4" fillId="5" fontId="5" numFmtId="164" xfId="0" applyAlignment="1" applyBorder="1" applyFont="1" applyNumberFormat="1">
      <alignment horizontal="left" vertical="bottom"/>
    </xf>
    <xf borderId="4" fillId="5" fontId="5" numFmtId="0" xfId="0" applyAlignment="1" applyBorder="1" applyFont="1">
      <alignment horizontal="left" vertical="bottom"/>
    </xf>
    <xf borderId="4" fillId="5" fontId="5" numFmtId="165" xfId="0" applyAlignment="1" applyBorder="1" applyFont="1" applyNumberFormat="1">
      <alignment horizontal="left" vertical="bottom"/>
    </xf>
    <xf borderId="4" fillId="5" fontId="31" numFmtId="0" xfId="0" applyAlignment="1" applyBorder="1" applyFont="1">
      <alignment horizontal="left" vertical="bottom"/>
    </xf>
    <xf borderId="4" fillId="5" fontId="138" numFmtId="0" xfId="0" applyAlignment="1" applyBorder="1" applyFont="1">
      <alignment horizontal="center" vertical="bottom"/>
    </xf>
    <xf borderId="4" fillId="5" fontId="5" numFmtId="0" xfId="0" applyAlignment="1" applyBorder="1" applyFont="1">
      <alignment horizontal="center" vertical="bottom"/>
    </xf>
    <xf borderId="4" fillId="5" fontId="64" numFmtId="0" xfId="0" applyAlignment="1" applyBorder="1" applyFont="1">
      <alignment horizontal="center" vertical="bottom"/>
    </xf>
    <xf borderId="8" fillId="5" fontId="31" numFmtId="0" xfId="0" applyAlignment="1" applyBorder="1" applyFont="1">
      <alignment horizontal="left" vertical="bottom"/>
    </xf>
    <xf borderId="8" fillId="5" fontId="35" numFmtId="0" xfId="0" applyAlignment="1" applyBorder="1" applyFont="1">
      <alignment horizontal="center"/>
    </xf>
    <xf borderId="8" fillId="5" fontId="35" numFmtId="0" xfId="0" applyAlignment="1" applyBorder="1" applyFont="1">
      <alignment horizontal="center" vertical="bottom"/>
    </xf>
    <xf borderId="8" fillId="5" fontId="9" numFmtId="0" xfId="0" applyAlignment="1" applyBorder="1" applyFont="1">
      <alignment horizontal="center"/>
    </xf>
    <xf borderId="8" fillId="5" fontId="9" numFmtId="0" xfId="0" applyAlignment="1" applyBorder="1" applyFont="1">
      <alignment horizontal="center" vertical="bottom"/>
    </xf>
    <xf borderId="0" fillId="5" fontId="16" numFmtId="0" xfId="0" applyFont="1"/>
    <xf borderId="189" fillId="8" fontId="9" numFmtId="0" xfId="0" applyAlignment="1" applyBorder="1" applyFont="1">
      <alignment horizontal="center" shrinkToFit="0" wrapText="1"/>
    </xf>
    <xf borderId="304" fillId="0" fontId="65" numFmtId="0" xfId="0" applyBorder="1" applyFont="1"/>
    <xf borderId="305" fillId="0" fontId="65" numFmtId="0" xfId="0" applyBorder="1" applyFont="1"/>
    <xf borderId="189" fillId="16" fontId="36" numFmtId="0" xfId="0" applyAlignment="1" applyBorder="1" applyFont="1">
      <alignment horizontal="center" shrinkToFit="0" vertical="bottom" wrapText="1"/>
    </xf>
    <xf borderId="10" fillId="5" fontId="9" numFmtId="0" xfId="0" applyAlignment="1" applyBorder="1" applyFont="1">
      <alignment horizontal="left" shrinkToFit="0" wrapText="1"/>
    </xf>
    <xf borderId="10" fillId="5" fontId="36" numFmtId="0" xfId="0" applyAlignment="1" applyBorder="1" applyFont="1">
      <alignment horizontal="center" shrinkToFit="0" vertical="bottom" wrapText="1"/>
    </xf>
    <xf borderId="10" fillId="5" fontId="37" numFmtId="0" xfId="0" applyAlignment="1" applyBorder="1" applyFont="1">
      <alignment horizontal="center" shrinkToFit="0" vertical="bottom" wrapText="1"/>
    </xf>
    <xf borderId="10" fillId="5" fontId="31" numFmtId="0" xfId="0" applyAlignment="1" applyBorder="1" applyFont="1">
      <alignment horizontal="center" shrinkToFit="0" vertical="bottom" wrapText="1"/>
    </xf>
    <xf borderId="10" fillId="2" fontId="9" numFmtId="0" xfId="0" applyAlignment="1" applyBorder="1" applyFont="1">
      <alignment horizontal="left"/>
    </xf>
    <xf borderId="10" fillId="16" fontId="35" numFmtId="0" xfId="0" applyAlignment="1" applyBorder="1" applyFont="1">
      <alignment horizontal="center" vertical="bottom"/>
    </xf>
    <xf borderId="10" fillId="17" fontId="16" numFmtId="0" xfId="0" applyAlignment="1" applyBorder="1" applyFont="1">
      <alignment horizontal="center" vertical="bottom"/>
    </xf>
    <xf borderId="10" fillId="0" fontId="4" numFmtId="0" xfId="0" applyBorder="1" applyFont="1"/>
    <xf borderId="10" fillId="2" fontId="9" numFmtId="0" xfId="0" applyAlignment="1" applyBorder="1" applyFont="1">
      <alignment horizontal="left" vertical="bottom"/>
    </xf>
    <xf borderId="10" fillId="2" fontId="35" numFmtId="0" xfId="0" applyAlignment="1" applyBorder="1" applyFont="1">
      <alignment horizontal="center" shrinkToFit="0" vertical="bottom" wrapText="1"/>
    </xf>
    <xf borderId="10" fillId="16" fontId="35" numFmtId="0" xfId="0" applyAlignment="1" applyBorder="1" applyFont="1">
      <alignment horizontal="center"/>
    </xf>
    <xf borderId="10" fillId="15" fontId="35" numFmtId="0" xfId="0" applyAlignment="1" applyBorder="1" applyFont="1">
      <alignment horizontal="center" vertical="bottom"/>
    </xf>
    <xf borderId="10" fillId="15" fontId="16" numFmtId="0" xfId="0" applyAlignment="1" applyBorder="1" applyFont="1">
      <alignment horizontal="center" vertical="bottom"/>
    </xf>
    <xf borderId="10" fillId="7" fontId="9" numFmtId="0" xfId="0" applyAlignment="1" applyBorder="1" applyFont="1">
      <alignment horizontal="left" vertical="bottom"/>
    </xf>
    <xf borderId="10" fillId="17" fontId="186" numFmtId="0" xfId="0" applyAlignment="1" applyBorder="1" applyFont="1">
      <alignment horizontal="center" vertical="bottom"/>
    </xf>
    <xf borderId="10" fillId="16" fontId="35" numFmtId="49" xfId="0" applyAlignment="1" applyBorder="1" applyFont="1" applyNumberFormat="1">
      <alignment horizontal="center" vertical="bottom"/>
    </xf>
    <xf borderId="10" fillId="9" fontId="9" numFmtId="0" xfId="0" applyAlignment="1" applyBorder="1" applyFont="1">
      <alignment horizontal="left"/>
    </xf>
    <xf borderId="10" fillId="14" fontId="35" numFmtId="0" xfId="0" applyAlignment="1" applyBorder="1" applyFont="1">
      <alignment horizontal="center" vertical="bottom"/>
    </xf>
    <xf borderId="10" fillId="14" fontId="16" numFmtId="0" xfId="0" applyAlignment="1" applyBorder="1" applyFont="1">
      <alignment horizontal="center" vertical="bottom"/>
    </xf>
    <xf borderId="10" fillId="7" fontId="9" numFmtId="0" xfId="0" applyAlignment="1" applyBorder="1" applyFont="1">
      <alignment horizontal="left"/>
    </xf>
    <xf borderId="10" fillId="6" fontId="4" numFmtId="0" xfId="0" applyBorder="1" applyFont="1"/>
    <xf borderId="10" fillId="6" fontId="9" numFmtId="0" xfId="0" applyAlignment="1" applyBorder="1" applyFont="1">
      <alignment horizontal="left"/>
    </xf>
    <xf borderId="10" fillId="7" fontId="16" numFmtId="0" xfId="0" applyAlignment="1" applyBorder="1" applyFont="1">
      <alignment horizontal="center" vertical="bottom"/>
    </xf>
    <xf borderId="10" fillId="6" fontId="9" numFmtId="0" xfId="0" applyAlignment="1" applyBorder="1" applyFont="1">
      <alignment horizontal="left" vertical="bottom"/>
    </xf>
    <xf borderId="10" fillId="9" fontId="35" numFmtId="0" xfId="0" applyAlignment="1" applyBorder="1" applyFont="1">
      <alignment horizontal="center" shrinkToFit="0" vertical="bottom" wrapText="1"/>
    </xf>
    <xf borderId="10" fillId="17" fontId="16" numFmtId="0" xfId="0" applyAlignment="1" applyBorder="1" applyFont="1">
      <alignment horizontal="center" shrinkToFit="0" vertical="bottom" wrapText="1"/>
    </xf>
    <xf borderId="10" fillId="4" fontId="35" numFmtId="0" xfId="0" applyAlignment="1" applyBorder="1" applyFont="1">
      <alignment horizontal="center" vertical="bottom"/>
    </xf>
    <xf borderId="10" fillId="18" fontId="16" numFmtId="0" xfId="0" applyAlignment="1" applyBorder="1" applyFont="1">
      <alignment horizontal="center" vertical="bottom"/>
    </xf>
    <xf borderId="10" fillId="7" fontId="35" numFmtId="0" xfId="0" applyAlignment="1" applyBorder="1" applyFont="1">
      <alignment horizontal="center" vertical="bottom"/>
    </xf>
    <xf borderId="10" fillId="5" fontId="35" numFmtId="49" xfId="0" applyAlignment="1" applyBorder="1" applyFont="1" applyNumberFormat="1">
      <alignment horizontal="center" vertical="bottom"/>
    </xf>
    <xf borderId="10" fillId="5" fontId="16" numFmtId="0" xfId="0" applyAlignment="1" applyBorder="1" applyFont="1">
      <alignment horizontal="center" vertical="bottom"/>
    </xf>
    <xf borderId="10" fillId="25" fontId="4" numFmtId="0" xfId="0" applyBorder="1" applyFont="1"/>
    <xf borderId="10" fillId="5" fontId="35" numFmtId="0" xfId="0" applyAlignment="1" applyBorder="1" applyFont="1">
      <alignment horizontal="center"/>
    </xf>
    <xf borderId="10" fillId="5" fontId="35" numFmtId="0" xfId="0" applyAlignment="1" applyBorder="1" applyFont="1">
      <alignment horizontal="center" vertical="bottom"/>
    </xf>
    <xf borderId="10" fillId="7" fontId="35" numFmtId="0" xfId="0" applyAlignment="1" applyBorder="1" applyFont="1">
      <alignment horizontal="center"/>
    </xf>
    <xf borderId="10" fillId="14" fontId="4" numFmtId="0" xfId="0" applyBorder="1" applyFont="1"/>
    <xf borderId="10" fillId="16" fontId="5" numFmtId="164" xfId="0" applyAlignment="1" applyBorder="1" applyFont="1" applyNumberFormat="1">
      <alignment horizontal="left" vertical="bottom"/>
    </xf>
    <xf borderId="10" fillId="19" fontId="35" numFmtId="0" xfId="0" applyAlignment="1" applyBorder="1" applyFont="1">
      <alignment horizontal="center" vertical="bottom"/>
    </xf>
    <xf borderId="10" fillId="16" fontId="5" numFmtId="0" xfId="0" applyAlignment="1" applyBorder="1" applyFont="1">
      <alignment horizontal="left" vertical="bottom"/>
    </xf>
    <xf borderId="10" fillId="16" fontId="5" numFmtId="165" xfId="0" applyAlignment="1" applyBorder="1" applyFont="1" applyNumberFormat="1">
      <alignment horizontal="left" vertical="bottom"/>
    </xf>
    <xf borderId="10" fillId="19" fontId="35" numFmtId="0" xfId="0" applyAlignment="1" applyBorder="1" applyFont="1">
      <alignment horizontal="center"/>
    </xf>
    <xf borderId="10" fillId="7" fontId="5" numFmtId="0" xfId="0" applyAlignment="1" applyBorder="1" applyFont="1">
      <alignment horizontal="left" vertical="bottom"/>
    </xf>
    <xf borderId="10" fillId="20" fontId="31" numFmtId="0" xfId="0" applyAlignment="1" applyBorder="1" applyFont="1">
      <alignment horizontal="left" vertical="bottom"/>
    </xf>
    <xf borderId="10" fillId="15" fontId="4" numFmtId="0" xfId="0" applyBorder="1" applyFont="1"/>
    <xf borderId="10" fillId="2" fontId="138" numFmtId="0" xfId="0" applyAlignment="1" applyBorder="1" applyFont="1">
      <alignment horizontal="center" vertical="bottom"/>
    </xf>
    <xf borderId="10" fillId="17" fontId="139" numFmtId="0" xfId="0" applyAlignment="1" applyBorder="1" applyFont="1">
      <alignment horizontal="center" vertical="bottom"/>
    </xf>
    <xf borderId="10" fillId="4" fontId="4" numFmtId="0" xfId="0" applyBorder="1" applyFont="1"/>
    <xf borderId="10" fillId="17" fontId="4" numFmtId="0" xfId="0" applyBorder="1" applyFont="1"/>
    <xf borderId="10" fillId="0" fontId="209" numFmtId="0" xfId="0" applyBorder="1" applyFont="1"/>
    <xf borderId="10" fillId="2" fontId="35" numFmtId="0" xfId="0" applyAlignment="1" applyBorder="1" applyFont="1">
      <alignment horizontal="center"/>
    </xf>
    <xf borderId="10" fillId="9" fontId="35" numFmtId="0" xfId="0" applyAlignment="1" applyBorder="1" applyFont="1">
      <alignment horizontal="center"/>
    </xf>
    <xf borderId="10" fillId="17" fontId="16" numFmtId="0" xfId="0" applyAlignment="1" applyBorder="1" applyFont="1">
      <alignment horizontal="center"/>
    </xf>
    <xf borderId="10" fillId="19" fontId="16" numFmtId="0" xfId="0" applyAlignment="1" applyBorder="1" applyFont="1">
      <alignment horizontal="center" vertical="bottom"/>
    </xf>
    <xf borderId="306" fillId="20" fontId="31" numFmtId="0" xfId="0" applyAlignment="1" applyBorder="1" applyFont="1">
      <alignment horizontal="left" vertical="bottom"/>
    </xf>
    <xf borderId="306" fillId="19" fontId="35" numFmtId="0" xfId="0" applyAlignment="1" applyBorder="1" applyFont="1">
      <alignment horizontal="center"/>
    </xf>
    <xf borderId="306" fillId="19" fontId="35" numFmtId="0" xfId="0" applyAlignment="1" applyBorder="1" applyFont="1">
      <alignment horizontal="center" vertical="bottom"/>
    </xf>
    <xf borderId="306" fillId="19" fontId="16" numFmtId="0" xfId="0" applyAlignment="1" applyBorder="1" applyFont="1">
      <alignment horizontal="center" vertical="bottom"/>
    </xf>
    <xf borderId="306" fillId="0" fontId="4" numFmtId="0" xfId="0" applyBorder="1" applyFont="1"/>
    <xf borderId="0" fillId="0" fontId="31" numFmtId="0" xfId="0" applyAlignment="1" applyFont="1">
      <alignment horizontal="left" shrinkToFit="0" wrapText="1"/>
    </xf>
    <xf borderId="10" fillId="2" fontId="4" numFmtId="0" xfId="0" applyBorder="1" applyFont="1"/>
    <xf borderId="10" fillId="23" fontId="4" numFmtId="0" xfId="0" applyBorder="1" applyFont="1"/>
    <xf borderId="10" fillId="53" fontId="35" numFmtId="0" xfId="0" applyAlignment="1" applyBorder="1" applyFill="1" applyFont="1">
      <alignment horizontal="center" vertical="bottom"/>
    </xf>
    <xf borderId="10" fillId="53" fontId="16" numFmtId="0" xfId="0" applyAlignment="1" applyBorder="1" applyFont="1">
      <alignment horizontal="center" vertical="bottom"/>
    </xf>
    <xf borderId="10" fillId="53" fontId="4" numFmtId="0" xfId="0" applyBorder="1" applyFont="1"/>
    <xf borderId="10" fillId="14" fontId="9" numFmtId="0" xfId="0" applyAlignment="1" applyBorder="1" applyFont="1">
      <alignment horizontal="left" vertical="bottom"/>
    </xf>
    <xf borderId="10" fillId="21" fontId="4" numFmtId="0" xfId="0" applyBorder="1" applyFont="1"/>
    <xf borderId="10" fillId="53" fontId="35" numFmtId="0" xfId="0" applyAlignment="1" applyBorder="1" applyFont="1">
      <alignment horizontal="center" shrinkToFit="0" vertical="bottom" wrapText="1"/>
    </xf>
    <xf borderId="10" fillId="53" fontId="16" numFmtId="0" xfId="0" applyAlignment="1" applyBorder="1" applyFont="1">
      <alignment horizontal="center" shrinkToFit="0" vertical="bottom" wrapText="1"/>
    </xf>
    <xf borderId="10" fillId="15" fontId="35" numFmtId="0" xfId="0" applyAlignment="1" applyBorder="1" applyFont="1">
      <alignment horizontal="center"/>
    </xf>
    <xf borderId="10" fillId="0" fontId="193" numFmtId="0" xfId="0" applyBorder="1" applyFont="1"/>
    <xf borderId="306" fillId="2" fontId="4" numFmtId="0" xfId="0" applyBorder="1" applyFont="1"/>
    <xf borderId="10" fillId="23" fontId="4" numFmtId="49" xfId="0" applyBorder="1" applyFont="1" applyNumberFormat="1"/>
    <xf borderId="30" fillId="17" fontId="139" numFmtId="0" xfId="0" applyAlignment="1" applyBorder="1" applyFont="1">
      <alignment horizontal="center" vertical="bottom"/>
    </xf>
    <xf borderId="0" fillId="54" fontId="4" numFmtId="0" xfId="0" applyFill="1" applyFont="1"/>
    <xf borderId="34" fillId="0" fontId="4" numFmtId="0" xfId="0" applyBorder="1" applyFont="1"/>
    <xf borderId="10" fillId="5" fontId="4" numFmtId="0" xfId="0" applyBorder="1" applyFont="1"/>
    <xf borderId="10" fillId="19" fontId="35" numFmtId="49" xfId="0" applyAlignment="1" applyBorder="1" applyFont="1" applyNumberFormat="1">
      <alignment horizontal="center" vertical="bottom"/>
    </xf>
    <xf borderId="10" fillId="19" fontId="4" numFmtId="0" xfId="0" applyBorder="1" applyFont="1"/>
    <xf borderId="10" fillId="19" fontId="193" numFmtId="0" xfId="0" applyBorder="1" applyFont="1"/>
    <xf borderId="10" fillId="53" fontId="35" numFmtId="0" xfId="0" applyAlignment="1" applyBorder="1" applyFont="1">
      <alignment horizontal="center"/>
    </xf>
    <xf borderId="31" fillId="0" fontId="4" numFmtId="0" xfId="0" applyBorder="1" applyFont="1"/>
    <xf borderId="26" fillId="0" fontId="4" numFmtId="0" xfId="0" applyBorder="1" applyFont="1"/>
    <xf borderId="0" fillId="17" fontId="4" numFmtId="0" xfId="0" applyAlignment="1" applyFont="1">
      <alignment horizontal="center"/>
    </xf>
    <xf borderId="10" fillId="6" fontId="9" numFmtId="176" xfId="0" applyAlignment="1" applyBorder="1" applyFont="1" applyNumberFormat="1">
      <alignment horizontal="left" vertical="bottom"/>
    </xf>
    <xf borderId="22" fillId="2" fontId="5" numFmtId="0" xfId="0" applyAlignment="1" applyBorder="1" applyFont="1">
      <alignment horizontal="left"/>
    </xf>
    <xf borderId="191" fillId="2" fontId="5" numFmtId="0" xfId="0" applyAlignment="1" applyBorder="1" applyFont="1">
      <alignment horizontal="left"/>
    </xf>
    <xf borderId="191" fillId="0" fontId="4" numFmtId="0" xfId="0" applyAlignment="1" applyBorder="1" applyFont="1">
      <alignment horizontal="center"/>
    </xf>
    <xf borderId="191" fillId="0" fontId="4" numFmtId="0" xfId="0" applyAlignment="1" applyBorder="1" applyFont="1">
      <alignment shrinkToFit="0" wrapText="1"/>
    </xf>
    <xf borderId="191" fillId="0" fontId="4" numFmtId="0" xfId="0" applyBorder="1" applyFont="1"/>
    <xf borderId="51" fillId="0" fontId="4" numFmtId="0" xfId="0" applyBorder="1" applyFont="1"/>
    <xf borderId="6" fillId="2" fontId="5" numFmtId="0" xfId="0" applyAlignment="1" applyBorder="1" applyFont="1">
      <alignment horizontal="left"/>
    </xf>
    <xf borderId="280" fillId="0" fontId="4" numFmtId="0" xfId="0" applyAlignment="1" applyBorder="1" applyFont="1">
      <alignment horizontal="center"/>
    </xf>
    <xf borderId="30" fillId="0" fontId="4" numFmtId="0" xfId="0" applyAlignment="1" applyBorder="1" applyFont="1">
      <alignment shrinkToFit="0" wrapText="1"/>
    </xf>
    <xf borderId="307" fillId="0" fontId="4" numFmtId="177" xfId="0" applyBorder="1" applyFont="1" applyNumberFormat="1"/>
    <xf borderId="0" fillId="0" fontId="4" numFmtId="177" xfId="0" applyFont="1" applyNumberFormat="1"/>
    <xf borderId="179" fillId="0" fontId="4" numFmtId="0" xfId="0" applyBorder="1" applyFont="1"/>
    <xf borderId="126" fillId="0" fontId="4" numFmtId="0" xfId="0" applyAlignment="1" applyBorder="1" applyFont="1">
      <alignment horizontal="center"/>
    </xf>
    <xf borderId="307" fillId="0" fontId="4" numFmtId="178" xfId="0" applyBorder="1" applyFont="1" applyNumberFormat="1"/>
    <xf borderId="307" fillId="0" fontId="4" numFmtId="0" xfId="0" applyBorder="1" applyFont="1"/>
    <xf borderId="307" fillId="0" fontId="4" numFmtId="172" xfId="0" applyBorder="1" applyFont="1" applyNumberFormat="1"/>
    <xf borderId="307" fillId="0" fontId="4" numFmtId="173" xfId="0" applyBorder="1" applyFont="1" applyNumberFormat="1"/>
    <xf borderId="307" fillId="0" fontId="4" numFmtId="175" xfId="0" applyBorder="1" applyFont="1" applyNumberFormat="1"/>
    <xf borderId="4" fillId="25" fontId="9" numFmtId="0" xfId="0" applyAlignment="1" applyBorder="1" applyFont="1">
      <alignment horizontal="left" vertical="bottom"/>
    </xf>
    <xf borderId="4" fillId="55" fontId="9" numFmtId="0" xfId="0" applyAlignment="1" applyBorder="1" applyFill="1" applyFont="1">
      <alignment horizontal="left" vertical="bottom"/>
    </xf>
    <xf borderId="126" fillId="7" fontId="5" numFmtId="0" xfId="0" applyAlignment="1" applyBorder="1" applyFont="1">
      <alignment horizontal="center"/>
    </xf>
    <xf borderId="307" fillId="0" fontId="65" numFmtId="0" xfId="0" applyBorder="1" applyFont="1"/>
    <xf borderId="11" fillId="7" fontId="5" numFmtId="0" xfId="0" applyAlignment="1" applyBorder="1" applyFont="1">
      <alignment horizontal="left"/>
    </xf>
    <xf borderId="45" fillId="7" fontId="5" numFmtId="0" xfId="0" applyAlignment="1" applyBorder="1" applyFont="1">
      <alignment horizontal="center"/>
    </xf>
    <xf borderId="0" fillId="6" fontId="4" numFmtId="172" xfId="0" applyFont="1" applyNumberFormat="1"/>
    <xf borderId="0" fillId="6" fontId="4" numFmtId="173" xfId="0" applyFont="1" applyNumberFormat="1"/>
    <xf borderId="0" fillId="25" fontId="4" numFmtId="177" xfId="0" applyFont="1" applyNumberFormat="1"/>
    <xf borderId="2" fillId="7" fontId="9" numFmtId="0" xfId="0" applyAlignment="1" applyBorder="1" applyFont="1">
      <alignment horizontal="left" vertical="bottom"/>
    </xf>
    <xf borderId="113" fillId="11" fontId="4" numFmtId="0" xfId="0" applyAlignment="1" applyBorder="1" applyFont="1">
      <alignment horizontal="center"/>
    </xf>
    <xf borderId="126" fillId="11" fontId="4" numFmtId="0" xfId="0" applyAlignment="1" applyBorder="1" applyFont="1">
      <alignment horizontal="center"/>
    </xf>
    <xf borderId="248" fillId="11" fontId="4" numFmtId="0" xfId="0" applyAlignment="1" applyBorder="1" applyFont="1">
      <alignment horizontal="center"/>
    </xf>
    <xf borderId="25" fillId="0" fontId="4" numFmtId="0" xfId="0" applyAlignment="1" applyBorder="1" applyFont="1">
      <alignment horizontal="center"/>
    </xf>
    <xf borderId="45" fillId="0" fontId="4" numFmtId="0" xfId="0" applyAlignment="1" applyBorder="1" applyFont="1">
      <alignment horizontal="center"/>
    </xf>
    <xf borderId="113" fillId="0" fontId="4" numFmtId="0" xfId="0" applyAlignment="1" applyBorder="1" applyFont="1">
      <alignment horizontal="center"/>
    </xf>
    <xf borderId="136" fillId="0" fontId="4" numFmtId="0" xfId="0" applyAlignment="1" applyBorder="1" applyFont="1">
      <alignment horizontal="center"/>
    </xf>
    <xf borderId="113" fillId="4" fontId="4" numFmtId="0" xfId="0" applyAlignment="1" applyBorder="1" applyFont="1">
      <alignment horizontal="center"/>
    </xf>
    <xf borderId="126" fillId="4" fontId="4" numFmtId="0" xfId="0" applyAlignment="1" applyBorder="1" applyFont="1">
      <alignment horizontal="center"/>
    </xf>
    <xf borderId="248" fillId="4" fontId="4" numFmtId="0" xfId="0" applyAlignment="1" applyBorder="1" applyFont="1">
      <alignment horizontal="center"/>
    </xf>
    <xf borderId="280" fillId="4" fontId="4" numFmtId="0" xfId="0" applyAlignment="1" applyBorder="1" applyFont="1">
      <alignment horizontal="center"/>
    </xf>
    <xf borderId="0" fillId="6" fontId="4" numFmtId="177" xfId="0" applyFont="1" applyNumberFormat="1"/>
    <xf borderId="41" fillId="0" fontId="4" numFmtId="0" xfId="0" applyAlignment="1" applyBorder="1" applyFont="1">
      <alignment shrinkToFit="0" wrapText="1"/>
    </xf>
    <xf borderId="193" fillId="0" fontId="4" numFmtId="0" xfId="0" applyBorder="1" applyFont="1"/>
    <xf borderId="38" fillId="0" fontId="4" numFmtId="0" xfId="0" applyBorder="1" applyFont="1"/>
    <xf borderId="308" fillId="0" fontId="4" numFmtId="0" xfId="0" applyBorder="1" applyFont="1"/>
    <xf borderId="0" fillId="0" fontId="4" numFmtId="0" xfId="0" applyAlignment="1" applyFont="1">
      <alignment shrinkToFit="0" wrapText="1"/>
    </xf>
    <xf borderId="0" fillId="0" fontId="4" numFmtId="179" xfId="0" applyFont="1" applyNumberFormat="1"/>
    <xf borderId="0" fillId="0" fontId="4" numFmtId="10" xfId="0" applyFont="1" applyNumberFormat="1"/>
    <xf borderId="0" fillId="0" fontId="4" numFmtId="180" xfId="0" applyFont="1" applyNumberFormat="1"/>
    <xf borderId="0" fillId="0" fontId="4" numFmtId="181" xfId="0" applyFont="1" applyNumberFormat="1"/>
    <xf borderId="106" fillId="16" fontId="215" numFmtId="0" xfId="0" applyAlignment="1" applyBorder="1" applyFont="1">
      <alignment horizontal="left" vertical="top"/>
    </xf>
    <xf borderId="104" fillId="0" fontId="65" numFmtId="0" xfId="0" applyBorder="1" applyFont="1"/>
    <xf borderId="106" fillId="17" fontId="215" numFmtId="0" xfId="0" applyAlignment="1" applyBorder="1" applyFont="1">
      <alignment horizontal="left" vertical="top"/>
    </xf>
    <xf borderId="110" fillId="0" fontId="4" numFmtId="0" xfId="0" applyAlignment="1" applyBorder="1" applyFont="1">
      <alignment vertical="top"/>
    </xf>
    <xf borderId="110" fillId="0" fontId="9" numFmtId="0" xfId="0" applyAlignment="1" applyBorder="1" applyFont="1">
      <alignment horizontal="center" shrinkToFit="0" vertical="top" wrapText="1"/>
    </xf>
    <xf borderId="110" fillId="0" fontId="36" numFmtId="0" xfId="0" applyAlignment="1" applyBorder="1" applyFont="1">
      <alignment horizontal="left" shrinkToFit="0" vertical="top" wrapText="1"/>
    </xf>
    <xf borderId="309" fillId="16" fontId="6" numFmtId="3" xfId="0" applyAlignment="1" applyBorder="1" applyFont="1" applyNumberFormat="1">
      <alignment horizontal="center" vertical="top"/>
    </xf>
    <xf borderId="310" fillId="16" fontId="16" numFmtId="3" xfId="0" applyAlignment="1" applyBorder="1" applyFont="1" applyNumberFormat="1">
      <alignment horizontal="center" vertical="top"/>
    </xf>
    <xf borderId="311" fillId="54" fontId="16" numFmtId="3" xfId="0" applyAlignment="1" applyBorder="1" applyFont="1" applyNumberFormat="1">
      <alignment horizontal="center" vertical="top"/>
    </xf>
    <xf borderId="312" fillId="17" fontId="16" numFmtId="3" xfId="0" applyAlignment="1" applyBorder="1" applyFont="1" applyNumberFormat="1">
      <alignment horizontal="center" vertical="top"/>
    </xf>
    <xf borderId="313" fillId="17" fontId="16" numFmtId="3" xfId="0" applyAlignment="1" applyBorder="1" applyFont="1" applyNumberFormat="1">
      <alignment horizontal="center" vertical="top"/>
    </xf>
    <xf borderId="314" fillId="17" fontId="16" numFmtId="3" xfId="0" applyAlignment="1" applyBorder="1" applyFont="1" applyNumberFormat="1">
      <alignment horizontal="center" vertical="top"/>
    </xf>
    <xf borderId="315" fillId="17" fontId="16" numFmtId="3" xfId="0" applyAlignment="1" applyBorder="1" applyFont="1" applyNumberFormat="1">
      <alignment horizontal="center" vertical="top"/>
    </xf>
    <xf borderId="316" fillId="5" fontId="6" numFmtId="3" xfId="0" applyAlignment="1" applyBorder="1" applyFont="1" applyNumberFormat="1">
      <alignment horizontal="center" vertical="top"/>
    </xf>
    <xf borderId="314" fillId="5" fontId="16" numFmtId="3" xfId="0" applyAlignment="1" applyBorder="1" applyFont="1" applyNumberFormat="1">
      <alignment horizontal="center" vertical="top"/>
    </xf>
    <xf borderId="312" fillId="5" fontId="16" numFmtId="3" xfId="0" applyAlignment="1" applyBorder="1" applyFont="1" applyNumberFormat="1">
      <alignment horizontal="center" vertical="top"/>
    </xf>
    <xf borderId="312" fillId="5" fontId="35" numFmtId="3" xfId="0" applyAlignment="1" applyBorder="1" applyFont="1" applyNumberFormat="1">
      <alignment horizontal="center" vertical="top"/>
    </xf>
    <xf borderId="315" fillId="5" fontId="35" numFmtId="3" xfId="0" applyAlignment="1" applyBorder="1" applyFont="1" applyNumberFormat="1">
      <alignment horizontal="center" vertical="top"/>
    </xf>
    <xf borderId="51" fillId="5" fontId="16" numFmtId="3" xfId="0" applyAlignment="1" applyBorder="1" applyFont="1" applyNumberFormat="1">
      <alignment horizontal="center" vertical="top"/>
    </xf>
    <xf borderId="26" fillId="5" fontId="16" numFmtId="3" xfId="0" applyAlignment="1" applyBorder="1" applyFont="1" applyNumberFormat="1">
      <alignment horizontal="center" vertical="top"/>
    </xf>
    <xf borderId="26" fillId="5" fontId="35" numFmtId="3" xfId="0" applyAlignment="1" applyBorder="1" applyFont="1" applyNumberFormat="1">
      <alignment horizontal="center" vertical="top"/>
    </xf>
    <xf borderId="22" fillId="5" fontId="35" numFmtId="3" xfId="0" applyAlignment="1" applyBorder="1" applyFont="1" applyNumberFormat="1">
      <alignment horizontal="center" vertical="top"/>
    </xf>
    <xf borderId="317" fillId="15" fontId="16" numFmtId="3" xfId="0" applyAlignment="1" applyBorder="1" applyFont="1" applyNumberFormat="1">
      <alignment horizontal="center" vertical="top"/>
    </xf>
    <xf borderId="21" fillId="5" fontId="16" numFmtId="3" xfId="0" applyAlignment="1" applyBorder="1" applyFont="1" applyNumberFormat="1">
      <alignment horizontal="center" vertical="top"/>
    </xf>
    <xf borderId="318" fillId="5" fontId="35" numFmtId="3" xfId="0" applyAlignment="1" applyBorder="1" applyFont="1" applyNumberFormat="1">
      <alignment horizontal="center" vertical="top"/>
    </xf>
    <xf borderId="319" fillId="0" fontId="65" numFmtId="0" xfId="0" applyBorder="1" applyFont="1"/>
    <xf borderId="0" fillId="6" fontId="36" numFmtId="0" xfId="0" applyAlignment="1" applyFont="1">
      <alignment horizontal="left" vertical="top"/>
    </xf>
    <xf borderId="320" fillId="0" fontId="65" numFmtId="0" xfId="0" applyBorder="1" applyFont="1"/>
    <xf borderId="22" fillId="5" fontId="6" numFmtId="3" xfId="0" applyAlignment="1" applyBorder="1" applyFont="1" applyNumberFormat="1">
      <alignment horizontal="center" vertical="top"/>
    </xf>
    <xf borderId="21" fillId="5" fontId="179" numFmtId="3" xfId="0" applyAlignment="1" applyBorder="1" applyFont="1" applyNumberFormat="1">
      <alignment horizontal="center" vertical="top"/>
    </xf>
    <xf borderId="26" fillId="5" fontId="179" numFmtId="3" xfId="0" applyAlignment="1" applyBorder="1" applyFont="1" applyNumberFormat="1">
      <alignment horizontal="center" vertical="top"/>
    </xf>
    <xf borderId="51" fillId="5" fontId="179" numFmtId="3" xfId="0" applyAlignment="1" applyBorder="1" applyFont="1" applyNumberFormat="1">
      <alignment horizontal="center" vertical="top"/>
    </xf>
    <xf borderId="0" fillId="5" fontId="36" numFmtId="0" xfId="0" applyAlignment="1" applyFont="1">
      <alignment horizontal="left" vertical="top"/>
    </xf>
    <xf borderId="21" fillId="15" fontId="16" numFmtId="3" xfId="0" applyAlignment="1" applyBorder="1" applyFont="1" applyNumberFormat="1">
      <alignment horizontal="center" vertical="top"/>
    </xf>
    <xf borderId="26" fillId="15" fontId="16" numFmtId="3" xfId="0" applyAlignment="1" applyBorder="1" applyFont="1" applyNumberFormat="1">
      <alignment horizontal="center" vertical="top"/>
    </xf>
    <xf borderId="26" fillId="15" fontId="35" numFmtId="3" xfId="0" applyAlignment="1" applyBorder="1" applyFont="1" applyNumberFormat="1">
      <alignment horizontal="center" vertical="top"/>
    </xf>
    <xf borderId="318" fillId="15" fontId="35" numFmtId="3" xfId="0" applyAlignment="1" applyBorder="1" applyFont="1" applyNumberFormat="1">
      <alignment horizontal="center" vertical="top"/>
    </xf>
    <xf borderId="0" fillId="8" fontId="36" numFmtId="0" xfId="0" applyAlignment="1" applyFont="1">
      <alignment horizontal="left" vertical="top"/>
    </xf>
    <xf borderId="316" fillId="5" fontId="205" numFmtId="3" xfId="0" applyAlignment="1" applyBorder="1" applyFont="1" applyNumberFormat="1">
      <alignment horizontal="center" vertical="top"/>
    </xf>
    <xf borderId="21" fillId="5" fontId="139" numFmtId="3" xfId="0" applyAlignment="1" applyBorder="1" applyFont="1" applyNumberFormat="1">
      <alignment horizontal="center" vertical="top"/>
    </xf>
    <xf borderId="26" fillId="5" fontId="139" numFmtId="3" xfId="0" applyAlignment="1" applyBorder="1" applyFont="1" applyNumberFormat="1">
      <alignment horizontal="center" vertical="top"/>
    </xf>
    <xf borderId="26" fillId="5" fontId="138" numFmtId="3" xfId="0" applyAlignment="1" applyBorder="1" applyFont="1" applyNumberFormat="1">
      <alignment horizontal="center" vertical="top"/>
    </xf>
    <xf borderId="51" fillId="5" fontId="139" numFmtId="3" xfId="0" applyAlignment="1" applyBorder="1" applyFont="1" applyNumberFormat="1">
      <alignment horizontal="center" vertical="top"/>
    </xf>
    <xf borderId="317" fillId="15" fontId="139" numFmtId="3" xfId="0" applyAlignment="1" applyBorder="1" applyFont="1" applyNumberFormat="1">
      <alignment horizontal="center" vertical="top"/>
    </xf>
    <xf borderId="191" fillId="5" fontId="6" numFmtId="3" xfId="0" applyAlignment="1" applyBorder="1" applyFont="1" applyNumberFormat="1">
      <alignment horizontal="center" vertical="top"/>
    </xf>
    <xf borderId="110" fillId="34" fontId="31" numFmtId="0" xfId="0" applyAlignment="1" applyBorder="1" applyFont="1">
      <alignment horizontal="left" vertical="top"/>
    </xf>
    <xf borderId="321" fillId="34" fontId="31" numFmtId="3" xfId="0" applyAlignment="1" applyBorder="1" applyFont="1" applyNumberFormat="1">
      <alignment horizontal="center" vertical="top"/>
    </xf>
    <xf borderId="322" fillId="34" fontId="31" numFmtId="3" xfId="0" applyAlignment="1" applyBorder="1" applyFont="1" applyNumberFormat="1">
      <alignment horizontal="center" vertical="top"/>
    </xf>
    <xf borderId="155" fillId="34" fontId="31" numFmtId="3" xfId="0" applyAlignment="1" applyBorder="1" applyFont="1" applyNumberFormat="1">
      <alignment horizontal="center" vertical="top"/>
    </xf>
    <xf borderId="187" fillId="34" fontId="31" numFmtId="3" xfId="0" applyAlignment="1" applyBorder="1" applyFont="1" applyNumberFormat="1">
      <alignment horizontal="center" vertical="top"/>
    </xf>
    <xf borderId="323" fillId="5" fontId="6" numFmtId="3" xfId="0" applyAlignment="1" applyBorder="1" applyFont="1" applyNumberFormat="1">
      <alignment horizontal="center" vertical="top"/>
    </xf>
    <xf borderId="324" fillId="5" fontId="16" numFmtId="3" xfId="0" applyAlignment="1" applyBorder="1" applyFont="1" applyNumberFormat="1">
      <alignment horizontal="center" vertical="top"/>
    </xf>
    <xf borderId="173" fillId="5" fontId="16" numFmtId="3" xfId="0" applyAlignment="1" applyBorder="1" applyFont="1" applyNumberFormat="1">
      <alignment horizontal="center" vertical="top"/>
    </xf>
    <xf borderId="173" fillId="5" fontId="35" numFmtId="3" xfId="0" applyAlignment="1" applyBorder="1" applyFont="1" applyNumberFormat="1">
      <alignment horizontal="center" vertical="top"/>
    </xf>
    <xf borderId="174" fillId="5" fontId="35" numFmtId="3" xfId="0" applyAlignment="1" applyBorder="1" applyFont="1" applyNumberFormat="1">
      <alignment horizontal="center" vertical="top"/>
    </xf>
    <xf borderId="172" fillId="5" fontId="16" numFmtId="3" xfId="0" applyAlignment="1" applyBorder="1" applyFont="1" applyNumberFormat="1">
      <alignment horizontal="center" vertical="top"/>
    </xf>
    <xf borderId="325" fillId="5" fontId="35" numFmtId="3" xfId="0" applyAlignment="1" applyBorder="1" applyFont="1" applyNumberFormat="1">
      <alignment horizontal="center" vertical="top"/>
    </xf>
    <xf borderId="319" fillId="15" fontId="16" numFmtId="3" xfId="0" applyAlignment="1" applyBorder="1" applyFont="1" applyNumberFormat="1">
      <alignment horizontal="center" vertical="top"/>
    </xf>
    <xf borderId="100" fillId="5" fontId="6" numFmtId="3" xfId="0" applyAlignment="1" applyBorder="1" applyFont="1" applyNumberFormat="1">
      <alignment horizontal="center" vertical="top"/>
    </xf>
    <xf borderId="326" fillId="5" fontId="16" numFmtId="3" xfId="0" applyAlignment="1" applyBorder="1" applyFont="1" applyNumberFormat="1">
      <alignment horizontal="center" vertical="top"/>
    </xf>
    <xf borderId="146" fillId="5" fontId="16" numFmtId="3" xfId="0" applyAlignment="1" applyBorder="1" applyFont="1" applyNumberFormat="1">
      <alignment horizontal="center" vertical="top"/>
    </xf>
    <xf borderId="146" fillId="5" fontId="35" numFmtId="3" xfId="0" applyAlignment="1" applyBorder="1" applyFont="1" applyNumberFormat="1">
      <alignment horizontal="center" vertical="top"/>
    </xf>
    <xf borderId="176" fillId="5" fontId="35" numFmtId="3" xfId="0" applyAlignment="1" applyBorder="1" applyFont="1" applyNumberFormat="1">
      <alignment horizontal="center" vertical="top"/>
    </xf>
    <xf borderId="175" fillId="5" fontId="16" numFmtId="3" xfId="0" applyAlignment="1" applyBorder="1" applyFont="1" applyNumberFormat="1">
      <alignment horizontal="center" vertical="top"/>
    </xf>
    <xf borderId="327" fillId="5" fontId="35" numFmtId="3" xfId="0" applyAlignment="1" applyBorder="1" applyFont="1" applyNumberFormat="1">
      <alignment horizontal="center" vertical="top"/>
    </xf>
    <xf borderId="328" fillId="5" fontId="130" numFmtId="3" xfId="0" applyAlignment="1" applyBorder="1" applyFont="1" applyNumberFormat="1">
      <alignment horizontal="center" vertical="top"/>
    </xf>
    <xf borderId="329" fillId="5" fontId="16" numFmtId="3" xfId="0" applyAlignment="1" applyBorder="1" applyFont="1" applyNumberFormat="1">
      <alignment horizontal="center" vertical="top"/>
    </xf>
    <xf borderId="330" fillId="5" fontId="16" numFmtId="3" xfId="0" applyAlignment="1" applyBorder="1" applyFont="1" applyNumberFormat="1">
      <alignment horizontal="center" vertical="top"/>
    </xf>
    <xf borderId="330" fillId="5" fontId="35" numFmtId="3" xfId="0" applyAlignment="1" applyBorder="1" applyFont="1" applyNumberFormat="1">
      <alignment horizontal="center" vertical="top"/>
    </xf>
    <xf borderId="331" fillId="5" fontId="35" numFmtId="3" xfId="0" applyAlignment="1" applyBorder="1" applyFont="1" applyNumberFormat="1">
      <alignment horizontal="center" vertical="top"/>
    </xf>
    <xf borderId="332" fillId="5" fontId="16" numFmtId="3" xfId="0" applyAlignment="1" applyBorder="1" applyFont="1" applyNumberFormat="1">
      <alignment horizontal="center" vertical="top"/>
    </xf>
    <xf borderId="333" fillId="5" fontId="35" numFmtId="3" xfId="0" applyAlignment="1" applyBorder="1" applyFont="1" applyNumberFormat="1">
      <alignment horizontal="center" vertical="top"/>
    </xf>
    <xf borderId="100" fillId="5" fontId="130" numFmtId="3" xfId="0" applyAlignment="1" applyBorder="1" applyFont="1" applyNumberFormat="1">
      <alignment horizontal="center" vertical="top"/>
    </xf>
    <xf borderId="326" fillId="5" fontId="37" numFmtId="3" xfId="0" applyAlignment="1" applyBorder="1" applyFont="1" applyNumberFormat="1">
      <alignment horizontal="center" vertical="top"/>
    </xf>
    <xf borderId="146" fillId="5" fontId="37" numFmtId="3" xfId="0" applyAlignment="1" applyBorder="1" applyFont="1" applyNumberFormat="1">
      <alignment horizontal="center" vertical="top"/>
    </xf>
    <xf borderId="175" fillId="5" fontId="37" numFmtId="3" xfId="0" applyAlignment="1" applyBorder="1" applyFont="1" applyNumberFormat="1">
      <alignment horizontal="center" vertical="top"/>
    </xf>
    <xf borderId="24" fillId="6" fontId="36" numFmtId="0" xfId="0" applyAlignment="1" applyBorder="1" applyFont="1">
      <alignment horizontal="left" vertical="top"/>
    </xf>
    <xf borderId="3" fillId="9" fontId="36" numFmtId="0" xfId="0" applyAlignment="1" applyBorder="1" applyFont="1">
      <alignment horizontal="left" vertical="top"/>
    </xf>
    <xf borderId="334" fillId="5" fontId="130" numFmtId="3" xfId="0" applyAlignment="1" applyBorder="1" applyFont="1" applyNumberFormat="1">
      <alignment horizontal="center" vertical="top"/>
    </xf>
    <xf borderId="319" fillId="5" fontId="16" numFmtId="3" xfId="0" applyAlignment="1" applyBorder="1" applyFont="1" applyNumberFormat="1">
      <alignment horizontal="center" vertical="top"/>
    </xf>
    <xf borderId="30" fillId="5" fontId="16" numFmtId="3" xfId="0" applyAlignment="1" applyBorder="1" applyFont="1" applyNumberFormat="1">
      <alignment horizontal="center" vertical="top"/>
    </xf>
    <xf borderId="30" fillId="5" fontId="35" numFmtId="3" xfId="0" applyAlignment="1" applyBorder="1" applyFont="1" applyNumberFormat="1">
      <alignment horizontal="center" vertical="top"/>
    </xf>
    <xf borderId="36" fillId="5" fontId="35" numFmtId="3" xfId="0" applyAlignment="1" applyBorder="1" applyFont="1" applyNumberFormat="1">
      <alignment horizontal="center" vertical="top"/>
    </xf>
    <xf borderId="179" fillId="5" fontId="16" numFmtId="3" xfId="0" applyAlignment="1" applyBorder="1" applyFont="1" applyNumberFormat="1">
      <alignment horizontal="center" vertical="top"/>
    </xf>
    <xf borderId="307" fillId="5" fontId="35" numFmtId="3" xfId="0" applyAlignment="1" applyBorder="1" applyFont="1" applyNumberFormat="1">
      <alignment horizontal="center" vertical="top"/>
    </xf>
    <xf borderId="324" fillId="0" fontId="65" numFmtId="0" xfId="0" applyBorder="1" applyFont="1"/>
    <xf borderId="321" fillId="34" fontId="2" numFmtId="0" xfId="0" applyAlignment="1" applyBorder="1" applyFont="1">
      <alignment horizontal="center" vertical="top"/>
    </xf>
    <xf borderId="322" fillId="34" fontId="37" numFmtId="3" xfId="0" applyAlignment="1" applyBorder="1" applyFont="1" applyNumberFormat="1">
      <alignment horizontal="center" vertical="top"/>
    </xf>
    <xf borderId="155" fillId="34" fontId="37" numFmtId="3" xfId="0" applyAlignment="1" applyBorder="1" applyFont="1" applyNumberFormat="1">
      <alignment horizontal="center" vertical="top"/>
    </xf>
    <xf borderId="187" fillId="34" fontId="37" numFmtId="3" xfId="0" applyAlignment="1" applyBorder="1" applyFont="1" applyNumberFormat="1">
      <alignment horizontal="center" vertical="top"/>
    </xf>
    <xf borderId="335" fillId="5" fontId="130" numFmtId="3" xfId="0" applyAlignment="1" applyBorder="1" applyFont="1" applyNumberFormat="1">
      <alignment horizontal="center" vertical="top"/>
    </xf>
    <xf borderId="336" fillId="5" fontId="16" numFmtId="3" xfId="0" applyAlignment="1" applyBorder="1" applyFont="1" applyNumberFormat="1">
      <alignment horizontal="center" vertical="top"/>
    </xf>
    <xf borderId="337" fillId="5" fontId="16" numFmtId="3" xfId="0" applyAlignment="1" applyBorder="1" applyFont="1" applyNumberFormat="1">
      <alignment horizontal="center" vertical="top"/>
    </xf>
    <xf borderId="337" fillId="5" fontId="35" numFmtId="3" xfId="0" applyAlignment="1" applyBorder="1" applyFont="1" applyNumberFormat="1">
      <alignment horizontal="center" vertical="top"/>
    </xf>
    <xf borderId="338" fillId="5" fontId="35" numFmtId="3" xfId="0" applyAlignment="1" applyBorder="1" applyFont="1" applyNumberFormat="1">
      <alignment horizontal="center" vertical="top"/>
    </xf>
    <xf borderId="339" fillId="5" fontId="16" numFmtId="3" xfId="0" applyAlignment="1" applyBorder="1" applyFont="1" applyNumberFormat="1">
      <alignment horizontal="center" vertical="top"/>
    </xf>
    <xf borderId="340" fillId="5" fontId="35" numFmtId="3" xfId="0" applyAlignment="1" applyBorder="1" applyFont="1" applyNumberFormat="1">
      <alignment horizontal="center" vertical="top"/>
    </xf>
    <xf borderId="336" fillId="15" fontId="16" numFmtId="3" xfId="0" applyAlignment="1" applyBorder="1" applyFont="1" applyNumberFormat="1">
      <alignment horizontal="center" vertical="top"/>
    </xf>
    <xf borderId="337" fillId="15" fontId="16" numFmtId="3" xfId="0" applyAlignment="1" applyBorder="1" applyFont="1" applyNumberFormat="1">
      <alignment horizontal="center" vertical="top"/>
    </xf>
    <xf borderId="337" fillId="15" fontId="35" numFmtId="3" xfId="0" applyAlignment="1" applyBorder="1" applyFont="1" applyNumberFormat="1">
      <alignment horizontal="center" vertical="top"/>
    </xf>
    <xf borderId="338" fillId="15" fontId="35" numFmtId="3" xfId="0" applyAlignment="1" applyBorder="1" applyFont="1" applyNumberFormat="1">
      <alignment horizontal="center" vertical="top"/>
    </xf>
    <xf borderId="326" fillId="15" fontId="16" numFmtId="3" xfId="0" applyAlignment="1" applyBorder="1" applyFont="1" applyNumberFormat="1">
      <alignment horizontal="center" vertical="top"/>
    </xf>
    <xf borderId="146" fillId="15" fontId="16" numFmtId="3" xfId="0" applyAlignment="1" applyBorder="1" applyFont="1" applyNumberFormat="1">
      <alignment horizontal="center" vertical="top"/>
    </xf>
    <xf borderId="146" fillId="15" fontId="35" numFmtId="3" xfId="0" applyAlignment="1" applyBorder="1" applyFont="1" applyNumberFormat="1">
      <alignment horizontal="center" vertical="top"/>
    </xf>
    <xf borderId="176" fillId="15" fontId="35" numFmtId="3" xfId="0" applyAlignment="1" applyBorder="1" applyFont="1" applyNumberFormat="1">
      <alignment horizontal="center" vertical="top"/>
    </xf>
    <xf borderId="143" fillId="5" fontId="35" numFmtId="3" xfId="0" applyAlignment="1" applyBorder="1" applyFont="1" applyNumberFormat="1">
      <alignment horizontal="center" vertical="top"/>
    </xf>
    <xf borderId="341" fillId="5" fontId="35" numFmtId="3" xfId="0" applyAlignment="1" applyBorder="1" applyFont="1" applyNumberFormat="1">
      <alignment horizontal="center" vertical="top"/>
    </xf>
    <xf borderId="173" fillId="0" fontId="65" numFmtId="0" xfId="0" applyBorder="1" applyFont="1"/>
    <xf borderId="325" fillId="0" fontId="65" numFmtId="0" xfId="0" applyBorder="1" applyFont="1"/>
    <xf borderId="49" fillId="8" fontId="9" numFmtId="0" xfId="0" applyAlignment="1" applyBorder="1" applyFont="1">
      <alignment vertical="top"/>
    </xf>
    <xf borderId="42" fillId="8" fontId="36" numFmtId="182" xfId="0" applyAlignment="1" applyBorder="1" applyFont="1" applyNumberFormat="1">
      <alignment horizontal="left" vertical="top"/>
    </xf>
    <xf borderId="342" fillId="5" fontId="4" numFmtId="3" xfId="0" applyAlignment="1" applyBorder="1" applyFont="1" applyNumberFormat="1">
      <alignment vertical="top"/>
    </xf>
    <xf borderId="326" fillId="5" fontId="16" numFmtId="3" xfId="0" applyAlignment="1" applyBorder="1" applyFont="1" applyNumberFormat="1">
      <alignment vertical="top"/>
    </xf>
    <xf borderId="146" fillId="5" fontId="16" numFmtId="3" xfId="0" applyAlignment="1" applyBorder="1" applyFont="1" applyNumberFormat="1">
      <alignment vertical="top"/>
    </xf>
    <xf borderId="146" fillId="5" fontId="35" numFmtId="3" xfId="0" applyAlignment="1" applyBorder="1" applyFont="1" applyNumberFormat="1">
      <alignment vertical="top"/>
    </xf>
    <xf borderId="176" fillId="5" fontId="35" numFmtId="3" xfId="0" applyAlignment="1" applyBorder="1" applyFont="1" applyNumberFormat="1">
      <alignment vertical="top"/>
    </xf>
    <xf borderId="175" fillId="5" fontId="16" numFmtId="3" xfId="0" applyAlignment="1" applyBorder="1" applyFont="1" applyNumberFormat="1">
      <alignment vertical="top"/>
    </xf>
    <xf borderId="327" fillId="5" fontId="35" numFmtId="3" xfId="0" applyAlignment="1" applyBorder="1" applyFont="1" applyNumberFormat="1">
      <alignment vertical="top"/>
    </xf>
    <xf borderId="326" fillId="15" fontId="16" numFmtId="3" xfId="0" applyAlignment="1" applyBorder="1" applyFont="1" applyNumberFormat="1">
      <alignment vertical="top"/>
    </xf>
    <xf borderId="146" fillId="15" fontId="16" numFmtId="3" xfId="0" applyAlignment="1" applyBorder="1" applyFont="1" applyNumberFormat="1">
      <alignment vertical="top"/>
    </xf>
    <xf borderId="146" fillId="15" fontId="35" numFmtId="3" xfId="0" applyAlignment="1" applyBorder="1" applyFont="1" applyNumberFormat="1">
      <alignment vertical="top"/>
    </xf>
    <xf borderId="176" fillId="15" fontId="35" numFmtId="3" xfId="0" applyAlignment="1" applyBorder="1" applyFont="1" applyNumberFormat="1">
      <alignment vertical="top"/>
    </xf>
    <xf borderId="343" fillId="5" fontId="6" numFmtId="3" xfId="0" applyAlignment="1" applyBorder="1" applyFont="1" applyNumberFormat="1">
      <alignment horizontal="center" vertical="top"/>
    </xf>
    <xf borderId="317" fillId="5" fontId="16" numFmtId="3" xfId="0" applyAlignment="1" applyBorder="1" applyFont="1" applyNumberFormat="1">
      <alignment horizontal="center" vertical="top"/>
    </xf>
    <xf borderId="31" fillId="5" fontId="16" numFmtId="3" xfId="0" applyAlignment="1" applyBorder="1" applyFont="1" applyNumberFormat="1">
      <alignment horizontal="center" vertical="top"/>
    </xf>
    <xf borderId="31" fillId="5" fontId="35" numFmtId="3" xfId="0" applyAlignment="1" applyBorder="1" applyFont="1" applyNumberFormat="1">
      <alignment horizontal="center" vertical="top"/>
    </xf>
    <xf borderId="32" fillId="5" fontId="35" numFmtId="3" xfId="0" applyAlignment="1" applyBorder="1" applyFont="1" applyNumberFormat="1">
      <alignment horizontal="center" vertical="top"/>
    </xf>
    <xf borderId="123" fillId="5" fontId="16" numFmtId="3" xfId="0" applyAlignment="1" applyBorder="1" applyFont="1" applyNumberFormat="1">
      <alignment horizontal="center" vertical="top"/>
    </xf>
    <xf borderId="124" fillId="5" fontId="35" numFmtId="3" xfId="0" applyAlignment="1" applyBorder="1" applyFont="1" applyNumberFormat="1">
      <alignment horizontal="center" vertical="top"/>
    </xf>
    <xf borderId="334" fillId="5" fontId="6" numFmtId="3" xfId="0" applyAlignment="1" applyBorder="1" applyFont="1" applyNumberFormat="1">
      <alignment horizontal="center" vertical="top"/>
    </xf>
    <xf borderId="316" fillId="5" fontId="4" numFmtId="3" xfId="0" applyAlignment="1" applyBorder="1" applyFont="1" applyNumberFormat="1">
      <alignment vertical="top"/>
    </xf>
    <xf borderId="21" fillId="5" fontId="16" numFmtId="3" xfId="0" applyAlignment="1" applyBorder="1" applyFont="1" applyNumberFormat="1">
      <alignment vertical="top"/>
    </xf>
    <xf borderId="26" fillId="5" fontId="16" numFmtId="3" xfId="0" applyAlignment="1" applyBorder="1" applyFont="1" applyNumberFormat="1">
      <alignment vertical="top"/>
    </xf>
    <xf borderId="26" fillId="5" fontId="35" numFmtId="3" xfId="0" applyAlignment="1" applyBorder="1" applyFont="1" applyNumberFormat="1">
      <alignment vertical="top"/>
    </xf>
    <xf borderId="318" fillId="5" fontId="35" numFmtId="3" xfId="0" applyAlignment="1" applyBorder="1" applyFont="1" applyNumberFormat="1">
      <alignment vertical="top"/>
    </xf>
    <xf borderId="51" fillId="5" fontId="16" numFmtId="3" xfId="0" applyAlignment="1" applyBorder="1" applyFont="1" applyNumberFormat="1">
      <alignment vertical="top"/>
    </xf>
    <xf borderId="317" fillId="15" fontId="16" numFmtId="3" xfId="0" applyAlignment="1" applyBorder="1" applyFont="1" applyNumberFormat="1">
      <alignment vertical="top"/>
    </xf>
    <xf borderId="343" fillId="5" fontId="4" numFmtId="3" xfId="0" applyAlignment="1" applyBorder="1" applyFont="1" applyNumberFormat="1">
      <alignment vertical="top"/>
    </xf>
    <xf borderId="0" fillId="20" fontId="36" numFmtId="0" xfId="0" applyAlignment="1" applyFont="1">
      <alignment horizontal="left" vertical="top"/>
    </xf>
    <xf borderId="334" fillId="5" fontId="4" numFmtId="3" xfId="0" applyAlignment="1" applyBorder="1" applyFont="1" applyNumberFormat="1">
      <alignment vertical="top"/>
    </xf>
    <xf borderId="22" fillId="5" fontId="35" numFmtId="3" xfId="0" applyAlignment="1" applyBorder="1" applyFont="1" applyNumberFormat="1">
      <alignment vertical="top"/>
    </xf>
    <xf borderId="21" fillId="15" fontId="16" numFmtId="3" xfId="0" applyAlignment="1" applyBorder="1" applyFont="1" applyNumberFormat="1">
      <alignment vertical="top"/>
    </xf>
    <xf borderId="26" fillId="15" fontId="16" numFmtId="3" xfId="0" applyAlignment="1" applyBorder="1" applyFont="1" applyNumberFormat="1">
      <alignment vertical="top"/>
    </xf>
    <xf borderId="26" fillId="15" fontId="35" numFmtId="3" xfId="0" applyAlignment="1" applyBorder="1" applyFont="1" applyNumberFormat="1">
      <alignment vertical="top"/>
    </xf>
    <xf borderId="318" fillId="15" fontId="35" numFmtId="3" xfId="0" applyAlignment="1" applyBorder="1" applyFont="1" applyNumberFormat="1">
      <alignment vertical="top"/>
    </xf>
    <xf borderId="3" fillId="2" fontId="9" numFmtId="0" xfId="0" applyAlignment="1" applyBorder="1" applyFont="1">
      <alignment vertical="top"/>
    </xf>
    <xf borderId="321" fillId="11" fontId="2" numFmtId="0" xfId="0" applyAlignment="1" applyBorder="1" applyFont="1">
      <alignment horizontal="center" vertical="top"/>
    </xf>
    <xf borderId="11" fillId="11" fontId="37" numFmtId="3" xfId="0" applyAlignment="1" applyBorder="1" applyFont="1" applyNumberFormat="1">
      <alignment horizontal="center" vertical="top"/>
    </xf>
    <xf borderId="0" fillId="0" fontId="4" numFmtId="176" xfId="0" applyFont="1" applyNumberFormat="1"/>
    <xf borderId="0" fillId="0" fontId="216" numFmtId="167" xfId="0" applyFont="1" applyNumberFormat="1"/>
    <xf borderId="0" fillId="0" fontId="4" numFmtId="49" xfId="0" applyFont="1" applyNumberForma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2.pn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752475</xdr:colOff>
      <xdr:row>9</xdr:row>
      <xdr:rowOff>95250</xdr:rowOff>
    </xdr:from>
    <xdr:ext cx="1790700" cy="3962400"/>
    <xdr:pic>
      <xdr:nvPicPr>
        <xdr:cNvPr id="0" name="image3.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39</xdr:row>
      <xdr:rowOff>28575</xdr:rowOff>
    </xdr:from>
    <xdr:ext cx="1552575" cy="3457575"/>
    <xdr:pic>
      <xdr:nvPicPr>
        <xdr:cNvPr id="0" name="image4.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819150</xdr:colOff>
      <xdr:row>39</xdr:row>
      <xdr:rowOff>28575</xdr:rowOff>
    </xdr:from>
    <xdr:ext cx="1371600" cy="3057525"/>
    <xdr:pic>
      <xdr:nvPicPr>
        <xdr:cNvPr id="0" name="image2.png" title="Изображение"/>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114300</xdr:colOff>
      <xdr:row>39</xdr:row>
      <xdr:rowOff>28575</xdr:rowOff>
    </xdr:from>
    <xdr:ext cx="1657350" cy="3714750"/>
    <xdr:pic>
      <xdr:nvPicPr>
        <xdr:cNvPr id="0" name="image1.png" title="Изображение"/>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Oksana" id="{0249b8ee-194e-4aa9-a9e4-1004a2fe8733}" providerId="google-sheets"/>
  <x18tc:person displayName="Дарья Гуляева" id="{e99e101c-97f0-4eec-8b76-9571397df28d}" providerId="google-sheets"/>
  <x18tc:person displayName="Marinel Kotova" id="{0f6bace5-952d-493a-972c-8e1782e7d3e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0-30T08:02:43.00" personId="{0f6bace5-952d-493a-972c-8e1782e7d3eb}" id="{ebb8952b-62d9-42dd-9447-289e9195374d}" done="0">
    <x18tc:text xml:space="preserve">White House</x18tc:text>
  </x18tc:threadedComment>
  <x18tc:threadedComment ref="A1" dT="2025-09-03T10:19:20.00" personId="{0249b8ee-194e-4aa9-a9e4-1004a2fe8733}" id="{6e4eec62-a081-4994-9d1e-63eff87db3a0}" done="0">
    <x18tc:text xml:space="preserve">большая бронь началась в июле</x18tc:text>
  </x18tc:threadedComment>
  <x18tc:threadedComment ref="A1" dT="2025-09-03T10:18:22.00" personId="{0249b8ee-194e-4aa9-a9e4-1004a2fe8733}" id="{0c7e9052-16b5-4999-a3e1-a79526e584d4}" done="1">
    <x18tc:text xml:space="preserve">не было брони, начинающейся в августе</x18tc:text>
  </x18tc:threadedComment>
  <x18tc:threadedComment ref="A1" dT="2025-10-30T08:03:13.00" personId="{0f6bace5-952d-493a-972c-8e1782e7d3eb}" id="{e6c093ea-9e78-49f4-ba93-87c5f3f59a0a}" done="0">
    <x18tc:text xml:space="preserve">Orbi Beach Tower</x18tc:text>
  </x18tc:threadedComment>
  <x18tc:threadedComment ref="A1" dT="2025-04-30T11:08:38.00" personId="{e99e101c-97f0-4eec-8b76-9571397df28d}" id="{7d71471f-00ee-43c4-9b70-d7fa76ccdd64}" done="1">
    <x18tc:text xml:space="preserve">На Абб есть только наша 2+1 на май</x18tc:text>
  </x18tc:threadedComment>
  <x18tc:threadedComment ref="A1" dT="2025-09-03T10:18:41.00" personId="{0249b8ee-194e-4aa9-a9e4-1004a2fe8733}" id="{daab8ca2-8342-4c52-bd53-fbda13f6ca73}" done="0">
    <x18tc:text xml:space="preserve">не было брони, начинающейся в августе</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play.google.com/store/apps/details?id=ge.bog.four" TargetMode="External"/><Relationship Id="rId2" Type="http://schemas.openxmlformats.org/officeDocument/2006/relationships/hyperlink" Target="https://apps.apple.com/us/app/bank-of-georgia-mobile-banking/id1201245008"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airbnb.ru/h/orbic2756" TargetMode="External"/><Relationship Id="rId42" Type="http://schemas.openxmlformats.org/officeDocument/2006/relationships/hyperlink" Target="https://airbnb.ru/h/orbid21625" TargetMode="External"/><Relationship Id="rId41" Type="http://schemas.openxmlformats.org/officeDocument/2006/relationships/hyperlink" Target="https://airbnb.ru/h/orbid1321" TargetMode="External"/><Relationship Id="rId44" Type="http://schemas.openxmlformats.org/officeDocument/2006/relationships/hyperlink" Target="https://airbnb.ru/h/orbid1-3902" TargetMode="External"/><Relationship Id="rId43" Type="http://schemas.openxmlformats.org/officeDocument/2006/relationships/hyperlink" Target="https://airbnb.ru/h/orbid23216" TargetMode="External"/><Relationship Id="rId46" Type="http://schemas.openxmlformats.org/officeDocument/2006/relationships/hyperlink" Target="https://airbnb.com/h/m1604" TargetMode="External"/><Relationship Id="rId45" Type="http://schemas.openxmlformats.org/officeDocument/2006/relationships/hyperlink" Target="https://airbnb.ru/h/orbid2503" TargetMode="External"/><Relationship Id="rId107" Type="http://schemas.openxmlformats.org/officeDocument/2006/relationships/hyperlink" Target="https://airbnb.com/h/tg-7b" TargetMode="External"/><Relationship Id="rId106" Type="http://schemas.openxmlformats.org/officeDocument/2006/relationships/hyperlink" Target="https://airbnb.com/h/tg-6b" TargetMode="External"/><Relationship Id="rId105" Type="http://schemas.openxmlformats.org/officeDocument/2006/relationships/hyperlink" Target="https://airbnb.com/h/tg-5b" TargetMode="External"/><Relationship Id="rId104" Type="http://schemas.openxmlformats.org/officeDocument/2006/relationships/hyperlink" Target="https://airbnb.com/h/tg-4b" TargetMode="External"/><Relationship Id="rId109" Type="http://schemas.openxmlformats.org/officeDocument/2006/relationships/hyperlink" Target="https://airbnb.com/h/tg-9b" TargetMode="External"/><Relationship Id="rId108" Type="http://schemas.openxmlformats.org/officeDocument/2006/relationships/hyperlink" Target="https://airbnb.com/h/tg-8b" TargetMode="External"/><Relationship Id="rId48" Type="http://schemas.openxmlformats.org/officeDocument/2006/relationships/hyperlink" Target="https://airbnb.ru/h/mar1931" TargetMode="External"/><Relationship Id="rId47" Type="http://schemas.openxmlformats.org/officeDocument/2006/relationships/hyperlink" Target="https://airbnb.com/h/m1606" TargetMode="External"/><Relationship Id="rId49" Type="http://schemas.openxmlformats.org/officeDocument/2006/relationships/hyperlink" Target="http://airbnb.com/h/cm1304" TargetMode="External"/><Relationship Id="rId103" Type="http://schemas.openxmlformats.org/officeDocument/2006/relationships/hyperlink" Target="https://airbnb.com/h/tg-2b" TargetMode="External"/><Relationship Id="rId102" Type="http://schemas.openxmlformats.org/officeDocument/2006/relationships/hyperlink" Target="https://airbnb.com/h/tg-1b" TargetMode="External"/><Relationship Id="rId101" Type="http://schemas.openxmlformats.org/officeDocument/2006/relationships/hyperlink" Target="https://airbnb.com/h/tg-10a" TargetMode="External"/><Relationship Id="rId100" Type="http://schemas.openxmlformats.org/officeDocument/2006/relationships/hyperlink" Target="https://airbnb.com/h/tg-8a" TargetMode="External"/><Relationship Id="rId31" Type="http://schemas.openxmlformats.org/officeDocument/2006/relationships/hyperlink" Target="http://airbnb.com/h/bva225" TargetMode="External"/><Relationship Id="rId30" Type="http://schemas.openxmlformats.org/officeDocument/2006/relationships/hyperlink" Target="http://airbnb.com/h/bva164" TargetMode="External"/><Relationship Id="rId33" Type="http://schemas.openxmlformats.org/officeDocument/2006/relationships/hyperlink" Target="http://airbnb.com/h/bvc137" TargetMode="External"/><Relationship Id="rId32" Type="http://schemas.openxmlformats.org/officeDocument/2006/relationships/hyperlink" Target="http://airbnb.com/h/bva210" TargetMode="External"/><Relationship Id="rId35" Type="http://schemas.openxmlformats.org/officeDocument/2006/relationships/hyperlink" Target="http://airbnb.com/h/mca708" TargetMode="External"/><Relationship Id="rId34" Type="http://schemas.openxmlformats.org/officeDocument/2006/relationships/hyperlink" Target="http://airbnb.com/h/bvc0505" TargetMode="External"/><Relationship Id="rId37" Type="http://schemas.openxmlformats.org/officeDocument/2006/relationships/hyperlink" Target="https://airbnb.ru/h/orbic1443" TargetMode="External"/><Relationship Id="rId36" Type="http://schemas.openxmlformats.org/officeDocument/2006/relationships/hyperlink" Target="https://airbnb.ru/h/c1125" TargetMode="External"/><Relationship Id="rId39" Type="http://schemas.openxmlformats.org/officeDocument/2006/relationships/hyperlink" Target="https://airbnb.ru/h/orbia4049" TargetMode="External"/><Relationship Id="rId38" Type="http://schemas.openxmlformats.org/officeDocument/2006/relationships/hyperlink" Target="https://airbnb.ru/h/orbic4245" TargetMode="External"/><Relationship Id="rId20" Type="http://schemas.openxmlformats.org/officeDocument/2006/relationships/hyperlink" Target="http://airbnb.com/h/steps1123" TargetMode="External"/><Relationship Id="rId22" Type="http://schemas.openxmlformats.org/officeDocument/2006/relationships/hyperlink" Target="http://airbnb.ru/h/obt2906" TargetMode="External"/><Relationship Id="rId21" Type="http://schemas.openxmlformats.org/officeDocument/2006/relationships/hyperlink" Target="http://airbnb.com/h/wh176" TargetMode="External"/><Relationship Id="rId24" Type="http://schemas.openxmlformats.org/officeDocument/2006/relationships/hyperlink" Target="http://airbnb.ru/h/obt2910" TargetMode="External"/><Relationship Id="rId23" Type="http://schemas.openxmlformats.org/officeDocument/2006/relationships/hyperlink" Target="http://airbnb.ru/h/obt2908" TargetMode="External"/><Relationship Id="rId26" Type="http://schemas.openxmlformats.org/officeDocument/2006/relationships/hyperlink" Target="http://airbnb.ru/h/bva134" TargetMode="External"/><Relationship Id="rId25" Type="http://schemas.openxmlformats.org/officeDocument/2006/relationships/hyperlink" Target="http://airbnb.com/h/bva134" TargetMode="External"/><Relationship Id="rId28" Type="http://schemas.openxmlformats.org/officeDocument/2006/relationships/hyperlink" Target="http://airbnb.com/h/bva145" TargetMode="External"/><Relationship Id="rId27" Type="http://schemas.openxmlformats.org/officeDocument/2006/relationships/hyperlink" Target="http://airbnb.com/h/bva144" TargetMode="External"/><Relationship Id="rId29" Type="http://schemas.openxmlformats.org/officeDocument/2006/relationships/hyperlink" Target="http://airbnb.com/h/bva147" TargetMode="External"/><Relationship Id="rId95" Type="http://schemas.openxmlformats.org/officeDocument/2006/relationships/hyperlink" Target="https://airbnb.com/h/tg-3a" TargetMode="External"/><Relationship Id="rId94" Type="http://schemas.openxmlformats.org/officeDocument/2006/relationships/hyperlink" Target="https://airbnb.ru/h/tg-1a" TargetMode="External"/><Relationship Id="rId97" Type="http://schemas.openxmlformats.org/officeDocument/2006/relationships/hyperlink" Target="https://airbnb.com/h/tg-5a" TargetMode="External"/><Relationship Id="rId96" Type="http://schemas.openxmlformats.org/officeDocument/2006/relationships/hyperlink" Target="https://airbnb.com/h/tg-4a" TargetMode="External"/><Relationship Id="rId11" Type="http://schemas.openxmlformats.org/officeDocument/2006/relationships/hyperlink" Target="https://airbnb.com/h/wsa608" TargetMode="External"/><Relationship Id="rId99" Type="http://schemas.openxmlformats.org/officeDocument/2006/relationships/hyperlink" Target="https://airbnb.com/h/tg-7a" TargetMode="External"/><Relationship Id="rId10" Type="http://schemas.openxmlformats.org/officeDocument/2006/relationships/hyperlink" Target="https://airbnb.ru/h/wsa409" TargetMode="External"/><Relationship Id="rId98" Type="http://schemas.openxmlformats.org/officeDocument/2006/relationships/hyperlink" Target="https://airbnb.com/h/tg-6a" TargetMode="External"/><Relationship Id="rId13" Type="http://schemas.openxmlformats.org/officeDocument/2006/relationships/hyperlink" Target="https://airbnb.com/h/wse804" TargetMode="External"/><Relationship Id="rId12" Type="http://schemas.openxmlformats.org/officeDocument/2006/relationships/hyperlink" Target="https://airbnb.com/h/wsa907" TargetMode="External"/><Relationship Id="rId91" Type="http://schemas.openxmlformats.org/officeDocument/2006/relationships/hyperlink" Target="https://airbnb.ru/h/nw409" TargetMode="External"/><Relationship Id="rId90" Type="http://schemas.openxmlformats.org/officeDocument/2006/relationships/hyperlink" Target="https://airbnb.com/h/tg-b3" TargetMode="External"/><Relationship Id="rId93" Type="http://schemas.openxmlformats.org/officeDocument/2006/relationships/hyperlink" Target="https://airbnb.ru/h/nw10-6" TargetMode="External"/><Relationship Id="rId92" Type="http://schemas.openxmlformats.org/officeDocument/2006/relationships/hyperlink" Target="https://airbnb.ru/h/nw410" TargetMode="External"/><Relationship Id="rId15" Type="http://schemas.openxmlformats.org/officeDocument/2006/relationships/hyperlink" Target="https://airbnb.ru/h/wsa805" TargetMode="External"/><Relationship Id="rId110" Type="http://schemas.openxmlformats.org/officeDocument/2006/relationships/hyperlink" Target="https://airbnb.com/h/tg-10b" TargetMode="External"/><Relationship Id="rId14" Type="http://schemas.openxmlformats.org/officeDocument/2006/relationships/hyperlink" Target="https://airbnb.com/h/wse704" TargetMode="External"/><Relationship Id="rId17" Type="http://schemas.openxmlformats.org/officeDocument/2006/relationships/hyperlink" Target="https://airbnb.ru/h/wsf1008" TargetMode="External"/><Relationship Id="rId16" Type="http://schemas.openxmlformats.org/officeDocument/2006/relationships/hyperlink" Target="https://airbnb.ru/h/wsf1103" TargetMode="External"/><Relationship Id="rId19" Type="http://schemas.openxmlformats.org/officeDocument/2006/relationships/hyperlink" Target="https://airbnb.ru/h/bv0514" TargetMode="External"/><Relationship Id="rId18" Type="http://schemas.openxmlformats.org/officeDocument/2006/relationships/hyperlink" Target="https://airbnb.ru/h/bvb1318" TargetMode="External"/><Relationship Id="rId113" Type="http://schemas.openxmlformats.org/officeDocument/2006/relationships/vmlDrawing" Target="../drawings/vmlDrawing1.vml"/><Relationship Id="rId112" Type="http://schemas.openxmlformats.org/officeDocument/2006/relationships/drawing" Target="../drawings/drawing2.xml"/><Relationship Id="rId111" Type="http://schemas.openxmlformats.org/officeDocument/2006/relationships/hyperlink" Target="https://airbnb.com/h/tg-11b" TargetMode="External"/><Relationship Id="rId84" Type="http://schemas.openxmlformats.org/officeDocument/2006/relationships/hyperlink" Target="https://airbnb.ru/h/dl13-709" TargetMode="External"/><Relationship Id="rId83" Type="http://schemas.openxmlformats.org/officeDocument/2006/relationships/hyperlink" Target="https://airbnb.com/h/dl13-206" TargetMode="External"/><Relationship Id="rId86" Type="http://schemas.openxmlformats.org/officeDocument/2006/relationships/hyperlink" Target="https://airbnb.ru/h/dl14-506" TargetMode="External"/><Relationship Id="rId85" Type="http://schemas.openxmlformats.org/officeDocument/2006/relationships/hyperlink" Target="https://airbnb.ru/h/dl13-703" TargetMode="External"/><Relationship Id="rId88" Type="http://schemas.openxmlformats.org/officeDocument/2006/relationships/hyperlink" Target="https://airbnb.ru/h/tg-2a" TargetMode="External"/><Relationship Id="rId87" Type="http://schemas.openxmlformats.org/officeDocument/2006/relationships/hyperlink" Target="https://airbnb.com/h/tgb195" TargetMode="External"/><Relationship Id="rId89" Type="http://schemas.openxmlformats.org/officeDocument/2006/relationships/hyperlink" Target="https://airbnb.com/h/tg-9a" TargetMode="External"/><Relationship Id="rId80" Type="http://schemas.openxmlformats.org/officeDocument/2006/relationships/hyperlink" Target="https://airbnb.ru/h/dl14-305" TargetMode="External"/><Relationship Id="rId82" Type="http://schemas.openxmlformats.org/officeDocument/2006/relationships/hyperlink" Target="https://airbnb.ru/h/dl7-16" TargetMode="External"/><Relationship Id="rId81" Type="http://schemas.openxmlformats.org/officeDocument/2006/relationships/hyperlink" Target="https://airbnb.ru/h/dl501-502"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airbnb.ru/h/wsb503" TargetMode="External"/><Relationship Id="rId9" Type="http://schemas.openxmlformats.org/officeDocument/2006/relationships/hyperlink" Target="https://airbnb.com/h/wse1202" TargetMode="External"/><Relationship Id="rId5" Type="http://schemas.openxmlformats.org/officeDocument/2006/relationships/hyperlink" Target="https://airbnb.ru/h/wsf907" TargetMode="External"/><Relationship Id="rId6" Type="http://schemas.openxmlformats.org/officeDocument/2006/relationships/hyperlink" Target="https://airbnb.ru/h/wsb212" TargetMode="External"/><Relationship Id="rId7" Type="http://schemas.openxmlformats.org/officeDocument/2006/relationships/hyperlink" Target="https://airbnb.ru/h/wsb1510" TargetMode="External"/><Relationship Id="rId8" Type="http://schemas.openxmlformats.org/officeDocument/2006/relationships/hyperlink" Target="http://airbnb.com/h/wsb807" TargetMode="External"/><Relationship Id="rId73" Type="http://schemas.openxmlformats.org/officeDocument/2006/relationships/hyperlink" Target="https://airbnb.ru/h/dl14-1214" TargetMode="External"/><Relationship Id="rId72" Type="http://schemas.openxmlformats.org/officeDocument/2006/relationships/hyperlink" Target="https://airbnb.ru/h/dl14-702" TargetMode="External"/><Relationship Id="rId75" Type="http://schemas.openxmlformats.org/officeDocument/2006/relationships/hyperlink" Target="https://airbnb.ru/h/dl4-09" TargetMode="External"/><Relationship Id="rId74" Type="http://schemas.openxmlformats.org/officeDocument/2006/relationships/hyperlink" Target="https://airbnb.ru/h/DL-14-411" TargetMode="External"/><Relationship Id="rId77" Type="http://schemas.openxmlformats.org/officeDocument/2006/relationships/hyperlink" Target="https://airbnb.ru/h/dl14-1405" TargetMode="External"/><Relationship Id="rId76" Type="http://schemas.openxmlformats.org/officeDocument/2006/relationships/hyperlink" Target="https://airbnb.ru/h/dl14-518" TargetMode="External"/><Relationship Id="rId79" Type="http://schemas.openxmlformats.org/officeDocument/2006/relationships/hyperlink" Target="https://airbnb.ru/h/dl14-1710" TargetMode="External"/><Relationship Id="rId78" Type="http://schemas.openxmlformats.org/officeDocument/2006/relationships/hyperlink" Target="https://airbnb.ru/h/dl14-305" TargetMode="External"/><Relationship Id="rId71" Type="http://schemas.openxmlformats.org/officeDocument/2006/relationships/hyperlink" Target="https://airbnb.ru/h/dl14-516" TargetMode="External"/><Relationship Id="rId70" Type="http://schemas.openxmlformats.org/officeDocument/2006/relationships/hyperlink" Target="https://airbnb.ru/h/dl1305" TargetMode="External"/><Relationship Id="rId62" Type="http://schemas.openxmlformats.org/officeDocument/2006/relationships/hyperlink" Target="https://airbnb.ru/h/mz913" TargetMode="External"/><Relationship Id="rId61" Type="http://schemas.openxmlformats.org/officeDocument/2006/relationships/hyperlink" Target="https://airbnb.ru/h/mz718" TargetMode="External"/><Relationship Id="rId64" Type="http://schemas.openxmlformats.org/officeDocument/2006/relationships/hyperlink" Target="http://airbnb.com/h/mza1113" TargetMode="External"/><Relationship Id="rId63" Type="http://schemas.openxmlformats.org/officeDocument/2006/relationships/hyperlink" Target="https://airbnb.ru/h/mzc1408" TargetMode="External"/><Relationship Id="rId66" Type="http://schemas.openxmlformats.org/officeDocument/2006/relationships/hyperlink" Target="https://airbnb.ru/h/pr181" TargetMode="External"/><Relationship Id="rId65" Type="http://schemas.openxmlformats.org/officeDocument/2006/relationships/hyperlink" Target="http://airbnb.com/h/mz511" TargetMode="External"/><Relationship Id="rId68" Type="http://schemas.openxmlformats.org/officeDocument/2006/relationships/hyperlink" Target="https://airbnb.com/h/eva155" TargetMode="External"/><Relationship Id="rId67" Type="http://schemas.openxmlformats.org/officeDocument/2006/relationships/hyperlink" Target="http://airbnb.com/h/polo2-2" TargetMode="External"/><Relationship Id="rId60" Type="http://schemas.openxmlformats.org/officeDocument/2006/relationships/hyperlink" Target="https://airbnb.ru/h/nw3-7" TargetMode="External"/><Relationship Id="rId69" Type="http://schemas.openxmlformats.org/officeDocument/2006/relationships/hyperlink" Target="https://airbnb.ru/h/dl-11-1112" TargetMode="External"/><Relationship Id="rId51" Type="http://schemas.openxmlformats.org/officeDocument/2006/relationships/hyperlink" Target="https://airbnb.com/h/inta2905" TargetMode="External"/><Relationship Id="rId50" Type="http://schemas.openxmlformats.org/officeDocument/2006/relationships/hyperlink" Target="http://airbnb.com/h/cm1327" TargetMode="External"/><Relationship Id="rId53" Type="http://schemas.openxmlformats.org/officeDocument/2006/relationships/hyperlink" Target="https://airbnb.com/h/sh8" TargetMode="External"/><Relationship Id="rId52" Type="http://schemas.openxmlformats.org/officeDocument/2006/relationships/hyperlink" Target="https://airbnb.ru/h/intb2612" TargetMode="External"/><Relationship Id="rId55" Type="http://schemas.openxmlformats.org/officeDocument/2006/relationships/hyperlink" Target="https://airbnb.ru/h/dz12-17" TargetMode="External"/><Relationship Id="rId54" Type="http://schemas.openxmlformats.org/officeDocument/2006/relationships/hyperlink" Target="https://airbnb.ru/h/bg227" TargetMode="External"/><Relationship Id="rId57" Type="http://schemas.openxmlformats.org/officeDocument/2006/relationships/hyperlink" Target="https://airbnb.ru/h/porta2604" TargetMode="External"/><Relationship Id="rId56" Type="http://schemas.openxmlformats.org/officeDocument/2006/relationships/hyperlink" Target="http://airbnb.com/h/26m813" TargetMode="External"/><Relationship Id="rId59" Type="http://schemas.openxmlformats.org/officeDocument/2006/relationships/hyperlink" Target="https://airbnb.ru/h/nw205" TargetMode="External"/><Relationship Id="rId58" Type="http://schemas.openxmlformats.org/officeDocument/2006/relationships/hyperlink" Target="https://airbnb.ru/h/porta2704"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90" Type="http://schemas.openxmlformats.org/officeDocument/2006/relationships/hyperlink" Target="https://docs.google.com/spreadsheets/d/1oTvIqh_tChfD-bN65MQhsuAWSzLdBWDxvFReIyAEsF8/edit?usp=drive_link" TargetMode="External"/><Relationship Id="rId194" Type="http://schemas.openxmlformats.org/officeDocument/2006/relationships/hyperlink" Target="https://sutochno.ru/front/searchapp/detail/2111017?price_per=1&amp;guests_adults=2&amp;id=1&amp;SW.lat=55.142221&amp;SW.lng=36.803259&amp;NE.lat=56.021281&amp;NE.lng=37.96779" TargetMode="External"/><Relationship Id="rId193" Type="http://schemas.openxmlformats.org/officeDocument/2006/relationships/hyperlink" Target="https://www.booking.com/Share-LndsVCR" TargetMode="External"/><Relationship Id="rId192" Type="http://schemas.openxmlformats.org/officeDocument/2006/relationships/hyperlink" Target="https://www.airbnb.ru/rooms/1461444074801437384?guests=1&amp;adults=1&amp;s=67&amp;unique_share_id=9fe3a0a2-856f-4570-befe-3db2641294d3" TargetMode="External"/><Relationship Id="rId191" Type="http://schemas.openxmlformats.org/officeDocument/2006/relationships/hyperlink" Target="https://docs.google.com/document/d/1lKtJuyF5TD1j1Tq3G649lMFIttJDpQxt/edit?usp=sharing&amp;ouid=108103088141969403166&amp;rtpof=true&amp;sd=true" TargetMode="External"/><Relationship Id="rId187" Type="http://schemas.openxmlformats.org/officeDocument/2006/relationships/hyperlink" Target="https://www.airbnb.ru/rooms/1467484612623509970?guests=1&amp;adults=1&amp;s=67&amp;unique_share_id=e04fe84a-158e-4849-a2e7-b27931b5e7e5" TargetMode="External"/><Relationship Id="rId186" Type="http://schemas.openxmlformats.org/officeDocument/2006/relationships/hyperlink" Target="https://docs.google.com/document/d/1pkS9ArIs0DYkVn-4HdJHnKC6ErY3vbxl/mobilebasic" TargetMode="External"/><Relationship Id="rId185" Type="http://schemas.openxmlformats.org/officeDocument/2006/relationships/hyperlink" Target="https://docs.google.com/spreadsheets/d/1Mu-inHwqVFzmnXMZSpu5prrlu81yN9wfWaZ2wGoUBmg/edit?usp=drive_link" TargetMode="External"/><Relationship Id="rId184" Type="http://schemas.openxmlformats.org/officeDocument/2006/relationships/hyperlink" Target="https://sutochno.ru/front/searchapp/detail/2023317?detail/1924300guests_adults=2&amp;id=1&amp;SW.lat=41.63547812400941&amp;SW.lng=41.60529721951294&amp;NE.lat=41.6433976309152&amp;NE.lng=41.62224878048706" TargetMode="External"/><Relationship Id="rId189" Type="http://schemas.openxmlformats.org/officeDocument/2006/relationships/hyperlink" Target="https://sutochno.ru/front/searchapp/detail/2119377?host_id=11237896&amp;host_device=PC&amp;guest_id=" TargetMode="External"/><Relationship Id="rId188" Type="http://schemas.openxmlformats.org/officeDocument/2006/relationships/hyperlink" Target="https://www.booking.com/Share-LndsVCR" TargetMode="External"/><Relationship Id="rId183" Type="http://schemas.openxmlformats.org/officeDocument/2006/relationships/hyperlink" Target="https://www.booking.com/Share-LndsVCR" TargetMode="External"/><Relationship Id="rId182" Type="http://schemas.openxmlformats.org/officeDocument/2006/relationships/hyperlink" Target="https://airbnb.ru/h/orbid23216" TargetMode="External"/><Relationship Id="rId181" Type="http://schemas.openxmlformats.org/officeDocument/2006/relationships/hyperlink" Target="https://docs.google.com/document/d/1DyvJSeBg0nR4FA9U_vvs3CuijU8mhbnR/edit?usp=drive_link&amp;ouid=111931206299703470153&amp;rtpof=true&amp;sd=true" TargetMode="External"/><Relationship Id="rId180" Type="http://schemas.openxmlformats.org/officeDocument/2006/relationships/hyperlink" Target="https://docs.google.com/spreadsheets/d/1eJYlfhOxhr6zXKyad_kTLmg3un4CW_dlfysD8STgSKE/edit?gid=0" TargetMode="External"/><Relationship Id="rId176" Type="http://schemas.openxmlformats.org/officeDocument/2006/relationships/hyperlink" Target="https://airbnb.ru/h/orbid21625" TargetMode="External"/><Relationship Id="rId297" Type="http://schemas.openxmlformats.org/officeDocument/2006/relationships/hyperlink" Target="https://docs.google.com/spreadsheets/d/1N30tpRuuhh8DII7zz1oYkSOGJVF1kstKkmNrnUdXK1A/edit?gid=415745973" TargetMode="External"/><Relationship Id="rId175" Type="http://schemas.openxmlformats.org/officeDocument/2006/relationships/hyperlink" Target="https://docs.google.com/document/d/1gszPSDqBD1q5iNVdmLXjoKftXnx7cR4s/edit?usp=drive_link&amp;ouid=111931206299703470153&amp;rtpof=true&amp;sd=true" TargetMode="External"/><Relationship Id="rId296" Type="http://schemas.openxmlformats.org/officeDocument/2006/relationships/hyperlink" Target="https://docs.google.com/spreadsheets/d/1iJ1wfcRfoUdr_osrlUZcMwGd9kryKp3HSZ7dI2qmqAM/edit?usp=drive_link" TargetMode="External"/><Relationship Id="rId174" Type="http://schemas.openxmlformats.org/officeDocument/2006/relationships/hyperlink" Target="https://docs.google.com/spreadsheets/d/1R4gBpuy4yApZ_XvdvGSbq1-amluyjhHHvNYO2xQvJVI/edit?gid=0" TargetMode="External"/><Relationship Id="rId295" Type="http://schemas.openxmlformats.org/officeDocument/2006/relationships/hyperlink" Target="http://airbnb.com/h/26m813" TargetMode="External"/><Relationship Id="rId173" Type="http://schemas.openxmlformats.org/officeDocument/2006/relationships/hyperlink" Target="https://ostrovok.ru/hotel/georgia/batumi/mid13343963/orbi_d_1321_apartments/" TargetMode="External"/><Relationship Id="rId294" Type="http://schemas.openxmlformats.org/officeDocument/2006/relationships/hyperlink" Target="https://docs.google.com/spreadsheets/d/1L4fYPH0FJ9JKUyyHLEZs5WB9hq2NtF_Wtq0EfbiEXPc/edit?usp=drive_link" TargetMode="External"/><Relationship Id="rId179" Type="http://schemas.openxmlformats.org/officeDocument/2006/relationships/hyperlink" Target="https://ostrovok.ru/hotel/georgia/batumi/mid13343950/orbi_d2_1625_apartments/" TargetMode="External"/><Relationship Id="rId178" Type="http://schemas.openxmlformats.org/officeDocument/2006/relationships/hyperlink" Target="https://sutochno.ru/front/searchapp/detail/1924300?detail/1924300guests_adults=2&amp;id=1&amp;SW.lat=41.63547812400941&amp;SW.lng=41.60529721951294&amp;NE.lat=41.6433976309152&amp;NE.lng=41.62224878048706" TargetMode="External"/><Relationship Id="rId299" Type="http://schemas.openxmlformats.org/officeDocument/2006/relationships/hyperlink" Target="https://airbnb.ru/h/dl-11-1112" TargetMode="External"/><Relationship Id="rId177" Type="http://schemas.openxmlformats.org/officeDocument/2006/relationships/hyperlink" Target="https://www.booking.com/Share-LndsVCR" TargetMode="External"/><Relationship Id="rId298" Type="http://schemas.openxmlformats.org/officeDocument/2006/relationships/hyperlink" Target="https://docs.google.com/document/d/1iXvGzcYTiQf8qK2tD_jvdTTHuA81zx7j/edit?usp=drive_link&amp;ouid=112488098007566486177&amp;rtpof=true&amp;sd=true" TargetMode="External"/><Relationship Id="rId198" Type="http://schemas.openxmlformats.org/officeDocument/2006/relationships/hyperlink" Target="https://sutochno.ru/front/searchapp/detail/2028842?price_per=1&amp;guests_adults=2&amp;id=1&amp;SW.lat=41.63776226540329&amp;SW.lng=41.6075522195129&amp;NE.lat=41.645681489519276&amp;NE.lng=41.624503780487025" TargetMode="External"/><Relationship Id="rId197" Type="http://schemas.openxmlformats.org/officeDocument/2006/relationships/hyperlink" Target="https://airbnb.com/h/m1604" TargetMode="External"/><Relationship Id="rId196" Type="http://schemas.openxmlformats.org/officeDocument/2006/relationships/hyperlink" Target="https://docs.google.com/document/d/19-mptmF9mWob04OXsF8J9LT9z9FcWD5a-byWmHPvmlU/edit?usp=drive_link" TargetMode="External"/><Relationship Id="rId195" Type="http://schemas.openxmlformats.org/officeDocument/2006/relationships/hyperlink" Target="https://docs.google.com/spreadsheets/d/1TkoCjNPBist28xcn_C68281ome9R2Lh7sBtA-l6xNW0/edit?gid=0" TargetMode="External"/><Relationship Id="rId199" Type="http://schemas.openxmlformats.org/officeDocument/2006/relationships/hyperlink" Target="https://ostrovok.ru/hotel/georgia/batumi/mid13343895/courtyard_by_marriott_1604_apartments/?dateless_form=yes" TargetMode="External"/><Relationship Id="rId150" Type="http://schemas.openxmlformats.org/officeDocument/2006/relationships/hyperlink" Target="https://www.booking.com/Share-LndsVCR" TargetMode="External"/><Relationship Id="rId271" Type="http://schemas.openxmlformats.org/officeDocument/2006/relationships/hyperlink" Target="https://docs.google.com/spreadsheets/d/1Ol2tLrBTO361B4bSD4vFMZK2qdNwsfGpQuv_CaC7oBc/edit?usp=drive_link" TargetMode="External"/><Relationship Id="rId392" Type="http://schemas.openxmlformats.org/officeDocument/2006/relationships/hyperlink" Target="https://airbnb.ru/h/tg-2a" TargetMode="External"/><Relationship Id="rId270" Type="http://schemas.openxmlformats.org/officeDocument/2006/relationships/hyperlink" Target="https://sutochno.ru/front/searchapp/detail/2242475?host_id=11237896&amp;host_device=PC&amp;guest_id=" TargetMode="External"/><Relationship Id="rId391" Type="http://schemas.openxmlformats.org/officeDocument/2006/relationships/hyperlink" Target="https://docs.google.com/document/d/1iRV0bwtqXDimnRajIAR73CDFetXVGiuu/edit?usp=sharing&amp;ouid=112850101623577107380&amp;rtpof=true&amp;sd=true" TargetMode="External"/><Relationship Id="rId390" Type="http://schemas.openxmlformats.org/officeDocument/2006/relationships/hyperlink" Target="https://sutochno.ru/front/searchapp/detail/2003576?host_id" TargetMode="External"/><Relationship Id="rId1" Type="http://schemas.openxmlformats.org/officeDocument/2006/relationships/hyperlink" Target="https://docs.google.com/document/d/1pBB0Y3q9q8ZYNK9LxPVcdXpnAdSC5M6c/edit?usp=drive_link&amp;ouid=111931206299703470153&amp;rtpof=true&amp;sd=true" TargetMode="External"/><Relationship Id="rId2" Type="http://schemas.openxmlformats.org/officeDocument/2006/relationships/hyperlink" Target="https://www.airbnb.ru/rooms/941249668263786208?guests=1&amp;adults=1&amp;s=67&amp;unique_share_id=6a551af0-04fb-44fa-b61c-716ede11e4e8" TargetMode="External"/><Relationship Id="rId3" Type="http://schemas.openxmlformats.org/officeDocument/2006/relationships/hyperlink" Target="https://www.booking.com/Share-xqLLfZL" TargetMode="External"/><Relationship Id="rId149" Type="http://schemas.openxmlformats.org/officeDocument/2006/relationships/hyperlink" Target="https://airbnb.ru/h/orbic1443" TargetMode="External"/><Relationship Id="rId4" Type="http://schemas.openxmlformats.org/officeDocument/2006/relationships/hyperlink" Target="https://sutochno.ru/front/searchapp/detail/1590689?guests_adults=2&amp;id=1&amp;SW.lat=55.142221&amp;SW.lng=36.803259&amp;NE.lat=56.021281&amp;NE.lng=37.96779" TargetMode="External"/><Relationship Id="rId148" Type="http://schemas.openxmlformats.org/officeDocument/2006/relationships/hyperlink" Target="https://docs.google.com/document/d/1Bm4PgdQ6uqMZxxA0ZWjjrfGtqynCRHCB/edit?usp=drive_link&amp;ouid=111931206299703470153&amp;rtpof=true&amp;sd=true" TargetMode="External"/><Relationship Id="rId269" Type="http://schemas.openxmlformats.org/officeDocument/2006/relationships/hyperlink" Target="https://admin.booking.com/hotel/hoteladmin/extranet_ng/manage/rooms.html?ses=697fcbf387dcd49c84b3dd16e81cb762&amp;hotel_id=14509270&amp;lang=ru" TargetMode="External"/><Relationship Id="rId9" Type="http://schemas.openxmlformats.org/officeDocument/2006/relationships/hyperlink" Target="https://sutochno.ru/front/searchapp/detail/1597202?host_id=11237896&amp;host_device=app&amp;guest_id=6765771&amp;guests_adults=2&amp;id=1&amp;SW.lat=41.619609051039355&amp;SW.lng=41.589027934829936&amp;NE.lat=41.627530522283585&amp;NE.lng=41.605979495804036" TargetMode="External"/><Relationship Id="rId143" Type="http://schemas.openxmlformats.org/officeDocument/2006/relationships/hyperlink" Target="https://airbnb.ru/h/c1125" TargetMode="External"/><Relationship Id="rId264" Type="http://schemas.openxmlformats.org/officeDocument/2006/relationships/hyperlink" Target="https://admin.booking.com/hotel/hoteladmin/extranet_ng/manage/rooms.html?ses=697fcbf387dcd49c84b3dd16e81cb762&amp;hotel_id=14509270&amp;lang=ru" TargetMode="External"/><Relationship Id="rId385" Type="http://schemas.openxmlformats.org/officeDocument/2006/relationships/hyperlink" Target="https://www.booking.com/Share-8BzKUBw" TargetMode="External"/><Relationship Id="rId142" Type="http://schemas.openxmlformats.org/officeDocument/2006/relationships/hyperlink" Target="https://docs.google.com/document/d/1d3NlkARbxyLm-S60-MoQg40AID_CCx3O/edit?usp=drive_link&amp;ouid=111931206299703470153&amp;rtpof=true&amp;sd=true" TargetMode="External"/><Relationship Id="rId263" Type="http://schemas.openxmlformats.org/officeDocument/2006/relationships/hyperlink" Target="https://www.airbnb.ru/rooms/1454265562224346712?guests=1&amp;adults=1&amp;s=67&amp;unique_share_id=df5b1223-192b-4042-abc9-34d201836f4d" TargetMode="External"/><Relationship Id="rId384" Type="http://schemas.openxmlformats.org/officeDocument/2006/relationships/hyperlink" Target="https://airbnb.ru/h/tg-3a" TargetMode="External"/><Relationship Id="rId141" Type="http://schemas.openxmlformats.org/officeDocument/2006/relationships/hyperlink" Target="https://docs.google.com/spreadsheets/d/1Xo-pJEWuYRZAc4uhFcI5sXgcZOrE1Y7y83A-L23z_xM/edit?gid=0" TargetMode="External"/><Relationship Id="rId262" Type="http://schemas.openxmlformats.org/officeDocument/2006/relationships/hyperlink" Target="https://docs.google.com/document/d/1qKZcSo74vFoW7XSF-71AoJCWF1WJA_Fx/edit?usp=drive_link&amp;ouid=117440070472446167713&amp;rtpof=true&amp;sd=true" TargetMode="External"/><Relationship Id="rId383" Type="http://schemas.openxmlformats.org/officeDocument/2006/relationships/hyperlink" Target="https://docs.google.com/document/d/1iRV0bwtqXDimnRajIAR73CDFetXVGiuu/edit?usp=sharing&amp;ouid=112850101623577107380&amp;rtpof=true&amp;sd=true" TargetMode="External"/><Relationship Id="rId140" Type="http://schemas.openxmlformats.org/officeDocument/2006/relationships/hyperlink" Target="https://sutochno.ru/front/searchapp/detail/1988659?price_per=1&amp;guests_adults=2&amp;id=1&amp;SW.lat=41.60772999273338&amp;SW.lng=41.597023861037925&amp;NE.lat=41.6156529340223&amp;NE.lng=41.613975422012025" TargetMode="External"/><Relationship Id="rId261" Type="http://schemas.openxmlformats.org/officeDocument/2006/relationships/hyperlink" Target="https://docs.google.com/spreadsheets/d/1NtyqYD7JKykRhLPB0sSD6IwQkMo9T5fDKFCULUWLIXk/edit?usp=drive_link" TargetMode="External"/><Relationship Id="rId382" Type="http://schemas.openxmlformats.org/officeDocument/2006/relationships/hyperlink" Target="https://sutochno.ru/front/searchapp/detail/2003576?host_id" TargetMode="External"/><Relationship Id="rId5" Type="http://schemas.openxmlformats.org/officeDocument/2006/relationships/hyperlink" Target="https://ostrovok.ru/hotel/georgia/batumi/mid13343877/white_sails_b_503_apartments/" TargetMode="External"/><Relationship Id="rId147" Type="http://schemas.openxmlformats.org/officeDocument/2006/relationships/hyperlink" Target="https://docs.google.com/spreadsheets/d/1Xo-pJEWuYRZAc4uhFcI5sXgcZOrE1Y7y83A-L23z_xM/edit?gid=0" TargetMode="External"/><Relationship Id="rId268" Type="http://schemas.openxmlformats.org/officeDocument/2006/relationships/hyperlink" Target="http://airbnb.ru/h/nw3-7" TargetMode="External"/><Relationship Id="rId389" Type="http://schemas.openxmlformats.org/officeDocument/2006/relationships/hyperlink" Target="https://www.booking.com/Share-8BzKUBw" TargetMode="External"/><Relationship Id="rId6" Type="http://schemas.openxmlformats.org/officeDocument/2006/relationships/hyperlink" Target="https://docs.google.com/document/d/1B2q4qzuT6LEUdqDAFJpQLzZ2DbCZ9Ywq/edit?usp=drive_link&amp;ouid=111931206299703470153&amp;rtpof=true&amp;sd=true" TargetMode="External"/><Relationship Id="rId146" Type="http://schemas.openxmlformats.org/officeDocument/2006/relationships/hyperlink" Target="https://ostrovok.ru/hotel/georgia/batumi/mid13343905/orbi_c_1125_apartments/" TargetMode="External"/><Relationship Id="rId267" Type="http://schemas.openxmlformats.org/officeDocument/2006/relationships/hyperlink" Target="https://docs.google.com/document/d/11Z3Y57UQT4P6Y-gm1wSFzOpvx685U04I/edit?usp=drive_link&amp;ouid=117440070472446167713&amp;rtpof=true&amp;sd=true" TargetMode="External"/><Relationship Id="rId388" Type="http://schemas.openxmlformats.org/officeDocument/2006/relationships/hyperlink" Target="https://airbnb.ru/h/tg-1a" TargetMode="External"/><Relationship Id="rId7" Type="http://schemas.openxmlformats.org/officeDocument/2006/relationships/hyperlink" Target="https://airbnb.ru/h/wsf907" TargetMode="External"/><Relationship Id="rId145" Type="http://schemas.openxmlformats.org/officeDocument/2006/relationships/hyperlink" Target="https://sutochno.ru/front/searchapp/detail/1590760?host_id=11237896&amp;host_device=app&amp;guest_id=6765771&amp;guests_adults=2&amp;guests_childrens=7&amp;id=1&amp;SW.lat=55.142221&amp;SW.lng=36.803259&amp;NE.lat=56.021281&amp;NE.lng=37.96779" TargetMode="External"/><Relationship Id="rId266" Type="http://schemas.openxmlformats.org/officeDocument/2006/relationships/hyperlink" Target="https://docs.google.com/spreadsheets/d/1WbXumbFRjYsh8aqayduWQ9S-NCopL0kdl8FzQtbCUfU/edit?usp=drive_link" TargetMode="External"/><Relationship Id="rId387" Type="http://schemas.openxmlformats.org/officeDocument/2006/relationships/hyperlink" Target="https://docs.google.com/document/d/1iRV0bwtqXDimnRajIAR73CDFetXVGiuu/edit?usp=sharing&amp;ouid=112850101623577107380&amp;rtpof=true&amp;sd=true" TargetMode="External"/><Relationship Id="rId8" Type="http://schemas.openxmlformats.org/officeDocument/2006/relationships/hyperlink" Target="https://www.booking.com/Share-xqLLfZL" TargetMode="External"/><Relationship Id="rId144" Type="http://schemas.openxmlformats.org/officeDocument/2006/relationships/hyperlink" Target="https://www.booking.com/Share-LndsVCR" TargetMode="External"/><Relationship Id="rId265" Type="http://schemas.openxmlformats.org/officeDocument/2006/relationships/hyperlink" Target="https://sutochno.ru/front/searchapp/detail/2103035?host_id=11237896&amp;host_device=PC&amp;guest_id=" TargetMode="External"/><Relationship Id="rId386" Type="http://schemas.openxmlformats.org/officeDocument/2006/relationships/hyperlink" Target="https://sutochno.ru/front/searchapp/detail/2003592?host_id" TargetMode="External"/><Relationship Id="rId260" Type="http://schemas.openxmlformats.org/officeDocument/2006/relationships/hyperlink" Target="https://sutochno.ru/front/searchapp/detail/2101805?host_id=11237896&amp;host_device=PC&amp;guest_id=" TargetMode="External"/><Relationship Id="rId381" Type="http://schemas.openxmlformats.org/officeDocument/2006/relationships/hyperlink" Target="https://www.booking.com/Share-8BzKUBw" TargetMode="External"/><Relationship Id="rId380" Type="http://schemas.openxmlformats.org/officeDocument/2006/relationships/hyperlink" Target="https://airbnb.ru/h/tg-2a" TargetMode="External"/><Relationship Id="rId139" Type="http://schemas.openxmlformats.org/officeDocument/2006/relationships/hyperlink" Target="https://docs.google.com/document/d/1ipEvCQioHwXr6xouy6WF-4PL77_fvI8Y/edit?usp=drive_link&amp;ouid=116712236850441779568&amp;rtpof=true&amp;sd=true" TargetMode="External"/><Relationship Id="rId138" Type="http://schemas.openxmlformats.org/officeDocument/2006/relationships/hyperlink" Target="https://docs.google.com/document/d/17pSKsMp_VS-pcY2U7UGQRJCjs5629CCk/edit?usp=drive_link&amp;ouid=116712236850441779568&amp;rtpof=true&amp;sd=true" TargetMode="External"/><Relationship Id="rId259" Type="http://schemas.openxmlformats.org/officeDocument/2006/relationships/hyperlink" Target="https://admin.booking.com/hotel/hoteladmin/extranet_ng/manage/rooms.html?ses=697fcbf387dcd49c84b3dd16e81cb762&amp;hotel_id=14509270&amp;lang=ru" TargetMode="External"/><Relationship Id="rId137" Type="http://schemas.openxmlformats.org/officeDocument/2006/relationships/hyperlink" Target="https://sutochno.ru/front/searchapp/detail/1988547?price_per=1&amp;guests_adults=2&amp;id=1&amp;SW.lat=41.60788298563873&amp;SW.lng=41.596723453628925&amp;NE.lat=41.615805907996766&amp;NE.lng=41.613675014603054" TargetMode="External"/><Relationship Id="rId258" Type="http://schemas.openxmlformats.org/officeDocument/2006/relationships/hyperlink" Target="http://airbnb.ru/h/nw4-10" TargetMode="External"/><Relationship Id="rId379" Type="http://schemas.openxmlformats.org/officeDocument/2006/relationships/hyperlink" Target="https://docs.google.com/document/d/1iRV0bwtqXDimnRajIAR73CDFetXVGiuu/edit?usp=sharing&amp;ouid=112850101623577107380&amp;rtpof=true&amp;sd=true" TargetMode="External"/><Relationship Id="rId132" Type="http://schemas.openxmlformats.org/officeDocument/2006/relationships/hyperlink" Target="https://docs.google.com/document/d/1J-WrCoDPKttJHxA-eJH1wt6cLz2ElDZ2wVJAlpAKS0k/edit?usp=sharing" TargetMode="External"/><Relationship Id="rId253" Type="http://schemas.openxmlformats.org/officeDocument/2006/relationships/hyperlink" Target="https://www.airbnb.ru/rooms/1452886356812519040?guests=1&amp;adults=1&amp;s=67&amp;unique_share_id=72bfaaea-a6e3-492f-a08b-b85514fe5f5b" TargetMode="External"/><Relationship Id="rId374" Type="http://schemas.openxmlformats.org/officeDocument/2006/relationships/hyperlink" Target="https://docs.google.com/spreadsheets/d/1_zCnzIjXJZLLwRv65RgdFzoNDY9lNL6D/edit" TargetMode="External"/><Relationship Id="rId131" Type="http://schemas.openxmlformats.org/officeDocument/2006/relationships/hyperlink" Target="http://airbnb.com/h/mca708" TargetMode="External"/><Relationship Id="rId252" Type="http://schemas.openxmlformats.org/officeDocument/2006/relationships/hyperlink" Target="https://docs.google.com/document/d/1sIUdXSUA-zdd_2hKj0a4RxJs6I3kQVl9/edit?usp=drive_link&amp;ouid=117440070472446167713&amp;rtpof=true&amp;sd=true" TargetMode="External"/><Relationship Id="rId373" Type="http://schemas.openxmlformats.org/officeDocument/2006/relationships/hyperlink" Target="https://docs.google.com/document/d/1uQuzy4sSTBf9FTEAhIMUWp0pm6CCDqOy/edit?usp=sharing&amp;ouid=112850101623577107380&amp;rtpof=true&amp;sd=true" TargetMode="External"/><Relationship Id="rId130" Type="http://schemas.openxmlformats.org/officeDocument/2006/relationships/hyperlink" Target="https://docs.google.com/document/d/1FyuF_JP11WjhHSWZcpqm3wKXGodr9GXK/edit" TargetMode="External"/><Relationship Id="rId251" Type="http://schemas.openxmlformats.org/officeDocument/2006/relationships/hyperlink" Target="https://docs.google.com/spreadsheets/d/1NtyqYD7JKykRhLPB0sSD6IwQkMo9T5fDKFCULUWLIXk/edit?usp=drive_link" TargetMode="External"/><Relationship Id="rId372" Type="http://schemas.openxmlformats.org/officeDocument/2006/relationships/hyperlink" Target="https://docs.google.com/spreadsheets/d/1eW_V9rOuKUe3flH_cPPTpZTpSxa5Jj0JI1RsUI4Otvs/edit?usp=drive_link" TargetMode="External"/><Relationship Id="rId250" Type="http://schemas.openxmlformats.org/officeDocument/2006/relationships/hyperlink" Target="https://admin.booking.com/hotel/hoteladmin/extranet_ng/manage/rooms.html?ses=697fcbf387dcd49c84b3dd16e81cb762&amp;hotel_id=14509270&amp;lang=ru" TargetMode="External"/><Relationship Id="rId371" Type="http://schemas.openxmlformats.org/officeDocument/2006/relationships/hyperlink" Target="https://docs.google.com/document/d/1tpKMoKuI0ybkXTA0ooCLlrtDMqU1SfV-/edit?usp=sharing&amp;ouid=112850101623577107380&amp;rtpof=true&amp;sd=true" TargetMode="External"/><Relationship Id="rId136" Type="http://schemas.openxmlformats.org/officeDocument/2006/relationships/hyperlink" Target="http://airbnb.com/h/polo2-2" TargetMode="External"/><Relationship Id="rId257" Type="http://schemas.openxmlformats.org/officeDocument/2006/relationships/hyperlink" Target="https://docs.google.com/document/d/1KMHw2HlAdqu-1BYopSTe63VkPSVUPfu9/edit?usp=drive_link&amp;ouid=117440070472446167713&amp;rtpof=true&amp;sd=true" TargetMode="External"/><Relationship Id="rId378" Type="http://schemas.openxmlformats.org/officeDocument/2006/relationships/hyperlink" Target="https://sutochno.ru/front/searchapp/detail/2002928?host_id" TargetMode="External"/><Relationship Id="rId135" Type="http://schemas.openxmlformats.org/officeDocument/2006/relationships/hyperlink" Target="https://docs.google.com/document/d/1uOQ23EbDr0GQKA5ZUoEIICSFLzkkdg13/edit?usp=drive_link&amp;ouid=101000465628489029241&amp;rtpof=true&amp;sd=true" TargetMode="External"/><Relationship Id="rId256" Type="http://schemas.openxmlformats.org/officeDocument/2006/relationships/hyperlink" Target="https://docs.google.com/spreadsheets/d/1NtyqYD7JKykRhLPB0sSD6IwQkMo9T5fDKFCULUWLIXk/edit?usp=drive_link" TargetMode="External"/><Relationship Id="rId377" Type="http://schemas.openxmlformats.org/officeDocument/2006/relationships/hyperlink" Target="https://www.booking.com/Share-8BzKUBw" TargetMode="External"/><Relationship Id="rId134" Type="http://schemas.openxmlformats.org/officeDocument/2006/relationships/hyperlink" Target="https://ostrovok.ru/hotel/georgia/batumi/mid13343964/pirosmani_181_apartments/" TargetMode="External"/><Relationship Id="rId255" Type="http://schemas.openxmlformats.org/officeDocument/2006/relationships/hyperlink" Target="https://sutochno.ru/front/searchapp/detail/2101833?host_id=11237896&amp;host_device=PC&amp;guest_id=" TargetMode="External"/><Relationship Id="rId376" Type="http://schemas.openxmlformats.org/officeDocument/2006/relationships/hyperlink" Target="https://airbnb.ru/h/tg-1a" TargetMode="External"/><Relationship Id="rId133" Type="http://schemas.openxmlformats.org/officeDocument/2006/relationships/hyperlink" Target="https://airbnb.ru/h/pr181" TargetMode="External"/><Relationship Id="rId254" Type="http://schemas.openxmlformats.org/officeDocument/2006/relationships/hyperlink" Target="https://admin.booking.com/hotel/hoteladmin/extranet_ng/manage/rooms.html?ses=697fcbf387dcd49c84b3dd16e81cb762&amp;hotel_id=14509270&amp;lang=ru" TargetMode="External"/><Relationship Id="rId375" Type="http://schemas.openxmlformats.org/officeDocument/2006/relationships/hyperlink" Target="https://docs.google.com/document/d/1iRV0bwtqXDimnRajIAR73CDFetXVGiuu/edit?usp=sharing&amp;ouid=112850101623577107380&amp;rtpof=true&amp;sd=true" TargetMode="External"/><Relationship Id="rId172" Type="http://schemas.openxmlformats.org/officeDocument/2006/relationships/hyperlink" Target="https://sutochno.ru/front/searchapp/detail/1608136?guests_adults=2&amp;id=1&amp;SW.lat=41.634966092314265&amp;SW.lng=41.60474921951293&amp;NE.lat=41.64288566261085&amp;NE.lng=41.62170078048704" TargetMode="External"/><Relationship Id="rId293" Type="http://schemas.openxmlformats.org/officeDocument/2006/relationships/hyperlink" Target="https://sutochno.ru/front/searchapp/detail/2210280?host_id=11237896&amp;host_device=PC&amp;guest_id=" TargetMode="External"/><Relationship Id="rId171" Type="http://schemas.openxmlformats.org/officeDocument/2006/relationships/hyperlink" Target="https://www.booking.com/Share-LndsVCR" TargetMode="External"/><Relationship Id="rId292" Type="http://schemas.openxmlformats.org/officeDocument/2006/relationships/hyperlink" Target="http://airbnb.ru/h/dz12-17" TargetMode="External"/><Relationship Id="rId170" Type="http://schemas.openxmlformats.org/officeDocument/2006/relationships/hyperlink" Target="https://airbnb.ru/h/orbid1321" TargetMode="External"/><Relationship Id="rId291" Type="http://schemas.openxmlformats.org/officeDocument/2006/relationships/hyperlink" Target="https://docs.google.com/document/d/1PZzXFdjTexNufXIddogrrsgk8DoQKgTl/edit?usp=drive_link&amp;ouid=117440070472446167713&amp;rtpof=true&amp;sd=true" TargetMode="External"/><Relationship Id="rId290" Type="http://schemas.openxmlformats.org/officeDocument/2006/relationships/hyperlink" Target="https://docs.google.com/spreadsheets/d/1QB3C4SB9lhJZraavPc97IOnCXspp3K8cBt1h1h-UvDs/edit?usp=drive_link" TargetMode="External"/><Relationship Id="rId165" Type="http://schemas.openxmlformats.org/officeDocument/2006/relationships/hyperlink" Target="https://airbnb.ru/h/orbic2756" TargetMode="External"/><Relationship Id="rId286" Type="http://schemas.openxmlformats.org/officeDocument/2006/relationships/hyperlink" Target="https://docs.google.com/spreadsheets/d/1Ls6SBP686ubXd-2xHNJqVLJ87IBr8xJ6GNEE_FvUvC8/edit?usp=drive_link" TargetMode="External"/><Relationship Id="rId164" Type="http://schemas.openxmlformats.org/officeDocument/2006/relationships/hyperlink" Target="https://docs.google.com/document/d/1Yl07f4a2n-Wk88SlMFF7CTnxlA0hddr4/edit?usp=drive_link&amp;ouid=111931206299703470153&amp;rtpof=true&amp;sd=true" TargetMode="External"/><Relationship Id="rId285" Type="http://schemas.openxmlformats.org/officeDocument/2006/relationships/hyperlink" Target="https://ostrovok.ru/hotel/georgia/batumi/mid13343969/sh8_2505_a_apartments/" TargetMode="External"/><Relationship Id="rId163" Type="http://schemas.openxmlformats.org/officeDocument/2006/relationships/hyperlink" Target="https://ostrovok.ru/hotel/georgia/batumi/mid13343899/orbi_a_4049_apartments/" TargetMode="External"/><Relationship Id="rId284" Type="http://schemas.openxmlformats.org/officeDocument/2006/relationships/hyperlink" Target="https://sutochno.ru/front/searchapp/detail/1820876?price_per=1&amp;guests_adults=2&amp;guests_childrens=7&amp;id=1&amp;SW.lat=41.635323114441185&amp;SW.lng=41.60847721951294&amp;NE.lat=41.64324264053761&amp;NE.lng=41.62542878048707" TargetMode="External"/><Relationship Id="rId162" Type="http://schemas.openxmlformats.org/officeDocument/2006/relationships/hyperlink" Target="https://sutochno.ru/front/searchapp/detail/1616526?guests_adults=2&amp;id=1&amp;SW.lat=41.63547812400941&amp;SW.lng=41.60529721951294&amp;NE.lat=41.6433976309152&amp;NE.lng=41.62224878048706" TargetMode="External"/><Relationship Id="rId283" Type="http://schemas.openxmlformats.org/officeDocument/2006/relationships/hyperlink" Target="https://airbnb.com/h/sh8" TargetMode="External"/><Relationship Id="rId169" Type="http://schemas.openxmlformats.org/officeDocument/2006/relationships/hyperlink" Target="https://docs.google.com/document/d/1HUEg8BqUxS_P2GaIVDMcFTljBv8RsiQH/edit?usp=drive_link&amp;ouid=111931206299703470153&amp;rtpof=true&amp;sd=true" TargetMode="External"/><Relationship Id="rId168" Type="http://schemas.openxmlformats.org/officeDocument/2006/relationships/hyperlink" Target="https://docs.google.com/spreadsheets/d/1oMSzvWt46el6_0rqUPmWOffrnfHXprFzlo7Q-x26KQM/edit?gid=0" TargetMode="External"/><Relationship Id="rId289" Type="http://schemas.openxmlformats.org/officeDocument/2006/relationships/hyperlink" Target="https://sutochno.ru/front/searchapp/detail/2210028?host_id=11237896&amp;host_device=PC&amp;guest_id=" TargetMode="External"/><Relationship Id="rId167" Type="http://schemas.openxmlformats.org/officeDocument/2006/relationships/hyperlink" Target="https://sutochno.ru/front/searchapp/detail/2023390?detail/2023463detail/1924300guests_adults=2&amp;id=1&amp;SW.lat=41.63547812400941&amp;SW.lng=41.60529721951294&amp;NE.lat=41.6433976309152&amp;NE.lng=41.62224878048706" TargetMode="External"/><Relationship Id="rId288" Type="http://schemas.openxmlformats.org/officeDocument/2006/relationships/hyperlink" Target="https://airbnb.ru/h/bg227" TargetMode="External"/><Relationship Id="rId166" Type="http://schemas.openxmlformats.org/officeDocument/2006/relationships/hyperlink" Target="https://www.booking.com/Share-LndsVCR" TargetMode="External"/><Relationship Id="rId287" Type="http://schemas.openxmlformats.org/officeDocument/2006/relationships/hyperlink" Target="https://docs.google.com/document/d/1JpzmZEpgz-aAohOwLMJg_H5rY6W2LO9uK7dx80fwKeA/edit?usp=drive_link" TargetMode="External"/><Relationship Id="rId161" Type="http://schemas.openxmlformats.org/officeDocument/2006/relationships/hyperlink" Target="https://www.booking.com/Share-LndsVCR" TargetMode="External"/><Relationship Id="rId282" Type="http://schemas.openxmlformats.org/officeDocument/2006/relationships/hyperlink" Target="https://docs.google.com/document/d/1wqwbJ83rdDVcf1OrSrepbI-Ne926e8nmygCLlcaqXfw/edit?usp=sharing" TargetMode="External"/><Relationship Id="rId160" Type="http://schemas.openxmlformats.org/officeDocument/2006/relationships/hyperlink" Target="https://airbnb.ru/h/orbia4049" TargetMode="External"/><Relationship Id="rId281" Type="http://schemas.openxmlformats.org/officeDocument/2006/relationships/hyperlink" Target="https://sutochno.ru/front/searchapp/detail/2083137?host_id=11237896&amp;host_device=PC&amp;guest_id=" TargetMode="External"/><Relationship Id="rId280" Type="http://schemas.openxmlformats.org/officeDocument/2006/relationships/hyperlink" Target="https://www.airbnb.ru/rooms/1442041191428358249?guests=1&amp;adults=1&amp;s=67&amp;unique_share_id=024c1e37-efbe-4560-bef1-9f66286378dd" TargetMode="External"/><Relationship Id="rId159" Type="http://schemas.openxmlformats.org/officeDocument/2006/relationships/hyperlink" Target="https://docs.google.com/document/d/1WlEZLqAZhI36iaMQpVcBhTPCRWXSgvy_/edit?usp=drive_link&amp;ouid=111931206299703470153&amp;rtpof=true&amp;sd=true" TargetMode="External"/><Relationship Id="rId154" Type="http://schemas.openxmlformats.org/officeDocument/2006/relationships/hyperlink" Target="https://docs.google.com/document/d/12St5RnCR8CVW7PQoVysTS_iEqf6g5kL8/edit?usp=drive_link&amp;ouid=111931206299703470153&amp;rtpof=true&amp;sd=true" TargetMode="External"/><Relationship Id="rId275" Type="http://schemas.openxmlformats.org/officeDocument/2006/relationships/hyperlink" Target="https://airbnb.com/h/inta2905" TargetMode="External"/><Relationship Id="rId396" Type="http://schemas.openxmlformats.org/officeDocument/2006/relationships/hyperlink" Target="https://airbnb.ru/h/tg-2a" TargetMode="External"/><Relationship Id="rId153" Type="http://schemas.openxmlformats.org/officeDocument/2006/relationships/hyperlink" Target="https://docs.google.com/spreadsheets/d/1k91OGN7Lcq_GVrDCsPsMPGOakUtRpXHVGI9mxFuwpfo/edit?gid=0" TargetMode="External"/><Relationship Id="rId274" Type="http://schemas.openxmlformats.org/officeDocument/2006/relationships/hyperlink" Target="https://docs.google.com/document/d/1gt4fJKNdNDuCEicI8TiwsoVTIUTjJ4eY/edit?usp=sharing&amp;ouid=101000465628489029241&amp;rtpof=true&amp;sd=true" TargetMode="External"/><Relationship Id="rId395" Type="http://schemas.openxmlformats.org/officeDocument/2006/relationships/hyperlink" Target="https://docs.google.com/document/d/1iRV0bwtqXDimnRajIAR73CDFetXVGiuu/edit?usp=sharing&amp;ouid=112850101623577107380&amp;rtpof=true&amp;sd=true" TargetMode="External"/><Relationship Id="rId152" Type="http://schemas.openxmlformats.org/officeDocument/2006/relationships/hyperlink" Target="https://ostrovok.ru/hotel/georgia/batumi/mid13343911/orbi_c_1443_apartments/" TargetMode="External"/><Relationship Id="rId273" Type="http://schemas.openxmlformats.org/officeDocument/2006/relationships/hyperlink" Target="https://docs.google.com/spreadsheets/d/13ng3OvOk63f_n3pRc1lR-O1iNQUKGQ47E7l13GNbE2c/edit?usp=drive_link" TargetMode="External"/><Relationship Id="rId394" Type="http://schemas.openxmlformats.org/officeDocument/2006/relationships/hyperlink" Target="https://sutochno.ru/front/searchapp/detail/2003592?host_id" TargetMode="External"/><Relationship Id="rId151" Type="http://schemas.openxmlformats.org/officeDocument/2006/relationships/hyperlink" Target="https://sutochno.ru/front/searchapp/detail/2017711?" TargetMode="External"/><Relationship Id="rId272" Type="http://schemas.openxmlformats.org/officeDocument/2006/relationships/hyperlink" Target="https://docs.google.com/document/d/11V_FGb7Ub830JYvyj7MoycqHuPhT_bAY/edit?usp=drive_link&amp;ouid=117440070472446167713&amp;rtpof=true&amp;sd=true" TargetMode="External"/><Relationship Id="rId393" Type="http://schemas.openxmlformats.org/officeDocument/2006/relationships/hyperlink" Target="https://www.booking.com/Share-8BzKUBw" TargetMode="External"/><Relationship Id="rId158" Type="http://schemas.openxmlformats.org/officeDocument/2006/relationships/hyperlink" Target="https://docs.google.com/spreadsheets/d/1FMcpBNH3oXNtV2UB4dHF1dJ06MmrH6PBLtiekMIjdnQ/edit?gid=0" TargetMode="External"/><Relationship Id="rId279" Type="http://schemas.openxmlformats.org/officeDocument/2006/relationships/hyperlink" Target="https://docs.google.com/document/d/1X8EYVG8bHynCaf_6y84ze-g19E1wBf-h/edit?usp=drive_link&amp;ouid=117440070472446167713&amp;rtpof=true&amp;sd=true" TargetMode="External"/><Relationship Id="rId157" Type="http://schemas.openxmlformats.org/officeDocument/2006/relationships/hyperlink" Target="https://sutochno.ru/front/searchapp/detail/1637940?guests_adults=2&amp;id=1&amp;SW.lat=41.63618916802409&amp;SW.lng=41.6055252195129&amp;NE.lat=41.64410858689991&amp;NE.lng=41.62247678048703" TargetMode="External"/><Relationship Id="rId278" Type="http://schemas.openxmlformats.org/officeDocument/2006/relationships/hyperlink" Target="https://docs.google.com/spreadsheets/d/1IhEf147ItCecE_QqiNGcU4hl3KSCBWiSsZfT4A_Huag/edit?usp=drive_link" TargetMode="External"/><Relationship Id="rId399" Type="http://schemas.openxmlformats.org/officeDocument/2006/relationships/hyperlink" Target="https://docs.google.com/document/d/1iRV0bwtqXDimnRajIAR73CDFetXVGiuu/edit?usp=sharing&amp;ouid=112850101623577107380&amp;rtpof=true&amp;sd=true" TargetMode="External"/><Relationship Id="rId156" Type="http://schemas.openxmlformats.org/officeDocument/2006/relationships/hyperlink" Target="https://www.booking.com/Share-LndsVCR" TargetMode="External"/><Relationship Id="rId277" Type="http://schemas.openxmlformats.org/officeDocument/2006/relationships/hyperlink" Target="https://ostrovok.ru/hotel/georgia/batumi/mid13343962/inturist_2905_apartments/" TargetMode="External"/><Relationship Id="rId398" Type="http://schemas.openxmlformats.org/officeDocument/2006/relationships/hyperlink" Target="https://sutochno.ru/front/searchapp/detail/2003592?host_id" TargetMode="External"/><Relationship Id="rId155" Type="http://schemas.openxmlformats.org/officeDocument/2006/relationships/hyperlink" Target="https://airbnb.ru/h/orbic4245" TargetMode="External"/><Relationship Id="rId276" Type="http://schemas.openxmlformats.org/officeDocument/2006/relationships/hyperlink" Target="https://sutochno.ru/front/searchapp/detail/1695116?guests_adults=1&amp;occupied=2024-06-01;2024-08-31&amp;id=1&amp;term=%D0%A7%D0%B0%D0%BA%D0%B2%D0%B8&amp;SW.lat=41.636307175329&amp;SW.lng=41.60915121951291&amp;NE.lat=41.64422657959494&amp;NE.lng=41.62610278048704" TargetMode="External"/><Relationship Id="rId397" Type="http://schemas.openxmlformats.org/officeDocument/2006/relationships/hyperlink" Target="https://www.booking.com/Share-8BzKUBw" TargetMode="External"/><Relationship Id="rId40" Type="http://schemas.openxmlformats.org/officeDocument/2006/relationships/hyperlink" Target="https://docs.google.com/document/d/1LDOojjrhPc3jCW5m7s4fg5xOseOUW4Kp/edit?usp=drive_link&amp;ouid=116712236850441779568&amp;rtpof=true&amp;sd=true" TargetMode="External"/><Relationship Id="rId42" Type="http://schemas.openxmlformats.org/officeDocument/2006/relationships/hyperlink" Target="https://www.booking.com/hotel/ge/batumi-boulevard-resort.html" TargetMode="External"/><Relationship Id="rId41" Type="http://schemas.openxmlformats.org/officeDocument/2006/relationships/hyperlink" Target="https://airbnb.com/h/wsa907" TargetMode="External"/><Relationship Id="rId44" Type="http://schemas.openxmlformats.org/officeDocument/2006/relationships/hyperlink" Target="https://ostrovok.ru/hotel/georgia/batumi/mid13343891/white_sails_a_907_apartments/" TargetMode="External"/><Relationship Id="rId43" Type="http://schemas.openxmlformats.org/officeDocument/2006/relationships/hyperlink" Target="https://sutochno.ru/front/searchapp/detail/1803966?guests_adults=2&amp;occupied=2024-06-25;2024-06-26&amp;id=1&amp;term=%D0%A7%D0%B0%D0%BA%D0%B2%D0%B8&amp;SW.lat=41.62026684936153&amp;SW.lng=41.58997825523394&amp;NE.lat=41.62818823919277&amp;NE.lng=41.606929816208066" TargetMode="External"/><Relationship Id="rId46" Type="http://schemas.openxmlformats.org/officeDocument/2006/relationships/hyperlink" Target="https://airbnb.com/h/wse804" TargetMode="External"/><Relationship Id="rId45" Type="http://schemas.openxmlformats.org/officeDocument/2006/relationships/hyperlink" Target="https://docs.google.com/document/d/1ac2Gc2NDkT8_9VcbV86ujTo33jBEP-25WiW8o3YOKZw/edit?tab=t.0" TargetMode="External"/><Relationship Id="rId48" Type="http://schemas.openxmlformats.org/officeDocument/2006/relationships/hyperlink" Target="https://sutochno.ru/front/searchapp/detail/1804205?guests_adults=2&amp;occupied=2024-06-25;2024-06-26&amp;id=1&amp;term=%D0%A7%D0%B0%D0%BA%D0%B2%D0%B8&amp;SW.lat=41.62026684936153&amp;SW.lng=41.58997825523394&amp;NE.lat=41.62818823919277&amp;NE.lng=41.606929816208066" TargetMode="External"/><Relationship Id="rId47" Type="http://schemas.openxmlformats.org/officeDocument/2006/relationships/hyperlink" Target="https://www.booking.com/hotel/ge/batumi-boulevard-resort.html" TargetMode="External"/><Relationship Id="rId49" Type="http://schemas.openxmlformats.org/officeDocument/2006/relationships/hyperlink" Target="https://ostrovok.ru/hotel/georgia/batumi/mid13343885/white_sails_e_804_apartments/" TargetMode="External"/><Relationship Id="rId31" Type="http://schemas.openxmlformats.org/officeDocument/2006/relationships/hyperlink" Target="https://airbnb.ru/h/wsa409" TargetMode="External"/><Relationship Id="rId30" Type="http://schemas.openxmlformats.org/officeDocument/2006/relationships/hyperlink" Target="https://docs.google.com/document/d/1QA3oKj65Xi1t2fqIDmHULf5M-3okRCMD/edit?usp=drive_link&amp;ouid=116712236850441779568&amp;rtpof=true&amp;sd=true" TargetMode="External"/><Relationship Id="rId33" Type="http://schemas.openxmlformats.org/officeDocument/2006/relationships/hyperlink" Target="https://sutochno.ru/front/searchapp/detail/1766637?guests_adults=2&amp;id=1&amp;SW.lat=41.6206702075146&amp;SW.lng=41.58953121951294&amp;NE.lat=41.62859154742334&amp;NE.lng=41.60648278048706" TargetMode="External"/><Relationship Id="rId32" Type="http://schemas.openxmlformats.org/officeDocument/2006/relationships/hyperlink" Target="https://www.booking.com/Share-xqLLfZL" TargetMode="External"/><Relationship Id="rId35" Type="http://schemas.openxmlformats.org/officeDocument/2006/relationships/hyperlink" Target="https://docs.google.com/document/d/1rlK_tcjEYqKpN4fSBiBQKdal3Z2PBgHo/edit?usp=drive_link&amp;ouid=116712236850441779568&amp;rtpof=true&amp;sd=true" TargetMode="External"/><Relationship Id="rId34" Type="http://schemas.openxmlformats.org/officeDocument/2006/relationships/hyperlink" Target="https://ostrovok.ru/hotel/georgia/batumi/mid13343888/white_sails_a_409_apartments/" TargetMode="External"/><Relationship Id="rId37" Type="http://schemas.openxmlformats.org/officeDocument/2006/relationships/hyperlink" Target="https://www.booking.com/hotel/ge/batumi-boulevard-resort.html" TargetMode="External"/><Relationship Id="rId36" Type="http://schemas.openxmlformats.org/officeDocument/2006/relationships/hyperlink" Target="https://airbnb.com/h/wsa608" TargetMode="External"/><Relationship Id="rId39" Type="http://schemas.openxmlformats.org/officeDocument/2006/relationships/hyperlink" Target="https://ostrovok.ru/hotel/georgia/batumi/mid13343889/white_sails_a_608_apartments/" TargetMode="External"/><Relationship Id="rId38" Type="http://schemas.openxmlformats.org/officeDocument/2006/relationships/hyperlink" Target="https://sutochno.ru/front/searchapp/detail/1803934?guests_adults=2&amp;occupied=2024-06-25;2024-06-26&amp;id=1&amp;term=%D0%A7%D0%B0%D0%BA%D0%B2%D0%B8&amp;SW.lat=41.62026684936153&amp;SW.lng=41.58997825523394&amp;NE.lat=41.62818823919277&amp;NE.lng=41.606929816208066" TargetMode="External"/><Relationship Id="rId20" Type="http://schemas.openxmlformats.org/officeDocument/2006/relationships/hyperlink" Target="https://ostrovok.ru/hotel/georgia/batumi/mid13343884/white_sails_b_1510_apartments/" TargetMode="External"/><Relationship Id="rId22" Type="http://schemas.openxmlformats.org/officeDocument/2006/relationships/hyperlink" Target="https://docs.google.com/document/d/1NYvllQk1Tq81OCp1n25d5lCdni7t3kul/edit?usp=drive_link&amp;ouid=116712236850441779568&amp;rtpof=true&amp;sd=true" TargetMode="External"/><Relationship Id="rId21" Type="http://schemas.openxmlformats.org/officeDocument/2006/relationships/hyperlink" Target="https://docs.google.com/spreadsheets/d/1BmRw936i8IO80D6Jz0JR4sdIaSuLgf6I6ndaHB6B1mc/edit?gid=547159473" TargetMode="External"/><Relationship Id="rId24" Type="http://schemas.openxmlformats.org/officeDocument/2006/relationships/hyperlink" Target="https://www.booking.com/Share-xqLLfZL" TargetMode="External"/><Relationship Id="rId23" Type="http://schemas.openxmlformats.org/officeDocument/2006/relationships/hyperlink" Target="https://ru.airbnb.com/hosting/listings/editor/1557162624121179819/view-your-space" TargetMode="External"/><Relationship Id="rId409" Type="http://schemas.openxmlformats.org/officeDocument/2006/relationships/hyperlink" Target="https://www.booking.com/Share-8BzKUBw" TargetMode="External"/><Relationship Id="rId404" Type="http://schemas.openxmlformats.org/officeDocument/2006/relationships/hyperlink" Target="https://airbnb.ru/h/tg-2a" TargetMode="External"/><Relationship Id="rId403" Type="http://schemas.openxmlformats.org/officeDocument/2006/relationships/hyperlink" Target="https://docs.google.com/document/d/1iRV0bwtqXDimnRajIAR73CDFetXVGiuu/edit?usp=sharing&amp;ouid=112850101623577107380&amp;rtpof=true&amp;sd=true" TargetMode="External"/><Relationship Id="rId402" Type="http://schemas.openxmlformats.org/officeDocument/2006/relationships/hyperlink" Target="https://sutochno.ru/front/searchapp/detail/2003576?host_id" TargetMode="External"/><Relationship Id="rId401" Type="http://schemas.openxmlformats.org/officeDocument/2006/relationships/hyperlink" Target="https://www.booking.com/Share-8BzKUBw" TargetMode="External"/><Relationship Id="rId408" Type="http://schemas.openxmlformats.org/officeDocument/2006/relationships/hyperlink" Target="https://airbnb.ru/h/tg-2a" TargetMode="External"/><Relationship Id="rId407" Type="http://schemas.openxmlformats.org/officeDocument/2006/relationships/hyperlink" Target="https://docs.google.com/document/d/1iRV0bwtqXDimnRajIAR73CDFetXVGiuu/edit?usp=sharing&amp;ouid=112850101623577107380&amp;rtpof=true&amp;sd=true" TargetMode="External"/><Relationship Id="rId406" Type="http://schemas.openxmlformats.org/officeDocument/2006/relationships/hyperlink" Target="https://sutochno.ru/front/searchapp/detail/2003592?host_id" TargetMode="External"/><Relationship Id="rId405" Type="http://schemas.openxmlformats.org/officeDocument/2006/relationships/hyperlink" Target="https://www.booking.com/Share-8BzKUBw" TargetMode="External"/><Relationship Id="rId26" Type="http://schemas.openxmlformats.org/officeDocument/2006/relationships/hyperlink" Target="https://airbnb.com/h/wse1202" TargetMode="External"/><Relationship Id="rId25" Type="http://schemas.openxmlformats.org/officeDocument/2006/relationships/hyperlink" Target="https://docs.google.com/document/d/1Qst6T5wKm8HKhzmsQuChC-sFW1flpJVc/edit?usp=sharing&amp;ouid=101000465628489029241&amp;rtpof=true&amp;sd=true" TargetMode="External"/><Relationship Id="rId28" Type="http://schemas.openxmlformats.org/officeDocument/2006/relationships/hyperlink" Target="https://sutochno.ru/front/searchapp/detail/1778923?guests_adults=2&amp;id=1&amp;SW.lat=41.61946982597882&amp;SW.lng=41.58957055946391&amp;NE.lat=41.62739131445426&amp;NE.lng=41.606522120438036" TargetMode="External"/><Relationship Id="rId27" Type="http://schemas.openxmlformats.org/officeDocument/2006/relationships/hyperlink" Target="https://www.booking.com/Share-xqLLfZL" TargetMode="External"/><Relationship Id="rId400" Type="http://schemas.openxmlformats.org/officeDocument/2006/relationships/hyperlink" Target="https://airbnb.ru/h/tg-1a" TargetMode="External"/><Relationship Id="rId29" Type="http://schemas.openxmlformats.org/officeDocument/2006/relationships/hyperlink" Target="https://ostrovok.ru/hotel/georgia/batumi/mid13343880/white_sails_e_1202_apartments/" TargetMode="External"/><Relationship Id="rId11" Type="http://schemas.openxmlformats.org/officeDocument/2006/relationships/hyperlink" Target="https://docs.google.com/document/d/13QOIsSmwRWo3hWvA7V1k5YtqAS1HtQn0/edit?usp=drive_link&amp;ouid=116712236850441779568&amp;rtpof=true&amp;sd=true" TargetMode="External"/><Relationship Id="rId10" Type="http://schemas.openxmlformats.org/officeDocument/2006/relationships/hyperlink" Target="https://ostrovok.ru/hotel/georgia/batumi/mid13343890/white_sails_f_907_apartments/" TargetMode="External"/><Relationship Id="rId13" Type="http://schemas.openxmlformats.org/officeDocument/2006/relationships/hyperlink" Target="https://www.booking.com/Share-xqLLfZL" TargetMode="External"/><Relationship Id="rId12" Type="http://schemas.openxmlformats.org/officeDocument/2006/relationships/hyperlink" Target="https://www.airbnb.ru/rooms/951438840662298607" TargetMode="External"/><Relationship Id="rId15" Type="http://schemas.openxmlformats.org/officeDocument/2006/relationships/hyperlink" Target="https://ostrovok.ru/hotel/georgia/batumi/mid13343892/white_sails_b_212_apartments/" TargetMode="External"/><Relationship Id="rId14" Type="http://schemas.openxmlformats.org/officeDocument/2006/relationships/hyperlink" Target="https://sutochno.ru/front/searchapp/detail/1597785?host_id=11237896&amp;host_device=app&amp;guest_id=6765771&amp;guests_adults=2&amp;id=1&amp;SW.lat=41.62003661276085&amp;SW.lng=41.590182840373934&amp;NE.lat=41.62795803108765&amp;NE.lng=41.607134401348034" TargetMode="External"/><Relationship Id="rId17" Type="http://schemas.openxmlformats.org/officeDocument/2006/relationships/hyperlink" Target="https://airbnb.ru/h/wsb1510" TargetMode="External"/><Relationship Id="rId16" Type="http://schemas.openxmlformats.org/officeDocument/2006/relationships/hyperlink" Target="https://docs.google.com/document/d/10-RSrGDNjr0t6cQLv_RfQAEqSP7ioAdL/edit" TargetMode="External"/><Relationship Id="rId19" Type="http://schemas.openxmlformats.org/officeDocument/2006/relationships/hyperlink" Target="https://sutochno.ru/front/searchapp/detail/1651312?guests_adults=2&amp;id=1&amp;SW.lat=41.62003661276085&amp;SW.lng=41.590182840373934&amp;NE.lat=41.62795803108765&amp;NE.lng=41.607134401348034" TargetMode="External"/><Relationship Id="rId18" Type="http://schemas.openxmlformats.org/officeDocument/2006/relationships/hyperlink" Target="https://www.booking.com/Share-xqLLfZL" TargetMode="External"/><Relationship Id="rId84" Type="http://schemas.openxmlformats.org/officeDocument/2006/relationships/hyperlink" Target="https://ru.airbnb.com/hosting/listings/editor/1558574343606488996/details/photo-tour" TargetMode="External"/><Relationship Id="rId83" Type="http://schemas.openxmlformats.org/officeDocument/2006/relationships/hyperlink" Target="https://docs.google.com/document/d/1SvoVSpOXYmEWToqUzgJJkH3lbRUtotKU/edit?usp=sharing&amp;ouid=112850101623577107380&amp;rtpof=true&amp;sd=true" TargetMode="External"/><Relationship Id="rId86" Type="http://schemas.openxmlformats.org/officeDocument/2006/relationships/hyperlink" Target="https://docs.google.com/spreadsheets/d/11pQ9F_suk0C6-gYKIgnjTZvaSLFzIREU_zARa0zTINE/edit?usp=drive_link" TargetMode="External"/><Relationship Id="rId85" Type="http://schemas.openxmlformats.org/officeDocument/2006/relationships/hyperlink" Target="https://sutochno.ru/front/searchapp/detail/2197711?" TargetMode="External"/><Relationship Id="rId88" Type="http://schemas.openxmlformats.org/officeDocument/2006/relationships/hyperlink" Target="http://airbnb.ru/h/obt2906" TargetMode="External"/><Relationship Id="rId87" Type="http://schemas.openxmlformats.org/officeDocument/2006/relationships/hyperlink" Target="https://docs.google.com/document/d/1JNxoWvUvUN0fn4blHdQxXxhA7y1qp1UA/edit?usp=sharing&amp;ouid=112850101623577107380&amp;rtpof=true&amp;sd=true" TargetMode="External"/><Relationship Id="rId89" Type="http://schemas.openxmlformats.org/officeDocument/2006/relationships/hyperlink" Target="https://www.booking.com/hotel/ge/beach-tower-app-montreux.ru.html?label=gen173nr-10CAsoUkIYYmVhY2gtdG93ZXItYXBwLW1vbnRyZXV4SDNYBGhSiAEBmAEzuAEXyAEM2AED6AEB-AEBiAIBqAIBuALnnIDKBsACAdICJDE5ZGY4NDQ5LTgyMDMtNGFhYi1hODYzLTgwYTllZDUyODVlZtgCAeACAQ&amp;sid=a1de48d8e17c657d54e265ede55366e1&amp;dist=0&amp;keep_landing=1&amp;sb_price_type=total&amp;type=total&amp;" TargetMode="External"/><Relationship Id="rId80" Type="http://schemas.openxmlformats.org/officeDocument/2006/relationships/hyperlink" Target="https://www.booking.com/Share-KnAK8p2" TargetMode="External"/><Relationship Id="rId82" Type="http://schemas.openxmlformats.org/officeDocument/2006/relationships/hyperlink" Target="https://docs.google.com/spreadsheets/d/1V2yV_tOT77P_H11Kbd0trkfywOu0a8DkHVHMPD6SVnw/edit?usp=drive_link" TargetMode="External"/><Relationship Id="rId81" Type="http://schemas.openxmlformats.org/officeDocument/2006/relationships/hyperlink" Target="https://sutochno.ru/front/searchapp/detail/1960399?host_id=11237896&amp;host_device=app&amp;guest_id=" TargetMode="External"/><Relationship Id="rId73" Type="http://schemas.openxmlformats.org/officeDocument/2006/relationships/hyperlink" Target="https://docs.google.com/spreadsheets/d/1zz-Kr8CFAV19sylz450Jn1Qxp1oEE3zX-Y01edLIifk/edit?usp=drive_link" TargetMode="External"/><Relationship Id="rId72" Type="http://schemas.openxmlformats.org/officeDocument/2006/relationships/hyperlink" Target="https://ostrovok.ru/hotel/georgia/batumi/mid13343883/batumi_view_1318_apartments/" TargetMode="External"/><Relationship Id="rId75" Type="http://schemas.openxmlformats.org/officeDocument/2006/relationships/hyperlink" Target="http://airbnb.ru/h/bv0514" TargetMode="External"/><Relationship Id="rId74" Type="http://schemas.openxmlformats.org/officeDocument/2006/relationships/hyperlink" Target="https://docs.google.com/document/d/1JQ0SyXjnAgA5rpa2kyD1qClviXvw5Xjq/edit?usp=drive_link&amp;ouid=116712236850441779568&amp;rtpof=true&amp;sd=true" TargetMode="External"/><Relationship Id="rId77" Type="http://schemas.openxmlformats.org/officeDocument/2006/relationships/hyperlink" Target="https://sutochno.ru/front/searchapp/detail/2180915" TargetMode="External"/><Relationship Id="rId76" Type="http://schemas.openxmlformats.org/officeDocument/2006/relationships/hyperlink" Target="https://www.booking.com/hotel/ge/batumi-view-first-line.ru.html?label=gen173nr-10CAsoUkIWYmF0dW1pLXZpZXctZmlyc3QtbGluZUgzWARoUogBAZgBM7gBF8gBDNgBA-gBAfgBAYgCAagCAbgCpqTdxwbAAgHSAiQ5OGI5MGE5OS04MzhkLTRjNTctOTUzNC05MTRmYTU3MDU3OTPYAgHgAgE&amp;sid=a1de48d8e17c657d54e265ede55366e1&amp;dist=0&amp;keep_landing=1&amp;sb_price_type=total&amp;type=total&amp;" TargetMode="External"/><Relationship Id="rId79" Type="http://schemas.openxmlformats.org/officeDocument/2006/relationships/hyperlink" Target="http://airbnb.com/h/steps1123" TargetMode="External"/><Relationship Id="rId78" Type="http://schemas.openxmlformats.org/officeDocument/2006/relationships/hyperlink" Target="https://docs.google.com/document/d/12pPfIdkqQE1N1tg2lbeli1QHKbIukyN7URboI0xohRg/edit?usp=drivesdk" TargetMode="External"/><Relationship Id="rId71" Type="http://schemas.openxmlformats.org/officeDocument/2006/relationships/hyperlink" Target="https://sutochno.ru/front/searchapp/detail/1917618?host_id=11237896&amp;host_device=PC&amp;guest_id=" TargetMode="External"/><Relationship Id="rId70" Type="http://schemas.openxmlformats.org/officeDocument/2006/relationships/hyperlink" Target="https://www.booking.com/hotel/ge/batumi-view-first-line.html" TargetMode="External"/><Relationship Id="rId62" Type="http://schemas.openxmlformats.org/officeDocument/2006/relationships/hyperlink" Target="https://sutochno.ru/front/searchapp/detail/2091761?price_per=1&amp;guests_adults=2&amp;id=1&amp;SW.lat=55.142221&amp;SW.lng=36.803259&amp;NE.lat=56.021281&amp;NE.lng=37.96779" TargetMode="External"/><Relationship Id="rId61" Type="http://schemas.openxmlformats.org/officeDocument/2006/relationships/hyperlink" Target="https://www.booking.com/hotel/ge/batumi-boulevard-resort.html" TargetMode="External"/><Relationship Id="rId64" Type="http://schemas.openxmlformats.org/officeDocument/2006/relationships/hyperlink" Target="https://docs.google.com/document/d/1K7e6upkE3ZMiK4tHEEDhVVY0uZxIVD85/edit?usp=drive_link&amp;ouid=116712236850441779568&amp;rtpof=true&amp;sd=true" TargetMode="External"/><Relationship Id="rId63" Type="http://schemas.openxmlformats.org/officeDocument/2006/relationships/hyperlink" Target="https://docs.google.com/spreadsheets/d/1wsFJuE4wok_RW435elgcLOQxi9nhl8O1F9jLBwo0WG4/edit?usp=drive_link" TargetMode="External"/><Relationship Id="rId66" Type="http://schemas.openxmlformats.org/officeDocument/2006/relationships/hyperlink" Target="https://www.booking.com/hotel/ge/batumi-boulevard-resort.html" TargetMode="External"/><Relationship Id="rId65" Type="http://schemas.openxmlformats.org/officeDocument/2006/relationships/hyperlink" Target="https://ru.airbnb.com/hosting/listings/editor/1568661924032989113/view-your-space" TargetMode="External"/><Relationship Id="rId68" Type="http://schemas.openxmlformats.org/officeDocument/2006/relationships/hyperlink" Target="https://docs.google.com/document/d/13OMHcOm3IEMFRSbTZb03AxjDFQVr0Ti3/edit?usp=drive_link&amp;ouid=111931206299703470153&amp;rtpof=true&amp;sd=true" TargetMode="External"/><Relationship Id="rId67" Type="http://schemas.openxmlformats.org/officeDocument/2006/relationships/hyperlink" Target="https://sutochno.ru/front/searchapp/detail/2209519?host_id=11237896&amp;host_device=PC&amp;guest_id=" TargetMode="External"/><Relationship Id="rId60" Type="http://schemas.openxmlformats.org/officeDocument/2006/relationships/hyperlink" Target="https://ru.airbnb.com/hosting/listings/editor/1448295525878557615/view-your-space" TargetMode="External"/><Relationship Id="rId69" Type="http://schemas.openxmlformats.org/officeDocument/2006/relationships/hyperlink" Target="https://airbnb.ru/h/bvb1318" TargetMode="External"/><Relationship Id="rId51" Type="http://schemas.openxmlformats.org/officeDocument/2006/relationships/hyperlink" Target="https://airbnb.com/h/wse704" TargetMode="External"/><Relationship Id="rId50" Type="http://schemas.openxmlformats.org/officeDocument/2006/relationships/hyperlink" Target="https://docs.google.com/document/d/1KGPSjluGJ3V8ZhbgLc7OErcmEh6WCYRh/edit?usp=drive_link&amp;ouid=116712236850441779568&amp;rtpof=true&amp;sd=true" TargetMode="External"/><Relationship Id="rId53" Type="http://schemas.openxmlformats.org/officeDocument/2006/relationships/hyperlink" Target="https://sutochno.ru/front/searchapp/detail/1804231?guests_adults=2&amp;occupied=2024-06-25;2024-06-26&amp;id=1&amp;term=%D0%A7%D0%B0%D0%BA%D0%B2%D0%B8&amp;SW.lat=41.62026684936153&amp;SW.lng=41.58997825523394&amp;NE.lat=41.62818823919277&amp;NE.lng=41.6069298162080660" TargetMode="External"/><Relationship Id="rId52" Type="http://schemas.openxmlformats.org/officeDocument/2006/relationships/hyperlink" Target="https://www.booking.com/hotel/ge/batumi-boulevard-resort.html" TargetMode="External"/><Relationship Id="rId55" Type="http://schemas.openxmlformats.org/officeDocument/2006/relationships/hyperlink" Target="https://docs.google.com/document/d/1iloF5RPbeMzZu5PWz1yYQgmGsEhMQkl6/edit?usp=drive_link&amp;ouid=116712236850441779568&amp;rtpof=true&amp;sd=true" TargetMode="External"/><Relationship Id="rId54" Type="http://schemas.openxmlformats.org/officeDocument/2006/relationships/hyperlink" Target="https://ostrovok.ru/hotel/georgia/batumi/mid13343894/white_saile_e_704_apartments/" TargetMode="External"/><Relationship Id="rId57" Type="http://schemas.openxmlformats.org/officeDocument/2006/relationships/hyperlink" Target="https://www.booking.com/hotel/ge/batumi-boulevard-resort.html" TargetMode="External"/><Relationship Id="rId56" Type="http://schemas.openxmlformats.org/officeDocument/2006/relationships/hyperlink" Target="https://ru.airbnb.com/hosting/listings/editor/1445607361971672990/view-your-space" TargetMode="External"/><Relationship Id="rId59" Type="http://schemas.openxmlformats.org/officeDocument/2006/relationships/hyperlink" Target="https://docs.google.com/document/d/17D8xmQd5f96lQUzjiOVEPDu27JZGAzGI/edit?usp=drive_link&amp;ouid=116712236850441779568&amp;rtpof=true&amp;sd=true" TargetMode="External"/><Relationship Id="rId58" Type="http://schemas.openxmlformats.org/officeDocument/2006/relationships/hyperlink" Target="https://sutochno.ru/front/searchapp/detail/2084488?price_per=1&amp;guests_adults=2&amp;id=1&amp;SW.lat=41.61985615713882&amp;SW.lng=41.58907721951295&amp;NE.lat=41.627777597799884&amp;NE.lng=41.60602878048705" TargetMode="External"/><Relationship Id="rId107" Type="http://schemas.openxmlformats.org/officeDocument/2006/relationships/hyperlink" Target="https://docs.google.com/document/d/1gBPXHvwEgbsLEkRBRH0y4OKjJyOLjnUo/edit?usp=sharing&amp;ouid=112850101623577107380&amp;rtpof=true&amp;sd=true" TargetMode="External"/><Relationship Id="rId228" Type="http://schemas.openxmlformats.org/officeDocument/2006/relationships/hyperlink" Target="https://docs.google.com/document/d/1MF3IpIbPY5NmKLcG314n5r85l-8EnUYZ/edit?usp=sharing&amp;ouid=112850101623577107380&amp;rtpof=true&amp;sd=true" TargetMode="External"/><Relationship Id="rId349" Type="http://schemas.openxmlformats.org/officeDocument/2006/relationships/hyperlink" Target="http://airbnb.com/h/dl14-506" TargetMode="External"/><Relationship Id="rId106" Type="http://schemas.openxmlformats.org/officeDocument/2006/relationships/hyperlink" Target="https://sutochno.ru/front/searchapp/detail/2226291" TargetMode="External"/><Relationship Id="rId227" Type="http://schemas.openxmlformats.org/officeDocument/2006/relationships/hyperlink" Target="https://docs.google.com/spreadsheets/d/14-_XnriPTnk92SGnU87qMT1BoOF8yQPph0utnSMzBd8/edit?gid=0" TargetMode="External"/><Relationship Id="rId348" Type="http://schemas.openxmlformats.org/officeDocument/2006/relationships/hyperlink" Target="https://docs.google.com/document/d/1aowJHSJB_h96GnkfuLurUoTvmnY_tUvQDoVW0_4PX4I/edit?usp=sharing" TargetMode="External"/><Relationship Id="rId105" Type="http://schemas.openxmlformats.org/officeDocument/2006/relationships/hyperlink" Target="http://airbnb.ru/h/bva144" TargetMode="External"/><Relationship Id="rId226" Type="http://schemas.openxmlformats.org/officeDocument/2006/relationships/hyperlink" Target="https://docs.google.com/document/d/1DZJBsm_tZ99UNVjKljsNwsDHxxkQhOCY/edit?usp=drive_link&amp;ouid=117440070472446167713&amp;rtpof=true&amp;sd=true" TargetMode="External"/><Relationship Id="rId347" Type="http://schemas.openxmlformats.org/officeDocument/2006/relationships/hyperlink" Target="https://docs.google.com/spreadsheets/d/1LNbZpAuOMKfoCZmHNyRYms6DmXQvZKOpgnd29WQpXXs/edit?usp=drive_link" TargetMode="External"/><Relationship Id="rId104" Type="http://schemas.openxmlformats.org/officeDocument/2006/relationships/hyperlink" Target="https://docs.google.com/document/d/1LrWozUEs3v4j_ayylMBNMMGmxbfhZ_ew/edit?usp=sharing&amp;ouid=112850101623577107380&amp;rtpof=true&amp;sd=true" TargetMode="External"/><Relationship Id="rId225" Type="http://schemas.openxmlformats.org/officeDocument/2006/relationships/hyperlink" Target="https://docs.google.com/spreadsheets/d/1URduoNvl0QQZ2NRrakNbDw6v_YH-ClIskMSFSmiVu6I/edit?usp=drive_link" TargetMode="External"/><Relationship Id="rId346" Type="http://schemas.openxmlformats.org/officeDocument/2006/relationships/hyperlink" Target="https://sutochno.ru/front/searchapp/detail/2090023?guests_adults=2" TargetMode="External"/><Relationship Id="rId109" Type="http://schemas.openxmlformats.org/officeDocument/2006/relationships/hyperlink" Target="https://sutochno.ru/front/searchapp/detail/2226325" TargetMode="External"/><Relationship Id="rId108" Type="http://schemas.openxmlformats.org/officeDocument/2006/relationships/hyperlink" Target="http://airbnb.ru/h/bva145" TargetMode="External"/><Relationship Id="rId229" Type="http://schemas.openxmlformats.org/officeDocument/2006/relationships/hyperlink" Target="https://airbnb.ru/h/mz718" TargetMode="External"/><Relationship Id="rId220" Type="http://schemas.openxmlformats.org/officeDocument/2006/relationships/hyperlink" Target="https://sutochno.ru/front/searchapp/detail/2015965?price_per=1&amp;guests_adults=2&amp;id=1&amp;SW.lat=41.65053097859726&amp;SW.lng=41.63049469570893&amp;NE.lat=41.65844862164388&amp;NE.lng=41.647446256683066" TargetMode="External"/><Relationship Id="rId341" Type="http://schemas.openxmlformats.org/officeDocument/2006/relationships/hyperlink" Target="https://www.booking.com/Share-TeyA38" TargetMode="External"/><Relationship Id="rId462" Type="http://schemas.openxmlformats.org/officeDocument/2006/relationships/hyperlink" Target="https://docs.google.com/document/d/1iRV0bwtqXDimnRajIAR73CDFetXVGiuu/edit?usp=sharing&amp;ouid=112850101623577107380&amp;rtpof=true&amp;sd=true" TargetMode="External"/><Relationship Id="rId340" Type="http://schemas.openxmlformats.org/officeDocument/2006/relationships/hyperlink" Target="https://airbnb.ru/h/dl14-305" TargetMode="External"/><Relationship Id="rId461" Type="http://schemas.openxmlformats.org/officeDocument/2006/relationships/hyperlink" Target="https://www.booking.com/hotel/ge/villa-eva.ru.html?label=gen173nr-1BCAsoUkIJdmlsbGEtZXZhSDNYBGhSiAEBmAEhuAEYyAEM2AEB6AEBiAIBqAIEuAKAzbyzBsACAdICJDhiMjVmMmM2LWRmNmQtNGFlYi1hNzBiLTdkYjc5YTk0YzllNtgCBeACAQ&amp;sid=8f07804ac5172ad6b6a36c94c2166d9e&amp;dist=0&amp;keep_landing=1&amp;sb_price_type=total&amp;type=total&amp;" TargetMode="External"/><Relationship Id="rId460" Type="http://schemas.openxmlformats.org/officeDocument/2006/relationships/hyperlink" Target="https://docs.google.com/document/d/1mJNPc5jOpu8KsAJtJ5mQHGolbVYV8uXW/edit?usp=drive_link&amp;ouid=111931206299703470153&amp;rtpof=true&amp;sd=true" TargetMode="External"/><Relationship Id="rId103" Type="http://schemas.openxmlformats.org/officeDocument/2006/relationships/hyperlink" Target="https://sutochno.ru/front/searchapp/detail/2239413" TargetMode="External"/><Relationship Id="rId224" Type="http://schemas.openxmlformats.org/officeDocument/2006/relationships/hyperlink" Target="https://sutochno.ru/front/searchapp/detail/2181784?host_id=11237896&amp;host_device=PC&amp;guest_id=" TargetMode="External"/><Relationship Id="rId345" Type="http://schemas.openxmlformats.org/officeDocument/2006/relationships/hyperlink" Target="https://www.booking.com/Share-TeyA38" TargetMode="External"/><Relationship Id="rId102" Type="http://schemas.openxmlformats.org/officeDocument/2006/relationships/hyperlink" Target="http://airbnb.ru/h/bva134" TargetMode="External"/><Relationship Id="rId223" Type="http://schemas.openxmlformats.org/officeDocument/2006/relationships/hyperlink" Target="https://airbnb.ru/h/porta2704" TargetMode="External"/><Relationship Id="rId344" Type="http://schemas.openxmlformats.org/officeDocument/2006/relationships/hyperlink" Target="https://airbnb.ru/h/dl14-505" TargetMode="External"/><Relationship Id="rId101" Type="http://schemas.openxmlformats.org/officeDocument/2006/relationships/hyperlink" Target="https://docs.google.com/document/d/1nNNzNDRrmwhZauzLNouSlG7fs79kicRO/edit?usp=drive_link&amp;ouid=116712236850441779568&amp;rtpof=true&amp;sd=true" TargetMode="External"/><Relationship Id="rId222" Type="http://schemas.openxmlformats.org/officeDocument/2006/relationships/hyperlink" Target="https://docs.google.com/document/d/13Y4hrtjMwlw3OUcnc9hqBlVL-sceaNZ9/edit" TargetMode="External"/><Relationship Id="rId343" Type="http://schemas.openxmlformats.org/officeDocument/2006/relationships/hyperlink" Target="https://docs.google.com/document/d/1Qax55G-pB1Xoq0EpT28jWhA5bt-HRPfD/edit?usp=sharing&amp;ouid=112850101623577107380&amp;rtpof=true&amp;sd=true" TargetMode="External"/><Relationship Id="rId100" Type="http://schemas.openxmlformats.org/officeDocument/2006/relationships/hyperlink" Target="https://sutochno.ru/front/searchapp/detail/2239413?" TargetMode="External"/><Relationship Id="rId221" Type="http://schemas.openxmlformats.org/officeDocument/2006/relationships/hyperlink" Target="https://docs.google.com/spreadsheets/d/1DCe9zOqP1hMId1fsSZqkFOBV5xKzCOomsppIuis1jrA/edit?usp=drive_link" TargetMode="External"/><Relationship Id="rId342" Type="http://schemas.openxmlformats.org/officeDocument/2006/relationships/hyperlink" Target="https://docs.google.com/spreadsheets/d/1PGzdAue_XVkeXDMZ1vxojR3AtvTrWjv5qr0FxxJOGXA/edit?gid=415745973" TargetMode="External"/><Relationship Id="rId463" Type="http://schemas.openxmlformats.org/officeDocument/2006/relationships/drawing" Target="../drawings/drawing4.xml"/><Relationship Id="rId217" Type="http://schemas.openxmlformats.org/officeDocument/2006/relationships/hyperlink" Target="https://docs.google.com/spreadsheets/d/1DCe9zOqP1hMId1fsSZqkFOBV5xKzCOomsppIuis1jrA/edit?usp=drive_link" TargetMode="External"/><Relationship Id="rId338" Type="http://schemas.openxmlformats.org/officeDocument/2006/relationships/hyperlink" Target="https://docs.google.com/spreadsheets/d/1ssIV5IBofoN2nB3n2noDR589bf1Ns0NQab18iLDuvgY/edit?gid=415745973" TargetMode="External"/><Relationship Id="rId459" Type="http://schemas.openxmlformats.org/officeDocument/2006/relationships/hyperlink" Target="https://sutochno.ru/front/searchapp/detail/2017280?guests_adults=2" TargetMode="External"/><Relationship Id="rId216" Type="http://schemas.openxmlformats.org/officeDocument/2006/relationships/hyperlink" Target="https://sutochno.ru/front/searchapp/detail/2198219?host_id=11237896&amp;host_device=PC&amp;guest_id=" TargetMode="External"/><Relationship Id="rId337" Type="http://schemas.openxmlformats.org/officeDocument/2006/relationships/hyperlink" Target="https://www.booking.com/Share-TeyA38" TargetMode="External"/><Relationship Id="rId458" Type="http://schemas.openxmlformats.org/officeDocument/2006/relationships/hyperlink" Target="https://www.booking.com/Share-Kx97q8" TargetMode="External"/><Relationship Id="rId215" Type="http://schemas.openxmlformats.org/officeDocument/2006/relationships/hyperlink" Target="http://airbnb.ru/h/cm1327" TargetMode="External"/><Relationship Id="rId336" Type="http://schemas.openxmlformats.org/officeDocument/2006/relationships/hyperlink" Target="https://airbnb.ru/h/dl14-1405" TargetMode="External"/><Relationship Id="rId457" Type="http://schemas.openxmlformats.org/officeDocument/2006/relationships/hyperlink" Target="http://airbnb.ru/h/tg-11b" TargetMode="External"/><Relationship Id="rId214" Type="http://schemas.openxmlformats.org/officeDocument/2006/relationships/hyperlink" Target="https://docs.google.com/document/d/1lrg1R8ww73RQywaNTWkVjOAlQIPSRGB9r9uvXFNFeDI/edit?usp=drive_link" TargetMode="External"/><Relationship Id="rId335" Type="http://schemas.openxmlformats.org/officeDocument/2006/relationships/hyperlink" Target="https://docs.google.com/document/d/1gA-Nk9i07gc9zXg6KqecaoEl1uWFr7tZ/edit?usp=drive_link&amp;ouid=111931206299703470153&amp;rtpof=true&amp;sd=true" TargetMode="External"/><Relationship Id="rId456" Type="http://schemas.openxmlformats.org/officeDocument/2006/relationships/hyperlink" Target="https://docs.google.com/document/d/1iRV0bwtqXDimnRajIAR73CDFetXVGiuu/edit?usp=sharing&amp;ouid=112850101623577107380&amp;rtpof=true&amp;sd=true" TargetMode="External"/><Relationship Id="rId219" Type="http://schemas.openxmlformats.org/officeDocument/2006/relationships/hyperlink" Target="https://airbnb.ru/h/porta2604" TargetMode="External"/><Relationship Id="rId218" Type="http://schemas.openxmlformats.org/officeDocument/2006/relationships/hyperlink" Target="https://docs.google.com/document/d/1W4JCO8odhNPfyNg1i3KfVjDxt6RxaG6u/edit?usp=drivesdk&amp;ouid=117440070472446167713&amp;rtpof=true&amp;sd=true" TargetMode="External"/><Relationship Id="rId339" Type="http://schemas.openxmlformats.org/officeDocument/2006/relationships/hyperlink" Target="https://docs.google.com/document/d/1VAQcHjfbJEhUb2xOdQmzHF0c_bStOPT8/edit?usp=sharing&amp;ouid=112850101623577107380&amp;rtpof=true&amp;sd=true" TargetMode="External"/><Relationship Id="rId330" Type="http://schemas.openxmlformats.org/officeDocument/2006/relationships/hyperlink" Target="https://docs.google.com/spreadsheets/d/1_yoab4dMn55M7Jw3aZ1LQerIkM1OILqqMRy1PDZIYc4/edit?gid=415745973" TargetMode="External"/><Relationship Id="rId451" Type="http://schemas.openxmlformats.org/officeDocument/2006/relationships/hyperlink" Target="https://sutochno.ru/front/searchapp/detail/2025322?host_id" TargetMode="External"/><Relationship Id="rId450" Type="http://schemas.openxmlformats.org/officeDocument/2006/relationships/hyperlink" Target="https://www.booking.com/Share-8BzKUBw" TargetMode="External"/><Relationship Id="rId213" Type="http://schemas.openxmlformats.org/officeDocument/2006/relationships/hyperlink" Target="https://docs.google.com/spreadsheets/d/1DeJZmYe3VB7UQWzRciVqulXYh3--4u5gAhSPS_RoQIc/edit?usp=drive_link" TargetMode="External"/><Relationship Id="rId334" Type="http://schemas.openxmlformats.org/officeDocument/2006/relationships/hyperlink" Target="https://docs.google.com/spreadsheets/d/17DFkIJAi6_HnjIXVJh3y8Gafv2w-l5gbvZwypW8Fp5Y/edit?gid=415745973" TargetMode="External"/><Relationship Id="rId455" Type="http://schemas.openxmlformats.org/officeDocument/2006/relationships/hyperlink" Target="https://sutochno.ru/front/searchapp/detail/2025322?host_id" TargetMode="External"/><Relationship Id="rId212" Type="http://schemas.openxmlformats.org/officeDocument/2006/relationships/hyperlink" Target="https://sutochno.ru/front/searchapp/detail/2181060?host_id=11237896&amp;host_device=PC&amp;guest_id=" TargetMode="External"/><Relationship Id="rId333" Type="http://schemas.openxmlformats.org/officeDocument/2006/relationships/hyperlink" Target="https://www.booking.com/Share-TeyA38" TargetMode="External"/><Relationship Id="rId454" Type="http://schemas.openxmlformats.org/officeDocument/2006/relationships/hyperlink" Target="https://www.booking.com/Share-8BzKUBw" TargetMode="External"/><Relationship Id="rId211" Type="http://schemas.openxmlformats.org/officeDocument/2006/relationships/hyperlink" Target="http://airbnb.ru/h/cm1304" TargetMode="External"/><Relationship Id="rId332" Type="http://schemas.openxmlformats.org/officeDocument/2006/relationships/hyperlink" Target="https://airbnb.ru/h/dl14-518" TargetMode="External"/><Relationship Id="rId453" Type="http://schemas.openxmlformats.org/officeDocument/2006/relationships/hyperlink" Target="https://airbnb.ru/h/tg-1b" TargetMode="External"/><Relationship Id="rId210" Type="http://schemas.openxmlformats.org/officeDocument/2006/relationships/hyperlink" Target="https://docs.google.com/document/d/19BcyC7ddoSHXumn3y8gBU6FzdxeivAUbV6TgYHbfgbo/edit?usp=drive_link" TargetMode="External"/><Relationship Id="rId331" Type="http://schemas.openxmlformats.org/officeDocument/2006/relationships/hyperlink" Target="https://docs.google.com/document/d/1XBLPWVZpP6l2jUy7zaq2oR6-Mtu9UVag/edit?usp=drive_link&amp;ouid=111931206299703470153&amp;rtpof=true&amp;sd=true" TargetMode="External"/><Relationship Id="rId452" Type="http://schemas.openxmlformats.org/officeDocument/2006/relationships/hyperlink" Target="https://docs.google.com/document/d/1iRV0bwtqXDimnRajIAR73CDFetXVGiuu/edit?usp=sharing&amp;ouid=112850101623577107380&amp;rtpof=true&amp;sd=true" TargetMode="External"/><Relationship Id="rId370" Type="http://schemas.openxmlformats.org/officeDocument/2006/relationships/hyperlink" Target="https://docs.google.com/spreadsheets/d/1Z2btKeetLgmrEEVPE6R7HwzWlH9XPGfR9B7tEy6eths/edit?usp=drive_link" TargetMode="External"/><Relationship Id="rId129" Type="http://schemas.openxmlformats.org/officeDocument/2006/relationships/hyperlink" Target="https://docs.google.com/spreadsheets/d/1cLUqqdRI-Qd9PtIzvoGHzvIHKQGxF9jvrzKLoX4XdW8/edit?usp=sharing" TargetMode="External"/><Relationship Id="rId128" Type="http://schemas.openxmlformats.org/officeDocument/2006/relationships/hyperlink" Target="https://sutochno.ru/front/searchapp/detail/2245011?" TargetMode="External"/><Relationship Id="rId249" Type="http://schemas.openxmlformats.org/officeDocument/2006/relationships/hyperlink" Target="https://www.airbnb.ru/rooms/1473153859281802022?guests=1&amp;adults=1&amp;s=67&amp;unique_share_id=bd6768ef-8aa4-4cd2-a9b5-28d6bc5a57dd" TargetMode="External"/><Relationship Id="rId127" Type="http://schemas.openxmlformats.org/officeDocument/2006/relationships/hyperlink" Target="http://airbnb.com/h/bvc0505" TargetMode="External"/><Relationship Id="rId248" Type="http://schemas.openxmlformats.org/officeDocument/2006/relationships/hyperlink" Target="https://docs.google.com/document/d/1-fvYoVGO3u1bE4DZbf1nlP06KPFVQIjZ/edit?usp=drive_link&amp;ouid=117440070472446167713&amp;rtpof=true&amp;sd=true" TargetMode="External"/><Relationship Id="rId369" Type="http://schemas.openxmlformats.org/officeDocument/2006/relationships/hyperlink" Target="https://airbnb.ru/h/dl13-703" TargetMode="External"/><Relationship Id="rId126" Type="http://schemas.openxmlformats.org/officeDocument/2006/relationships/hyperlink" Target="https://docs.google.com/document/d/1MgdmB5cVK84e1h6bwsGrlYYUVqINHUVs/edit?usp=sharing&amp;ouid=112850101623577107380&amp;rtpof=true&amp;sd=true" TargetMode="External"/><Relationship Id="rId247" Type="http://schemas.openxmlformats.org/officeDocument/2006/relationships/hyperlink" Target="https://docs.google.com/spreadsheets/d/1NtyqYD7JKykRhLPB0sSD6IwQkMo9T5fDKFCULUWLIXk/edit?usp=drive_link" TargetMode="External"/><Relationship Id="rId368" Type="http://schemas.openxmlformats.org/officeDocument/2006/relationships/hyperlink" Target="https://docs.google.com/document/d/1jFMclGQ59VRodaL8g8M4aB1VZQrz5UIN/edit?usp=sharing&amp;ouid=112850101623577107380&amp;rtpof=true&amp;sd=true" TargetMode="External"/><Relationship Id="rId121" Type="http://schemas.openxmlformats.org/officeDocument/2006/relationships/hyperlink" Target="https://sutochno.ru/front/searchapp/detail/2243654?" TargetMode="External"/><Relationship Id="rId242" Type="http://schemas.openxmlformats.org/officeDocument/2006/relationships/hyperlink" Target="https://sutochno.ru/front/searchapp/detail/2191302?guests_adults=2" TargetMode="External"/><Relationship Id="rId363" Type="http://schemas.openxmlformats.org/officeDocument/2006/relationships/hyperlink" Target="https://docs.google.com/document/d/1DTTlQOMP8BSdUI3a1_s3dNo2iJJ4AJUQ/edit?usp=sharing&amp;ouid=112850101623577107380&amp;rtpof=true&amp;sd=true" TargetMode="External"/><Relationship Id="rId120" Type="http://schemas.openxmlformats.org/officeDocument/2006/relationships/hyperlink" Target="http://airbnb.com/h/bva210" TargetMode="External"/><Relationship Id="rId241" Type="http://schemas.openxmlformats.org/officeDocument/2006/relationships/hyperlink" Target="http://airbnb.ru/h/mza1113" TargetMode="External"/><Relationship Id="rId362" Type="http://schemas.openxmlformats.org/officeDocument/2006/relationships/hyperlink" Target="https://docs.google.com/document/d/1vsVP3TwlCHAQQCJTlj7f854eHHrBsvrg/edit?usp=sharing&amp;ouid=112850101623577107380&amp;rtpof=true&amp;sd=true" TargetMode="External"/><Relationship Id="rId240" Type="http://schemas.openxmlformats.org/officeDocument/2006/relationships/hyperlink" Target="https://docs.google.com/document/d/1vJVKp7lBLXmN_jA99tRDhhfXnydTmR26/edit?usp=drive_link&amp;ouid=117440070472446167713&amp;rtpof=true&amp;sd=true" TargetMode="External"/><Relationship Id="rId361" Type="http://schemas.openxmlformats.org/officeDocument/2006/relationships/hyperlink" Target="https://docs.google.com/spreadsheets/d/1XxSinX4FBn3-XdTRRU1irfUO_d01V3t1_5NvFeOJECw/edit?usp=drive_link" TargetMode="External"/><Relationship Id="rId360" Type="http://schemas.openxmlformats.org/officeDocument/2006/relationships/hyperlink" Target="https://sutochno.ru/front/searchapp/detail/2088335?guests_adults=2" TargetMode="External"/><Relationship Id="rId125" Type="http://schemas.openxmlformats.org/officeDocument/2006/relationships/hyperlink" Target="https://docs.google.com/spreadsheets/d/1Seyo2TW-9ktpvY3uoNCSgU20II7-ZxRO9io2KzgA2n8/edit?usp=drive_link" TargetMode="External"/><Relationship Id="rId246" Type="http://schemas.openxmlformats.org/officeDocument/2006/relationships/hyperlink" Target="https://sutochno.ru/front/searchapp/detail/2219090?host_id=11237896&amp;host_device=PC&amp;guest_id=" TargetMode="External"/><Relationship Id="rId367" Type="http://schemas.openxmlformats.org/officeDocument/2006/relationships/hyperlink" Target="https://docs.google.com/spreadsheets/d/1uZLsUroOIsVP0F211DWWVlw35by0_XYXZtPlMMYGGV0/edit?gid=0" TargetMode="External"/><Relationship Id="rId124" Type="http://schemas.openxmlformats.org/officeDocument/2006/relationships/hyperlink" Target="https://sutochno.ru/front/searchapp/detail/2226306" TargetMode="External"/><Relationship Id="rId245" Type="http://schemas.openxmlformats.org/officeDocument/2006/relationships/hyperlink" Target="http://airbnb.ru/h/mz511" TargetMode="External"/><Relationship Id="rId366" Type="http://schemas.openxmlformats.org/officeDocument/2006/relationships/hyperlink" Target="https://airbnb.ru/h/dl13-709" TargetMode="External"/><Relationship Id="rId123" Type="http://schemas.openxmlformats.org/officeDocument/2006/relationships/hyperlink" Target="http://airbnb.ru/h/bvc137" TargetMode="External"/><Relationship Id="rId244" Type="http://schemas.openxmlformats.org/officeDocument/2006/relationships/hyperlink" Target="https://docs.google.com/document/d/1B7n9NXzsXsxVDgFgE0mAoWcaJBOQP1Ui/edit?usp=drive_link&amp;ouid=117440070472446167713&amp;rtpof=true&amp;sd=true" TargetMode="External"/><Relationship Id="rId365" Type="http://schemas.openxmlformats.org/officeDocument/2006/relationships/hyperlink" Target="https://docs.google.com/document/d/120UCBJrlqfMgl-SoOpNSz-66_bXYzlc2/edit?usp=sharing&amp;ouid=112850101623577107380&amp;rtpof=true&amp;sd=true" TargetMode="External"/><Relationship Id="rId122" Type="http://schemas.openxmlformats.org/officeDocument/2006/relationships/hyperlink" Target="https://docs.google.com/document/u/0/d/1MobcrAzL7igJMRslFo7W8NIYq6U-HldP/edit" TargetMode="External"/><Relationship Id="rId243" Type="http://schemas.openxmlformats.org/officeDocument/2006/relationships/hyperlink" Target="https://docs.google.com/spreadsheets/d/1Z-PQFsveVhteZczCZrymyIqlqqZ-bYrRGKMX8Ahkebc/edit?usp=drive_link" TargetMode="External"/><Relationship Id="rId364" Type="http://schemas.openxmlformats.org/officeDocument/2006/relationships/hyperlink" Target="https://airbnb.com/h/dl13-206" TargetMode="External"/><Relationship Id="rId95" Type="http://schemas.openxmlformats.org/officeDocument/2006/relationships/hyperlink" Target="http://airbnb.ru/h/obt2910" TargetMode="External"/><Relationship Id="rId94" Type="http://schemas.openxmlformats.org/officeDocument/2006/relationships/hyperlink" Target="https://docs.google.com/document/d/1CP-OSiUlcpuDmZ2UKIA3aySA1Yo-4hzT/edit?usp=sharing&amp;ouid=112850101623577107380&amp;rtpof=true&amp;sd=true" TargetMode="External"/><Relationship Id="rId97" Type="http://schemas.openxmlformats.org/officeDocument/2006/relationships/hyperlink" Target="https://docs.google.com/document/d/1vLew4mhnRUU18XVY_86ZXfj96myGmqdA/edit?usp=sharing&amp;ouid=112850101623577107380&amp;rtpof=true&amp;sd=true" TargetMode="External"/><Relationship Id="rId96" Type="http://schemas.openxmlformats.org/officeDocument/2006/relationships/hyperlink" Target="https://docs.google.com/spreadsheets/d/1Kwd-YXzErUmdsh8R-081djk0DOOjlAnjqfRLGcQCLdw/edit?gid=0" TargetMode="External"/><Relationship Id="rId99" Type="http://schemas.openxmlformats.org/officeDocument/2006/relationships/hyperlink" Target="https://www.booking.com/hotel/ge/batumi-view-first-line.html" TargetMode="External"/><Relationship Id="rId98" Type="http://schemas.openxmlformats.org/officeDocument/2006/relationships/hyperlink" Target="http://airbnb.ru/h/bva134" TargetMode="External"/><Relationship Id="rId91" Type="http://schemas.openxmlformats.org/officeDocument/2006/relationships/hyperlink" Target="https://docs.google.com/document/d/18Wb7HN6cyK-rOTcGHIwVqF411O1_FvbA/edit?usp=sharing&amp;ouid=112850101623577107380&amp;rtpof=true&amp;sd=true" TargetMode="External"/><Relationship Id="rId90" Type="http://schemas.openxmlformats.org/officeDocument/2006/relationships/hyperlink" Target="https://sutochno.ru/front/searchapp/detail/2246324?" TargetMode="External"/><Relationship Id="rId93" Type="http://schemas.openxmlformats.org/officeDocument/2006/relationships/hyperlink" Target="https://sutochno.ru/front/searchapp/detail/2247029?" TargetMode="External"/><Relationship Id="rId92" Type="http://schemas.openxmlformats.org/officeDocument/2006/relationships/hyperlink" Target="http://airbnb.ru/h/obt2908" TargetMode="External"/><Relationship Id="rId118" Type="http://schemas.openxmlformats.org/officeDocument/2006/relationships/hyperlink" Target="https://sutochno.ru/front/searchapp/detail/2243833?" TargetMode="External"/><Relationship Id="rId239" Type="http://schemas.openxmlformats.org/officeDocument/2006/relationships/hyperlink" Target="https://docs.google.com/spreadsheets/d/1zBUuAHXI9qurMOin1oOEUyIWJmyLsGfYaFCYjUBa6Cc/edit?usp=drive_link" TargetMode="External"/><Relationship Id="rId117" Type="http://schemas.openxmlformats.org/officeDocument/2006/relationships/hyperlink" Target="http://airbnb.ru/h/bva225" TargetMode="External"/><Relationship Id="rId238" Type="http://schemas.openxmlformats.org/officeDocument/2006/relationships/hyperlink" Target="https://sutochno.ru/front/searchapp/detail/2103186?host_id=11237896&amp;host_device=PC&amp;guest_id=" TargetMode="External"/><Relationship Id="rId359" Type="http://schemas.openxmlformats.org/officeDocument/2006/relationships/hyperlink" Target="https://www.booking.com/Share-TeyA38" TargetMode="External"/><Relationship Id="rId116" Type="http://schemas.openxmlformats.org/officeDocument/2006/relationships/hyperlink" Target="https://docs.google.com/document/d/1Vv50iwIhypM5A0RWGm7hZ926XgoHoTWf/edit?usp=drive_link&amp;ouid=103286326821690916601&amp;rtpof=true&amp;sd=true" TargetMode="External"/><Relationship Id="rId237" Type="http://schemas.openxmlformats.org/officeDocument/2006/relationships/hyperlink" Target="https://www.airbnb.ru/rooms/1455831071319616668?guests=1&amp;adults=1&amp;s=67&amp;unique_share_id=fd34a5cf-bc2f-4850-ba6f-7590131ec980" TargetMode="External"/><Relationship Id="rId358" Type="http://schemas.openxmlformats.org/officeDocument/2006/relationships/hyperlink" Target="https://airbnb.ru/h/dl7-16" TargetMode="External"/><Relationship Id="rId115" Type="http://schemas.openxmlformats.org/officeDocument/2006/relationships/hyperlink" Target="https://sutochno.ru/front/searchapp/detail/2242628?" TargetMode="External"/><Relationship Id="rId236" Type="http://schemas.openxmlformats.org/officeDocument/2006/relationships/hyperlink" Target="https://docs.google.com/document/d/1F9jW65k2LlNHiDMQN7S8AuWLlult_ZLz/edit?usp=drive_link&amp;ouid=117440070472446167713&amp;rtpof=true&amp;sd=true" TargetMode="External"/><Relationship Id="rId357" Type="http://schemas.openxmlformats.org/officeDocument/2006/relationships/hyperlink" Target="https://docs.google.com/document/d/1IbwjyagjaDJ6WbVf1oF85kG2mLypwEp6/edit?usp=sharing&amp;ouid=112850101623577107380&amp;rtpof=true&amp;sd=true" TargetMode="External"/><Relationship Id="rId119" Type="http://schemas.openxmlformats.org/officeDocument/2006/relationships/hyperlink" Target="https://docs.google.com/document/d/1PNTPxI-qf-ZOHEYWva-xEWQdR7Wv597b/edit?usp=sharing&amp;ouid=112850101623577107380&amp;rtpof=true&amp;sd=true" TargetMode="External"/><Relationship Id="rId110" Type="http://schemas.openxmlformats.org/officeDocument/2006/relationships/hyperlink" Target="https://docs.google.com/document/d/1nNIJkd-QYJN_EMK0sNeSSx92BvQN6M5B/edit?usp=sharing&amp;ouid=112850101623577107380&amp;rtpof=true&amp;sd=true" TargetMode="External"/><Relationship Id="rId231" Type="http://schemas.openxmlformats.org/officeDocument/2006/relationships/hyperlink" Target="https://docs.google.com/spreadsheets/d/14-_XnriPTnk92SGnU87qMT1BoOF8yQPph0utnSMzBd8/edit?gid=0" TargetMode="External"/><Relationship Id="rId352" Type="http://schemas.openxmlformats.org/officeDocument/2006/relationships/hyperlink" Target="https://www.booking.com/Share-TeyA38" TargetMode="External"/><Relationship Id="rId230" Type="http://schemas.openxmlformats.org/officeDocument/2006/relationships/hyperlink" Target="https://sutochno.ru/front/searchapp/detail/2024275?guests_adults=2" TargetMode="External"/><Relationship Id="rId351" Type="http://schemas.openxmlformats.org/officeDocument/2006/relationships/hyperlink" Target="https://www.airbnb.ru/rooms/1430277481145870994?guests=1&amp;adults=1&amp;s=67&amp;unique_share_id=76311261-0c43-49b6-879e-026abfc647c6" TargetMode="External"/><Relationship Id="rId350" Type="http://schemas.openxmlformats.org/officeDocument/2006/relationships/hyperlink" Target="https://docs.google.com/document/d/1N6imqc4hlaxR0CZMYad8qhfJ4--wVNtT/edit?usp=sharing&amp;ouid=112850101623577107380&amp;rtpof=true&amp;sd=true" TargetMode="External"/><Relationship Id="rId114" Type="http://schemas.openxmlformats.org/officeDocument/2006/relationships/hyperlink" Target="http://airbnb.ru/h/bva164" TargetMode="External"/><Relationship Id="rId235" Type="http://schemas.openxmlformats.org/officeDocument/2006/relationships/hyperlink" Target="https://docs.google.com/spreadsheets/d/1EqFogv_6U5m7aJg43bpgSzCGT9GxMLKCw4QGA4Dc7eE/edit?usp=drive_link" TargetMode="External"/><Relationship Id="rId356" Type="http://schemas.openxmlformats.org/officeDocument/2006/relationships/hyperlink" Target="https://docs.google.com/spreadsheets/d/13Oj8UtZGFnr8pVKs5EUWH7hY8qfjqBTbfi-xvJBn9ek/edit?usp=drive_link" TargetMode="External"/><Relationship Id="rId113" Type="http://schemas.openxmlformats.org/officeDocument/2006/relationships/hyperlink" Target="https://docs.google.com/document/d/1xHRKrf0fPklN9jTk1-RC-U56u3QMUON4/edit?usp=sharing&amp;ouid=112850101623577107380&amp;rtpof=true&amp;sd=true" TargetMode="External"/><Relationship Id="rId234" Type="http://schemas.openxmlformats.org/officeDocument/2006/relationships/hyperlink" Target="https://sutochno.ru/front/searchapp/detail/2024275?guests_adults=2" TargetMode="External"/><Relationship Id="rId355" Type="http://schemas.openxmlformats.org/officeDocument/2006/relationships/hyperlink" Target="https://www.booking.com/Share-TeyA38" TargetMode="External"/><Relationship Id="rId112" Type="http://schemas.openxmlformats.org/officeDocument/2006/relationships/hyperlink" Target="https://sutochno.ru/front/searchapp/detail/2226311" TargetMode="External"/><Relationship Id="rId233" Type="http://schemas.openxmlformats.org/officeDocument/2006/relationships/hyperlink" Target="https://airbnb.ru/h/mz913" TargetMode="External"/><Relationship Id="rId354" Type="http://schemas.openxmlformats.org/officeDocument/2006/relationships/hyperlink" Target="https://www.airbnb.ru/rooms/1439863862616318204?guests=1&amp;adults=1&amp;s=67&amp;unique_share_id=311f5dee-0348-46c3-a31f-a3e4c7a9b293" TargetMode="External"/><Relationship Id="rId111" Type="http://schemas.openxmlformats.org/officeDocument/2006/relationships/hyperlink" Target="http://airbnb.ru/h/bva147" TargetMode="External"/><Relationship Id="rId232" Type="http://schemas.openxmlformats.org/officeDocument/2006/relationships/hyperlink" Target="https://docs.google.com/document/d/1Gbs3pxIX8_Zq3bg7JaeI1HWMJjQwxcGZ/edit?usp=sharing&amp;ouid=112850101623577107380&amp;rtpof=true&amp;sd=true" TargetMode="External"/><Relationship Id="rId353" Type="http://schemas.openxmlformats.org/officeDocument/2006/relationships/hyperlink" Target="https://docs.google.com/document/d/1YYdASOoDw_qkWOWBIgYJ2wz0UqGwz0oe/edit?usp=drive_link&amp;ouid=112850101623577107380&amp;rtpof=true&amp;sd=true" TargetMode="External"/><Relationship Id="rId305" Type="http://schemas.openxmlformats.org/officeDocument/2006/relationships/hyperlink" Target="https://www.booking.com/Share-TeyA38" TargetMode="External"/><Relationship Id="rId426" Type="http://schemas.openxmlformats.org/officeDocument/2006/relationships/hyperlink" Target="https://www.booking.com/Share-8BzKUBw" TargetMode="External"/><Relationship Id="rId304" Type="http://schemas.openxmlformats.org/officeDocument/2006/relationships/hyperlink" Target="https://www.airbnb.ru/rooms/1183253783255910298?guests=1&amp;adults=1&amp;s=67&amp;unique_share_id=1a9e7f9e-bfc4-43cc-8f7c-701e38861957" TargetMode="External"/><Relationship Id="rId425" Type="http://schemas.openxmlformats.org/officeDocument/2006/relationships/hyperlink" Target="https://airbnb.ru/h/tg-b3" TargetMode="External"/><Relationship Id="rId303" Type="http://schemas.openxmlformats.org/officeDocument/2006/relationships/hyperlink" Target="https://docs.google.com/document/d/1TGeS_spAUgOYIOX_zGG0aGqMJzD_1No_/edit?usp=drive_link&amp;ouid=112488098007566486177&amp;rtpof=true&amp;sd=true" TargetMode="External"/><Relationship Id="rId424" Type="http://schemas.openxmlformats.org/officeDocument/2006/relationships/hyperlink" Target="https://docs.google.com/document/d/1iRV0bwtqXDimnRajIAR73CDFetXVGiuu/edit?usp=sharing&amp;ouid=112850101623577107380&amp;rtpof=true&amp;sd=true" TargetMode="External"/><Relationship Id="rId302" Type="http://schemas.openxmlformats.org/officeDocument/2006/relationships/hyperlink" Target="https://docs.google.com/spreadsheets/d/1-6pe0aaGOg0Fg-yd7zwb7ak8VF-Eu2Q6hh1jzLLnHWU/edit?gid=415745973" TargetMode="External"/><Relationship Id="rId423" Type="http://schemas.openxmlformats.org/officeDocument/2006/relationships/hyperlink" Target="https://sutochno.ru/front/searchapp/detail/2019553?host_id" TargetMode="External"/><Relationship Id="rId309" Type="http://schemas.openxmlformats.org/officeDocument/2006/relationships/hyperlink" Target="https://airbnb.ru/h/dl14-516" TargetMode="External"/><Relationship Id="rId308" Type="http://schemas.openxmlformats.org/officeDocument/2006/relationships/hyperlink" Target="https://docs.google.com/document/d/1rYoD0D5f9wESfi9Ar6uv8z2rqzI7U-Qy/edit?usp=drive_link&amp;ouid=112488098007566486177&amp;rtpof=true&amp;sd=true" TargetMode="External"/><Relationship Id="rId429" Type="http://schemas.openxmlformats.org/officeDocument/2006/relationships/hyperlink" Target="http://airbnb.ru/h/tg-4b" TargetMode="External"/><Relationship Id="rId307" Type="http://schemas.openxmlformats.org/officeDocument/2006/relationships/hyperlink" Target="https://docs.google.com/spreadsheets/d/1FWfDHZSBSCwA1Qq2_s98_QQoTIoaqTVX_Zqr0b6KVHg/edit?gid=415745973" TargetMode="External"/><Relationship Id="rId428" Type="http://schemas.openxmlformats.org/officeDocument/2006/relationships/hyperlink" Target="https://docs.google.com/document/d/1iRV0bwtqXDimnRajIAR73CDFetXVGiuu/edit?usp=sharing&amp;ouid=112850101623577107380&amp;rtpof=true&amp;sd=true" TargetMode="External"/><Relationship Id="rId306" Type="http://schemas.openxmlformats.org/officeDocument/2006/relationships/hyperlink" Target="https://sutochno.ru/front/searchapp/detail/1780189?guests_adults=2&amp;occupied=2024-06-25;2024-06-26&amp;id=1&amp;term=%D0%A7%D0%B0%D0%BA%D0%B2%D0%B8&amp;SW.lat=41.717946232929975&amp;SW.lng=41.718682219512935&amp;NE.lat=41.72585552192161&amp;NE.lng=41.735633780487035" TargetMode="External"/><Relationship Id="rId427" Type="http://schemas.openxmlformats.org/officeDocument/2006/relationships/hyperlink" Target="https://sutochno.ru/front/searchapp/detail/2019553?host_id" TargetMode="External"/><Relationship Id="rId301" Type="http://schemas.openxmlformats.org/officeDocument/2006/relationships/hyperlink" Target="https://sutochno.ru/front/searchapp/detail/1781305?price_per=1&amp;guests_adults=2&amp;guests_childrens=7&amp;id=1&amp;SW.lat=41.717946232929975&amp;SW.lng=41.718682219512935&amp;NE.lat=41.72585552192161&amp;NE.lng=41.735633780487035" TargetMode="External"/><Relationship Id="rId422" Type="http://schemas.openxmlformats.org/officeDocument/2006/relationships/hyperlink" Target="https://www.booking.com/Share-8BzKUBw" TargetMode="External"/><Relationship Id="rId300" Type="http://schemas.openxmlformats.org/officeDocument/2006/relationships/hyperlink" Target="https://www.booking.com/Share-TeyA38" TargetMode="External"/><Relationship Id="rId421" Type="http://schemas.openxmlformats.org/officeDocument/2006/relationships/hyperlink" Target="https://airbnb.ru/h/tg-1b" TargetMode="External"/><Relationship Id="rId420" Type="http://schemas.openxmlformats.org/officeDocument/2006/relationships/hyperlink" Target="https://docs.google.com/document/d/1iRV0bwtqXDimnRajIAR73CDFetXVGiuu/edit?usp=sharing&amp;ouid=112850101623577107380&amp;rtpof=true&amp;sd=true" TargetMode="External"/><Relationship Id="rId415" Type="http://schemas.openxmlformats.org/officeDocument/2006/relationships/hyperlink" Target="https://docs.google.com/spreadsheets/d/1_zCnzIjXJZLLwRv65RgdFzoNDY9lNL6D/edit" TargetMode="External"/><Relationship Id="rId414" Type="http://schemas.openxmlformats.org/officeDocument/2006/relationships/hyperlink" Target="https://sutochno.ru/front/searchapp/detail/2002928?host_id" TargetMode="External"/><Relationship Id="rId413" Type="http://schemas.openxmlformats.org/officeDocument/2006/relationships/hyperlink" Target="https://www.booking.com/Share-8BzKUBw" TargetMode="External"/><Relationship Id="rId412" Type="http://schemas.openxmlformats.org/officeDocument/2006/relationships/hyperlink" Target="https://airbnb.ru/h/tg-1a" TargetMode="External"/><Relationship Id="rId419" Type="http://schemas.openxmlformats.org/officeDocument/2006/relationships/hyperlink" Target="https://sutochno.ru/front/searchapp/detail/2019583?host_id" TargetMode="External"/><Relationship Id="rId418" Type="http://schemas.openxmlformats.org/officeDocument/2006/relationships/hyperlink" Target="https://www.booking.com/Share-8BzKUBw" TargetMode="External"/><Relationship Id="rId417" Type="http://schemas.openxmlformats.org/officeDocument/2006/relationships/hyperlink" Target="https://airbnb.ru/h/tg-1b" TargetMode="External"/><Relationship Id="rId416" Type="http://schemas.openxmlformats.org/officeDocument/2006/relationships/hyperlink" Target="https://docs.google.com/document/d/1iRV0bwtqXDimnRajIAR73CDFetXVGiuu/edit?usp=sharing&amp;ouid=112850101623577107380&amp;rtpof=true&amp;sd=true" TargetMode="External"/><Relationship Id="rId411" Type="http://schemas.openxmlformats.org/officeDocument/2006/relationships/hyperlink" Target="https://docs.google.com/document/d/1iRV0bwtqXDimnRajIAR73CDFetXVGiuu/edit?usp=sharing&amp;ouid=112850101623577107380&amp;rtpof=true&amp;sd=true" TargetMode="External"/><Relationship Id="rId410" Type="http://schemas.openxmlformats.org/officeDocument/2006/relationships/hyperlink" Target="https://sutochno.ru/front/searchapp/detail/2003576?host_id" TargetMode="External"/><Relationship Id="rId206" Type="http://schemas.openxmlformats.org/officeDocument/2006/relationships/hyperlink" Target="https://airbnb.ru/h/mar1931" TargetMode="External"/><Relationship Id="rId327" Type="http://schemas.openxmlformats.org/officeDocument/2006/relationships/hyperlink" Target="https://airbnb.ru/h/dl4-09" TargetMode="External"/><Relationship Id="rId448" Type="http://schemas.openxmlformats.org/officeDocument/2006/relationships/hyperlink" Target="https://docs.google.com/document/d/1iRV0bwtqXDimnRajIAR73CDFetXVGiuu/edit?usp=sharing&amp;ouid=112850101623577107380&amp;rtpof=true&amp;sd=true" TargetMode="External"/><Relationship Id="rId205" Type="http://schemas.openxmlformats.org/officeDocument/2006/relationships/hyperlink" Target="https://docs.google.com/document/d/1lyAM2-ZM3RS5Py5BQNfaVD752SGgEYSrkCYASzfRDe4/edit?usp=drive_link" TargetMode="External"/><Relationship Id="rId326" Type="http://schemas.openxmlformats.org/officeDocument/2006/relationships/hyperlink" Target="https://docs.google.com/document/d/1_Bgto7BirKVb9FSTtuKbPPf6VOnQITFO/edit?usp=drive_link&amp;ouid=111931206299703470153&amp;rtpof=true&amp;sd=true" TargetMode="External"/><Relationship Id="rId447" Type="http://schemas.openxmlformats.org/officeDocument/2006/relationships/hyperlink" Target="https://sutochno.ru/front/searchapp/detail/2003576?host_id" TargetMode="External"/><Relationship Id="rId204" Type="http://schemas.openxmlformats.org/officeDocument/2006/relationships/hyperlink" Target="https://docs.google.com/spreadsheets/d/15UMCvgj0z46YnyqN7Cn8dTIsDQFvHII-A-DYIMvOTfE/edit?gid=0" TargetMode="External"/><Relationship Id="rId325" Type="http://schemas.openxmlformats.org/officeDocument/2006/relationships/hyperlink" Target="https://docs.google.com/spreadsheets/d/1htvBBr2c8zwMRI4q2yKx4ss5HrTRtW9cqrvBFh865vU/edit?gid=415745973" TargetMode="External"/><Relationship Id="rId446" Type="http://schemas.openxmlformats.org/officeDocument/2006/relationships/hyperlink" Target="https://www.booking.com/Share-8BzKUBw" TargetMode="External"/><Relationship Id="rId203" Type="http://schemas.openxmlformats.org/officeDocument/2006/relationships/hyperlink" Target="https://sutochno.ru/front/searchapp/detail/1761838?guests_adults=1&amp;occupied=2024-06-01;2024-08-31&amp;id=1&amp;term=%D0%A7%D0%B0%D0%BA%D0%B2%D0%B8&amp;SW.lat=41.63776226540329&amp;SW.lng=41.6075522195129&amp;NE.lat=41.645681489519276&amp;NE.lng=41.624503780487025" TargetMode="External"/><Relationship Id="rId324" Type="http://schemas.openxmlformats.org/officeDocument/2006/relationships/hyperlink" Target="https://www.booking.com/Share-TeyA38" TargetMode="External"/><Relationship Id="rId445" Type="http://schemas.openxmlformats.org/officeDocument/2006/relationships/hyperlink" Target="https://airbnb.ru/h/tg-1b" TargetMode="External"/><Relationship Id="rId209" Type="http://schemas.openxmlformats.org/officeDocument/2006/relationships/hyperlink" Target="https://docs.google.com/spreadsheets/d/1SU1XnXcn8cX9nJXZAXTvTEukq2Addt7kJMtSa5of7n8/edit?usp=drive_link" TargetMode="External"/><Relationship Id="rId208" Type="http://schemas.openxmlformats.org/officeDocument/2006/relationships/hyperlink" Target="https://ostrovok.ru/hotel/georgia/batumi/mid13343898/courtyard_by_marriott_1931_apartments/" TargetMode="External"/><Relationship Id="rId329" Type="http://schemas.openxmlformats.org/officeDocument/2006/relationships/hyperlink" Target="https://sutochno.ru/front/searchapp/detail/1780129?guests_adults=2&amp;occupied=2024-06-25;2024-06-26&amp;id=1&amp;term=%D0%A7%D0%B0%D0%BA%D0%B2%D0%B8&amp;SW.lat=41.715478079909495&amp;SW.lng=41.71741621951294&amp;NE.lat=41.723387674944185&amp;NE.lng=41.73436778048704" TargetMode="External"/><Relationship Id="rId207" Type="http://schemas.openxmlformats.org/officeDocument/2006/relationships/hyperlink" Target="https://sutochno.ru/front/searchapp/detail/1742348?guests_adults=1&amp;occupied=2024-06-01;2024-08-31&amp;id=1&amp;term=%D0%A7%D0%B0%D0%BA%D0%B2%D0%B8&amp;SW.lat=41.63776226540329&amp;SW.lng=41.6075522195129&amp;NE.lat=41.645681489519276&amp;NE.lng=41.624503780487025" TargetMode="External"/><Relationship Id="rId328" Type="http://schemas.openxmlformats.org/officeDocument/2006/relationships/hyperlink" Target="https://www.booking.com/Share-TeyA38" TargetMode="External"/><Relationship Id="rId449" Type="http://schemas.openxmlformats.org/officeDocument/2006/relationships/hyperlink" Target="https://airbnb.ru/h/tg-1b" TargetMode="External"/><Relationship Id="rId440" Type="http://schemas.openxmlformats.org/officeDocument/2006/relationships/hyperlink" Target="https://docs.google.com/document/d/1iRV0bwtqXDimnRajIAR73CDFetXVGiuu/edit?usp=sharing&amp;ouid=112850101623577107380&amp;rtpof=true&amp;sd=true" TargetMode="External"/><Relationship Id="rId202" Type="http://schemas.openxmlformats.org/officeDocument/2006/relationships/hyperlink" Target="https://airbnb.com/h/m1606" TargetMode="External"/><Relationship Id="rId323" Type="http://schemas.openxmlformats.org/officeDocument/2006/relationships/hyperlink" Target="https://airbnb.ru/h/DL-14-411" TargetMode="External"/><Relationship Id="rId444" Type="http://schemas.openxmlformats.org/officeDocument/2006/relationships/hyperlink" Target="https://docs.google.com/document/d/1iRV0bwtqXDimnRajIAR73CDFetXVGiuu/edit?usp=sharing&amp;ouid=112850101623577107380&amp;rtpof=true&amp;sd=true" TargetMode="External"/><Relationship Id="rId201" Type="http://schemas.openxmlformats.org/officeDocument/2006/relationships/hyperlink" Target="https://docs.google.com/document/d/1X8mgPgsN0iQFGcE8XOvHJHoLZ4JLChK7OUZIxKrwHT8/edit?usp=drive_link" TargetMode="External"/><Relationship Id="rId322" Type="http://schemas.openxmlformats.org/officeDocument/2006/relationships/hyperlink" Target="https://docs.google.com/document/d/1o_I0nL0KxbIUqa4le0IB3GEmRVn1BVYo/edit?usp=drive_link&amp;ouid=111931206299703470153&amp;rtpof=true&amp;sd=true" TargetMode="External"/><Relationship Id="rId443" Type="http://schemas.openxmlformats.org/officeDocument/2006/relationships/hyperlink" Target="https://sutochno.ru/front/searchapp/detail/2019574?host_id" TargetMode="External"/><Relationship Id="rId200" Type="http://schemas.openxmlformats.org/officeDocument/2006/relationships/hyperlink" Target="https://docs.google.com/spreadsheets/d/1TkoCjNPBist28xcn_C68281ome9R2Lh7sBtA-l6xNW0/edit?gid=0" TargetMode="External"/><Relationship Id="rId321" Type="http://schemas.openxmlformats.org/officeDocument/2006/relationships/hyperlink" Target="https://docs.google.com/spreadsheets/d/1gyKX57HFidQF-yh5CnJqMMf6UOK9GnxL7xlMKU3atCs/edit?gid=415745973" TargetMode="External"/><Relationship Id="rId442" Type="http://schemas.openxmlformats.org/officeDocument/2006/relationships/hyperlink" Target="https://www.booking.com/Share-8BzKUBw" TargetMode="External"/><Relationship Id="rId320" Type="http://schemas.openxmlformats.org/officeDocument/2006/relationships/hyperlink" Target="https://www.booking.com/Share-TeyA38" TargetMode="External"/><Relationship Id="rId441" Type="http://schemas.openxmlformats.org/officeDocument/2006/relationships/hyperlink" Target="https://airbnb.ru/h/tg-1b" TargetMode="External"/><Relationship Id="rId316" Type="http://schemas.openxmlformats.org/officeDocument/2006/relationships/hyperlink" Target="https://sutochno.ru/front/searchapp/detail/1761287?guests_adults=1&amp;occupied=2024-06-01;2024-08-31&amp;id=1&amp;term=%D0%A7%D0%B0%D0%BA%D0%B2%D0%B8&amp;SW.lat=41.717946232929975&amp;SW.lng=41.718682219512935&amp;NE.lat=41.72585552192161&amp;NE.lng=41.735633780487035" TargetMode="External"/><Relationship Id="rId437" Type="http://schemas.openxmlformats.org/officeDocument/2006/relationships/hyperlink" Target="https://airbnb.ru/h/tg-1b" TargetMode="External"/><Relationship Id="rId315" Type="http://schemas.openxmlformats.org/officeDocument/2006/relationships/hyperlink" Target="https://www.booking.com/Share-TeyA38" TargetMode="External"/><Relationship Id="rId436" Type="http://schemas.openxmlformats.org/officeDocument/2006/relationships/hyperlink" Target="https://docs.google.com/document/d/1iRV0bwtqXDimnRajIAR73CDFetXVGiuu/edit?usp=sharing&amp;ouid=112850101623577107380&amp;rtpof=true&amp;sd=true" TargetMode="External"/><Relationship Id="rId314" Type="http://schemas.openxmlformats.org/officeDocument/2006/relationships/hyperlink" Target="https://airbnb.ru/h/dl14-702" TargetMode="External"/><Relationship Id="rId435" Type="http://schemas.openxmlformats.org/officeDocument/2006/relationships/hyperlink" Target="https://sutochno.ru/front/searchapp/detail/2019583?host_id" TargetMode="External"/><Relationship Id="rId313" Type="http://schemas.openxmlformats.org/officeDocument/2006/relationships/hyperlink" Target="https://docs.google.com/document/d/1m0PICOMVondOje2O7DRks00UDMOuRILn/edit?usp=drive_link&amp;ouid=112488098007566486177&amp;rtpof=true&amp;sd=true" TargetMode="External"/><Relationship Id="rId434" Type="http://schemas.openxmlformats.org/officeDocument/2006/relationships/hyperlink" Target="https://www.booking.com/Share-8BzKUBw" TargetMode="External"/><Relationship Id="rId319" Type="http://schemas.openxmlformats.org/officeDocument/2006/relationships/hyperlink" Target="https://airbnb.ru/h/dl14-1214" TargetMode="External"/><Relationship Id="rId318" Type="http://schemas.openxmlformats.org/officeDocument/2006/relationships/hyperlink" Target="https://docs.google.com/document/d/1B3H99yZ_QrfoP6V2n5WobzDfFzRSqfAM/edit?usp=drive_link&amp;ouid=112488098007566486177&amp;rtpof=true&amp;sd=true" TargetMode="External"/><Relationship Id="rId439" Type="http://schemas.openxmlformats.org/officeDocument/2006/relationships/hyperlink" Target="https://sutochno.ru/front/searchapp/detail/2019574?host_id" TargetMode="External"/><Relationship Id="rId317" Type="http://schemas.openxmlformats.org/officeDocument/2006/relationships/hyperlink" Target="https://docs.google.com/spreadsheets/d/14xC4YOcDaEinZm4IIYUCt09WfcQ1wNs2J8iremgSE-U/edit?gid=415745973" TargetMode="External"/><Relationship Id="rId438" Type="http://schemas.openxmlformats.org/officeDocument/2006/relationships/hyperlink" Target="https://www.booking.com/Share-8BzKUBw" TargetMode="External"/><Relationship Id="rId312" Type="http://schemas.openxmlformats.org/officeDocument/2006/relationships/hyperlink" Target="https://docs.google.com/spreadsheets/d/1xTsr_MnI_nG9XmJBSaP4hXAmxOuBaFW9xnyDdDG37WY/edit?usp=drive_link" TargetMode="External"/><Relationship Id="rId433" Type="http://schemas.openxmlformats.org/officeDocument/2006/relationships/hyperlink" Target="http://airbnb.ru/h/tg-5b" TargetMode="External"/><Relationship Id="rId311" Type="http://schemas.openxmlformats.org/officeDocument/2006/relationships/hyperlink" Target="https://sutochno.ru/front/searchapp/detail/1782185?guests_adults=2&amp;occupied=2024-06-25;2024-06-26&amp;id=1&amp;term=%D0%A7%D0%B0%D0%BA%D0%B2%D0%B8&amp;SW.lat=41.717946232929975&amp;SW.lng=41.718682219512935&amp;NE.lat=41.72585552192161&amp;NE.lng=41.735633780487035" TargetMode="External"/><Relationship Id="rId432" Type="http://schemas.openxmlformats.org/officeDocument/2006/relationships/hyperlink" Target="https://docs.google.com/document/d/1iRV0bwtqXDimnRajIAR73CDFetXVGiuu/edit?usp=sharing&amp;ouid=112850101623577107380&amp;rtpof=true&amp;sd=true" TargetMode="External"/><Relationship Id="rId310" Type="http://schemas.openxmlformats.org/officeDocument/2006/relationships/hyperlink" Target="https://www.booking.com/Share-TeyA38" TargetMode="External"/><Relationship Id="rId431" Type="http://schemas.openxmlformats.org/officeDocument/2006/relationships/hyperlink" Target="https://sutochno.ru/front/searchapp/detail/2019553?guests_adults=2" TargetMode="External"/><Relationship Id="rId430" Type="http://schemas.openxmlformats.org/officeDocument/2006/relationships/hyperlink" Target="https://www.booking.com/Share-8BzKUBw"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cs.google.com/spreadsheets/d/1Ol2tLrBTO361B4bSD4vFMZK2qdNwsfGpQuv_CaC7oBc/edit?usp=drive_link" TargetMode="External"/><Relationship Id="rId3" Type="http://schemas.openxmlformats.org/officeDocument/2006/relationships/hyperlink" Target="https://docs.google.com/spreadsheets/d/1SU1XnXcn8cX9nJXZAXTvTEukq2Addt7kJMtSa5of7n8/edit?gid=0" TargetMode="External"/><Relationship Id="rId4" Type="http://schemas.openxmlformats.org/officeDocument/2006/relationships/hyperlink" Target="http://airbnb.ru/h/cm1304" TargetMode="External"/><Relationship Id="rId9" Type="http://schemas.openxmlformats.org/officeDocument/2006/relationships/hyperlink" Target="https://docs.google.com/spreadsheets/d/1zz-Kr8CFAV19sylz450Jn1Qxp1oEE3zX-Y01edLIifk/edit?usp=drive_link" TargetMode="External"/><Relationship Id="rId5" Type="http://schemas.openxmlformats.org/officeDocument/2006/relationships/hyperlink" Target="https://sutochno.ru/front/searchapp/detail/2181060?host_id=11237896&amp;host_device=PC&amp;guest_id=" TargetMode="External"/><Relationship Id="rId6" Type="http://schemas.openxmlformats.org/officeDocument/2006/relationships/hyperlink" Target="https://docs.google.com/spreadsheets/d/1zBUuAHXI9qurMOin1oOEUyIWJmyLsGfYaFCYjUBa6Cc/edit?usp=drive_link" TargetMode="External"/><Relationship Id="rId7" Type="http://schemas.openxmlformats.org/officeDocument/2006/relationships/hyperlink" Target="http://airbnb.ru/h/mza1113" TargetMode="External"/><Relationship Id="rId8" Type="http://schemas.openxmlformats.org/officeDocument/2006/relationships/hyperlink" Target="https://sutochno.ru/front/searchapp/detail/2191302?host_id=11237896&amp;host_device=PC&amp;guest_id=" TargetMode="External"/><Relationship Id="rId40" Type="http://schemas.openxmlformats.org/officeDocument/2006/relationships/hyperlink" Target="http://airbnb.ru/h/bva145" TargetMode="External"/><Relationship Id="rId42" Type="http://schemas.openxmlformats.org/officeDocument/2006/relationships/hyperlink" Target="https://www.booking.com/hotel/ge/batumi-view-first-line.html" TargetMode="External"/><Relationship Id="rId41" Type="http://schemas.openxmlformats.org/officeDocument/2006/relationships/hyperlink" Target="https://sutochno.ru/front/searchapp/detail/2226306?" TargetMode="External"/><Relationship Id="rId44" Type="http://schemas.openxmlformats.org/officeDocument/2006/relationships/hyperlink" Target="https://www.booking.com/hotel/ge/batumi-view-first-line.html" TargetMode="External"/><Relationship Id="rId43" Type="http://schemas.openxmlformats.org/officeDocument/2006/relationships/hyperlink" Target="http://airbnb.ru/h/bva147" TargetMode="External"/><Relationship Id="rId46" Type="http://schemas.openxmlformats.org/officeDocument/2006/relationships/hyperlink" Target="https://sutochno.ru/front/searchapp/detail/2226291?" TargetMode="External"/><Relationship Id="rId45" Type="http://schemas.openxmlformats.org/officeDocument/2006/relationships/hyperlink" Target="http://airbnb.ru/h/bva144" TargetMode="External"/><Relationship Id="rId48" Type="http://schemas.openxmlformats.org/officeDocument/2006/relationships/hyperlink" Target="http://airbnb.ru/h/bvc137" TargetMode="External"/><Relationship Id="rId47" Type="http://schemas.openxmlformats.org/officeDocument/2006/relationships/hyperlink" Target="https://www.booking.com/hotel/ge/batumi-view-first-line.html" TargetMode="External"/><Relationship Id="rId49" Type="http://schemas.openxmlformats.org/officeDocument/2006/relationships/hyperlink" Target="https://sutochno.ru/front/searchapp/detail/2226325?" TargetMode="External"/><Relationship Id="rId31" Type="http://schemas.openxmlformats.org/officeDocument/2006/relationships/hyperlink" Target="https://www.booking.com/hotel/ge/beach-tower-app-montreux.ru.html?label=gen173nr-10CAsoUkIYYmVhY2gtdG93ZXItYXBwLW1vbnRyZXV4SDNYBGhSiAEBmAEzuAEXyAEM2AED6AEB-AEBiAIBqAIBuALnnIDKBsACAdICJDE5ZGY4NDQ5LTgyMDMtNGFhYi1hODYzLTgwYTllZDUyODVlZtgCAeACAQ&amp;sid=a1de48d8e17c657d54e265ede55366e1&amp;dist=0&amp;keep_landing=1&amp;sb_price_type=total&amp;type=total&amp;" TargetMode="External"/><Relationship Id="rId30" Type="http://schemas.openxmlformats.org/officeDocument/2006/relationships/hyperlink" Target="http://airbnb.ru/h/obt2906" TargetMode="External"/><Relationship Id="rId33" Type="http://schemas.openxmlformats.org/officeDocument/2006/relationships/hyperlink" Target="http://airbnb.ru/h/obt2910" TargetMode="External"/><Relationship Id="rId32" Type="http://schemas.openxmlformats.org/officeDocument/2006/relationships/hyperlink" Target="http://airbnb.ru/h/obt2908" TargetMode="External"/><Relationship Id="rId35" Type="http://schemas.openxmlformats.org/officeDocument/2006/relationships/hyperlink" Target="http://airbnb.ru/h/mz511" TargetMode="External"/><Relationship Id="rId34" Type="http://schemas.openxmlformats.org/officeDocument/2006/relationships/hyperlink" Target="https://docs.google.com/spreadsheets/d/1Z-PQFsveVhteZczCZrymyIqlqqZ-bYrRGKMX8Ahkebc/edit?gid=691998796" TargetMode="External"/><Relationship Id="rId37" Type="http://schemas.openxmlformats.org/officeDocument/2006/relationships/hyperlink" Target="https://docs.google.com/spreadsheets/d/1L4fYPH0FJ9JKUyyHLEZs5WB9hq2NtF_Wtq0EfbiEXPc/edit?usp=sharing" TargetMode="External"/><Relationship Id="rId36" Type="http://schemas.openxmlformats.org/officeDocument/2006/relationships/hyperlink" Target="https://sutochno.ru/front/searchapp/detail/2219090?host_id=11237896&amp;host_device=PC&amp;guest_id=" TargetMode="External"/><Relationship Id="rId39" Type="http://schemas.openxmlformats.org/officeDocument/2006/relationships/hyperlink" Target="https://docs.google.com/spreadsheets/d/1BT3J1tBvAtXmv20lufOwB_z_blQV76-bNxt5qv6xzZk/edit?gid=0" TargetMode="External"/><Relationship Id="rId38" Type="http://schemas.openxmlformats.org/officeDocument/2006/relationships/hyperlink" Target="https://docs.google.com/spreadsheets/d/1Kwd-YXzErUmdsh8R-081djk0DOOjlAnjqfRLGcQCLdw/edit?gid=0" TargetMode="External"/><Relationship Id="rId20" Type="http://schemas.openxmlformats.org/officeDocument/2006/relationships/hyperlink" Target="https://docs.google.com/spreadsheets/d/1WhgKCwbRuxtJ0vBeliT2sk_BaJTiUNwyOYMGo2I1lM4/edit?gid=0" TargetMode="External"/><Relationship Id="rId22" Type="http://schemas.openxmlformats.org/officeDocument/2006/relationships/hyperlink" Target="https://sutochno.ru/front/searchapp/detail/2209519?host_id=11237896&amp;host_device=PC&amp;guest_id=" TargetMode="External"/><Relationship Id="rId21" Type="http://schemas.openxmlformats.org/officeDocument/2006/relationships/hyperlink" Target="https://airbnb.ru/h/wsf1008" TargetMode="External"/><Relationship Id="rId24" Type="http://schemas.openxmlformats.org/officeDocument/2006/relationships/hyperlink" Target="http://airbnb.ru/h/bg227" TargetMode="External"/><Relationship Id="rId23" Type="http://schemas.openxmlformats.org/officeDocument/2006/relationships/hyperlink" Target="https://docs.google.com/spreadsheets/d/1Ls6SBP686ubXd-2xHNJqVLJ87IBr8xJ6GNEE_FvUvC8/edit?gid=0" TargetMode="External"/><Relationship Id="rId26" Type="http://schemas.openxmlformats.org/officeDocument/2006/relationships/hyperlink" Target="https://docs.google.com/spreadsheets/d/1Qw6tNast17jKlgLk2r_RBW1GclPdaUqzzy5wZkWRTTA/edit?usp=sharing" TargetMode="External"/><Relationship Id="rId25" Type="http://schemas.openxmlformats.org/officeDocument/2006/relationships/hyperlink" Target="https://sutochno.ru/front/searchapp/detail/2210028?host_id=11237896&amp;host_device=PC&amp;guest_id=" TargetMode="External"/><Relationship Id="rId28" Type="http://schemas.openxmlformats.org/officeDocument/2006/relationships/hyperlink" Target="https://sutochno.ru/front/searchapp/detail/2210280?host_id=11237896&amp;host_device=PC&amp;guest_id=" TargetMode="External"/><Relationship Id="rId27" Type="http://schemas.openxmlformats.org/officeDocument/2006/relationships/hyperlink" Target="http://airbnb.ru/h/dz12-17" TargetMode="External"/><Relationship Id="rId29" Type="http://schemas.openxmlformats.org/officeDocument/2006/relationships/hyperlink" Target="https://docs.google.com/spreadsheets/d/1ak0QK3cAWnoQIjtIg_eO7tL8ucQQWmfmDnFAuL_Va7U/edit?gid=0" TargetMode="External"/><Relationship Id="rId11" Type="http://schemas.openxmlformats.org/officeDocument/2006/relationships/hyperlink" Target="https://www.airbnb.ru/rooms/1557162624121179819?source_impression_id=p3_1763470589_P3H8uCIy_ofOc_ql" TargetMode="External"/><Relationship Id="rId10" Type="http://schemas.openxmlformats.org/officeDocument/2006/relationships/hyperlink" Target="https://docs.google.com/spreadsheets/d/1BmRw936i8IO80D6Jz0JR4sdIaSuLgf6I6ndaHB6B1mc/edit?usp=drive_link" TargetMode="External"/><Relationship Id="rId13" Type="http://schemas.openxmlformats.org/officeDocument/2006/relationships/hyperlink" Target="https://www.booking.com/Share-YrYvd59" TargetMode="External"/><Relationship Id="rId12" Type="http://schemas.openxmlformats.org/officeDocument/2006/relationships/hyperlink" Target="https://sutochno.ru/front/searchapp/detail/2196284?guests_adults=2" TargetMode="External"/><Relationship Id="rId15" Type="http://schemas.openxmlformats.org/officeDocument/2006/relationships/hyperlink" Target="http://airbnb.ru/h/wh176" TargetMode="External"/><Relationship Id="rId14" Type="http://schemas.openxmlformats.org/officeDocument/2006/relationships/hyperlink" Target="https://docs.google.com/spreadsheets/d/1V2yV_tOT77P_H11Kbd0trkfywOu0a8DkHVHMPD6SVnw/edit?usp=drive_link" TargetMode="External"/><Relationship Id="rId17" Type="http://schemas.openxmlformats.org/officeDocument/2006/relationships/hyperlink" Target="https://docs.google.com/spreadsheets/d/1DeJZmYe3VB7UQWzRciVqulXYh3--4u5gAhSPS_RoQIc/edit?usp=sharing" TargetMode="External"/><Relationship Id="rId16" Type="http://schemas.openxmlformats.org/officeDocument/2006/relationships/hyperlink" Target="https://sutochno.ru/front/searchapp/detail/2197711?guests_adults=2" TargetMode="External"/><Relationship Id="rId19" Type="http://schemas.openxmlformats.org/officeDocument/2006/relationships/hyperlink" Target="https://sutochno.ru/front/searchapp/detail/2198219?host_id=11237896&amp;host_device=PC&amp;guest_id=" TargetMode="External"/><Relationship Id="rId18" Type="http://schemas.openxmlformats.org/officeDocument/2006/relationships/hyperlink" Target="https://www.airbnb.ru/rooms/1559366944913033644?source_impression_id=p3_1763731655_P3-U2SO3P7uSJMj5" TargetMode="External"/><Relationship Id="rId62" Type="http://schemas.openxmlformats.org/officeDocument/2006/relationships/hyperlink" Target="http://airbnb.com/h/mca708" TargetMode="External"/><Relationship Id="rId61" Type="http://schemas.openxmlformats.org/officeDocument/2006/relationships/hyperlink" Target="https://docs.google.com/spreadsheets/d/1cLUqqdRI-Qd9PtIzvoGHzvIHKQGxF9jvrzKLoX4XdW8/edit?usp=drive_link" TargetMode="External"/><Relationship Id="rId64" Type="http://schemas.openxmlformats.org/officeDocument/2006/relationships/hyperlink" Target="https://docs.google.com/spreadsheets/d/1URduoNvl0QQZ2NRrakNbDw6v_YH-ClIskMSFSmiVu6I/edit?gid=0" TargetMode="External"/><Relationship Id="rId63" Type="http://schemas.openxmlformats.org/officeDocument/2006/relationships/hyperlink" Target="https://docs.google.com/spreadsheets/d/1SSbGo2C4zP4nsh9VRdWRE-Im0jpG7BZqAVP5dr5YR24/edit?gid=0" TargetMode="External"/><Relationship Id="rId66" Type="http://schemas.openxmlformats.org/officeDocument/2006/relationships/vmlDrawing" Target="../drawings/vmlDrawing2.vml"/><Relationship Id="rId65" Type="http://schemas.openxmlformats.org/officeDocument/2006/relationships/drawing" Target="../drawings/drawing5.xml"/><Relationship Id="rId60" Type="http://schemas.openxmlformats.org/officeDocument/2006/relationships/hyperlink" Target="http://airbnb.com/h/bvc0505" TargetMode="External"/><Relationship Id="rId51" Type="http://schemas.openxmlformats.org/officeDocument/2006/relationships/hyperlink" Target="http://airbnb.ru/h/bva133" TargetMode="External"/><Relationship Id="rId50" Type="http://schemas.openxmlformats.org/officeDocument/2006/relationships/hyperlink" Target="https://www.booking.com/hotel/ge/batumi-view-first-line.html" TargetMode="External"/><Relationship Id="rId53" Type="http://schemas.openxmlformats.org/officeDocument/2006/relationships/hyperlink" Target="http://airbnb.ru/h/bva134" TargetMode="External"/><Relationship Id="rId52" Type="http://schemas.openxmlformats.org/officeDocument/2006/relationships/hyperlink" Target="https://www.booking.com/hotel/ge/batumi-view-first-line.html" TargetMode="External"/><Relationship Id="rId55" Type="http://schemas.openxmlformats.org/officeDocument/2006/relationships/hyperlink" Target="https://www.booking.com/hotel/ge/batumi-view-first-line.html" TargetMode="External"/><Relationship Id="rId54" Type="http://schemas.openxmlformats.org/officeDocument/2006/relationships/hyperlink" Target="https://sutochno.ru/front/searchapp/detail/2239413?" TargetMode="External"/><Relationship Id="rId57" Type="http://schemas.openxmlformats.org/officeDocument/2006/relationships/hyperlink" Target="http://airbnb.ru/h/bva164" TargetMode="External"/><Relationship Id="rId56" Type="http://schemas.openxmlformats.org/officeDocument/2006/relationships/hyperlink" Target="http://airbnb.ru/h/bva225" TargetMode="External"/><Relationship Id="rId59" Type="http://schemas.openxmlformats.org/officeDocument/2006/relationships/hyperlink" Target="https://docs.google.com/spreadsheets/d/1Seyo2TW-9ktpvY3uoNCSgU20II7-ZxRO9io2KzgA2n8/edit?gid=3500227" TargetMode="External"/><Relationship Id="rId58" Type="http://schemas.openxmlformats.org/officeDocument/2006/relationships/hyperlink" Target="http://airbnb.ru/h/bva210"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booking.com" TargetMode="External"/><Relationship Id="rId2" Type="http://schemas.openxmlformats.org/officeDocument/2006/relationships/hyperlink" Target="http://booking.com" TargetMode="External"/><Relationship Id="rId3" Type="http://schemas.openxmlformats.org/officeDocument/2006/relationships/hyperlink" Target="http://booking.com"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isk.yandex.ru/d/oy0w34AKeqpAxg" TargetMode="External"/><Relationship Id="rId2" Type="http://schemas.openxmlformats.org/officeDocument/2006/relationships/hyperlink" Target="https://disk.yandex.ru/d/oy0w34AKeqpAxg" TargetMode="External"/><Relationship Id="rId3" Type="http://schemas.openxmlformats.org/officeDocument/2006/relationships/hyperlink" Target="https://disk.yandex.ru/d/ks2fOBagu7vO5A" TargetMode="External"/><Relationship Id="rId4" Type="http://schemas.openxmlformats.org/officeDocument/2006/relationships/hyperlink" Target="https://disk.yandex.ru/d/31QwoiWRPjPwKw" TargetMode="External"/><Relationship Id="rId9" Type="http://schemas.openxmlformats.org/officeDocument/2006/relationships/hyperlink" Target="https://disk.yandex.ru/d/zJPVqXGglL0Jiw" TargetMode="External"/><Relationship Id="rId5" Type="http://schemas.openxmlformats.org/officeDocument/2006/relationships/hyperlink" Target="https://disk.yandex.ru/d/rsgcZNIZVu7kMw" TargetMode="External"/><Relationship Id="rId6" Type="http://schemas.openxmlformats.org/officeDocument/2006/relationships/hyperlink" Target="https://disk.yandex.ru/d/vMTT-OLG2REewg" TargetMode="External"/><Relationship Id="rId7" Type="http://schemas.openxmlformats.org/officeDocument/2006/relationships/hyperlink" Target="https://disk.yandex.ru/d/vMTT-OLG2REewg" TargetMode="External"/><Relationship Id="rId8" Type="http://schemas.openxmlformats.org/officeDocument/2006/relationships/hyperlink" Target="https://disk.yandex.ru/d/DKB4jlEIFhlTHQ" TargetMode="External"/><Relationship Id="rId40" Type="http://schemas.openxmlformats.org/officeDocument/2006/relationships/hyperlink" Target="https://disk.yandex.ru/d/jdsyYNz0yFhtNw" TargetMode="External"/><Relationship Id="rId42" Type="http://schemas.openxmlformats.org/officeDocument/2006/relationships/hyperlink" Target="https://disk.yandex.ru/d/JMkiFM4JK_2OOg/MC%20A%20708" TargetMode="External"/><Relationship Id="rId41" Type="http://schemas.openxmlformats.org/officeDocument/2006/relationships/hyperlink" Target="https://disk.yandex.ru/d/JMkiFM4JK_2OOg/Batumi%20View%20/BV%20C%2C%205%20%D1%8D%D1%82%D0%B0%D0%B6%2C%2091%20(0505)" TargetMode="External"/><Relationship Id="rId44" Type="http://schemas.openxmlformats.org/officeDocument/2006/relationships/hyperlink" Target="https://disk.yandex.ru/d/7679vTbyjn-94Q" TargetMode="External"/><Relationship Id="rId43" Type="http://schemas.openxmlformats.org/officeDocument/2006/relationships/hyperlink" Target="https://disk.yandex.ru/d/fFfcEU0IHRba3g" TargetMode="External"/><Relationship Id="rId46" Type="http://schemas.openxmlformats.org/officeDocument/2006/relationships/hyperlink" Target="https://disk.yandex.ru/d/TkzS5lj74-r2Xw" TargetMode="External"/><Relationship Id="rId45" Type="http://schemas.openxmlformats.org/officeDocument/2006/relationships/hyperlink" Target="https://disk.yandex.ru/d/efm2CHkDrVE5wg" TargetMode="External"/><Relationship Id="rId48" Type="http://schemas.openxmlformats.org/officeDocument/2006/relationships/hyperlink" Target="https://disk.yandex.ru/d/3Ds4cbIsoM2t4A" TargetMode="External"/><Relationship Id="rId47" Type="http://schemas.openxmlformats.org/officeDocument/2006/relationships/hyperlink" Target="https://disk.yandex.ru/d/3Ds4cbIsoM2t4A" TargetMode="External"/><Relationship Id="rId49" Type="http://schemas.openxmlformats.org/officeDocument/2006/relationships/hyperlink" Target="https://disk.yandex.ru/d/FQ9fZB_WFA5bGg" TargetMode="External"/><Relationship Id="rId31" Type="http://schemas.openxmlformats.org/officeDocument/2006/relationships/hyperlink" Target="https://disk.yandex.ru/d/ygB745xzalFrgQ" TargetMode="External"/><Relationship Id="rId30" Type="http://schemas.openxmlformats.org/officeDocument/2006/relationships/hyperlink" Target="https://disk.yandex.ru/d/ygB745xzalFrgQ" TargetMode="External"/><Relationship Id="rId33" Type="http://schemas.openxmlformats.org/officeDocument/2006/relationships/hyperlink" Target="https://disk.yandex.ru/d/DJHD9S6FQkpbLw" TargetMode="External"/><Relationship Id="rId32" Type="http://schemas.openxmlformats.org/officeDocument/2006/relationships/hyperlink" Target="https://disk.yandex.ru/d/DJHD9S6FQkpbLw" TargetMode="External"/><Relationship Id="rId35" Type="http://schemas.openxmlformats.org/officeDocument/2006/relationships/hyperlink" Target="https://disk.yandex.ru/d/cO_oL-J9Iv8QmQ" TargetMode="External"/><Relationship Id="rId34" Type="http://schemas.openxmlformats.org/officeDocument/2006/relationships/hyperlink" Target="https://disk.yandex.ru/d/JMkiFM4JK_2OOg/Batumi%20View%20/BV%20%D0%90%2C%207%20%D1%8D%D1%82%D0%B0%D0%B6%2C%20147%20(0714)/147" TargetMode="External"/><Relationship Id="rId37" Type="http://schemas.openxmlformats.org/officeDocument/2006/relationships/hyperlink" Target="https://disk.yandex.ru/d/JMkiFM4JK_2OOg/Batumi%20View%20/BV%20%20%D0%90%2C%2011%20%D1%8D%D1%82%D0%B0%D0%B6%2C%20225" TargetMode="External"/><Relationship Id="rId36" Type="http://schemas.openxmlformats.org/officeDocument/2006/relationships/hyperlink" Target="https://disk.yandex.ru/d/cO_oL-J9Iv8QmQ" TargetMode="External"/><Relationship Id="rId39" Type="http://schemas.openxmlformats.org/officeDocument/2006/relationships/hyperlink" Target="https://disk.yandex.ru/d/jdsyYNz0yFhtNw" TargetMode="External"/><Relationship Id="rId38" Type="http://schemas.openxmlformats.org/officeDocument/2006/relationships/hyperlink" Target="https://disk.yandex.ru/d/_Yvj-KUD9FcmFg" TargetMode="External"/><Relationship Id="rId20" Type="http://schemas.openxmlformats.org/officeDocument/2006/relationships/hyperlink" Target="https://disk.yandex.ru/d/91PbNubigLHzsA" TargetMode="External"/><Relationship Id="rId22" Type="http://schemas.openxmlformats.org/officeDocument/2006/relationships/hyperlink" Target="https://disk.yandex.ru/d/K31rmS6JHjsn3Q" TargetMode="External"/><Relationship Id="rId21" Type="http://schemas.openxmlformats.org/officeDocument/2006/relationships/hyperlink" Target="https://disk.yandex.ru/d/JMkiFM4JK_2OOg/OBT/OBT%202906" TargetMode="External"/><Relationship Id="rId24" Type="http://schemas.openxmlformats.org/officeDocument/2006/relationships/hyperlink" Target="https://disk.yandex.ru/d/JMkiFM4JK_2OOg/OBT/OBT%202908" TargetMode="External"/><Relationship Id="rId23" Type="http://schemas.openxmlformats.org/officeDocument/2006/relationships/hyperlink" Target="https://disk.yandex.ru/d/JMkiFM4JK_2OOg/OBT/OBT%202908" TargetMode="External"/><Relationship Id="rId26" Type="http://schemas.openxmlformats.org/officeDocument/2006/relationships/hyperlink" Target="https://disk.yandex.ru/d/IhR85Z59wxo4yg" TargetMode="External"/><Relationship Id="rId25" Type="http://schemas.openxmlformats.org/officeDocument/2006/relationships/hyperlink" Target="https://disk.yandex.ru/d/JMkiFM4JK_2OOg/OBT/OBT%202910" TargetMode="External"/><Relationship Id="rId28" Type="http://schemas.openxmlformats.org/officeDocument/2006/relationships/hyperlink" Target="https://disk.yandex.ru/d/JMkiFM4JK_2OOg/Batumi%20View%20/BV%20%D0%90%2C%207%20%D1%8D%D1%82%D0%B0%D0%B6%2C%20134" TargetMode="External"/><Relationship Id="rId27" Type="http://schemas.openxmlformats.org/officeDocument/2006/relationships/hyperlink" Target="https://disk.yandex.ru/d/JMkiFM4JK_2OOg/Batumi%20View%20/BV%20%D0%90%2C%207%20%D1%8D%D1%82%D0%B0%D0%B6%2C%20133%20(0715)" TargetMode="External"/><Relationship Id="rId29" Type="http://schemas.openxmlformats.org/officeDocument/2006/relationships/hyperlink" Target="https://disk.yandex.ru/d/ZTrmIFZVoGT9eA" TargetMode="External"/><Relationship Id="rId11" Type="http://schemas.openxmlformats.org/officeDocument/2006/relationships/hyperlink" Target="https://disk.yandex.ru/d/HsSVLT9BUT_Xyg" TargetMode="External"/><Relationship Id="rId10" Type="http://schemas.openxmlformats.org/officeDocument/2006/relationships/hyperlink" Target="https://disk.yandex.ru/d/c5S-VbIifah8aA" TargetMode="External"/><Relationship Id="rId13" Type="http://schemas.openxmlformats.org/officeDocument/2006/relationships/hyperlink" Target="https://disk.yandex.ru/d/-QTEp5X7WqZ5kA" TargetMode="External"/><Relationship Id="rId12" Type="http://schemas.openxmlformats.org/officeDocument/2006/relationships/hyperlink" Target="https://disk.yandex.ru/d/DXs529vh-atV9w" TargetMode="External"/><Relationship Id="rId15" Type="http://schemas.openxmlformats.org/officeDocument/2006/relationships/hyperlink" Target="https://disk.yandex.ru/d/JMkiFM4JK_2OOg/WS/WS%20F%201103" TargetMode="External"/><Relationship Id="rId14" Type="http://schemas.openxmlformats.org/officeDocument/2006/relationships/hyperlink" Target="https://disk.yandex.ru/d/FHTQ2p6Nmroezw" TargetMode="External"/><Relationship Id="rId17" Type="http://schemas.openxmlformats.org/officeDocument/2006/relationships/hyperlink" Target="https://disk.yandex.ru/d/ml7Prlf2HZvbgA" TargetMode="External"/><Relationship Id="rId16" Type="http://schemas.openxmlformats.org/officeDocument/2006/relationships/hyperlink" Target="https://disk.yandex.ru/d/WWvEVcWgb0FI2g" TargetMode="External"/><Relationship Id="rId19" Type="http://schemas.openxmlformats.org/officeDocument/2006/relationships/hyperlink" Target="https://disk.yandex.ru/d/91PbNubigLHzsA" TargetMode="External"/><Relationship Id="rId18" Type="http://schemas.openxmlformats.org/officeDocument/2006/relationships/hyperlink" Target="https://disk.yandex.ru/d/JMkiFM4JK_2OOg/Batumi%20View%20/BV%20A%200514" TargetMode="External"/><Relationship Id="rId61" Type="http://schemas.openxmlformats.org/officeDocument/2006/relationships/drawing" Target="../drawings/drawing11.xml"/><Relationship Id="rId60" Type="http://schemas.openxmlformats.org/officeDocument/2006/relationships/hyperlink" Target="https://disk.yandex.ru/d/CSF1pX05cbSZ7g" TargetMode="External"/><Relationship Id="rId51" Type="http://schemas.openxmlformats.org/officeDocument/2006/relationships/hyperlink" Target="https://disk.yandex.ru/d/tBNtMaD_NlKIPA" TargetMode="External"/><Relationship Id="rId50" Type="http://schemas.openxmlformats.org/officeDocument/2006/relationships/hyperlink" Target="https://disk.yandex.ru/d/4GsvNomkrvA1KA" TargetMode="External"/><Relationship Id="rId53" Type="http://schemas.openxmlformats.org/officeDocument/2006/relationships/hyperlink" Target="https://disk.yandex.ru/d/hfP04kV_DMu6bA" TargetMode="External"/><Relationship Id="rId52" Type="http://schemas.openxmlformats.org/officeDocument/2006/relationships/hyperlink" Target="https://disk.yandex.ru/d/UxDfPaLYNCD2cA" TargetMode="External"/><Relationship Id="rId55" Type="http://schemas.openxmlformats.org/officeDocument/2006/relationships/hyperlink" Target="https://disk.yandex.ru/d/_PZbRXk8MFTs9Q" TargetMode="External"/><Relationship Id="rId54" Type="http://schemas.openxmlformats.org/officeDocument/2006/relationships/hyperlink" Target="https://disk.yandex.ru/d/x1wMehYS2yUHzg" TargetMode="External"/><Relationship Id="rId57" Type="http://schemas.openxmlformats.org/officeDocument/2006/relationships/hyperlink" Target="https://disk.yandex.ru/d/yBfSmsT0qwEOYg" TargetMode="External"/><Relationship Id="rId56" Type="http://schemas.openxmlformats.org/officeDocument/2006/relationships/hyperlink" Target="https://disk.yandex.ru/d/_PZbRXk8MFTs9Q" TargetMode="External"/><Relationship Id="rId59" Type="http://schemas.openxmlformats.org/officeDocument/2006/relationships/hyperlink" Target="https://disk.yandex.ru/d/ayu8_Urtrrl1ag" TargetMode="External"/><Relationship Id="rId58" Type="http://schemas.openxmlformats.org/officeDocument/2006/relationships/hyperlink" Target="https://disk.yandex.ru/d/ayu8_Urtrrl1ag" TargetMode="External"/></Relationships>
</file>

<file path=xl/worksheets/_rels/sheet12.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2.xml"/><Relationship Id="rId3" Type="http://schemas.openxmlformats.org/officeDocument/2006/relationships/vmlDrawing" Target="../drawings/vmlDrawing3.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8.xml"/><Relationship Id="rId3" Type="http://schemas.openxmlformats.org/officeDocument/2006/relationships/vmlDrawing" Target="../drawings/vmlDrawing4.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90" Type="http://schemas.openxmlformats.org/officeDocument/2006/relationships/hyperlink" Target="https://realtycalendar.ru/event_calendars/126577018" TargetMode="External"/><Relationship Id="rId194" Type="http://schemas.openxmlformats.org/officeDocument/2006/relationships/hyperlink" Target="https://realtycalendar.ru/event_calendars/122500289" TargetMode="External"/><Relationship Id="rId193" Type="http://schemas.openxmlformats.org/officeDocument/2006/relationships/hyperlink" Target="https://realtycalendar.ru/event_calendars/120051218" TargetMode="External"/><Relationship Id="rId192" Type="http://schemas.openxmlformats.org/officeDocument/2006/relationships/hyperlink" Target="https://realtycalendar.ru/event_calendars/119346021" TargetMode="External"/><Relationship Id="rId191" Type="http://schemas.openxmlformats.org/officeDocument/2006/relationships/hyperlink" Target="https://realtycalendar.ru/event_calendars/126603982" TargetMode="External"/><Relationship Id="rId187" Type="http://schemas.openxmlformats.org/officeDocument/2006/relationships/hyperlink" Target="https://realtycalendar.ru/event_calendars/126479927" TargetMode="External"/><Relationship Id="rId186" Type="http://schemas.openxmlformats.org/officeDocument/2006/relationships/hyperlink" Target="https://realtycalendar.ru/event_calendars/126472226" TargetMode="External"/><Relationship Id="rId185" Type="http://schemas.openxmlformats.org/officeDocument/2006/relationships/hyperlink" Target="https://realtycalendar.ru/event_calendars/126148014" TargetMode="External"/><Relationship Id="rId184" Type="http://schemas.openxmlformats.org/officeDocument/2006/relationships/hyperlink" Target="https://realtycalendar.ru/event_calendars/126138156" TargetMode="External"/><Relationship Id="rId189" Type="http://schemas.openxmlformats.org/officeDocument/2006/relationships/hyperlink" Target="https://realtycalendar.ru/event_calendars/126505063" TargetMode="External"/><Relationship Id="rId188" Type="http://schemas.openxmlformats.org/officeDocument/2006/relationships/hyperlink" Target="https://realtycalendar.ru/event_calendars/126494896" TargetMode="External"/><Relationship Id="rId183" Type="http://schemas.openxmlformats.org/officeDocument/2006/relationships/hyperlink" Target="https://realtycalendar.ru/event_calendars/119706929" TargetMode="External"/><Relationship Id="rId182" Type="http://schemas.openxmlformats.org/officeDocument/2006/relationships/hyperlink" Target="https://realtycalendar.ru/event_calendars/126813359" TargetMode="External"/><Relationship Id="rId181" Type="http://schemas.openxmlformats.org/officeDocument/2006/relationships/hyperlink" Target="https://realtycalendar.ru/event_calendars/126766629" TargetMode="External"/><Relationship Id="rId180" Type="http://schemas.openxmlformats.org/officeDocument/2006/relationships/hyperlink" Target="https://realtycalendar.ru/event_calendars/126700543" TargetMode="External"/><Relationship Id="rId176" Type="http://schemas.openxmlformats.org/officeDocument/2006/relationships/hyperlink" Target="https://realtycalendar.ru/event_calendars/118837930" TargetMode="External"/><Relationship Id="rId297" Type="http://schemas.openxmlformats.org/officeDocument/2006/relationships/hyperlink" Target="https://realtycalendar.ru/event_calendars/121178096" TargetMode="External"/><Relationship Id="rId175" Type="http://schemas.openxmlformats.org/officeDocument/2006/relationships/hyperlink" Target="https://realtycalendar.ru/event_calendars/126720998" TargetMode="External"/><Relationship Id="rId296" Type="http://schemas.openxmlformats.org/officeDocument/2006/relationships/hyperlink" Target="https://realtycalendar.ru/event_calendars/130935192" TargetMode="External"/><Relationship Id="rId174" Type="http://schemas.openxmlformats.org/officeDocument/2006/relationships/hyperlink" Target="https://realtycalendar.ru/event_calendars/126608230" TargetMode="External"/><Relationship Id="rId295" Type="http://schemas.openxmlformats.org/officeDocument/2006/relationships/hyperlink" Target="https://realtycalendar.ru/event_calendars/131402553" TargetMode="External"/><Relationship Id="rId173" Type="http://schemas.openxmlformats.org/officeDocument/2006/relationships/hyperlink" Target="https://realtycalendar.ru/event_calendars/126406521" TargetMode="External"/><Relationship Id="rId294" Type="http://schemas.openxmlformats.org/officeDocument/2006/relationships/hyperlink" Target="https://realtycalendar.ru/event_calendars/130289400" TargetMode="External"/><Relationship Id="rId179" Type="http://schemas.openxmlformats.org/officeDocument/2006/relationships/hyperlink" Target="https://realtycalendar.ru/event_calendars/125633451" TargetMode="External"/><Relationship Id="rId178" Type="http://schemas.openxmlformats.org/officeDocument/2006/relationships/hyperlink" Target="https://realtycalendar.ru/event_calendars/125182246" TargetMode="External"/><Relationship Id="rId299" Type="http://schemas.openxmlformats.org/officeDocument/2006/relationships/hyperlink" Target="https://realtycalendar.ru/event_calendars/131657366" TargetMode="External"/><Relationship Id="rId177" Type="http://schemas.openxmlformats.org/officeDocument/2006/relationships/hyperlink" Target="https://realtycalendar.ru/event_calendars/124608727" TargetMode="External"/><Relationship Id="rId298" Type="http://schemas.openxmlformats.org/officeDocument/2006/relationships/hyperlink" Target="https://realtycalendar.ru/event_calendars/129735323" TargetMode="External"/><Relationship Id="rId198" Type="http://schemas.openxmlformats.org/officeDocument/2006/relationships/hyperlink" Target="https://realtycalendar.ru/event_calendars/126017388" TargetMode="External"/><Relationship Id="rId197" Type="http://schemas.openxmlformats.org/officeDocument/2006/relationships/hyperlink" Target="https://realtycalendar.ru/event_calendars/125979282" TargetMode="External"/><Relationship Id="rId196" Type="http://schemas.openxmlformats.org/officeDocument/2006/relationships/hyperlink" Target="https://realtycalendar.ru/event_calendars/125457941" TargetMode="External"/><Relationship Id="rId195" Type="http://schemas.openxmlformats.org/officeDocument/2006/relationships/hyperlink" Target="https://realtycalendar.ru/event_calendars/125197503" TargetMode="External"/><Relationship Id="rId199" Type="http://schemas.openxmlformats.org/officeDocument/2006/relationships/hyperlink" Target="https://realtycalendar.ru/event_calendars/126129687" TargetMode="External"/><Relationship Id="rId150" Type="http://schemas.openxmlformats.org/officeDocument/2006/relationships/hyperlink" Target="https://realtycalendar.ru/event_calendars/122877647" TargetMode="External"/><Relationship Id="rId271" Type="http://schemas.openxmlformats.org/officeDocument/2006/relationships/hyperlink" Target="https://realtycalendar.ru/event_calendars/131654053" TargetMode="External"/><Relationship Id="rId392" Type="http://schemas.openxmlformats.org/officeDocument/2006/relationships/hyperlink" Target="https://realtycalendar.ru/event_calendars/137584605" TargetMode="External"/><Relationship Id="rId270" Type="http://schemas.openxmlformats.org/officeDocument/2006/relationships/hyperlink" Target="https://realtycalendar.ru/event_calendars/131649203" TargetMode="External"/><Relationship Id="rId391" Type="http://schemas.openxmlformats.org/officeDocument/2006/relationships/hyperlink" Target="https://realtycalendar.ru/event_calendars/137666757" TargetMode="External"/><Relationship Id="rId390" Type="http://schemas.openxmlformats.org/officeDocument/2006/relationships/hyperlink" Target="https://realtycalendar.ru/event_calendars/137389567" TargetMode="External"/><Relationship Id="rId1" Type="http://schemas.openxmlformats.org/officeDocument/2006/relationships/hyperlink" Target="https://realtycalendar.ru/event_calendars/122392877" TargetMode="External"/><Relationship Id="rId2" Type="http://schemas.openxmlformats.org/officeDocument/2006/relationships/hyperlink" Target="https://realtycalendar.ru/event_calendars/122877585" TargetMode="External"/><Relationship Id="rId3" Type="http://schemas.openxmlformats.org/officeDocument/2006/relationships/hyperlink" Target="https://realtycalendar.ru/event_calendars/120277278" TargetMode="External"/><Relationship Id="rId149" Type="http://schemas.openxmlformats.org/officeDocument/2006/relationships/hyperlink" Target="https://realtycalendar.ru/event_calendars/122809777" TargetMode="External"/><Relationship Id="rId4" Type="http://schemas.openxmlformats.org/officeDocument/2006/relationships/hyperlink" Target="https://realtycalendar.ru/event_calendars/119808893" TargetMode="External"/><Relationship Id="rId148" Type="http://schemas.openxmlformats.org/officeDocument/2006/relationships/hyperlink" Target="https://realtycalendar.ru/event_calendars/122694111" TargetMode="External"/><Relationship Id="rId269" Type="http://schemas.openxmlformats.org/officeDocument/2006/relationships/hyperlink" Target="https://realtycalendar.ru/event_calendars/130414445" TargetMode="External"/><Relationship Id="rId9" Type="http://schemas.openxmlformats.org/officeDocument/2006/relationships/hyperlink" Target="https://realtycalendar.ru/event_calendars/122308253" TargetMode="External"/><Relationship Id="rId143" Type="http://schemas.openxmlformats.org/officeDocument/2006/relationships/hyperlink" Target="https://realtycalendar.ru/event_calendars/114665832" TargetMode="External"/><Relationship Id="rId264" Type="http://schemas.openxmlformats.org/officeDocument/2006/relationships/hyperlink" Target="https://realtycalendar.ru/event_calendars/128353276" TargetMode="External"/><Relationship Id="rId385" Type="http://schemas.openxmlformats.org/officeDocument/2006/relationships/hyperlink" Target="https://realtycalendar.ru/event_calendars/137817969" TargetMode="External"/><Relationship Id="rId142" Type="http://schemas.openxmlformats.org/officeDocument/2006/relationships/hyperlink" Target="https://realtycalendar.ru/event_calendars/123286296" TargetMode="External"/><Relationship Id="rId263" Type="http://schemas.openxmlformats.org/officeDocument/2006/relationships/hyperlink" Target="https://realtycalendar.ru/event_calendars/128329890" TargetMode="External"/><Relationship Id="rId384" Type="http://schemas.openxmlformats.org/officeDocument/2006/relationships/hyperlink" Target="https://realtycalendar.ru/event_calendars/138014576" TargetMode="External"/><Relationship Id="rId141" Type="http://schemas.openxmlformats.org/officeDocument/2006/relationships/hyperlink" Target="https://realtycalendar.ru/event_calendars/122785793" TargetMode="External"/><Relationship Id="rId262" Type="http://schemas.openxmlformats.org/officeDocument/2006/relationships/hyperlink" Target="https://realtycalendar.ru/event_calendars/127812733" TargetMode="External"/><Relationship Id="rId383" Type="http://schemas.openxmlformats.org/officeDocument/2006/relationships/hyperlink" Target="https://realtycalendar.ru/event_calendars/138014576" TargetMode="External"/><Relationship Id="rId140" Type="http://schemas.openxmlformats.org/officeDocument/2006/relationships/hyperlink" Target="https://realtycalendar.ru/event_calendars/122277964" TargetMode="External"/><Relationship Id="rId261" Type="http://schemas.openxmlformats.org/officeDocument/2006/relationships/hyperlink" Target="https://realtycalendar.ru/event_calendars/126055713" TargetMode="External"/><Relationship Id="rId382" Type="http://schemas.openxmlformats.org/officeDocument/2006/relationships/hyperlink" Target="https://realtycalendar.ru/event_calendars/136737188" TargetMode="External"/><Relationship Id="rId5" Type="http://schemas.openxmlformats.org/officeDocument/2006/relationships/hyperlink" Target="https://realtycalendar.ru/event_calendars/122392877" TargetMode="External"/><Relationship Id="rId147" Type="http://schemas.openxmlformats.org/officeDocument/2006/relationships/hyperlink" Target="https://realtycalendar.ru/event_calendars/122633756" TargetMode="External"/><Relationship Id="rId268" Type="http://schemas.openxmlformats.org/officeDocument/2006/relationships/hyperlink" Target="https://realtycalendar.ru/event_calendars/128613243" TargetMode="External"/><Relationship Id="rId389" Type="http://schemas.openxmlformats.org/officeDocument/2006/relationships/hyperlink" Target="https://realtycalendar.ru/event_calendars/137354641" TargetMode="External"/><Relationship Id="rId6" Type="http://schemas.openxmlformats.org/officeDocument/2006/relationships/hyperlink" Target="https://realtycalendar.ru/event_calendars/122249064" TargetMode="External"/><Relationship Id="rId146" Type="http://schemas.openxmlformats.org/officeDocument/2006/relationships/hyperlink" Target="https://realtycalendar.ru/event_calendars/121971099" TargetMode="External"/><Relationship Id="rId267" Type="http://schemas.openxmlformats.org/officeDocument/2006/relationships/hyperlink" Target="https://realtycalendar.ru/event_calendars/128080072" TargetMode="External"/><Relationship Id="rId388" Type="http://schemas.openxmlformats.org/officeDocument/2006/relationships/hyperlink" Target="https://realtycalendar.ru/event_calendars/136448868" TargetMode="External"/><Relationship Id="rId7" Type="http://schemas.openxmlformats.org/officeDocument/2006/relationships/hyperlink" Target="https://realtycalendar.ru/event_calendars/115872592" TargetMode="External"/><Relationship Id="rId145" Type="http://schemas.openxmlformats.org/officeDocument/2006/relationships/hyperlink" Target="https://realtycalendar.ru/event_calendars/121891784" TargetMode="External"/><Relationship Id="rId266" Type="http://schemas.openxmlformats.org/officeDocument/2006/relationships/hyperlink" Target="https://realtycalendar.ru/event_calendars/127509321" TargetMode="External"/><Relationship Id="rId387" Type="http://schemas.openxmlformats.org/officeDocument/2006/relationships/hyperlink" Target="https://realtycalendar.ru/event_calendars/130792570" TargetMode="External"/><Relationship Id="rId8" Type="http://schemas.openxmlformats.org/officeDocument/2006/relationships/hyperlink" Target="https://realtycalendar.ru/event_calendars/121285943" TargetMode="External"/><Relationship Id="rId144" Type="http://schemas.openxmlformats.org/officeDocument/2006/relationships/hyperlink" Target="https://realtycalendar.ru/event_calendars/121582696" TargetMode="External"/><Relationship Id="rId265" Type="http://schemas.openxmlformats.org/officeDocument/2006/relationships/hyperlink" Target="https://realtycalendar.ru/event_calendars/122218532" TargetMode="External"/><Relationship Id="rId386" Type="http://schemas.openxmlformats.org/officeDocument/2006/relationships/hyperlink" Target="https://realtycalendar.ru/event_calendars/127415225" TargetMode="External"/><Relationship Id="rId260" Type="http://schemas.openxmlformats.org/officeDocument/2006/relationships/hyperlink" Target="https://realtycalendar.ru/event_calendars/127845357" TargetMode="External"/><Relationship Id="rId381" Type="http://schemas.openxmlformats.org/officeDocument/2006/relationships/hyperlink" Target="https://realtycalendar.ru/event_calendars/138166037" TargetMode="External"/><Relationship Id="rId380" Type="http://schemas.openxmlformats.org/officeDocument/2006/relationships/hyperlink" Target="https://realtycalendar.ru/event_calendars/136187648" TargetMode="External"/><Relationship Id="rId139" Type="http://schemas.openxmlformats.org/officeDocument/2006/relationships/hyperlink" Target="https://realtycalendar.ru/event_calendars/121813150" TargetMode="External"/><Relationship Id="rId138" Type="http://schemas.openxmlformats.org/officeDocument/2006/relationships/hyperlink" Target="https://realtycalendar.ru/event_calendars/118297762" TargetMode="External"/><Relationship Id="rId259" Type="http://schemas.openxmlformats.org/officeDocument/2006/relationships/hyperlink" Target="https://realtycalendar.ru/event_calendars/127696160" TargetMode="External"/><Relationship Id="rId137" Type="http://schemas.openxmlformats.org/officeDocument/2006/relationships/hyperlink" Target="https://realtycalendar.ru/event_calendars/117724668" TargetMode="External"/><Relationship Id="rId258" Type="http://schemas.openxmlformats.org/officeDocument/2006/relationships/hyperlink" Target="https://realtycalendar.ru/event_calendars/127651327" TargetMode="External"/><Relationship Id="rId379" Type="http://schemas.openxmlformats.org/officeDocument/2006/relationships/hyperlink" Target="https://realtycalendar.ru/event_calendars/135141050" TargetMode="External"/><Relationship Id="rId132" Type="http://schemas.openxmlformats.org/officeDocument/2006/relationships/hyperlink" Target="https://realtycalendar.ru/event_calendars/122587837" TargetMode="External"/><Relationship Id="rId253" Type="http://schemas.openxmlformats.org/officeDocument/2006/relationships/hyperlink" Target="https://realtycalendar.ru/event_calendars/127321867" TargetMode="External"/><Relationship Id="rId374" Type="http://schemas.openxmlformats.org/officeDocument/2006/relationships/hyperlink" Target="https://realtycalendar.ru/event_calendars/136835884" TargetMode="External"/><Relationship Id="rId495" Type="http://schemas.openxmlformats.org/officeDocument/2006/relationships/hyperlink" Target="https://realtycalendar.ru/event_calendars/135435589" TargetMode="External"/><Relationship Id="rId131" Type="http://schemas.openxmlformats.org/officeDocument/2006/relationships/hyperlink" Target="https://realtycalendar.ru/event_calendars/122586439" TargetMode="External"/><Relationship Id="rId252" Type="http://schemas.openxmlformats.org/officeDocument/2006/relationships/hyperlink" Target="https://realtycalendar.ru/event_calendars/128727065" TargetMode="External"/><Relationship Id="rId373" Type="http://schemas.openxmlformats.org/officeDocument/2006/relationships/hyperlink" Target="https://realtycalendar.ru/event_calendars/135158931" TargetMode="External"/><Relationship Id="rId494" Type="http://schemas.openxmlformats.org/officeDocument/2006/relationships/hyperlink" Target="https://realtycalendar.ru/event_calendars/142385573" TargetMode="External"/><Relationship Id="rId130" Type="http://schemas.openxmlformats.org/officeDocument/2006/relationships/hyperlink" Target="https://realtycalendar.ru/event_calendars/122344077" TargetMode="External"/><Relationship Id="rId251" Type="http://schemas.openxmlformats.org/officeDocument/2006/relationships/hyperlink" Target="https://realtycalendar.ru/event_calendars/127302546" TargetMode="External"/><Relationship Id="rId372" Type="http://schemas.openxmlformats.org/officeDocument/2006/relationships/hyperlink" Target="https://realtycalendar.ru/event_calendars/135081335" TargetMode="External"/><Relationship Id="rId493" Type="http://schemas.openxmlformats.org/officeDocument/2006/relationships/hyperlink" Target="https://realtycalendar.ru/event_calendars/135705562" TargetMode="External"/><Relationship Id="rId250" Type="http://schemas.openxmlformats.org/officeDocument/2006/relationships/hyperlink" Target="https://realtycalendar.ru/event_calendars/127071057" TargetMode="External"/><Relationship Id="rId371" Type="http://schemas.openxmlformats.org/officeDocument/2006/relationships/hyperlink" Target="https://realtycalendar.ru/event_calendars/134353246" TargetMode="External"/><Relationship Id="rId492" Type="http://schemas.openxmlformats.org/officeDocument/2006/relationships/hyperlink" Target="https://realtycalendar.ru/event_calendars/142692654" TargetMode="External"/><Relationship Id="rId136" Type="http://schemas.openxmlformats.org/officeDocument/2006/relationships/hyperlink" Target="https://realtycalendar.ru/event_calendars/122767041" TargetMode="External"/><Relationship Id="rId257" Type="http://schemas.openxmlformats.org/officeDocument/2006/relationships/hyperlink" Target="https://realtycalendar.ru/event_calendars/126803153" TargetMode="External"/><Relationship Id="rId378" Type="http://schemas.openxmlformats.org/officeDocument/2006/relationships/hyperlink" Target="https://realtycalendar.ru/event_calendars/131416927" TargetMode="External"/><Relationship Id="rId499" Type="http://schemas.openxmlformats.org/officeDocument/2006/relationships/hyperlink" Target="https://realtycalendar.ru/event_calendars/137666757" TargetMode="External"/><Relationship Id="rId135" Type="http://schemas.openxmlformats.org/officeDocument/2006/relationships/hyperlink" Target="https://realtycalendar.ru/event_calendars/122749199" TargetMode="External"/><Relationship Id="rId256" Type="http://schemas.openxmlformats.org/officeDocument/2006/relationships/hyperlink" Target="https://realtycalendar.ru/event_calendars/126643913" TargetMode="External"/><Relationship Id="rId377" Type="http://schemas.openxmlformats.org/officeDocument/2006/relationships/hyperlink" Target="https://realtycalendar.ru/event_calendars/137666757" TargetMode="External"/><Relationship Id="rId498" Type="http://schemas.openxmlformats.org/officeDocument/2006/relationships/hyperlink" Target="https://realtycalendar.ru/event_calendars/140255176" TargetMode="External"/><Relationship Id="rId134" Type="http://schemas.openxmlformats.org/officeDocument/2006/relationships/hyperlink" Target="https://realtycalendar.ru/event_calendars/122715014" TargetMode="External"/><Relationship Id="rId255" Type="http://schemas.openxmlformats.org/officeDocument/2006/relationships/hyperlink" Target="https://realtycalendar.ru/event_calendars/125751039" TargetMode="External"/><Relationship Id="rId376" Type="http://schemas.openxmlformats.org/officeDocument/2006/relationships/hyperlink" Target="https://realtycalendar.ru/event_calendars/137666757" TargetMode="External"/><Relationship Id="rId497" Type="http://schemas.openxmlformats.org/officeDocument/2006/relationships/hyperlink" Target="https://realtycalendar.ru/event_calendars/138355499" TargetMode="External"/><Relationship Id="rId133" Type="http://schemas.openxmlformats.org/officeDocument/2006/relationships/hyperlink" Target="https://realtycalendar.ru/event_calendars/122623016" TargetMode="External"/><Relationship Id="rId254" Type="http://schemas.openxmlformats.org/officeDocument/2006/relationships/hyperlink" Target="https://realtycalendar.ru/event_calendars/127774961" TargetMode="External"/><Relationship Id="rId375" Type="http://schemas.openxmlformats.org/officeDocument/2006/relationships/hyperlink" Target="https://realtycalendar.ru/event_calendars/136835884" TargetMode="External"/><Relationship Id="rId496" Type="http://schemas.openxmlformats.org/officeDocument/2006/relationships/hyperlink" Target="https://realtycalendar.ru/event_calendars/142498831" TargetMode="External"/><Relationship Id="rId172" Type="http://schemas.openxmlformats.org/officeDocument/2006/relationships/hyperlink" Target="https://realtycalendar.ru/event_calendars/126022586" TargetMode="External"/><Relationship Id="rId293" Type="http://schemas.openxmlformats.org/officeDocument/2006/relationships/hyperlink" Target="https://realtycalendar.ru/event_calendars/129290081" TargetMode="External"/><Relationship Id="rId171" Type="http://schemas.openxmlformats.org/officeDocument/2006/relationships/hyperlink" Target="https://realtycalendar.ru/event_calendars/125352294" TargetMode="External"/><Relationship Id="rId292" Type="http://schemas.openxmlformats.org/officeDocument/2006/relationships/hyperlink" Target="https://realtycalendar.ru/event_calendars/131022484" TargetMode="External"/><Relationship Id="rId170" Type="http://schemas.openxmlformats.org/officeDocument/2006/relationships/hyperlink" Target="https://realtycalendar.ru/event_calendars/125187009" TargetMode="External"/><Relationship Id="rId291" Type="http://schemas.openxmlformats.org/officeDocument/2006/relationships/hyperlink" Target="https://realtycalendar.ru/event_calendars/130158159" TargetMode="External"/><Relationship Id="rId290" Type="http://schemas.openxmlformats.org/officeDocument/2006/relationships/hyperlink" Target="https://realtycalendar.ru/event_calendars/127283613" TargetMode="External"/><Relationship Id="rId165" Type="http://schemas.openxmlformats.org/officeDocument/2006/relationships/hyperlink" Target="https://realtycalendar.ru/event_calendars/126926970" TargetMode="External"/><Relationship Id="rId286" Type="http://schemas.openxmlformats.org/officeDocument/2006/relationships/hyperlink" Target="https://realtycalendar.ru/event_calendars/131027554" TargetMode="External"/><Relationship Id="rId164" Type="http://schemas.openxmlformats.org/officeDocument/2006/relationships/hyperlink" Target="https://realtycalendar.ru/event_calendars/124674935" TargetMode="External"/><Relationship Id="rId285" Type="http://schemas.openxmlformats.org/officeDocument/2006/relationships/hyperlink" Target="https://realtycalendar.ru/event_calendars/129680093" TargetMode="External"/><Relationship Id="rId163" Type="http://schemas.openxmlformats.org/officeDocument/2006/relationships/hyperlink" Target="https://realtycalendar.ru/event_calendars/123954103" TargetMode="External"/><Relationship Id="rId284" Type="http://schemas.openxmlformats.org/officeDocument/2006/relationships/hyperlink" Target="https://realtycalendar.ru/event_calendars/125331826" TargetMode="External"/><Relationship Id="rId162" Type="http://schemas.openxmlformats.org/officeDocument/2006/relationships/hyperlink" Target="https://realtycalendar.ru/event_calendars/119366158" TargetMode="External"/><Relationship Id="rId283" Type="http://schemas.openxmlformats.org/officeDocument/2006/relationships/hyperlink" Target="https://realtycalendar.ru/event_calendars/131389206" TargetMode="External"/><Relationship Id="rId169" Type="http://schemas.openxmlformats.org/officeDocument/2006/relationships/hyperlink" Target="https://realtycalendar.ru/event_calendars/125012182" TargetMode="External"/><Relationship Id="rId168" Type="http://schemas.openxmlformats.org/officeDocument/2006/relationships/hyperlink" Target="https://realtycalendar.ru/event_calendars/124791564" TargetMode="External"/><Relationship Id="rId289" Type="http://schemas.openxmlformats.org/officeDocument/2006/relationships/hyperlink" Target="https://realtycalendar.ru/event_calendars/130971680" TargetMode="External"/><Relationship Id="rId167" Type="http://schemas.openxmlformats.org/officeDocument/2006/relationships/hyperlink" Target="https://realtycalendar.ru/event_calendars/126952939" TargetMode="External"/><Relationship Id="rId288" Type="http://schemas.openxmlformats.org/officeDocument/2006/relationships/hyperlink" Target="https://realtycalendar.ru/event_calendars/127496670" TargetMode="External"/><Relationship Id="rId166" Type="http://schemas.openxmlformats.org/officeDocument/2006/relationships/hyperlink" Target="https://realtycalendar.ru/event_calendars/126952939" TargetMode="External"/><Relationship Id="rId287" Type="http://schemas.openxmlformats.org/officeDocument/2006/relationships/hyperlink" Target="https://realtycalendar.ru/event_calendars/121133138" TargetMode="External"/><Relationship Id="rId161" Type="http://schemas.openxmlformats.org/officeDocument/2006/relationships/hyperlink" Target="https://realtycalendar.ru/event_calendars/115245162" TargetMode="External"/><Relationship Id="rId282" Type="http://schemas.openxmlformats.org/officeDocument/2006/relationships/hyperlink" Target="https://realtycalendar.ru/event_calendars/131102933" TargetMode="External"/><Relationship Id="rId160" Type="http://schemas.openxmlformats.org/officeDocument/2006/relationships/hyperlink" Target="https://realtycalendar.ru/event_calendars/126577898" TargetMode="External"/><Relationship Id="rId281" Type="http://schemas.openxmlformats.org/officeDocument/2006/relationships/hyperlink" Target="https://realtycalendar.ru/event_calendars/130331890" TargetMode="External"/><Relationship Id="rId280" Type="http://schemas.openxmlformats.org/officeDocument/2006/relationships/hyperlink" Target="https://realtycalendar.ru/event_calendars/128907170" TargetMode="External"/><Relationship Id="rId159" Type="http://schemas.openxmlformats.org/officeDocument/2006/relationships/hyperlink" Target="https://realtycalendar.ru/event_calendars/126337726" TargetMode="External"/><Relationship Id="rId154" Type="http://schemas.openxmlformats.org/officeDocument/2006/relationships/hyperlink" Target="https://realtycalendar.ru/event_calendars/123300208" TargetMode="External"/><Relationship Id="rId275" Type="http://schemas.openxmlformats.org/officeDocument/2006/relationships/hyperlink" Target="https://realtycalendar.ru/event_calendars/130935152" TargetMode="External"/><Relationship Id="rId396" Type="http://schemas.openxmlformats.org/officeDocument/2006/relationships/hyperlink" Target="https://realtycalendar.ru/event_calendars/136177589" TargetMode="External"/><Relationship Id="rId153" Type="http://schemas.openxmlformats.org/officeDocument/2006/relationships/hyperlink" Target="https://realtycalendar.ru/event_calendars/123151808" TargetMode="External"/><Relationship Id="rId274" Type="http://schemas.openxmlformats.org/officeDocument/2006/relationships/hyperlink" Target="https://realtycalendar.ru/event_calendars/129174002" TargetMode="External"/><Relationship Id="rId395" Type="http://schemas.openxmlformats.org/officeDocument/2006/relationships/hyperlink" Target="https://realtycalendar.ru/event_calendars/136187648" TargetMode="External"/><Relationship Id="rId152" Type="http://schemas.openxmlformats.org/officeDocument/2006/relationships/hyperlink" Target="https://realtycalendar.ru/event_calendars/123070181" TargetMode="External"/><Relationship Id="rId273" Type="http://schemas.openxmlformats.org/officeDocument/2006/relationships/hyperlink" Target="https://realtycalendar.ru/event_calendars/128553962" TargetMode="External"/><Relationship Id="rId394" Type="http://schemas.openxmlformats.org/officeDocument/2006/relationships/hyperlink" Target="https://realtycalendar.ru/event_calendars/132902131" TargetMode="External"/><Relationship Id="rId151" Type="http://schemas.openxmlformats.org/officeDocument/2006/relationships/hyperlink" Target="https://realtycalendar.ru/event_calendars/122997158" TargetMode="External"/><Relationship Id="rId272" Type="http://schemas.openxmlformats.org/officeDocument/2006/relationships/hyperlink" Target="https://realtycalendar.ru/event_calendars/128553320" TargetMode="External"/><Relationship Id="rId393" Type="http://schemas.openxmlformats.org/officeDocument/2006/relationships/hyperlink" Target="https://realtycalendar.ru/event_calendars/134392764" TargetMode="External"/><Relationship Id="rId158" Type="http://schemas.openxmlformats.org/officeDocument/2006/relationships/hyperlink" Target="https://realtycalendar.ru/event_calendars/126157409" TargetMode="External"/><Relationship Id="rId279" Type="http://schemas.openxmlformats.org/officeDocument/2006/relationships/hyperlink" Target="https://realtycalendar.ru/event_calendars/127142692" TargetMode="External"/><Relationship Id="rId157" Type="http://schemas.openxmlformats.org/officeDocument/2006/relationships/hyperlink" Target="https://realtycalendar.ru/event_calendars/123517824" TargetMode="External"/><Relationship Id="rId278" Type="http://schemas.openxmlformats.org/officeDocument/2006/relationships/hyperlink" Target="https://realtycalendar.ru/event_calendars/125573278" TargetMode="External"/><Relationship Id="rId399" Type="http://schemas.openxmlformats.org/officeDocument/2006/relationships/hyperlink" Target="https://realtycalendar.ru/event_calendars/133087766" TargetMode="External"/><Relationship Id="rId156" Type="http://schemas.openxmlformats.org/officeDocument/2006/relationships/hyperlink" Target="https://realtycalendar.ru/event_calendars/123431509" TargetMode="External"/><Relationship Id="rId277" Type="http://schemas.openxmlformats.org/officeDocument/2006/relationships/hyperlink" Target="https://realtycalendar.ru/event_calendars/131595488" TargetMode="External"/><Relationship Id="rId398" Type="http://schemas.openxmlformats.org/officeDocument/2006/relationships/hyperlink" Target="https://realtycalendar.ru/event_calendars/137356253" TargetMode="External"/><Relationship Id="rId155" Type="http://schemas.openxmlformats.org/officeDocument/2006/relationships/hyperlink" Target="https://realtycalendar.ru/event_calendars/123431053" TargetMode="External"/><Relationship Id="rId276" Type="http://schemas.openxmlformats.org/officeDocument/2006/relationships/hyperlink" Target="https://realtycalendar.ru/event_calendars/131254353" TargetMode="External"/><Relationship Id="rId397" Type="http://schemas.openxmlformats.org/officeDocument/2006/relationships/hyperlink" Target="https://realtycalendar.ru/event_calendars/134113677" TargetMode="External"/><Relationship Id="rId40" Type="http://schemas.openxmlformats.org/officeDocument/2006/relationships/hyperlink" Target="https://realtycalendar.ru/event_calendars/121763418" TargetMode="External"/><Relationship Id="rId42" Type="http://schemas.openxmlformats.org/officeDocument/2006/relationships/hyperlink" Target="https://realtycalendar.ru/event_calendars/122941583" TargetMode="External"/><Relationship Id="rId41" Type="http://schemas.openxmlformats.org/officeDocument/2006/relationships/hyperlink" Target="https://realtycalendar.ru/event_calendars/120986704" TargetMode="External"/><Relationship Id="rId44" Type="http://schemas.openxmlformats.org/officeDocument/2006/relationships/hyperlink" Target="https://realtycalendar.ru/event_calendars/115872592" TargetMode="External"/><Relationship Id="rId43" Type="http://schemas.openxmlformats.org/officeDocument/2006/relationships/hyperlink" Target="https://realtycalendar.ru/event_calendars/122249064" TargetMode="External"/><Relationship Id="rId46" Type="http://schemas.openxmlformats.org/officeDocument/2006/relationships/hyperlink" Target="https://realtycalendar.ru/event_calendars/121285943" TargetMode="External"/><Relationship Id="rId45" Type="http://schemas.openxmlformats.org/officeDocument/2006/relationships/hyperlink" Target="https://realtycalendar.ru/event_calendars/116815842" TargetMode="External"/><Relationship Id="rId509" Type="http://schemas.openxmlformats.org/officeDocument/2006/relationships/hyperlink" Target="https://realtycalendar.ru/event_calendars/137629799" TargetMode="External"/><Relationship Id="rId508" Type="http://schemas.openxmlformats.org/officeDocument/2006/relationships/hyperlink" Target="https://realtycalendar.ru/event_calendars/140663215" TargetMode="External"/><Relationship Id="rId503" Type="http://schemas.openxmlformats.org/officeDocument/2006/relationships/hyperlink" Target="https://realtycalendar.ru/event_calendars/142571334" TargetMode="External"/><Relationship Id="rId502" Type="http://schemas.openxmlformats.org/officeDocument/2006/relationships/hyperlink" Target="https://realtycalendar.ru/event_calendars/142259783" TargetMode="External"/><Relationship Id="rId501" Type="http://schemas.openxmlformats.org/officeDocument/2006/relationships/hyperlink" Target="https://realtycalendar.ru/event_calendars/141832621" TargetMode="External"/><Relationship Id="rId500" Type="http://schemas.openxmlformats.org/officeDocument/2006/relationships/hyperlink" Target="https://realtycalendar.ru/event_calendars/140574649" TargetMode="External"/><Relationship Id="rId507" Type="http://schemas.openxmlformats.org/officeDocument/2006/relationships/hyperlink" Target="https://realtycalendar.ru/event_calendars/140661029" TargetMode="External"/><Relationship Id="rId506" Type="http://schemas.openxmlformats.org/officeDocument/2006/relationships/hyperlink" Target="https://realtycalendar.ru/event_calendars/137219601" TargetMode="External"/><Relationship Id="rId505" Type="http://schemas.openxmlformats.org/officeDocument/2006/relationships/hyperlink" Target="https://realtycalendar.ru/event_calendars/127360951" TargetMode="External"/><Relationship Id="rId504" Type="http://schemas.openxmlformats.org/officeDocument/2006/relationships/hyperlink" Target="https://realtycalendar.ru/event_calendars/138402683" TargetMode="External"/><Relationship Id="rId48" Type="http://schemas.openxmlformats.org/officeDocument/2006/relationships/hyperlink" Target="https://realtycalendar.ru/event_calendars/122392877" TargetMode="External"/><Relationship Id="rId47" Type="http://schemas.openxmlformats.org/officeDocument/2006/relationships/hyperlink" Target="https://realtycalendar.ru/event_calendars/121664182" TargetMode="External"/><Relationship Id="rId49" Type="http://schemas.openxmlformats.org/officeDocument/2006/relationships/hyperlink" Target="https://realtycalendar.ru/event_calendars/122171109" TargetMode="External"/><Relationship Id="rId31" Type="http://schemas.openxmlformats.org/officeDocument/2006/relationships/hyperlink" Target="https://realtycalendar.ru/event_calendars/116815842" TargetMode="External"/><Relationship Id="rId30" Type="http://schemas.openxmlformats.org/officeDocument/2006/relationships/hyperlink" Target="https://realtycalendar.ru/event_calendars/122732126" TargetMode="External"/><Relationship Id="rId33" Type="http://schemas.openxmlformats.org/officeDocument/2006/relationships/hyperlink" Target="https://realtycalendar.ru/event_calendars/121550668" TargetMode="External"/><Relationship Id="rId32" Type="http://schemas.openxmlformats.org/officeDocument/2006/relationships/hyperlink" Target="https://realtycalendar.ru/event_calendars/122877585" TargetMode="External"/><Relationship Id="rId35" Type="http://schemas.openxmlformats.org/officeDocument/2006/relationships/hyperlink" Target="https://realtycalendar.ru/event_calendars/120986704" TargetMode="External"/><Relationship Id="rId34" Type="http://schemas.openxmlformats.org/officeDocument/2006/relationships/hyperlink" Target="https://realtycalendar.ru/event_calendars/121621782" TargetMode="External"/><Relationship Id="rId37" Type="http://schemas.openxmlformats.org/officeDocument/2006/relationships/hyperlink" Target="https://realtycalendar.ru/event_calendars/119808893" TargetMode="External"/><Relationship Id="rId36" Type="http://schemas.openxmlformats.org/officeDocument/2006/relationships/hyperlink" Target="https://realtycalendar.ru/event_calendars/120277278" TargetMode="External"/><Relationship Id="rId39" Type="http://schemas.openxmlformats.org/officeDocument/2006/relationships/hyperlink" Target="https://realtycalendar.ru/event_calendars/121621782" TargetMode="External"/><Relationship Id="rId38" Type="http://schemas.openxmlformats.org/officeDocument/2006/relationships/hyperlink" Target="https://realtycalendar.ru/event_calendars/122392877" TargetMode="External"/><Relationship Id="rId20" Type="http://schemas.openxmlformats.org/officeDocument/2006/relationships/hyperlink" Target="https://realtycalendar.ru/event_calendars/121550668" TargetMode="External"/><Relationship Id="rId22" Type="http://schemas.openxmlformats.org/officeDocument/2006/relationships/hyperlink" Target="https://realtycalendar.ru/event_calendars/121621782" TargetMode="External"/><Relationship Id="rId21" Type="http://schemas.openxmlformats.org/officeDocument/2006/relationships/hyperlink" Target="https://realtycalendar.ru/event_calendars/122308253" TargetMode="External"/><Relationship Id="rId24" Type="http://schemas.openxmlformats.org/officeDocument/2006/relationships/hyperlink" Target="https://realtycalendar.ru/event_calendars/122392877" TargetMode="External"/><Relationship Id="rId23" Type="http://schemas.openxmlformats.org/officeDocument/2006/relationships/hyperlink" Target="https://realtycalendar.ru/event_calendars/122249064" TargetMode="External"/><Relationship Id="rId409" Type="http://schemas.openxmlformats.org/officeDocument/2006/relationships/hyperlink" Target="https://realtycalendar.ru/event_calendars/132428263" TargetMode="External"/><Relationship Id="rId404" Type="http://schemas.openxmlformats.org/officeDocument/2006/relationships/hyperlink" Target="https://realtycalendar.ru/event_calendars/137861092" TargetMode="External"/><Relationship Id="rId525" Type="http://schemas.openxmlformats.org/officeDocument/2006/relationships/hyperlink" Target="https://realtycalendar.ru/event_calendars/135705562" TargetMode="External"/><Relationship Id="rId403" Type="http://schemas.openxmlformats.org/officeDocument/2006/relationships/hyperlink" Target="https://realtycalendar.ru/event_calendars/136052801" TargetMode="External"/><Relationship Id="rId524" Type="http://schemas.openxmlformats.org/officeDocument/2006/relationships/hyperlink" Target="https://realtycalendar.ru/event_calendars/142374657" TargetMode="External"/><Relationship Id="rId402" Type="http://schemas.openxmlformats.org/officeDocument/2006/relationships/hyperlink" Target="https://realtycalendar.ru/event_calendars/135560745" TargetMode="External"/><Relationship Id="rId523" Type="http://schemas.openxmlformats.org/officeDocument/2006/relationships/hyperlink" Target="https://realtycalendar.ru/event_calendars/141832621" TargetMode="External"/><Relationship Id="rId401" Type="http://schemas.openxmlformats.org/officeDocument/2006/relationships/hyperlink" Target="https://realtycalendar.ru/event_calendars/134651523" TargetMode="External"/><Relationship Id="rId522" Type="http://schemas.openxmlformats.org/officeDocument/2006/relationships/hyperlink" Target="https://realtycalendar.ru/event_calendars/138402683" TargetMode="External"/><Relationship Id="rId408" Type="http://schemas.openxmlformats.org/officeDocument/2006/relationships/hyperlink" Target="https://realtycalendar.ru/event_calendars/134651523" TargetMode="External"/><Relationship Id="rId529" Type="http://schemas.openxmlformats.org/officeDocument/2006/relationships/hyperlink" Target="https://realtycalendar.ru/event_calendars/134651523" TargetMode="External"/><Relationship Id="rId407" Type="http://schemas.openxmlformats.org/officeDocument/2006/relationships/hyperlink" Target="https://realtycalendar.ru/event_calendars/134651523" TargetMode="External"/><Relationship Id="rId528" Type="http://schemas.openxmlformats.org/officeDocument/2006/relationships/hyperlink" Target="https://realtycalendar.ru/event_calendars/129290081" TargetMode="External"/><Relationship Id="rId406" Type="http://schemas.openxmlformats.org/officeDocument/2006/relationships/hyperlink" Target="https://realtycalendar.ru/event_calendars/137629799" TargetMode="External"/><Relationship Id="rId527" Type="http://schemas.openxmlformats.org/officeDocument/2006/relationships/hyperlink" Target="https://realtycalendar.ru/event_calendars/140637748" TargetMode="External"/><Relationship Id="rId405" Type="http://schemas.openxmlformats.org/officeDocument/2006/relationships/hyperlink" Target="https://realtycalendar.ru/event_calendars/136835884" TargetMode="External"/><Relationship Id="rId526" Type="http://schemas.openxmlformats.org/officeDocument/2006/relationships/hyperlink" Target="https://realtycalendar.ru/event_calendars/133934964" TargetMode="External"/><Relationship Id="rId26" Type="http://schemas.openxmlformats.org/officeDocument/2006/relationships/hyperlink" Target="https://realtycalendar.ru/event_calendars/121957845" TargetMode="External"/><Relationship Id="rId25" Type="http://schemas.openxmlformats.org/officeDocument/2006/relationships/hyperlink" Target="https://realtycalendar.ru/event_calendars/121550668" TargetMode="External"/><Relationship Id="rId28" Type="http://schemas.openxmlformats.org/officeDocument/2006/relationships/hyperlink" Target="https://realtycalendar.ru/event_calendars/118601532" TargetMode="External"/><Relationship Id="rId27" Type="http://schemas.openxmlformats.org/officeDocument/2006/relationships/hyperlink" Target="https://realtycalendar.ru/event_calendars/121957845" TargetMode="External"/><Relationship Id="rId400" Type="http://schemas.openxmlformats.org/officeDocument/2006/relationships/hyperlink" Target="https://realtycalendar.ru/event_calendars/134651523" TargetMode="External"/><Relationship Id="rId521" Type="http://schemas.openxmlformats.org/officeDocument/2006/relationships/hyperlink" Target="https://realtycalendar.ru/event_calendars/140487889" TargetMode="External"/><Relationship Id="rId29" Type="http://schemas.openxmlformats.org/officeDocument/2006/relationships/hyperlink" Target="https://realtycalendar.ru/event_calendars/122941583" TargetMode="External"/><Relationship Id="rId520" Type="http://schemas.openxmlformats.org/officeDocument/2006/relationships/hyperlink" Target="https://realtycalendar.ru/event_calendars/134392764" TargetMode="External"/><Relationship Id="rId11" Type="http://schemas.openxmlformats.org/officeDocument/2006/relationships/hyperlink" Target="https://realtycalendar.ru/event_calendars/121621782" TargetMode="External"/><Relationship Id="rId10" Type="http://schemas.openxmlformats.org/officeDocument/2006/relationships/hyperlink" Target="https://realtycalendar.ru/event_calendars/118601532" TargetMode="External"/><Relationship Id="rId13" Type="http://schemas.openxmlformats.org/officeDocument/2006/relationships/hyperlink" Target="https://realtycalendar.ru/event_calendars/122941583" TargetMode="External"/><Relationship Id="rId12" Type="http://schemas.openxmlformats.org/officeDocument/2006/relationships/hyperlink" Target="https://realtycalendar.ru/event_calendars/120986704" TargetMode="External"/><Relationship Id="rId519" Type="http://schemas.openxmlformats.org/officeDocument/2006/relationships/hyperlink" Target="https://realtycalendar.ru/event_calendars/140487889" TargetMode="External"/><Relationship Id="rId514" Type="http://schemas.openxmlformats.org/officeDocument/2006/relationships/hyperlink" Target="https://realtycalendar.ru/event_calendars/133414295" TargetMode="External"/><Relationship Id="rId513" Type="http://schemas.openxmlformats.org/officeDocument/2006/relationships/hyperlink" Target="https://realtycalendar.ru/event_calendars/133934964" TargetMode="External"/><Relationship Id="rId512" Type="http://schemas.openxmlformats.org/officeDocument/2006/relationships/hyperlink" Target="https://realtycalendar.ru/event_calendars/140300474" TargetMode="External"/><Relationship Id="rId511" Type="http://schemas.openxmlformats.org/officeDocument/2006/relationships/hyperlink" Target="https://realtycalendar.ru/event_calendars/142458088" TargetMode="External"/><Relationship Id="rId518" Type="http://schemas.openxmlformats.org/officeDocument/2006/relationships/hyperlink" Target="https://realtycalendar.ru/event_calendars/140487889" TargetMode="External"/><Relationship Id="rId517" Type="http://schemas.openxmlformats.org/officeDocument/2006/relationships/hyperlink" Target="https://realtycalendar.ru/event_calendars/142374657" TargetMode="External"/><Relationship Id="rId516" Type="http://schemas.openxmlformats.org/officeDocument/2006/relationships/hyperlink" Target="https://realtycalendar.ru/event_calendars/140637748" TargetMode="External"/><Relationship Id="rId515" Type="http://schemas.openxmlformats.org/officeDocument/2006/relationships/hyperlink" Target="https://realtycalendar.ru/event_calendars/129290081" TargetMode="External"/><Relationship Id="rId15" Type="http://schemas.openxmlformats.org/officeDocument/2006/relationships/hyperlink" Target="https://realtycalendar.ru/event_calendars/122877585" TargetMode="External"/><Relationship Id="rId14" Type="http://schemas.openxmlformats.org/officeDocument/2006/relationships/hyperlink" Target="https://realtycalendar.ru/event_calendars/122732126" TargetMode="External"/><Relationship Id="rId17" Type="http://schemas.openxmlformats.org/officeDocument/2006/relationships/hyperlink" Target="https://realtycalendar.ru/event_calendars/119972246" TargetMode="External"/><Relationship Id="rId16" Type="http://schemas.openxmlformats.org/officeDocument/2006/relationships/hyperlink" Target="https://realtycalendar.ru/event_calendars/121763418" TargetMode="External"/><Relationship Id="rId19" Type="http://schemas.openxmlformats.org/officeDocument/2006/relationships/hyperlink" Target="https://realtycalendar.ru/event_calendars/116815842" TargetMode="External"/><Relationship Id="rId510" Type="http://schemas.openxmlformats.org/officeDocument/2006/relationships/hyperlink" Target="https://realtycalendar.ru/event_calendars/142374657" TargetMode="External"/><Relationship Id="rId18" Type="http://schemas.openxmlformats.org/officeDocument/2006/relationships/hyperlink" Target="https://realtycalendar.ru/event_calendars/122392877" TargetMode="External"/><Relationship Id="rId84" Type="http://schemas.openxmlformats.org/officeDocument/2006/relationships/hyperlink" Target="https://realtycalendar.ru/event_calendars/123177671" TargetMode="External"/><Relationship Id="rId83" Type="http://schemas.openxmlformats.org/officeDocument/2006/relationships/hyperlink" Target="https://realtycalendar.ru/event_calendars/123173502" TargetMode="External"/><Relationship Id="rId86" Type="http://schemas.openxmlformats.org/officeDocument/2006/relationships/hyperlink" Target="https://realtycalendar.ru/event_calendars/112883941" TargetMode="External"/><Relationship Id="rId85" Type="http://schemas.openxmlformats.org/officeDocument/2006/relationships/hyperlink" Target="https://realtycalendar.ru/event_calendars/123210682" TargetMode="External"/><Relationship Id="rId88" Type="http://schemas.openxmlformats.org/officeDocument/2006/relationships/hyperlink" Target="https://realtycalendar.ru/event_calendars/115872592" TargetMode="External"/><Relationship Id="rId87" Type="http://schemas.openxmlformats.org/officeDocument/2006/relationships/hyperlink" Target="https://realtycalendar.ru/event_calendars/114690027" TargetMode="External"/><Relationship Id="rId89" Type="http://schemas.openxmlformats.org/officeDocument/2006/relationships/hyperlink" Target="https://realtycalendar.ru/event_calendars/120910906" TargetMode="External"/><Relationship Id="rId80" Type="http://schemas.openxmlformats.org/officeDocument/2006/relationships/hyperlink" Target="https://realtycalendar.ru/event_calendars/123025493" TargetMode="External"/><Relationship Id="rId82" Type="http://schemas.openxmlformats.org/officeDocument/2006/relationships/hyperlink" Target="https://realtycalendar.ru/event_calendars/123122929" TargetMode="External"/><Relationship Id="rId81" Type="http://schemas.openxmlformats.org/officeDocument/2006/relationships/hyperlink" Target="https://realtycalendar.ru/event_calendars/123069776" TargetMode="External"/><Relationship Id="rId73" Type="http://schemas.openxmlformats.org/officeDocument/2006/relationships/hyperlink" Target="https://realtycalendar.ru/event_calendars/122052917" TargetMode="External"/><Relationship Id="rId72" Type="http://schemas.openxmlformats.org/officeDocument/2006/relationships/hyperlink" Target="https://realtycalendar.ru/event_calendars/121957845" TargetMode="External"/><Relationship Id="rId75" Type="http://schemas.openxmlformats.org/officeDocument/2006/relationships/hyperlink" Target="https://realtycalendar.ru/event_calendars/122732126" TargetMode="External"/><Relationship Id="rId74" Type="http://schemas.openxmlformats.org/officeDocument/2006/relationships/hyperlink" Target="https://realtycalendar.ru/event_calendars/122410252" TargetMode="External"/><Relationship Id="rId77" Type="http://schemas.openxmlformats.org/officeDocument/2006/relationships/hyperlink" Target="https://realtycalendar.ru/event_calendars/122877465" TargetMode="External"/><Relationship Id="rId76" Type="http://schemas.openxmlformats.org/officeDocument/2006/relationships/hyperlink" Target="https://realtycalendar.ru/event_calendars/122747383" TargetMode="External"/><Relationship Id="rId79" Type="http://schemas.openxmlformats.org/officeDocument/2006/relationships/hyperlink" Target="https://realtycalendar.ru/event_calendars/122986125" TargetMode="External"/><Relationship Id="rId78" Type="http://schemas.openxmlformats.org/officeDocument/2006/relationships/hyperlink" Target="https://realtycalendar.ru/event_calendars/122877585" TargetMode="External"/><Relationship Id="rId71" Type="http://schemas.openxmlformats.org/officeDocument/2006/relationships/hyperlink" Target="https://realtycalendar.ru/event_calendars/121664182" TargetMode="External"/><Relationship Id="rId70" Type="http://schemas.openxmlformats.org/officeDocument/2006/relationships/hyperlink" Target="https://realtycalendar.ru/event_calendars/121321371" TargetMode="External"/><Relationship Id="rId62" Type="http://schemas.openxmlformats.org/officeDocument/2006/relationships/hyperlink" Target="https://realtycalendar.ru/event_calendars/121708327" TargetMode="External"/><Relationship Id="rId61" Type="http://schemas.openxmlformats.org/officeDocument/2006/relationships/hyperlink" Target="https://realtycalendar.ru/event_calendars/122249064" TargetMode="External"/><Relationship Id="rId64" Type="http://schemas.openxmlformats.org/officeDocument/2006/relationships/hyperlink" Target="https://realtycalendar.ru/event_calendars/122054018" TargetMode="External"/><Relationship Id="rId63" Type="http://schemas.openxmlformats.org/officeDocument/2006/relationships/hyperlink" Target="https://realtycalendar.ru/event_calendars/122020000" TargetMode="External"/><Relationship Id="rId66" Type="http://schemas.openxmlformats.org/officeDocument/2006/relationships/hyperlink" Target="https://realtycalendar.ru/event_calendars/122115309" TargetMode="External"/><Relationship Id="rId65" Type="http://schemas.openxmlformats.org/officeDocument/2006/relationships/hyperlink" Target="https://realtycalendar.ru/event_calendars/122064600" TargetMode="External"/><Relationship Id="rId68" Type="http://schemas.openxmlformats.org/officeDocument/2006/relationships/hyperlink" Target="https://realtycalendar.ru/event_calendars/122245627" TargetMode="External"/><Relationship Id="rId67" Type="http://schemas.openxmlformats.org/officeDocument/2006/relationships/hyperlink" Target="https://realtycalendar.ru/event_calendars/122122855" TargetMode="External"/><Relationship Id="rId60" Type="http://schemas.openxmlformats.org/officeDocument/2006/relationships/hyperlink" Target="https://realtycalendar.ru/event_calendars/115872592" TargetMode="External"/><Relationship Id="rId69" Type="http://schemas.openxmlformats.org/officeDocument/2006/relationships/hyperlink" Target="https://realtycalendar.ru/event_calendars/122342627" TargetMode="External"/><Relationship Id="rId51" Type="http://schemas.openxmlformats.org/officeDocument/2006/relationships/hyperlink" Target="https://realtycalendar.ru/event_calendars/122213035" TargetMode="External"/><Relationship Id="rId50" Type="http://schemas.openxmlformats.org/officeDocument/2006/relationships/hyperlink" Target="https://realtycalendar.ru/event_calendars/122212541" TargetMode="External"/><Relationship Id="rId53" Type="http://schemas.openxmlformats.org/officeDocument/2006/relationships/hyperlink" Target="https://realtycalendar.ru/event_calendars/120277278" TargetMode="External"/><Relationship Id="rId52" Type="http://schemas.openxmlformats.org/officeDocument/2006/relationships/hyperlink" Target="https://realtycalendar.ru/event_calendars/122386115" TargetMode="External"/><Relationship Id="rId55" Type="http://schemas.openxmlformats.org/officeDocument/2006/relationships/hyperlink" Target="https://realtycalendar.ru/event_calendars/119972246" TargetMode="External"/><Relationship Id="rId54" Type="http://schemas.openxmlformats.org/officeDocument/2006/relationships/hyperlink" Target="https://realtycalendar.ru/event_calendars/118756495" TargetMode="External"/><Relationship Id="rId57" Type="http://schemas.openxmlformats.org/officeDocument/2006/relationships/hyperlink" Target="https://realtycalendar.ru/event_calendars/120755172" TargetMode="External"/><Relationship Id="rId56" Type="http://schemas.openxmlformats.org/officeDocument/2006/relationships/hyperlink" Target="https://realtycalendar.ru/event_calendars/120450787" TargetMode="External"/><Relationship Id="rId59" Type="http://schemas.openxmlformats.org/officeDocument/2006/relationships/hyperlink" Target="https://realtycalendar.ru/event_calendars/121957845" TargetMode="External"/><Relationship Id="rId58" Type="http://schemas.openxmlformats.org/officeDocument/2006/relationships/hyperlink" Target="https://realtycalendar.ru/event_calendars/121231609" TargetMode="External"/><Relationship Id="rId107" Type="http://schemas.openxmlformats.org/officeDocument/2006/relationships/hyperlink" Target="https://realtycalendar.ru/event_calendars/122240017" TargetMode="External"/><Relationship Id="rId228" Type="http://schemas.openxmlformats.org/officeDocument/2006/relationships/hyperlink" Target="https://realtycalendar.ru/event_calendars/126620274" TargetMode="External"/><Relationship Id="rId349" Type="http://schemas.openxmlformats.org/officeDocument/2006/relationships/hyperlink" Target="https://realtycalendar.ru/event_calendars/135319267" TargetMode="External"/><Relationship Id="rId106" Type="http://schemas.openxmlformats.org/officeDocument/2006/relationships/hyperlink" Target="https://realtycalendar.ru/event_calendars/119859701" TargetMode="External"/><Relationship Id="rId227" Type="http://schemas.openxmlformats.org/officeDocument/2006/relationships/hyperlink" Target="https://realtycalendar.ru/event_calendars/126251945" TargetMode="External"/><Relationship Id="rId348" Type="http://schemas.openxmlformats.org/officeDocument/2006/relationships/hyperlink" Target="https://realtycalendar.ru/event_calendars/136038364" TargetMode="External"/><Relationship Id="rId469" Type="http://schemas.openxmlformats.org/officeDocument/2006/relationships/hyperlink" Target="https://realtycalendar.ru/event_calendars/142151933" TargetMode="External"/><Relationship Id="rId105" Type="http://schemas.openxmlformats.org/officeDocument/2006/relationships/hyperlink" Target="https://realtycalendar.ru/event_calendars/119745865" TargetMode="External"/><Relationship Id="rId226" Type="http://schemas.openxmlformats.org/officeDocument/2006/relationships/hyperlink" Target="https://realtycalendar.ru/event_calendars/125573048" TargetMode="External"/><Relationship Id="rId347" Type="http://schemas.openxmlformats.org/officeDocument/2006/relationships/hyperlink" Target="https://realtycalendar.ru/event_calendars/135851610" TargetMode="External"/><Relationship Id="rId468" Type="http://schemas.openxmlformats.org/officeDocument/2006/relationships/hyperlink" Target="https://realtycalendar.ru/event_calendars/142097965" TargetMode="External"/><Relationship Id="rId104" Type="http://schemas.openxmlformats.org/officeDocument/2006/relationships/hyperlink" Target="https://realtycalendar.ru/event_calendars/123093828" TargetMode="External"/><Relationship Id="rId225" Type="http://schemas.openxmlformats.org/officeDocument/2006/relationships/hyperlink" Target="https://realtycalendar.ru/event_calendars/127985988" TargetMode="External"/><Relationship Id="rId346" Type="http://schemas.openxmlformats.org/officeDocument/2006/relationships/hyperlink" Target="https://realtycalendar.ru/event_calendars/136064750" TargetMode="External"/><Relationship Id="rId467" Type="http://schemas.openxmlformats.org/officeDocument/2006/relationships/hyperlink" Target="https://realtycalendar.ru/event_calendars/139321031" TargetMode="External"/><Relationship Id="rId109" Type="http://schemas.openxmlformats.org/officeDocument/2006/relationships/hyperlink" Target="https://realtycalendar.ru/event_calendars/122890919" TargetMode="External"/><Relationship Id="rId108" Type="http://schemas.openxmlformats.org/officeDocument/2006/relationships/hyperlink" Target="https://realtycalendar.ru/event_calendars/122510466" TargetMode="External"/><Relationship Id="rId229" Type="http://schemas.openxmlformats.org/officeDocument/2006/relationships/hyperlink" Target="https://realtycalendar.ru/event_calendars/127575291" TargetMode="External"/><Relationship Id="rId220" Type="http://schemas.openxmlformats.org/officeDocument/2006/relationships/hyperlink" Target="https://realtycalendar.ru/event_calendars/125072165" TargetMode="External"/><Relationship Id="rId341" Type="http://schemas.openxmlformats.org/officeDocument/2006/relationships/hyperlink" Target="https://realtycalendar.ru/event_calendars/134556726" TargetMode="External"/><Relationship Id="rId462" Type="http://schemas.openxmlformats.org/officeDocument/2006/relationships/hyperlink" Target="https://realtycalendar.ru/event_calendars/140166843" TargetMode="External"/><Relationship Id="rId340" Type="http://schemas.openxmlformats.org/officeDocument/2006/relationships/hyperlink" Target="https://realtycalendar.ru/event_calendars/124548395" TargetMode="External"/><Relationship Id="rId461" Type="http://schemas.openxmlformats.org/officeDocument/2006/relationships/hyperlink" Target="https://realtycalendar.ru/event_calendars/135435589" TargetMode="External"/><Relationship Id="rId460" Type="http://schemas.openxmlformats.org/officeDocument/2006/relationships/hyperlink" Target="https://realtycalendar.ru/event_calendars/138364837" TargetMode="External"/><Relationship Id="rId103" Type="http://schemas.openxmlformats.org/officeDocument/2006/relationships/hyperlink" Target="https://realtycalendar.ru/event_calendars/123093779" TargetMode="External"/><Relationship Id="rId224" Type="http://schemas.openxmlformats.org/officeDocument/2006/relationships/hyperlink" Target="https://realtycalendar.ru/event_calendars/127407662" TargetMode="External"/><Relationship Id="rId345" Type="http://schemas.openxmlformats.org/officeDocument/2006/relationships/hyperlink" Target="https://realtycalendar.ru/event_calendars/134416803" TargetMode="External"/><Relationship Id="rId466" Type="http://schemas.openxmlformats.org/officeDocument/2006/relationships/hyperlink" Target="https://realtycalendar.ru/event_calendars/141962221" TargetMode="External"/><Relationship Id="rId102" Type="http://schemas.openxmlformats.org/officeDocument/2006/relationships/hyperlink" Target="https://realtycalendar.ru/event_calendars/123073409" TargetMode="External"/><Relationship Id="rId223" Type="http://schemas.openxmlformats.org/officeDocument/2006/relationships/hyperlink" Target="https://realtycalendar.ru/event_calendars/126134407" TargetMode="External"/><Relationship Id="rId344" Type="http://schemas.openxmlformats.org/officeDocument/2006/relationships/hyperlink" Target="https://realtycalendar.ru/event_calendars/133276506" TargetMode="External"/><Relationship Id="rId465" Type="http://schemas.openxmlformats.org/officeDocument/2006/relationships/hyperlink" Target="https://realtycalendar.ru/event_calendars/141726885" TargetMode="External"/><Relationship Id="rId101" Type="http://schemas.openxmlformats.org/officeDocument/2006/relationships/hyperlink" Target="https://realtycalendar.ru/event_calendars/123051670" TargetMode="External"/><Relationship Id="rId222" Type="http://schemas.openxmlformats.org/officeDocument/2006/relationships/hyperlink" Target="https://realtycalendar.ru/event_calendars/126709272" TargetMode="External"/><Relationship Id="rId343" Type="http://schemas.openxmlformats.org/officeDocument/2006/relationships/hyperlink" Target="https://realtycalendar.ru/event_calendars/130075175" TargetMode="External"/><Relationship Id="rId464" Type="http://schemas.openxmlformats.org/officeDocument/2006/relationships/hyperlink" Target="https://realtycalendar.ru/event_calendars/140772533" TargetMode="External"/><Relationship Id="rId100" Type="http://schemas.openxmlformats.org/officeDocument/2006/relationships/hyperlink" Target="https://realtycalendar.ru/event_calendars/123021287" TargetMode="External"/><Relationship Id="rId221" Type="http://schemas.openxmlformats.org/officeDocument/2006/relationships/hyperlink" Target="https://realtycalendar.ru/event_calendars/125913365" TargetMode="External"/><Relationship Id="rId342" Type="http://schemas.openxmlformats.org/officeDocument/2006/relationships/hyperlink" Target="https://realtycalendar.ru/event_calendars/134785552" TargetMode="External"/><Relationship Id="rId463" Type="http://schemas.openxmlformats.org/officeDocument/2006/relationships/hyperlink" Target="https://realtycalendar.ru/event_calendars/134392764" TargetMode="External"/><Relationship Id="rId217" Type="http://schemas.openxmlformats.org/officeDocument/2006/relationships/hyperlink" Target="https://realtycalendar.ru/event_calendars/127148970" TargetMode="External"/><Relationship Id="rId338" Type="http://schemas.openxmlformats.org/officeDocument/2006/relationships/hyperlink" Target="https://realtycalendar.ru/event_calendars/135061779" TargetMode="External"/><Relationship Id="rId459" Type="http://schemas.openxmlformats.org/officeDocument/2006/relationships/hyperlink" Target="https://realtycalendar.ru/event_calendars/140414916" TargetMode="External"/><Relationship Id="rId216" Type="http://schemas.openxmlformats.org/officeDocument/2006/relationships/hyperlink" Target="https://realtycalendar.ru/event_calendars/127129754" TargetMode="External"/><Relationship Id="rId337" Type="http://schemas.openxmlformats.org/officeDocument/2006/relationships/hyperlink" Target="https://realtycalendar.ru/event_calendars/135061264" TargetMode="External"/><Relationship Id="rId458" Type="http://schemas.openxmlformats.org/officeDocument/2006/relationships/hyperlink" Target="https://realtycalendar.ru/event_calendars/140373696" TargetMode="External"/><Relationship Id="rId215" Type="http://schemas.openxmlformats.org/officeDocument/2006/relationships/hyperlink" Target="https://realtycalendar.ru/event_calendars/127129602" TargetMode="External"/><Relationship Id="rId336" Type="http://schemas.openxmlformats.org/officeDocument/2006/relationships/hyperlink" Target="https://realtycalendar.ru/event_calendars/135060334" TargetMode="External"/><Relationship Id="rId457" Type="http://schemas.openxmlformats.org/officeDocument/2006/relationships/hyperlink" Target="https://realtycalendar.ru/event_calendars/140372746" TargetMode="External"/><Relationship Id="rId214" Type="http://schemas.openxmlformats.org/officeDocument/2006/relationships/hyperlink" Target="https://realtycalendar.ru/event_calendars/127079196" TargetMode="External"/><Relationship Id="rId335" Type="http://schemas.openxmlformats.org/officeDocument/2006/relationships/hyperlink" Target="https://realtycalendar.ru/event_calendars/135058933" TargetMode="External"/><Relationship Id="rId456" Type="http://schemas.openxmlformats.org/officeDocument/2006/relationships/hyperlink" Target="https://realtycalendar.ru/event_calendars/133666981" TargetMode="External"/><Relationship Id="rId219" Type="http://schemas.openxmlformats.org/officeDocument/2006/relationships/hyperlink" Target="https://realtycalendar.ru/event_calendars/123991091" TargetMode="External"/><Relationship Id="rId218" Type="http://schemas.openxmlformats.org/officeDocument/2006/relationships/hyperlink" Target="https://realtycalendar.ru/event_calendars/126708683" TargetMode="External"/><Relationship Id="rId339" Type="http://schemas.openxmlformats.org/officeDocument/2006/relationships/hyperlink" Target="https://realtycalendar.ru/event_calendars/135076720" TargetMode="External"/><Relationship Id="rId330" Type="http://schemas.openxmlformats.org/officeDocument/2006/relationships/hyperlink" Target="https://realtycalendar.ru/event_calendars/129174218" TargetMode="External"/><Relationship Id="rId451" Type="http://schemas.openxmlformats.org/officeDocument/2006/relationships/hyperlink" Target="https://realtycalendar.ru/event_calendars/140768265" TargetMode="External"/><Relationship Id="rId450" Type="http://schemas.openxmlformats.org/officeDocument/2006/relationships/hyperlink" Target="https://realtycalendar.ru/event_calendars/137666757" TargetMode="External"/><Relationship Id="rId213" Type="http://schemas.openxmlformats.org/officeDocument/2006/relationships/hyperlink" Target="https://realtycalendar.ru/event_calendars/127043025" TargetMode="External"/><Relationship Id="rId334" Type="http://schemas.openxmlformats.org/officeDocument/2006/relationships/hyperlink" Target="https://realtycalendar.ru/event_calendars/134518230" TargetMode="External"/><Relationship Id="rId455" Type="http://schemas.openxmlformats.org/officeDocument/2006/relationships/hyperlink" Target="https://realtycalendar.ru/event_calendars/140300474" TargetMode="External"/><Relationship Id="rId212" Type="http://schemas.openxmlformats.org/officeDocument/2006/relationships/hyperlink" Target="https://realtycalendar.ru/event_calendars/127032856" TargetMode="External"/><Relationship Id="rId333" Type="http://schemas.openxmlformats.org/officeDocument/2006/relationships/hyperlink" Target="https://realtycalendar.ru/event_calendars/134847374" TargetMode="External"/><Relationship Id="rId454" Type="http://schemas.openxmlformats.org/officeDocument/2006/relationships/hyperlink" Target="https://realtycalendar.ru/event_calendars/140300474" TargetMode="External"/><Relationship Id="rId211" Type="http://schemas.openxmlformats.org/officeDocument/2006/relationships/hyperlink" Target="https://realtycalendar.ru/event_calendars/125153045" TargetMode="External"/><Relationship Id="rId332" Type="http://schemas.openxmlformats.org/officeDocument/2006/relationships/hyperlink" Target="https://realtycalendar.ru/event_calendars/133964748" TargetMode="External"/><Relationship Id="rId453" Type="http://schemas.openxmlformats.org/officeDocument/2006/relationships/hyperlink" Target="https://realtycalendar.ru/event_calendars/140123305" TargetMode="External"/><Relationship Id="rId210" Type="http://schemas.openxmlformats.org/officeDocument/2006/relationships/hyperlink" Target="https://realtycalendar.ru/event_calendars/125041262" TargetMode="External"/><Relationship Id="rId331" Type="http://schemas.openxmlformats.org/officeDocument/2006/relationships/hyperlink" Target="https://realtycalendar.ru/event_calendars/126952939" TargetMode="External"/><Relationship Id="rId452" Type="http://schemas.openxmlformats.org/officeDocument/2006/relationships/hyperlink" Target="https://realtycalendar.ru/event_calendars/140807347" TargetMode="External"/><Relationship Id="rId370" Type="http://schemas.openxmlformats.org/officeDocument/2006/relationships/hyperlink" Target="https://realtycalendar.ru/event_calendars/129847044" TargetMode="External"/><Relationship Id="rId491" Type="http://schemas.openxmlformats.org/officeDocument/2006/relationships/hyperlink" Target="https://realtycalendar.ru/event_calendars/142620657" TargetMode="External"/><Relationship Id="rId490" Type="http://schemas.openxmlformats.org/officeDocument/2006/relationships/hyperlink" Target="https://realtycalendar.ru/event_calendars/141094535" TargetMode="External"/><Relationship Id="rId129" Type="http://schemas.openxmlformats.org/officeDocument/2006/relationships/hyperlink" Target="https://realtycalendar.ru/event_calendars/122308253" TargetMode="External"/><Relationship Id="rId128" Type="http://schemas.openxmlformats.org/officeDocument/2006/relationships/hyperlink" Target="https://realtycalendar.ru/event_calendars/121893083" TargetMode="External"/><Relationship Id="rId249" Type="http://schemas.openxmlformats.org/officeDocument/2006/relationships/hyperlink" Target="https://realtycalendar.ru/event_calendars/124617754" TargetMode="External"/><Relationship Id="rId127" Type="http://schemas.openxmlformats.org/officeDocument/2006/relationships/hyperlink" Target="https://realtycalendar.ru/event_calendars/121648810" TargetMode="External"/><Relationship Id="rId248" Type="http://schemas.openxmlformats.org/officeDocument/2006/relationships/hyperlink" Target="https://realtycalendar.ru/event_calendars/128844763" TargetMode="External"/><Relationship Id="rId369" Type="http://schemas.openxmlformats.org/officeDocument/2006/relationships/hyperlink" Target="https://realtycalendar.ru/event_calendars/131636440" TargetMode="External"/><Relationship Id="rId126" Type="http://schemas.openxmlformats.org/officeDocument/2006/relationships/hyperlink" Target="https://realtycalendar.ru/event_calendars/121550668" TargetMode="External"/><Relationship Id="rId247" Type="http://schemas.openxmlformats.org/officeDocument/2006/relationships/hyperlink" Target="https://realtycalendar.ru/event_calendars/128696694" TargetMode="External"/><Relationship Id="rId368" Type="http://schemas.openxmlformats.org/officeDocument/2006/relationships/hyperlink" Target="https://realtycalendar.ru/event_calendars/134587497" TargetMode="External"/><Relationship Id="rId489" Type="http://schemas.openxmlformats.org/officeDocument/2006/relationships/hyperlink" Target="https://realtycalendar.ru/event_calendars/140932875" TargetMode="External"/><Relationship Id="rId121" Type="http://schemas.openxmlformats.org/officeDocument/2006/relationships/hyperlink" Target="https://realtycalendar.ru/event_calendars/111566585" TargetMode="External"/><Relationship Id="rId242" Type="http://schemas.openxmlformats.org/officeDocument/2006/relationships/hyperlink" Target="https://realtycalendar.ru/event_calendars/126986109" TargetMode="External"/><Relationship Id="rId363" Type="http://schemas.openxmlformats.org/officeDocument/2006/relationships/hyperlink" Target="https://realtycalendar.ru/event_calendars/136761612" TargetMode="External"/><Relationship Id="rId484" Type="http://schemas.openxmlformats.org/officeDocument/2006/relationships/hyperlink" Target="https://realtycalendar.ru/event_calendars/140189534" TargetMode="External"/><Relationship Id="rId120" Type="http://schemas.openxmlformats.org/officeDocument/2006/relationships/hyperlink" Target="https://realtycalendar.ru/event_calendars/122879363" TargetMode="External"/><Relationship Id="rId241" Type="http://schemas.openxmlformats.org/officeDocument/2006/relationships/hyperlink" Target="https://realtycalendar.ru/event_calendars/126979249" TargetMode="External"/><Relationship Id="rId362" Type="http://schemas.openxmlformats.org/officeDocument/2006/relationships/hyperlink" Target="https://realtycalendar.ru/event_calendars/133934964" TargetMode="External"/><Relationship Id="rId483" Type="http://schemas.openxmlformats.org/officeDocument/2006/relationships/hyperlink" Target="https://realtycalendar.ru/event_calendars/141372477" TargetMode="External"/><Relationship Id="rId240" Type="http://schemas.openxmlformats.org/officeDocument/2006/relationships/hyperlink" Target="https://realtycalendar.ru/event_calendars/126781828" TargetMode="External"/><Relationship Id="rId361" Type="http://schemas.openxmlformats.org/officeDocument/2006/relationships/hyperlink" Target="https://realtycalendar.ru/event_calendars/133414295" TargetMode="External"/><Relationship Id="rId482" Type="http://schemas.openxmlformats.org/officeDocument/2006/relationships/hyperlink" Target="https://realtycalendar.ru/event_calendars/141621252" TargetMode="External"/><Relationship Id="rId360" Type="http://schemas.openxmlformats.org/officeDocument/2006/relationships/hyperlink" Target="https://realtycalendar.ru/event_calendars/135435589" TargetMode="External"/><Relationship Id="rId481" Type="http://schemas.openxmlformats.org/officeDocument/2006/relationships/hyperlink" Target="https://realtycalendar.ru/event_calendars/140407179" TargetMode="External"/><Relationship Id="rId125" Type="http://schemas.openxmlformats.org/officeDocument/2006/relationships/hyperlink" Target="https://realtycalendar.ru/event_calendars/121461674" TargetMode="External"/><Relationship Id="rId246" Type="http://schemas.openxmlformats.org/officeDocument/2006/relationships/hyperlink" Target="https://realtycalendar.ru/event_calendars/128658541" TargetMode="External"/><Relationship Id="rId367" Type="http://schemas.openxmlformats.org/officeDocument/2006/relationships/hyperlink" Target="https://realtycalendar.ru/event_calendars/136648191" TargetMode="External"/><Relationship Id="rId488" Type="http://schemas.openxmlformats.org/officeDocument/2006/relationships/hyperlink" Target="https://realtycalendar.ru/event_calendars/140487889" TargetMode="External"/><Relationship Id="rId124" Type="http://schemas.openxmlformats.org/officeDocument/2006/relationships/hyperlink" Target="https://realtycalendar.ru/event_calendars/121076731" TargetMode="External"/><Relationship Id="rId245" Type="http://schemas.openxmlformats.org/officeDocument/2006/relationships/hyperlink" Target="https://realtycalendar.ru/event_calendars/126485119" TargetMode="External"/><Relationship Id="rId366" Type="http://schemas.openxmlformats.org/officeDocument/2006/relationships/hyperlink" Target="https://realtycalendar.ru/event_calendars/135435589" TargetMode="External"/><Relationship Id="rId487" Type="http://schemas.openxmlformats.org/officeDocument/2006/relationships/hyperlink" Target="https://realtycalendar.ru/event_calendars/141543316" TargetMode="External"/><Relationship Id="rId123" Type="http://schemas.openxmlformats.org/officeDocument/2006/relationships/hyperlink" Target="https://realtycalendar.ru/event_calendars/119808893" TargetMode="External"/><Relationship Id="rId244" Type="http://schemas.openxmlformats.org/officeDocument/2006/relationships/hyperlink" Target="https://realtycalendar.ru/event_calendars/127529152" TargetMode="External"/><Relationship Id="rId365" Type="http://schemas.openxmlformats.org/officeDocument/2006/relationships/hyperlink" Target="https://realtycalendar.ru/event_calendars/135842661" TargetMode="External"/><Relationship Id="rId486" Type="http://schemas.openxmlformats.org/officeDocument/2006/relationships/hyperlink" Target="https://realtycalendar.ru/event_calendars/136835884" TargetMode="External"/><Relationship Id="rId122" Type="http://schemas.openxmlformats.org/officeDocument/2006/relationships/hyperlink" Target="https://realtycalendar.ru/event_calendars/119213230" TargetMode="External"/><Relationship Id="rId243" Type="http://schemas.openxmlformats.org/officeDocument/2006/relationships/hyperlink" Target="https://realtycalendar.ru/event_calendars/127346793" TargetMode="External"/><Relationship Id="rId364" Type="http://schemas.openxmlformats.org/officeDocument/2006/relationships/hyperlink" Target="https://realtycalendar.ru/event_calendars/136969754" TargetMode="External"/><Relationship Id="rId485" Type="http://schemas.openxmlformats.org/officeDocument/2006/relationships/hyperlink" Target="https://realtycalendar.ru/event_calendars/140430797" TargetMode="External"/><Relationship Id="rId95" Type="http://schemas.openxmlformats.org/officeDocument/2006/relationships/hyperlink" Target="https://realtycalendar.ru/event_calendars/122452012" TargetMode="External"/><Relationship Id="rId94" Type="http://schemas.openxmlformats.org/officeDocument/2006/relationships/hyperlink" Target="https://realtycalendar.ru/event_calendars/122327223" TargetMode="External"/><Relationship Id="rId97" Type="http://schemas.openxmlformats.org/officeDocument/2006/relationships/hyperlink" Target="https://realtycalendar.ru/event_calendars/122754334" TargetMode="External"/><Relationship Id="rId96" Type="http://schemas.openxmlformats.org/officeDocument/2006/relationships/hyperlink" Target="https://realtycalendar.ru/event_calendars/122498166" TargetMode="External"/><Relationship Id="rId99" Type="http://schemas.openxmlformats.org/officeDocument/2006/relationships/hyperlink" Target="https://realtycalendar.ru/event_calendars/122972527" TargetMode="External"/><Relationship Id="rId480" Type="http://schemas.openxmlformats.org/officeDocument/2006/relationships/hyperlink" Target="https://realtycalendar.ru/event_calendars/134651523" TargetMode="External"/><Relationship Id="rId98" Type="http://schemas.openxmlformats.org/officeDocument/2006/relationships/hyperlink" Target="https://realtycalendar.ru/event_calendars/122930065" TargetMode="External"/><Relationship Id="rId91" Type="http://schemas.openxmlformats.org/officeDocument/2006/relationships/hyperlink" Target="https://realtycalendar.ru/event_calendars/121413347" TargetMode="External"/><Relationship Id="rId90" Type="http://schemas.openxmlformats.org/officeDocument/2006/relationships/hyperlink" Target="https://realtycalendar.ru/event_calendars/121285943" TargetMode="External"/><Relationship Id="rId93" Type="http://schemas.openxmlformats.org/officeDocument/2006/relationships/hyperlink" Target="https://realtycalendar.ru/event_calendars/122238845" TargetMode="External"/><Relationship Id="rId92" Type="http://schemas.openxmlformats.org/officeDocument/2006/relationships/hyperlink" Target="https://realtycalendar.ru/event_calendars/121983686" TargetMode="External"/><Relationship Id="rId118" Type="http://schemas.openxmlformats.org/officeDocument/2006/relationships/hyperlink" Target="https://realtycalendar.ru/event_calendars/122807209" TargetMode="External"/><Relationship Id="rId239" Type="http://schemas.openxmlformats.org/officeDocument/2006/relationships/hyperlink" Target="https://realtycalendar.ru/event_calendars/126520304" TargetMode="External"/><Relationship Id="rId117" Type="http://schemas.openxmlformats.org/officeDocument/2006/relationships/hyperlink" Target="https://realtycalendar.ru/event_calendars/121195860" TargetMode="External"/><Relationship Id="rId238" Type="http://schemas.openxmlformats.org/officeDocument/2006/relationships/hyperlink" Target="https://realtycalendar.ru/event_calendars/125919880" TargetMode="External"/><Relationship Id="rId359" Type="http://schemas.openxmlformats.org/officeDocument/2006/relationships/hyperlink" Target="https://realtycalendar.ru/event_calendars/135435589" TargetMode="External"/><Relationship Id="rId116" Type="http://schemas.openxmlformats.org/officeDocument/2006/relationships/hyperlink" Target="https://realtycalendar.ru/event_calendars/120986704" TargetMode="External"/><Relationship Id="rId237" Type="http://schemas.openxmlformats.org/officeDocument/2006/relationships/hyperlink" Target="https://realtycalendar.ru/event_calendars/125381153" TargetMode="External"/><Relationship Id="rId358" Type="http://schemas.openxmlformats.org/officeDocument/2006/relationships/hyperlink" Target="https://realtycalendar.ru/event_calendars/135017760" TargetMode="External"/><Relationship Id="rId479" Type="http://schemas.openxmlformats.org/officeDocument/2006/relationships/hyperlink" Target="https://realtycalendar.ru/event_calendars/141762502" TargetMode="External"/><Relationship Id="rId115" Type="http://schemas.openxmlformats.org/officeDocument/2006/relationships/hyperlink" Target="https://realtycalendar.ru/event_calendars/120277278" TargetMode="External"/><Relationship Id="rId236" Type="http://schemas.openxmlformats.org/officeDocument/2006/relationships/hyperlink" Target="https://realtycalendar.ru/event_calendars/124961130" TargetMode="External"/><Relationship Id="rId357" Type="http://schemas.openxmlformats.org/officeDocument/2006/relationships/hyperlink" Target="https://realtycalendar.ru/event_calendars/132547341" TargetMode="External"/><Relationship Id="rId478" Type="http://schemas.openxmlformats.org/officeDocument/2006/relationships/hyperlink" Target="https://realtycalendar.ru/event_calendars/140637748" TargetMode="External"/><Relationship Id="rId119" Type="http://schemas.openxmlformats.org/officeDocument/2006/relationships/hyperlink" Target="https://realtycalendar.ru/event_calendars/122826393" TargetMode="External"/><Relationship Id="rId110" Type="http://schemas.openxmlformats.org/officeDocument/2006/relationships/hyperlink" Target="https://realtycalendar.ru/event_calendars/122959120" TargetMode="External"/><Relationship Id="rId231" Type="http://schemas.openxmlformats.org/officeDocument/2006/relationships/hyperlink" Target="https://realtycalendar.ru/event_calendars/126984634" TargetMode="External"/><Relationship Id="rId352" Type="http://schemas.openxmlformats.org/officeDocument/2006/relationships/hyperlink" Target="https://realtycalendar.ru/event_calendars/132655242" TargetMode="External"/><Relationship Id="rId473" Type="http://schemas.openxmlformats.org/officeDocument/2006/relationships/hyperlink" Target="https://realtycalendar.ru/event_calendars/134651523" TargetMode="External"/><Relationship Id="rId230" Type="http://schemas.openxmlformats.org/officeDocument/2006/relationships/hyperlink" Target="https://realtycalendar.ru/event_calendars/125036822" TargetMode="External"/><Relationship Id="rId351" Type="http://schemas.openxmlformats.org/officeDocument/2006/relationships/hyperlink" Target="https://realtycalendar.ru/event_calendars/135975291" TargetMode="External"/><Relationship Id="rId472" Type="http://schemas.openxmlformats.org/officeDocument/2006/relationships/hyperlink" Target="https://realtycalendar.ru/event_calendars/140589395" TargetMode="External"/><Relationship Id="rId350" Type="http://schemas.openxmlformats.org/officeDocument/2006/relationships/hyperlink" Target="https://realtycalendar.ru/event_calendars/135835316" TargetMode="External"/><Relationship Id="rId471" Type="http://schemas.openxmlformats.org/officeDocument/2006/relationships/hyperlink" Target="https://realtycalendar.ru/event_calendars/139790600" TargetMode="External"/><Relationship Id="rId470" Type="http://schemas.openxmlformats.org/officeDocument/2006/relationships/hyperlink" Target="https://realtycalendar.ru/event_calendars/142151933" TargetMode="External"/><Relationship Id="rId114" Type="http://schemas.openxmlformats.org/officeDocument/2006/relationships/hyperlink" Target="https://realtycalendar.ru/event_calendars/120026136" TargetMode="External"/><Relationship Id="rId235" Type="http://schemas.openxmlformats.org/officeDocument/2006/relationships/hyperlink" Target="https://realtycalendar.ru/event_calendars/124660024" TargetMode="External"/><Relationship Id="rId356" Type="http://schemas.openxmlformats.org/officeDocument/2006/relationships/hyperlink" Target="https://realtycalendar.ru/event_calendars/135012276" TargetMode="External"/><Relationship Id="rId477" Type="http://schemas.openxmlformats.org/officeDocument/2006/relationships/hyperlink" Target="https://realtycalendar.ru/event_calendars/137563533" TargetMode="External"/><Relationship Id="rId113" Type="http://schemas.openxmlformats.org/officeDocument/2006/relationships/hyperlink" Target="https://realtycalendar.ru/event_calendars/119972246" TargetMode="External"/><Relationship Id="rId234" Type="http://schemas.openxmlformats.org/officeDocument/2006/relationships/hyperlink" Target="https://realtycalendar.ru/event_calendars/117844378" TargetMode="External"/><Relationship Id="rId355" Type="http://schemas.openxmlformats.org/officeDocument/2006/relationships/hyperlink" Target="https://realtycalendar.ru/event_calendars/122760174" TargetMode="External"/><Relationship Id="rId476" Type="http://schemas.openxmlformats.org/officeDocument/2006/relationships/hyperlink" Target="https://realtycalendar.ru/event_calendars/141837880" TargetMode="External"/><Relationship Id="rId112" Type="http://schemas.openxmlformats.org/officeDocument/2006/relationships/hyperlink" Target="https://realtycalendar.ru/event_calendars/118529876" TargetMode="External"/><Relationship Id="rId233" Type="http://schemas.openxmlformats.org/officeDocument/2006/relationships/hyperlink" Target="https://realtycalendar.ru/event_calendars/127521008" TargetMode="External"/><Relationship Id="rId354" Type="http://schemas.openxmlformats.org/officeDocument/2006/relationships/hyperlink" Target="https://realtycalendar.ru/event_calendars/135854633" TargetMode="External"/><Relationship Id="rId475" Type="http://schemas.openxmlformats.org/officeDocument/2006/relationships/hyperlink" Target="https://realtycalendar.ru/event_calendars/137666757" TargetMode="External"/><Relationship Id="rId111" Type="http://schemas.openxmlformats.org/officeDocument/2006/relationships/hyperlink" Target="https://realtycalendar.ru/event_calendars/116815842" TargetMode="External"/><Relationship Id="rId232" Type="http://schemas.openxmlformats.org/officeDocument/2006/relationships/hyperlink" Target="https://realtycalendar.ru/event_calendars/127048616" TargetMode="External"/><Relationship Id="rId353" Type="http://schemas.openxmlformats.org/officeDocument/2006/relationships/hyperlink" Target="https://realtycalendar.ru/event_calendars/135802703" TargetMode="External"/><Relationship Id="rId474" Type="http://schemas.openxmlformats.org/officeDocument/2006/relationships/hyperlink" Target="https://realtycalendar.ru/event_calendars/141431136" TargetMode="External"/><Relationship Id="rId305" Type="http://schemas.openxmlformats.org/officeDocument/2006/relationships/hyperlink" Target="https://realtycalendar.ru/event_calendars/132917852" TargetMode="External"/><Relationship Id="rId426" Type="http://schemas.openxmlformats.org/officeDocument/2006/relationships/hyperlink" Target="https://realtycalendar.ru/event_calendars/136835884" TargetMode="External"/><Relationship Id="rId304" Type="http://schemas.openxmlformats.org/officeDocument/2006/relationships/hyperlink" Target="https://realtycalendar.ru/event_calendars/128351481" TargetMode="External"/><Relationship Id="rId425" Type="http://schemas.openxmlformats.org/officeDocument/2006/relationships/hyperlink" Target="https://realtycalendar.ru/event_calendars/126232929" TargetMode="External"/><Relationship Id="rId303" Type="http://schemas.openxmlformats.org/officeDocument/2006/relationships/hyperlink" Target="https://realtycalendar.ru/event_calendars/131426765" TargetMode="External"/><Relationship Id="rId424" Type="http://schemas.openxmlformats.org/officeDocument/2006/relationships/hyperlink" Target="https://realtycalendar.ru/event_calendars/138341106" TargetMode="External"/><Relationship Id="rId302" Type="http://schemas.openxmlformats.org/officeDocument/2006/relationships/hyperlink" Target="https://realtycalendar.ru/event_calendars/129419250" TargetMode="External"/><Relationship Id="rId423" Type="http://schemas.openxmlformats.org/officeDocument/2006/relationships/hyperlink" Target="https://realtycalendar.ru/event_calendars/135435589" TargetMode="External"/><Relationship Id="rId544" Type="http://schemas.openxmlformats.org/officeDocument/2006/relationships/drawing" Target="../drawings/drawing23.xml"/><Relationship Id="rId309" Type="http://schemas.openxmlformats.org/officeDocument/2006/relationships/hyperlink" Target="https://realtycalendar.ru/event_calendars/132439130" TargetMode="External"/><Relationship Id="rId308" Type="http://schemas.openxmlformats.org/officeDocument/2006/relationships/hyperlink" Target="https://realtycalendar.ru/event_calendars/133247082" TargetMode="External"/><Relationship Id="rId429" Type="http://schemas.openxmlformats.org/officeDocument/2006/relationships/hyperlink" Target="https://realtycalendar.ru/event_calendars/139321031" TargetMode="External"/><Relationship Id="rId307" Type="http://schemas.openxmlformats.org/officeDocument/2006/relationships/hyperlink" Target="https://realtycalendar.ru/event_calendars/133180573" TargetMode="External"/><Relationship Id="rId428" Type="http://schemas.openxmlformats.org/officeDocument/2006/relationships/hyperlink" Target="https://realtycalendar.ru/event_calendars/139321031" TargetMode="External"/><Relationship Id="rId306" Type="http://schemas.openxmlformats.org/officeDocument/2006/relationships/hyperlink" Target="https://realtycalendar.ru/event_calendars/132997290" TargetMode="External"/><Relationship Id="rId427" Type="http://schemas.openxmlformats.org/officeDocument/2006/relationships/hyperlink" Target="https://realtycalendar.ru/event_calendars/139201955" TargetMode="External"/><Relationship Id="rId301" Type="http://schemas.openxmlformats.org/officeDocument/2006/relationships/hyperlink" Target="https://realtycalendar.ru/event_calendars/128100381" TargetMode="External"/><Relationship Id="rId422" Type="http://schemas.openxmlformats.org/officeDocument/2006/relationships/hyperlink" Target="https://realtycalendar.ru/event_calendars/138001202" TargetMode="External"/><Relationship Id="rId543" Type="http://schemas.openxmlformats.org/officeDocument/2006/relationships/hyperlink" Target="https://realtycalendar.ru/event_calendars/134392764" TargetMode="External"/><Relationship Id="rId300" Type="http://schemas.openxmlformats.org/officeDocument/2006/relationships/hyperlink" Target="https://realtycalendar.ru/event_calendars/127698411" TargetMode="External"/><Relationship Id="rId421" Type="http://schemas.openxmlformats.org/officeDocument/2006/relationships/hyperlink" Target="https://realtycalendar.ru/event_calendars/136450549" TargetMode="External"/><Relationship Id="rId542" Type="http://schemas.openxmlformats.org/officeDocument/2006/relationships/hyperlink" Target="https://realtycalendar.ru/event_calendars/129290081" TargetMode="External"/><Relationship Id="rId420" Type="http://schemas.openxmlformats.org/officeDocument/2006/relationships/hyperlink" Target="https://realtycalendar.ru/event_calendars/136231449" TargetMode="External"/><Relationship Id="rId541" Type="http://schemas.openxmlformats.org/officeDocument/2006/relationships/hyperlink" Target="https://realtycalendar.ru/event_calendars/134392764" TargetMode="External"/><Relationship Id="rId540" Type="http://schemas.openxmlformats.org/officeDocument/2006/relationships/hyperlink" Target="https://realtycalendar.ru/event_calendars/129290081" TargetMode="External"/><Relationship Id="rId415" Type="http://schemas.openxmlformats.org/officeDocument/2006/relationships/hyperlink" Target="https://realtycalendar.ru/event_calendars/137629916" TargetMode="External"/><Relationship Id="rId536" Type="http://schemas.openxmlformats.org/officeDocument/2006/relationships/hyperlink" Target="https://realtycalendar.ru/event_calendars/138402683" TargetMode="External"/><Relationship Id="rId414" Type="http://schemas.openxmlformats.org/officeDocument/2006/relationships/hyperlink" Target="https://realtycalendar.ru/event_calendars/138847251" TargetMode="External"/><Relationship Id="rId535" Type="http://schemas.openxmlformats.org/officeDocument/2006/relationships/hyperlink" Target="https://realtycalendar.ru/event_calendars/140487889" TargetMode="External"/><Relationship Id="rId413" Type="http://schemas.openxmlformats.org/officeDocument/2006/relationships/hyperlink" Target="https://realtycalendar.ru/event_calendars/137666757" TargetMode="External"/><Relationship Id="rId534" Type="http://schemas.openxmlformats.org/officeDocument/2006/relationships/hyperlink" Target="https://realtycalendar.ru/event_calendars/134392764" TargetMode="External"/><Relationship Id="rId412" Type="http://schemas.openxmlformats.org/officeDocument/2006/relationships/hyperlink" Target="https://realtycalendar.ru/event_calendars/138460703" TargetMode="External"/><Relationship Id="rId533" Type="http://schemas.openxmlformats.org/officeDocument/2006/relationships/hyperlink" Target="https://realtycalendar.ru/event_calendars/142374657" TargetMode="External"/><Relationship Id="rId419" Type="http://schemas.openxmlformats.org/officeDocument/2006/relationships/hyperlink" Target="https://realtycalendar.ru/event_calendars/136017190" TargetMode="External"/><Relationship Id="rId418" Type="http://schemas.openxmlformats.org/officeDocument/2006/relationships/hyperlink" Target="https://realtycalendar.ru/event_calendars/133718249" TargetMode="External"/><Relationship Id="rId539" Type="http://schemas.openxmlformats.org/officeDocument/2006/relationships/hyperlink" Target="https://realtycalendar.ru/event_calendars/133934964" TargetMode="External"/><Relationship Id="rId417" Type="http://schemas.openxmlformats.org/officeDocument/2006/relationships/hyperlink" Target="https://realtycalendar.ru/event_calendars/124617754" TargetMode="External"/><Relationship Id="rId538" Type="http://schemas.openxmlformats.org/officeDocument/2006/relationships/hyperlink" Target="https://realtycalendar.ru/event_calendars/135705562" TargetMode="External"/><Relationship Id="rId416" Type="http://schemas.openxmlformats.org/officeDocument/2006/relationships/hyperlink" Target="https://realtycalendar.ru/event_calendars/137629916" TargetMode="External"/><Relationship Id="rId537" Type="http://schemas.openxmlformats.org/officeDocument/2006/relationships/hyperlink" Target="https://realtycalendar.ru/event_calendars/142374657" TargetMode="External"/><Relationship Id="rId411" Type="http://schemas.openxmlformats.org/officeDocument/2006/relationships/hyperlink" Target="https://realtycalendar.ru/event_calendars/136841114" TargetMode="External"/><Relationship Id="rId532" Type="http://schemas.openxmlformats.org/officeDocument/2006/relationships/hyperlink" Target="https://realtycalendar.ru/event_calendars/140487889" TargetMode="External"/><Relationship Id="rId410" Type="http://schemas.openxmlformats.org/officeDocument/2006/relationships/hyperlink" Target="https://realtycalendar.ru/event_calendars/134772249" TargetMode="External"/><Relationship Id="rId531" Type="http://schemas.openxmlformats.org/officeDocument/2006/relationships/hyperlink" Target="https://realtycalendar.ru/event_calendars/142498831" TargetMode="External"/><Relationship Id="rId530" Type="http://schemas.openxmlformats.org/officeDocument/2006/relationships/hyperlink" Target="https://realtycalendar.ru/event_calendars/135435589" TargetMode="External"/><Relationship Id="rId206" Type="http://schemas.openxmlformats.org/officeDocument/2006/relationships/hyperlink" Target="https://realtycalendar.ru/event_calendars/124057168" TargetMode="External"/><Relationship Id="rId327" Type="http://schemas.openxmlformats.org/officeDocument/2006/relationships/hyperlink" Target="https://realtycalendar.ru/event_calendars/132683268" TargetMode="External"/><Relationship Id="rId448" Type="http://schemas.openxmlformats.org/officeDocument/2006/relationships/hyperlink" Target="https://realtycalendar.ru/event_calendars/136110077" TargetMode="External"/><Relationship Id="rId205" Type="http://schemas.openxmlformats.org/officeDocument/2006/relationships/hyperlink" Target="https://realtycalendar.ru/event_calendars/120901960" TargetMode="External"/><Relationship Id="rId326" Type="http://schemas.openxmlformats.org/officeDocument/2006/relationships/hyperlink" Target="https://realtycalendar.ru/event_calendars/131921646" TargetMode="External"/><Relationship Id="rId447" Type="http://schemas.openxmlformats.org/officeDocument/2006/relationships/hyperlink" Target="https://realtycalendar.ru/event_calendars/140564265" TargetMode="External"/><Relationship Id="rId204" Type="http://schemas.openxmlformats.org/officeDocument/2006/relationships/hyperlink" Target="https://realtycalendar.ru/event_calendars/114141013" TargetMode="External"/><Relationship Id="rId325" Type="http://schemas.openxmlformats.org/officeDocument/2006/relationships/hyperlink" Target="https://realtycalendar.ru/event_calendars/133581487" TargetMode="External"/><Relationship Id="rId446" Type="http://schemas.openxmlformats.org/officeDocument/2006/relationships/hyperlink" Target="https://realtycalendar.ru/event_calendars/139956378" TargetMode="External"/><Relationship Id="rId203" Type="http://schemas.openxmlformats.org/officeDocument/2006/relationships/hyperlink" Target="https://realtycalendar.ru/event_calendars/126418600" TargetMode="External"/><Relationship Id="rId324" Type="http://schemas.openxmlformats.org/officeDocument/2006/relationships/hyperlink" Target="https://realtycalendar.ru/event_calendars/134141076" TargetMode="External"/><Relationship Id="rId445" Type="http://schemas.openxmlformats.org/officeDocument/2006/relationships/hyperlink" Target="https://realtycalendar.ru/event_calendars/140772533" TargetMode="External"/><Relationship Id="rId209" Type="http://schemas.openxmlformats.org/officeDocument/2006/relationships/hyperlink" Target="https://realtycalendar.ru/event_calendars/126270178" TargetMode="External"/><Relationship Id="rId208" Type="http://schemas.openxmlformats.org/officeDocument/2006/relationships/hyperlink" Target="https://realtycalendar.ru/event_calendars/125163169" TargetMode="External"/><Relationship Id="rId329" Type="http://schemas.openxmlformats.org/officeDocument/2006/relationships/hyperlink" Target="https://realtycalendar.ru/event_calendars/133402290" TargetMode="External"/><Relationship Id="rId207" Type="http://schemas.openxmlformats.org/officeDocument/2006/relationships/hyperlink" Target="https://realtycalendar.ru/event_calendars/124090924" TargetMode="External"/><Relationship Id="rId328" Type="http://schemas.openxmlformats.org/officeDocument/2006/relationships/hyperlink" Target="https://realtycalendar.ru/event_calendars/133330654" TargetMode="External"/><Relationship Id="rId449" Type="http://schemas.openxmlformats.org/officeDocument/2006/relationships/hyperlink" Target="https://realtycalendar.ru/event_calendars/140390769" TargetMode="External"/><Relationship Id="rId440" Type="http://schemas.openxmlformats.org/officeDocument/2006/relationships/hyperlink" Target="https://realtycalendar.ru/event_calendars/136835884" TargetMode="External"/><Relationship Id="rId202" Type="http://schemas.openxmlformats.org/officeDocument/2006/relationships/hyperlink" Target="https://realtycalendar.ru/event_calendars/126383685" TargetMode="External"/><Relationship Id="rId323" Type="http://schemas.openxmlformats.org/officeDocument/2006/relationships/hyperlink" Target="https://realtycalendar.ru/event_calendars/129725806" TargetMode="External"/><Relationship Id="rId444" Type="http://schemas.openxmlformats.org/officeDocument/2006/relationships/hyperlink" Target="https://realtycalendar.ru/event_calendars/140772533" TargetMode="External"/><Relationship Id="rId201" Type="http://schemas.openxmlformats.org/officeDocument/2006/relationships/hyperlink" Target="https://realtycalendar.ru/event_calendars/126280132" TargetMode="External"/><Relationship Id="rId322" Type="http://schemas.openxmlformats.org/officeDocument/2006/relationships/hyperlink" Target="https://realtycalendar.ru/event_calendars/131411521" TargetMode="External"/><Relationship Id="rId443" Type="http://schemas.openxmlformats.org/officeDocument/2006/relationships/hyperlink" Target="https://realtycalendar.ru/event_calendars/129290081" TargetMode="External"/><Relationship Id="rId200" Type="http://schemas.openxmlformats.org/officeDocument/2006/relationships/hyperlink" Target="https://realtycalendar.ru/event_calendars/126227644" TargetMode="External"/><Relationship Id="rId321" Type="http://schemas.openxmlformats.org/officeDocument/2006/relationships/hyperlink" Target="https://realtycalendar.ru/event_calendars/134314604" TargetMode="External"/><Relationship Id="rId442" Type="http://schemas.openxmlformats.org/officeDocument/2006/relationships/hyperlink" Target="https://realtycalendar.ru/event_calendars/133934964" TargetMode="External"/><Relationship Id="rId320" Type="http://schemas.openxmlformats.org/officeDocument/2006/relationships/hyperlink" Target="https://realtycalendar.ru/event_calendars/135058933" TargetMode="External"/><Relationship Id="rId441" Type="http://schemas.openxmlformats.org/officeDocument/2006/relationships/hyperlink" Target="https://realtycalendar.ru/event_calendars/133414295" TargetMode="External"/><Relationship Id="rId316" Type="http://schemas.openxmlformats.org/officeDocument/2006/relationships/hyperlink" Target="https://realtycalendar.ru/event_calendars/126550575" TargetMode="External"/><Relationship Id="rId437" Type="http://schemas.openxmlformats.org/officeDocument/2006/relationships/hyperlink" Target="https://realtycalendar.ru/event_calendars/138607872" TargetMode="External"/><Relationship Id="rId315" Type="http://schemas.openxmlformats.org/officeDocument/2006/relationships/hyperlink" Target="https://realtycalendar.ru/event_calendars/132916682" TargetMode="External"/><Relationship Id="rId436" Type="http://schemas.openxmlformats.org/officeDocument/2006/relationships/hyperlink" Target="https://realtycalendar.ru/event_calendars/138436267" TargetMode="External"/><Relationship Id="rId314" Type="http://schemas.openxmlformats.org/officeDocument/2006/relationships/hyperlink" Target="https://realtycalendar.ru/event_calendars/132792293" TargetMode="External"/><Relationship Id="rId435" Type="http://schemas.openxmlformats.org/officeDocument/2006/relationships/hyperlink" Target="https://realtycalendar.ru/event_calendars/135825567" TargetMode="External"/><Relationship Id="rId313" Type="http://schemas.openxmlformats.org/officeDocument/2006/relationships/hyperlink" Target="https://realtycalendar.ru/event_calendars/132525560" TargetMode="External"/><Relationship Id="rId434" Type="http://schemas.openxmlformats.org/officeDocument/2006/relationships/hyperlink" Target="https://realtycalendar.ru/event_calendars/136200978" TargetMode="External"/><Relationship Id="rId319" Type="http://schemas.openxmlformats.org/officeDocument/2006/relationships/hyperlink" Target="https://realtycalendar.ru/event_calendars/126759310" TargetMode="External"/><Relationship Id="rId318" Type="http://schemas.openxmlformats.org/officeDocument/2006/relationships/hyperlink" Target="https://realtycalendar.ru/event_calendars/129898869" TargetMode="External"/><Relationship Id="rId439" Type="http://schemas.openxmlformats.org/officeDocument/2006/relationships/hyperlink" Target="https://realtycalendar.ru/event_calendars/138395449" TargetMode="External"/><Relationship Id="rId317" Type="http://schemas.openxmlformats.org/officeDocument/2006/relationships/hyperlink" Target="https://realtycalendar.ru/event_calendars/131501799" TargetMode="External"/><Relationship Id="rId438" Type="http://schemas.openxmlformats.org/officeDocument/2006/relationships/hyperlink" Target="https://realtycalendar.ru/event_calendars/131005354" TargetMode="External"/><Relationship Id="rId312" Type="http://schemas.openxmlformats.org/officeDocument/2006/relationships/hyperlink" Target="https://realtycalendar.ru/event_calendars/126223789" TargetMode="External"/><Relationship Id="rId433" Type="http://schemas.openxmlformats.org/officeDocument/2006/relationships/hyperlink" Target="https://realtycalendar.ru/event_calendars/138632091" TargetMode="External"/><Relationship Id="rId311" Type="http://schemas.openxmlformats.org/officeDocument/2006/relationships/hyperlink" Target="https://realtycalendar.ru/event_calendars/132992655" TargetMode="External"/><Relationship Id="rId432" Type="http://schemas.openxmlformats.org/officeDocument/2006/relationships/hyperlink" Target="https://realtycalendar.ru/event_calendars/134345684" TargetMode="External"/><Relationship Id="rId310" Type="http://schemas.openxmlformats.org/officeDocument/2006/relationships/hyperlink" Target="https://realtycalendar.ru/event_calendars/132902131" TargetMode="External"/><Relationship Id="rId431" Type="http://schemas.openxmlformats.org/officeDocument/2006/relationships/hyperlink" Target="https://realtycalendar.ru/event_calendars/131427073" TargetMode="External"/><Relationship Id="rId430" Type="http://schemas.openxmlformats.org/officeDocument/2006/relationships/hyperlink" Target="https://realtycalendar.ru/event_calendars/130075250" TargetMode="Externa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c r="A2" s="1" t="s">
        <v>0</v>
      </c>
    </row>
    <row r="3" ht="15.75" customHeight="1">
      <c r="A3" s="2" t="s">
        <v>1</v>
      </c>
    </row>
    <row r="4" ht="15.75" customHeight="1">
      <c r="A4" s="2"/>
    </row>
    <row r="5" ht="15.75" customHeight="1">
      <c r="A5" s="3" t="s">
        <v>2</v>
      </c>
    </row>
    <row r="6" ht="15.75" customHeight="1">
      <c r="A6" s="2"/>
    </row>
    <row r="7" ht="15.75" customHeight="1">
      <c r="A7" s="3" t="s">
        <v>3</v>
      </c>
    </row>
    <row r="8" ht="15.75" customHeight="1">
      <c r="A8" s="2" t="s">
        <v>4</v>
      </c>
    </row>
    <row r="9" ht="15.75" customHeight="1">
      <c r="A9" s="2"/>
    </row>
    <row r="10" ht="15.75" customHeight="1">
      <c r="A10" s="2" t="s">
        <v>5</v>
      </c>
    </row>
    <row r="11" ht="15.75" customHeight="1">
      <c r="A11" s="2" t="s">
        <v>6</v>
      </c>
    </row>
    <row r="12" ht="15.75" customHeight="1">
      <c r="A12" s="2"/>
    </row>
    <row r="13" ht="15.75" customHeight="1">
      <c r="A13" s="2" t="s">
        <v>7</v>
      </c>
    </row>
    <row r="14" ht="15.75" customHeight="1">
      <c r="A14" s="2"/>
    </row>
    <row r="15" ht="15.75" customHeight="1">
      <c r="A15" s="2" t="s">
        <v>8</v>
      </c>
    </row>
    <row r="16" ht="15.75" customHeight="1">
      <c r="A16" s="2"/>
    </row>
    <row r="17" ht="15.75" customHeight="1">
      <c r="A17" s="2" t="s">
        <v>9</v>
      </c>
    </row>
    <row r="18" ht="15.75" customHeight="1">
      <c r="A18" s="2"/>
    </row>
    <row r="19" ht="15.75" customHeight="1">
      <c r="A19" s="2" t="s">
        <v>10</v>
      </c>
    </row>
    <row r="20" ht="15.75" customHeight="1">
      <c r="A20" s="2"/>
    </row>
    <row r="21" ht="15.75" customHeight="1">
      <c r="A21" s="2" t="s">
        <v>11</v>
      </c>
    </row>
    <row r="22" ht="15.75" customHeight="1">
      <c r="A22" s="2"/>
    </row>
    <row r="23" ht="15.75" customHeight="1">
      <c r="A23" s="2" t="s">
        <v>12</v>
      </c>
    </row>
    <row r="24" ht="15.75" customHeight="1">
      <c r="A24" s="2"/>
    </row>
    <row r="25" ht="15.75" customHeight="1">
      <c r="A25" s="2" t="s">
        <v>13</v>
      </c>
    </row>
    <row r="26" ht="15.75" customHeight="1">
      <c r="A26" s="2"/>
    </row>
    <row r="27" ht="15.75" customHeight="1">
      <c r="A27" s="2" t="s">
        <v>14</v>
      </c>
    </row>
    <row r="28" ht="15.75" customHeight="1">
      <c r="A28" s="2"/>
    </row>
    <row r="29" ht="15.75" customHeight="1">
      <c r="A29" s="2" t="s">
        <v>15</v>
      </c>
    </row>
    <row r="30" ht="15.75" customHeight="1">
      <c r="A30" s="2"/>
    </row>
    <row r="31" ht="15.75" customHeight="1">
      <c r="A31" s="2" t="s">
        <v>16</v>
      </c>
    </row>
    <row r="32" ht="15.75" customHeight="1">
      <c r="A32" s="2" t="s">
        <v>17</v>
      </c>
    </row>
    <row r="33" ht="15.75" customHeight="1">
      <c r="A33" s="2"/>
    </row>
    <row r="34" ht="15.75" customHeight="1">
      <c r="A34" s="2" t="s">
        <v>18</v>
      </c>
    </row>
    <row r="35" ht="15.75" customHeight="1">
      <c r="A35" s="2"/>
    </row>
    <row r="36" ht="15.75" customHeight="1">
      <c r="A36" s="2" t="s">
        <v>19</v>
      </c>
    </row>
    <row r="37" ht="15.75" customHeight="1">
      <c r="A37" s="2"/>
    </row>
    <row r="38" ht="15.75" customHeight="1">
      <c r="A38" s="2"/>
    </row>
    <row r="39" ht="15.75" customHeight="1">
      <c r="A39" s="2" t="s">
        <v>20</v>
      </c>
      <c r="C39" s="2" t="s">
        <v>21</v>
      </c>
      <c r="E39" s="2" t="s">
        <v>22</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5"/>
    <hyperlink r:id="rId2" ref="A7"/>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B7B7"/>
    <outlinePr summaryBelow="0" summaryRight="0"/>
  </sheetPr>
  <sheetViews>
    <sheetView workbookViewId="0"/>
  </sheetViews>
  <sheetFormatPr customHeight="1" defaultColWidth="12.63" defaultRowHeight="15.0"/>
  <cols>
    <col customWidth="1" min="1" max="1" width="3.5"/>
    <col customWidth="1" min="2" max="2" width="9.38"/>
    <col customWidth="1" min="3" max="3" width="12.63"/>
    <col customWidth="1" min="4" max="4" width="9.25"/>
    <col customWidth="1" min="5" max="5" width="5.63"/>
    <col customWidth="1" min="6" max="6" width="24.0"/>
    <col customWidth="1" min="7" max="7" width="19.38"/>
    <col customWidth="1" min="8" max="8" width="8.88"/>
  </cols>
  <sheetData>
    <row r="1" ht="15.75" customHeight="1">
      <c r="A1" s="4" t="str">
        <f>F1</f>
        <v/>
      </c>
      <c r="B1" s="5"/>
      <c r="C1" s="6"/>
      <c r="D1" s="7"/>
      <c r="E1" s="7"/>
      <c r="F1" s="7"/>
      <c r="G1" s="8"/>
      <c r="H1" s="9">
        <f t="shared" ref="H1:I1" si="1">SUM(H2:H135)</f>
        <v>157</v>
      </c>
      <c r="I1" s="10">
        <f t="shared" si="1"/>
        <v>10070000</v>
      </c>
    </row>
    <row r="2" ht="15.75" customHeight="1">
      <c r="A2" s="4">
        <v>1.0</v>
      </c>
      <c r="B2" s="11" t="s">
        <v>23</v>
      </c>
      <c r="C2" s="12" t="s">
        <v>24</v>
      </c>
      <c r="D2" s="13" t="s">
        <v>25</v>
      </c>
      <c r="E2" s="13" t="s">
        <v>26</v>
      </c>
      <c r="F2" s="13" t="s">
        <v>27</v>
      </c>
      <c r="G2" s="14" t="s">
        <v>28</v>
      </c>
      <c r="H2" s="15">
        <v>2.0</v>
      </c>
      <c r="I2" s="16">
        <v>130000.0</v>
      </c>
    </row>
    <row r="3" ht="15.75" customHeight="1">
      <c r="A3" s="17">
        <f t="shared" ref="A3:A100" si="2">A2+1</f>
        <v>2</v>
      </c>
      <c r="B3" s="18" t="s">
        <v>23</v>
      </c>
      <c r="C3" s="19" t="s">
        <v>29</v>
      </c>
      <c r="D3" s="20" t="s">
        <v>25</v>
      </c>
      <c r="E3" s="20" t="s">
        <v>26</v>
      </c>
      <c r="F3" s="20" t="s">
        <v>30</v>
      </c>
      <c r="G3" s="21" t="s">
        <v>31</v>
      </c>
      <c r="H3" s="15">
        <v>1.0</v>
      </c>
      <c r="I3" s="16">
        <v>70000.0</v>
      </c>
    </row>
    <row r="4" ht="15.75" customHeight="1">
      <c r="A4" s="17">
        <f t="shared" si="2"/>
        <v>3</v>
      </c>
      <c r="B4" s="18" t="s">
        <v>23</v>
      </c>
      <c r="C4" s="19" t="s">
        <v>32</v>
      </c>
      <c r="D4" s="20" t="s">
        <v>25</v>
      </c>
      <c r="E4" s="20" t="s">
        <v>26</v>
      </c>
      <c r="F4" s="20" t="s">
        <v>33</v>
      </c>
      <c r="G4" s="21" t="s">
        <v>34</v>
      </c>
      <c r="H4" s="15">
        <v>3.0</v>
      </c>
      <c r="I4" s="16">
        <v>130000.0</v>
      </c>
    </row>
    <row r="5" ht="15.75" customHeight="1">
      <c r="A5" s="17">
        <f t="shared" si="2"/>
        <v>4</v>
      </c>
      <c r="B5" s="18" t="s">
        <v>23</v>
      </c>
      <c r="C5" s="22" t="s">
        <v>35</v>
      </c>
      <c r="D5" s="20" t="s">
        <v>25</v>
      </c>
      <c r="E5" s="20" t="s">
        <v>26</v>
      </c>
      <c r="F5" s="20" t="s">
        <v>30</v>
      </c>
      <c r="G5" s="21" t="s">
        <v>36</v>
      </c>
      <c r="H5" s="15">
        <v>1.0</v>
      </c>
      <c r="I5" s="16">
        <v>70000.0</v>
      </c>
    </row>
    <row r="6" ht="15.75" customHeight="1">
      <c r="A6" s="17">
        <f t="shared" si="2"/>
        <v>5</v>
      </c>
      <c r="B6" s="18" t="s">
        <v>23</v>
      </c>
      <c r="C6" s="22" t="s">
        <v>37</v>
      </c>
      <c r="D6" s="20" t="s">
        <v>25</v>
      </c>
      <c r="E6" s="20" t="s">
        <v>26</v>
      </c>
      <c r="F6" s="20" t="s">
        <v>30</v>
      </c>
      <c r="G6" s="21" t="s">
        <v>38</v>
      </c>
      <c r="H6" s="15">
        <v>1.0</v>
      </c>
      <c r="I6" s="16">
        <v>70000.0</v>
      </c>
    </row>
    <row r="7" ht="15.75" customHeight="1">
      <c r="A7" s="17">
        <f t="shared" si="2"/>
        <v>6</v>
      </c>
      <c r="B7" s="18" t="s">
        <v>23</v>
      </c>
      <c r="C7" s="19" t="s">
        <v>39</v>
      </c>
      <c r="D7" s="20" t="s">
        <v>25</v>
      </c>
      <c r="E7" s="20" t="s">
        <v>26</v>
      </c>
      <c r="F7" s="20" t="s">
        <v>27</v>
      </c>
      <c r="G7" s="21" t="s">
        <v>40</v>
      </c>
      <c r="H7" s="15">
        <v>2.0</v>
      </c>
      <c r="I7" s="16">
        <v>130000.0</v>
      </c>
    </row>
    <row r="8" ht="15.75" customHeight="1">
      <c r="A8" s="17">
        <f t="shared" si="2"/>
        <v>7</v>
      </c>
      <c r="B8" s="18" t="s">
        <v>23</v>
      </c>
      <c r="C8" s="19" t="s">
        <v>41</v>
      </c>
      <c r="D8" s="20" t="s">
        <v>25</v>
      </c>
      <c r="E8" s="20" t="s">
        <v>26</v>
      </c>
      <c r="F8" s="20" t="s">
        <v>30</v>
      </c>
      <c r="G8" s="21" t="s">
        <v>42</v>
      </c>
      <c r="H8" s="15">
        <v>1.0</v>
      </c>
      <c r="I8" s="16">
        <v>70000.0</v>
      </c>
    </row>
    <row r="9" ht="15.75" customHeight="1">
      <c r="A9" s="17">
        <f t="shared" si="2"/>
        <v>8</v>
      </c>
      <c r="B9" s="18" t="s">
        <v>23</v>
      </c>
      <c r="C9" s="19" t="s">
        <v>43</v>
      </c>
      <c r="D9" s="20" t="s">
        <v>25</v>
      </c>
      <c r="E9" s="20" t="s">
        <v>26</v>
      </c>
      <c r="F9" s="20" t="s">
        <v>30</v>
      </c>
      <c r="G9" s="23" t="s">
        <v>44</v>
      </c>
      <c r="H9" s="15">
        <v>1.0</v>
      </c>
      <c r="I9" s="16">
        <v>70000.0</v>
      </c>
    </row>
    <row r="10" ht="15.75" customHeight="1">
      <c r="A10" s="17">
        <f t="shared" si="2"/>
        <v>9</v>
      </c>
      <c r="B10" s="18" t="s">
        <v>23</v>
      </c>
      <c r="C10" s="19" t="s">
        <v>45</v>
      </c>
      <c r="D10" s="20" t="s">
        <v>25</v>
      </c>
      <c r="E10" s="20" t="s">
        <v>26</v>
      </c>
      <c r="F10" s="20" t="s">
        <v>46</v>
      </c>
      <c r="G10" s="23" t="s">
        <v>47</v>
      </c>
      <c r="H10" s="15">
        <v>1.0</v>
      </c>
      <c r="I10" s="16">
        <v>70000.0</v>
      </c>
    </row>
    <row r="11" ht="15.75" customHeight="1">
      <c r="A11" s="17">
        <f t="shared" si="2"/>
        <v>10</v>
      </c>
      <c r="B11" s="18" t="s">
        <v>23</v>
      </c>
      <c r="C11" s="19" t="s">
        <v>48</v>
      </c>
      <c r="D11" s="20" t="s">
        <v>25</v>
      </c>
      <c r="E11" s="20" t="s">
        <v>26</v>
      </c>
      <c r="F11" s="20" t="s">
        <v>46</v>
      </c>
      <c r="G11" s="23" t="s">
        <v>49</v>
      </c>
      <c r="H11" s="15">
        <v>1.0</v>
      </c>
      <c r="I11" s="16">
        <v>70000.0</v>
      </c>
    </row>
    <row r="12" ht="15.75" customHeight="1">
      <c r="A12" s="17">
        <f t="shared" si="2"/>
        <v>11</v>
      </c>
      <c r="B12" s="18" t="s">
        <v>23</v>
      </c>
      <c r="C12" s="19" t="s">
        <v>50</v>
      </c>
      <c r="D12" s="20" t="s">
        <v>25</v>
      </c>
      <c r="E12" s="20" t="s">
        <v>26</v>
      </c>
      <c r="F12" s="20" t="s">
        <v>30</v>
      </c>
      <c r="G12" s="21" t="s">
        <v>51</v>
      </c>
      <c r="H12" s="15">
        <v>1.0</v>
      </c>
      <c r="I12" s="16">
        <v>70000.0</v>
      </c>
    </row>
    <row r="13" ht="15.75" customHeight="1">
      <c r="A13" s="17">
        <f t="shared" si="2"/>
        <v>12</v>
      </c>
      <c r="B13" s="18" t="s">
        <v>23</v>
      </c>
      <c r="C13" s="19" t="s">
        <v>52</v>
      </c>
      <c r="D13" s="20" t="s">
        <v>25</v>
      </c>
      <c r="E13" s="20" t="s">
        <v>26</v>
      </c>
      <c r="F13" s="20" t="s">
        <v>30</v>
      </c>
      <c r="G13" s="21" t="s">
        <v>53</v>
      </c>
      <c r="H13" s="15">
        <v>1.0</v>
      </c>
      <c r="I13" s="16">
        <v>70000.0</v>
      </c>
    </row>
    <row r="14" ht="15.75" customHeight="1">
      <c r="A14" s="17">
        <f t="shared" si="2"/>
        <v>13</v>
      </c>
      <c r="B14" s="18" t="s">
        <v>23</v>
      </c>
      <c r="C14" s="19" t="s">
        <v>54</v>
      </c>
      <c r="D14" s="20" t="s">
        <v>25</v>
      </c>
      <c r="E14" s="20" t="s">
        <v>26</v>
      </c>
      <c r="F14" s="20" t="s">
        <v>27</v>
      </c>
      <c r="G14" s="21" t="s">
        <v>55</v>
      </c>
      <c r="H14" s="15">
        <v>2.0</v>
      </c>
      <c r="I14" s="16">
        <v>130000.0</v>
      </c>
    </row>
    <row r="15" ht="15.75" customHeight="1">
      <c r="A15" s="17">
        <f t="shared" si="2"/>
        <v>14</v>
      </c>
      <c r="B15" s="18" t="s">
        <v>23</v>
      </c>
      <c r="C15" s="19" t="s">
        <v>56</v>
      </c>
      <c r="D15" s="20" t="s">
        <v>25</v>
      </c>
      <c r="E15" s="20" t="s">
        <v>26</v>
      </c>
      <c r="F15" s="20" t="s">
        <v>30</v>
      </c>
      <c r="G15" s="21" t="s">
        <v>57</v>
      </c>
      <c r="H15" s="15">
        <v>1.0</v>
      </c>
      <c r="I15" s="16">
        <v>70000.0</v>
      </c>
    </row>
    <row r="16" ht="15.75" customHeight="1">
      <c r="A16" s="17">
        <f t="shared" si="2"/>
        <v>15</v>
      </c>
      <c r="B16" s="18" t="s">
        <v>58</v>
      </c>
      <c r="C16" s="22" t="s">
        <v>59</v>
      </c>
      <c r="D16" s="20" t="s">
        <v>60</v>
      </c>
      <c r="E16" s="20" t="s">
        <v>26</v>
      </c>
      <c r="F16" s="20" t="s">
        <v>30</v>
      </c>
      <c r="G16" s="21" t="s">
        <v>61</v>
      </c>
      <c r="H16" s="15">
        <v>1.0</v>
      </c>
      <c r="I16" s="16">
        <v>70000.0</v>
      </c>
    </row>
    <row r="17" ht="15.75" customHeight="1">
      <c r="A17" s="17">
        <f t="shared" si="2"/>
        <v>16</v>
      </c>
      <c r="B17" s="18" t="s">
        <v>58</v>
      </c>
      <c r="C17" s="22" t="s">
        <v>62</v>
      </c>
      <c r="D17" s="20" t="s">
        <v>60</v>
      </c>
      <c r="E17" s="20" t="s">
        <v>26</v>
      </c>
      <c r="F17" s="20" t="s">
        <v>30</v>
      </c>
      <c r="G17" s="21" t="s">
        <v>63</v>
      </c>
      <c r="H17" s="15">
        <v>1.0</v>
      </c>
      <c r="I17" s="16">
        <v>70000.0</v>
      </c>
    </row>
    <row r="18" ht="15.75" customHeight="1">
      <c r="A18" s="17">
        <f t="shared" si="2"/>
        <v>17</v>
      </c>
      <c r="B18" s="18" t="s">
        <v>58</v>
      </c>
      <c r="C18" s="24" t="s">
        <v>64</v>
      </c>
      <c r="D18" s="20" t="s">
        <v>65</v>
      </c>
      <c r="E18" s="20" t="s">
        <v>26</v>
      </c>
      <c r="F18" s="20" t="s">
        <v>30</v>
      </c>
      <c r="G18" s="21" t="s">
        <v>66</v>
      </c>
      <c r="H18" s="15">
        <v>1.0</v>
      </c>
      <c r="I18" s="16">
        <v>70000.0</v>
      </c>
    </row>
    <row r="19" ht="15.75" customHeight="1">
      <c r="A19" s="17">
        <f t="shared" si="2"/>
        <v>18</v>
      </c>
      <c r="B19" s="18" t="s">
        <v>58</v>
      </c>
      <c r="C19" s="25" t="s">
        <v>67</v>
      </c>
      <c r="D19" s="26" t="s">
        <v>68</v>
      </c>
      <c r="E19" s="20" t="s">
        <v>26</v>
      </c>
      <c r="F19" s="20" t="s">
        <v>30</v>
      </c>
      <c r="G19" s="23" t="s">
        <v>69</v>
      </c>
      <c r="H19" s="15">
        <v>1.0</v>
      </c>
      <c r="I19" s="16">
        <v>70000.0</v>
      </c>
    </row>
    <row r="20" ht="15.75" customHeight="1">
      <c r="A20" s="17">
        <f t="shared" si="2"/>
        <v>19</v>
      </c>
      <c r="B20" s="18" t="s">
        <v>58</v>
      </c>
      <c r="C20" s="25" t="s">
        <v>70</v>
      </c>
      <c r="D20" s="26" t="s">
        <v>71</v>
      </c>
      <c r="E20" s="20" t="s">
        <v>26</v>
      </c>
      <c r="F20" s="20" t="s">
        <v>30</v>
      </c>
      <c r="G20" s="21" t="s">
        <v>72</v>
      </c>
      <c r="H20" s="15">
        <v>1.0</v>
      </c>
      <c r="I20" s="16">
        <v>70000.0</v>
      </c>
    </row>
    <row r="21" ht="15.75" customHeight="1">
      <c r="A21" s="17">
        <f t="shared" si="2"/>
        <v>20</v>
      </c>
      <c r="B21" s="18" t="s">
        <v>58</v>
      </c>
      <c r="C21" s="25" t="s">
        <v>73</v>
      </c>
      <c r="D21" s="26" t="s">
        <v>71</v>
      </c>
      <c r="E21" s="20" t="s">
        <v>26</v>
      </c>
      <c r="F21" s="20" t="s">
        <v>30</v>
      </c>
      <c r="G21" s="21" t="s">
        <v>74</v>
      </c>
      <c r="H21" s="15">
        <v>1.0</v>
      </c>
      <c r="I21" s="16">
        <v>70000.0</v>
      </c>
    </row>
    <row r="22" ht="15.75" customHeight="1">
      <c r="A22" s="17">
        <f t="shared" si="2"/>
        <v>21</v>
      </c>
      <c r="B22" s="18" t="s">
        <v>58</v>
      </c>
      <c r="C22" s="25" t="s">
        <v>75</v>
      </c>
      <c r="D22" s="26" t="s">
        <v>71</v>
      </c>
      <c r="E22" s="20" t="s">
        <v>26</v>
      </c>
      <c r="F22" s="20" t="s">
        <v>30</v>
      </c>
      <c r="G22" s="21" t="s">
        <v>76</v>
      </c>
      <c r="H22" s="15">
        <v>1.0</v>
      </c>
      <c r="I22" s="16">
        <v>70000.0</v>
      </c>
    </row>
    <row r="23" ht="15.75" customHeight="1">
      <c r="A23" s="17">
        <f t="shared" si="2"/>
        <v>22</v>
      </c>
      <c r="B23" s="18" t="s">
        <v>58</v>
      </c>
      <c r="C23" s="25" t="s">
        <v>77</v>
      </c>
      <c r="D23" s="26" t="s">
        <v>60</v>
      </c>
      <c r="E23" s="20" t="s">
        <v>26</v>
      </c>
      <c r="F23" s="20" t="s">
        <v>27</v>
      </c>
      <c r="G23" s="23" t="s">
        <v>78</v>
      </c>
      <c r="H23" s="15">
        <v>2.0</v>
      </c>
      <c r="I23" s="16">
        <v>110000.0</v>
      </c>
    </row>
    <row r="24" ht="15.75" customHeight="1">
      <c r="A24" s="17">
        <f t="shared" si="2"/>
        <v>23</v>
      </c>
      <c r="B24" s="18" t="s">
        <v>58</v>
      </c>
      <c r="C24" s="25" t="s">
        <v>79</v>
      </c>
      <c r="D24" s="26" t="s">
        <v>60</v>
      </c>
      <c r="E24" s="20" t="s">
        <v>26</v>
      </c>
      <c r="F24" s="20" t="s">
        <v>27</v>
      </c>
      <c r="G24" s="21" t="s">
        <v>78</v>
      </c>
      <c r="H24" s="15">
        <v>2.0</v>
      </c>
      <c r="I24" s="16">
        <v>110000.0</v>
      </c>
    </row>
    <row r="25" ht="15.75" customHeight="1">
      <c r="A25" s="17">
        <f t="shared" si="2"/>
        <v>24</v>
      </c>
      <c r="B25" s="18" t="s">
        <v>58</v>
      </c>
      <c r="C25" s="25" t="s">
        <v>80</v>
      </c>
      <c r="D25" s="26" t="s">
        <v>60</v>
      </c>
      <c r="E25" s="20" t="s">
        <v>26</v>
      </c>
      <c r="F25" s="20" t="s">
        <v>27</v>
      </c>
      <c r="G25" s="23" t="s">
        <v>81</v>
      </c>
      <c r="H25" s="15">
        <v>2.0</v>
      </c>
      <c r="I25" s="16">
        <v>110000.0</v>
      </c>
    </row>
    <row r="26" ht="15.75" customHeight="1">
      <c r="A26" s="17">
        <f t="shared" si="2"/>
        <v>25</v>
      </c>
      <c r="B26" s="18" t="s">
        <v>58</v>
      </c>
      <c r="C26" s="25" t="s">
        <v>82</v>
      </c>
      <c r="D26" s="26" t="s">
        <v>60</v>
      </c>
      <c r="E26" s="20" t="s">
        <v>26</v>
      </c>
      <c r="F26" s="20" t="s">
        <v>27</v>
      </c>
      <c r="G26" s="23" t="s">
        <v>83</v>
      </c>
      <c r="H26" s="15">
        <v>2.0</v>
      </c>
      <c r="I26" s="16">
        <v>110000.0</v>
      </c>
    </row>
    <row r="27" ht="15.75" customHeight="1">
      <c r="A27" s="17">
        <f t="shared" si="2"/>
        <v>26</v>
      </c>
      <c r="B27" s="18" t="s">
        <v>58</v>
      </c>
      <c r="C27" s="25" t="s">
        <v>84</v>
      </c>
      <c r="D27" s="26" t="s">
        <v>60</v>
      </c>
      <c r="E27" s="20" t="s">
        <v>26</v>
      </c>
      <c r="F27" s="20" t="s">
        <v>27</v>
      </c>
      <c r="G27" s="23" t="s">
        <v>85</v>
      </c>
      <c r="H27" s="15">
        <v>2.0</v>
      </c>
      <c r="I27" s="16">
        <v>110000.0</v>
      </c>
    </row>
    <row r="28" ht="15.75" customHeight="1">
      <c r="A28" s="17">
        <f t="shared" si="2"/>
        <v>27</v>
      </c>
      <c r="B28" s="18" t="s">
        <v>58</v>
      </c>
      <c r="C28" s="25" t="s">
        <v>86</v>
      </c>
      <c r="D28" s="26" t="s">
        <v>60</v>
      </c>
      <c r="E28" s="20" t="s">
        <v>26</v>
      </c>
      <c r="F28" s="20" t="s">
        <v>27</v>
      </c>
      <c r="G28" s="23" t="s">
        <v>87</v>
      </c>
      <c r="H28" s="15">
        <v>2.0</v>
      </c>
      <c r="I28" s="16">
        <v>110000.0</v>
      </c>
    </row>
    <row r="29" ht="15.75" customHeight="1">
      <c r="A29" s="17">
        <f t="shared" si="2"/>
        <v>28</v>
      </c>
      <c r="B29" s="18" t="s">
        <v>58</v>
      </c>
      <c r="C29" s="25" t="s">
        <v>88</v>
      </c>
      <c r="D29" s="26" t="s">
        <v>60</v>
      </c>
      <c r="E29" s="20" t="s">
        <v>26</v>
      </c>
      <c r="F29" s="20" t="s">
        <v>27</v>
      </c>
      <c r="G29" s="23" t="s">
        <v>89</v>
      </c>
      <c r="H29" s="15">
        <v>2.0</v>
      </c>
      <c r="I29" s="16">
        <v>110000.0</v>
      </c>
    </row>
    <row r="30" ht="15.75" customHeight="1">
      <c r="A30" s="17">
        <f t="shared" si="2"/>
        <v>29</v>
      </c>
      <c r="B30" s="27" t="s">
        <v>58</v>
      </c>
      <c r="C30" s="28" t="s">
        <v>90</v>
      </c>
      <c r="D30" s="29" t="s">
        <v>60</v>
      </c>
      <c r="E30" s="30" t="s">
        <v>26</v>
      </c>
      <c r="F30" s="15" t="s">
        <v>27</v>
      </c>
      <c r="G30" s="31" t="s">
        <v>91</v>
      </c>
      <c r="H30" s="15">
        <v>2.0</v>
      </c>
      <c r="I30" s="16">
        <v>110000.0</v>
      </c>
    </row>
    <row r="31" ht="15.75" customHeight="1">
      <c r="A31" s="17">
        <f t="shared" si="2"/>
        <v>30</v>
      </c>
      <c r="B31" s="27" t="s">
        <v>58</v>
      </c>
      <c r="C31" s="28" t="s">
        <v>92</v>
      </c>
      <c r="D31" s="32" t="s">
        <v>60</v>
      </c>
      <c r="E31" s="30" t="s">
        <v>26</v>
      </c>
      <c r="F31" s="15" t="s">
        <v>30</v>
      </c>
      <c r="G31" s="31" t="s">
        <v>93</v>
      </c>
      <c r="H31" s="15">
        <v>1.0</v>
      </c>
      <c r="I31" s="16">
        <v>100000.0</v>
      </c>
    </row>
    <row r="32" ht="15.75" customHeight="1">
      <c r="A32" s="17">
        <f t="shared" si="2"/>
        <v>31</v>
      </c>
      <c r="B32" s="27" t="s">
        <v>58</v>
      </c>
      <c r="C32" s="28" t="s">
        <v>94</v>
      </c>
      <c r="D32" s="32" t="s">
        <v>60</v>
      </c>
      <c r="E32" s="30" t="s">
        <v>26</v>
      </c>
      <c r="F32" s="15" t="s">
        <v>30</v>
      </c>
      <c r="G32" s="33" t="s">
        <v>95</v>
      </c>
      <c r="H32" s="15">
        <v>1.0</v>
      </c>
      <c r="I32" s="16">
        <v>100000.0</v>
      </c>
    </row>
    <row r="33" ht="15.75" customHeight="1">
      <c r="A33" s="17">
        <f t="shared" si="2"/>
        <v>32</v>
      </c>
      <c r="B33" s="27" t="s">
        <v>58</v>
      </c>
      <c r="C33" s="34" t="s">
        <v>96</v>
      </c>
      <c r="D33" s="35" t="s">
        <v>97</v>
      </c>
      <c r="E33" s="30" t="s">
        <v>26</v>
      </c>
      <c r="F33" s="15" t="s">
        <v>30</v>
      </c>
      <c r="G33" s="31" t="s">
        <v>98</v>
      </c>
      <c r="H33" s="15">
        <v>1.0</v>
      </c>
      <c r="I33" s="16"/>
    </row>
    <row r="34" ht="15.75" customHeight="1">
      <c r="A34" s="17">
        <f t="shared" si="2"/>
        <v>33</v>
      </c>
      <c r="B34" s="36" t="s">
        <v>99</v>
      </c>
      <c r="C34" s="37" t="s">
        <v>100</v>
      </c>
      <c r="D34" s="38" t="s">
        <v>101</v>
      </c>
      <c r="E34" s="39" t="s">
        <v>102</v>
      </c>
      <c r="F34" s="38" t="s">
        <v>30</v>
      </c>
      <c r="G34" s="40" t="s">
        <v>103</v>
      </c>
      <c r="H34" s="15">
        <v>1.0</v>
      </c>
      <c r="I34" s="16">
        <v>50000.0</v>
      </c>
    </row>
    <row r="35" ht="15.75" customHeight="1">
      <c r="A35" s="17">
        <f t="shared" si="2"/>
        <v>34</v>
      </c>
      <c r="B35" s="36" t="s">
        <v>99</v>
      </c>
      <c r="C35" s="41" t="s">
        <v>104</v>
      </c>
      <c r="D35" s="20" t="s">
        <v>101</v>
      </c>
      <c r="E35" s="42" t="s">
        <v>102</v>
      </c>
      <c r="F35" s="20" t="s">
        <v>27</v>
      </c>
      <c r="G35" s="21" t="s">
        <v>105</v>
      </c>
      <c r="H35" s="15">
        <v>2.0</v>
      </c>
      <c r="I35" s="16">
        <v>70000.0</v>
      </c>
    </row>
    <row r="36" ht="15.75" customHeight="1">
      <c r="A36" s="17">
        <f t="shared" si="2"/>
        <v>35</v>
      </c>
      <c r="B36" s="36" t="s">
        <v>99</v>
      </c>
      <c r="C36" s="41" t="s">
        <v>106</v>
      </c>
      <c r="D36" s="20" t="s">
        <v>101</v>
      </c>
      <c r="E36" s="42" t="s">
        <v>102</v>
      </c>
      <c r="F36" s="20" t="s">
        <v>27</v>
      </c>
      <c r="G36" s="21" t="s">
        <v>107</v>
      </c>
      <c r="H36" s="15">
        <v>2.0</v>
      </c>
      <c r="I36" s="16">
        <v>70000.0</v>
      </c>
    </row>
    <row r="37" ht="15.75" customHeight="1">
      <c r="A37" s="17">
        <f t="shared" si="2"/>
        <v>36</v>
      </c>
      <c r="B37" s="36" t="s">
        <v>99</v>
      </c>
      <c r="C37" s="41" t="s">
        <v>108</v>
      </c>
      <c r="D37" s="20" t="s">
        <v>101</v>
      </c>
      <c r="E37" s="42" t="s">
        <v>102</v>
      </c>
      <c r="F37" s="20" t="s">
        <v>30</v>
      </c>
      <c r="G37" s="21" t="s">
        <v>109</v>
      </c>
      <c r="H37" s="15">
        <v>1.0</v>
      </c>
      <c r="I37" s="16">
        <v>50000.0</v>
      </c>
    </row>
    <row r="38" ht="15.75" customHeight="1">
      <c r="A38" s="17">
        <f t="shared" si="2"/>
        <v>37</v>
      </c>
      <c r="B38" s="36" t="s">
        <v>99</v>
      </c>
      <c r="C38" s="41" t="s">
        <v>110</v>
      </c>
      <c r="D38" s="20" t="s">
        <v>101</v>
      </c>
      <c r="E38" s="42" t="s">
        <v>102</v>
      </c>
      <c r="F38" s="20" t="s">
        <v>30</v>
      </c>
      <c r="G38" s="23"/>
      <c r="H38" s="15">
        <v>1.0</v>
      </c>
      <c r="I38" s="16">
        <v>50000.0</v>
      </c>
    </row>
    <row r="39" ht="15.75" customHeight="1">
      <c r="A39" s="17">
        <f t="shared" si="2"/>
        <v>38</v>
      </c>
      <c r="B39" s="36" t="s">
        <v>99</v>
      </c>
      <c r="C39" s="41" t="s">
        <v>111</v>
      </c>
      <c r="D39" s="20" t="s">
        <v>101</v>
      </c>
      <c r="E39" s="42" t="s">
        <v>102</v>
      </c>
      <c r="F39" s="20" t="s">
        <v>30</v>
      </c>
      <c r="G39" s="21" t="s">
        <v>112</v>
      </c>
      <c r="H39" s="15">
        <v>1.0</v>
      </c>
      <c r="I39" s="16">
        <v>50000.0</v>
      </c>
    </row>
    <row r="40" ht="15.75" customHeight="1">
      <c r="A40" s="17">
        <f t="shared" si="2"/>
        <v>39</v>
      </c>
      <c r="B40" s="36" t="s">
        <v>99</v>
      </c>
      <c r="C40" s="41" t="s">
        <v>113</v>
      </c>
      <c r="D40" s="20" t="s">
        <v>101</v>
      </c>
      <c r="E40" s="42" t="s">
        <v>102</v>
      </c>
      <c r="F40" s="20" t="s">
        <v>30</v>
      </c>
      <c r="G40" s="21" t="s">
        <v>114</v>
      </c>
      <c r="H40" s="15">
        <v>1.0</v>
      </c>
      <c r="I40" s="16">
        <v>50000.0</v>
      </c>
    </row>
    <row r="41" ht="15.75" customHeight="1">
      <c r="A41" s="17">
        <f t="shared" si="2"/>
        <v>40</v>
      </c>
      <c r="B41" s="36" t="s">
        <v>99</v>
      </c>
      <c r="C41" s="41" t="s">
        <v>115</v>
      </c>
      <c r="D41" s="20" t="s">
        <v>101</v>
      </c>
      <c r="E41" s="42" t="s">
        <v>102</v>
      </c>
      <c r="F41" s="20" t="s">
        <v>27</v>
      </c>
      <c r="G41" s="21" t="s">
        <v>116</v>
      </c>
      <c r="H41" s="15">
        <v>2.0</v>
      </c>
      <c r="I41" s="16">
        <v>70000.0</v>
      </c>
    </row>
    <row r="42" ht="15.75" customHeight="1">
      <c r="A42" s="17">
        <f t="shared" si="2"/>
        <v>41</v>
      </c>
      <c r="B42" s="36" t="s">
        <v>99</v>
      </c>
      <c r="C42" s="41" t="s">
        <v>117</v>
      </c>
      <c r="D42" s="20" t="s">
        <v>101</v>
      </c>
      <c r="E42" s="42" t="s">
        <v>102</v>
      </c>
      <c r="F42" s="20" t="s">
        <v>27</v>
      </c>
      <c r="G42" s="21" t="s">
        <v>118</v>
      </c>
      <c r="H42" s="15">
        <v>2.0</v>
      </c>
      <c r="I42" s="16">
        <v>70000.0</v>
      </c>
    </row>
    <row r="43" ht="15.75" customHeight="1">
      <c r="A43" s="17">
        <f t="shared" si="2"/>
        <v>42</v>
      </c>
      <c r="B43" s="36" t="s">
        <v>99</v>
      </c>
      <c r="C43" s="41" t="s">
        <v>119</v>
      </c>
      <c r="D43" s="20" t="s">
        <v>101</v>
      </c>
      <c r="E43" s="42" t="s">
        <v>102</v>
      </c>
      <c r="F43" s="20" t="s">
        <v>27</v>
      </c>
      <c r="G43" s="43" t="s">
        <v>120</v>
      </c>
      <c r="H43" s="15">
        <v>2.0</v>
      </c>
      <c r="I43" s="16">
        <v>100000.0</v>
      </c>
    </row>
    <row r="44" ht="15.75" customHeight="1">
      <c r="A44" s="17">
        <f t="shared" si="2"/>
        <v>43</v>
      </c>
      <c r="B44" s="36" t="s">
        <v>99</v>
      </c>
      <c r="C44" s="41" t="s">
        <v>121</v>
      </c>
      <c r="D44" s="20" t="s">
        <v>101</v>
      </c>
      <c r="E44" s="42" t="s">
        <v>102</v>
      </c>
      <c r="F44" s="20" t="s">
        <v>27</v>
      </c>
      <c r="G44" s="43" t="s">
        <v>122</v>
      </c>
      <c r="H44" s="15">
        <v>2.0</v>
      </c>
      <c r="I44" s="16">
        <v>70000.0</v>
      </c>
    </row>
    <row r="45" ht="15.75" customHeight="1">
      <c r="A45" s="17">
        <f t="shared" si="2"/>
        <v>44</v>
      </c>
      <c r="B45" s="44" t="s">
        <v>123</v>
      </c>
      <c r="C45" s="45" t="s">
        <v>124</v>
      </c>
      <c r="D45" s="20" t="s">
        <v>125</v>
      </c>
      <c r="E45" s="46" t="s">
        <v>102</v>
      </c>
      <c r="F45" s="20" t="s">
        <v>27</v>
      </c>
      <c r="G45" s="21" t="s">
        <v>126</v>
      </c>
      <c r="H45" s="15">
        <v>2.0</v>
      </c>
      <c r="I45" s="16">
        <v>130000.0</v>
      </c>
    </row>
    <row r="46" ht="15.75" customHeight="1">
      <c r="A46" s="17">
        <f t="shared" si="2"/>
        <v>45</v>
      </c>
      <c r="B46" s="44" t="s">
        <v>123</v>
      </c>
      <c r="C46" s="47" t="s">
        <v>127</v>
      </c>
      <c r="D46" s="20" t="s">
        <v>125</v>
      </c>
      <c r="E46" s="39" t="s">
        <v>102</v>
      </c>
      <c r="F46" s="20" t="s">
        <v>30</v>
      </c>
      <c r="G46" s="23" t="s">
        <v>128</v>
      </c>
      <c r="H46" s="15">
        <v>1.0</v>
      </c>
      <c r="I46" s="16">
        <v>80000.0</v>
      </c>
    </row>
    <row r="47" ht="15.75" customHeight="1">
      <c r="A47" s="17">
        <f t="shared" si="2"/>
        <v>46</v>
      </c>
      <c r="B47" s="44" t="s">
        <v>123</v>
      </c>
      <c r="C47" s="47" t="s">
        <v>129</v>
      </c>
      <c r="D47" s="20" t="s">
        <v>125</v>
      </c>
      <c r="E47" s="42" t="s">
        <v>102</v>
      </c>
      <c r="F47" s="20" t="s">
        <v>30</v>
      </c>
      <c r="G47" s="21" t="s">
        <v>130</v>
      </c>
      <c r="H47" s="15">
        <v>1.0</v>
      </c>
      <c r="I47" s="16">
        <v>80000.0</v>
      </c>
    </row>
    <row r="48" ht="15.75" customHeight="1">
      <c r="A48" s="17">
        <f t="shared" si="2"/>
        <v>47</v>
      </c>
      <c r="B48" s="44" t="s">
        <v>123</v>
      </c>
      <c r="C48" s="47" t="s">
        <v>131</v>
      </c>
      <c r="D48" s="20" t="s">
        <v>125</v>
      </c>
      <c r="E48" s="42" t="s">
        <v>102</v>
      </c>
      <c r="F48" s="20" t="s">
        <v>27</v>
      </c>
      <c r="G48" s="21" t="s">
        <v>132</v>
      </c>
      <c r="H48" s="15">
        <v>2.0</v>
      </c>
      <c r="I48" s="16">
        <v>130000.0</v>
      </c>
    </row>
    <row r="49" ht="15.75" customHeight="1">
      <c r="A49" s="17">
        <f t="shared" si="2"/>
        <v>48</v>
      </c>
      <c r="B49" s="44" t="s">
        <v>123</v>
      </c>
      <c r="C49" s="47" t="s">
        <v>133</v>
      </c>
      <c r="D49" s="20" t="s">
        <v>125</v>
      </c>
      <c r="E49" s="42" t="s">
        <v>102</v>
      </c>
      <c r="F49" s="20" t="s">
        <v>27</v>
      </c>
      <c r="G49" s="48" t="s">
        <v>134</v>
      </c>
      <c r="H49" s="15">
        <v>2.0</v>
      </c>
      <c r="I49" s="16">
        <v>130000.0</v>
      </c>
    </row>
    <row r="50" ht="15.75" customHeight="1">
      <c r="A50" s="17">
        <f t="shared" si="2"/>
        <v>49</v>
      </c>
      <c r="B50" s="44" t="s">
        <v>123</v>
      </c>
      <c r="C50" s="47" t="s">
        <v>135</v>
      </c>
      <c r="D50" s="20" t="s">
        <v>136</v>
      </c>
      <c r="E50" s="42" t="s">
        <v>102</v>
      </c>
      <c r="F50" s="20" t="s">
        <v>27</v>
      </c>
      <c r="G50" s="48" t="s">
        <v>137</v>
      </c>
      <c r="H50" s="15">
        <v>2.0</v>
      </c>
      <c r="I50" s="16">
        <v>100000.0</v>
      </c>
    </row>
    <row r="51" ht="15.75" customHeight="1">
      <c r="A51" s="17">
        <f t="shared" si="2"/>
        <v>50</v>
      </c>
      <c r="B51" s="44" t="s">
        <v>123</v>
      </c>
      <c r="C51" s="47" t="s">
        <v>138</v>
      </c>
      <c r="D51" s="20" t="s">
        <v>136</v>
      </c>
      <c r="E51" s="42" t="s">
        <v>102</v>
      </c>
      <c r="F51" s="20" t="s">
        <v>27</v>
      </c>
      <c r="G51" s="49" t="s">
        <v>139</v>
      </c>
      <c r="H51" s="15">
        <v>2.0</v>
      </c>
      <c r="I51" s="16">
        <v>110000.0</v>
      </c>
    </row>
    <row r="52" ht="15.75" customHeight="1">
      <c r="A52" s="17">
        <f t="shared" si="2"/>
        <v>51</v>
      </c>
      <c r="B52" s="44" t="s">
        <v>123</v>
      </c>
      <c r="C52" s="47" t="s">
        <v>140</v>
      </c>
      <c r="D52" s="20" t="s">
        <v>141</v>
      </c>
      <c r="E52" s="42" t="s">
        <v>102</v>
      </c>
      <c r="F52" s="20" t="s">
        <v>30</v>
      </c>
      <c r="G52" s="48" t="s">
        <v>142</v>
      </c>
      <c r="H52" s="15">
        <v>1.0</v>
      </c>
      <c r="I52" s="16">
        <v>70000.0</v>
      </c>
    </row>
    <row r="53" ht="15.75" customHeight="1">
      <c r="A53" s="17">
        <f t="shared" si="2"/>
        <v>52</v>
      </c>
      <c r="B53" s="44" t="s">
        <v>123</v>
      </c>
      <c r="C53" s="50" t="s">
        <v>143</v>
      </c>
      <c r="D53" s="20" t="s">
        <v>141</v>
      </c>
      <c r="E53" s="42" t="s">
        <v>102</v>
      </c>
      <c r="F53" s="38" t="s">
        <v>27</v>
      </c>
      <c r="G53" s="51"/>
      <c r="H53" s="15">
        <v>2.0</v>
      </c>
      <c r="I53" s="16">
        <v>110000.0</v>
      </c>
    </row>
    <row r="54" ht="15.75" customHeight="1">
      <c r="A54" s="17">
        <f t="shared" si="2"/>
        <v>53</v>
      </c>
      <c r="B54" s="44" t="s">
        <v>123</v>
      </c>
      <c r="C54" s="52" t="s">
        <v>144</v>
      </c>
      <c r="D54" s="20" t="s">
        <v>141</v>
      </c>
      <c r="E54" s="42" t="s">
        <v>102</v>
      </c>
      <c r="F54" s="38" t="s">
        <v>33</v>
      </c>
      <c r="G54" s="53" t="s">
        <v>145</v>
      </c>
      <c r="H54" s="15">
        <v>3.0</v>
      </c>
      <c r="I54" s="16">
        <v>110000.0</v>
      </c>
    </row>
    <row r="55" ht="15.75" customHeight="1">
      <c r="A55" s="17">
        <f t="shared" si="2"/>
        <v>54</v>
      </c>
      <c r="B55" s="44" t="s">
        <v>146</v>
      </c>
      <c r="C55" s="54" t="s">
        <v>147</v>
      </c>
      <c r="D55" s="55"/>
      <c r="E55" s="55" t="s">
        <v>148</v>
      </c>
      <c r="F55" s="13" t="s">
        <v>27</v>
      </c>
      <c r="G55" s="21" t="s">
        <v>149</v>
      </c>
      <c r="H55" s="15">
        <v>2.0</v>
      </c>
      <c r="I55" s="16">
        <v>150000.0</v>
      </c>
    </row>
    <row r="56" ht="15.75" customHeight="1">
      <c r="A56" s="17">
        <f t="shared" si="2"/>
        <v>55</v>
      </c>
      <c r="B56" s="44" t="s">
        <v>146</v>
      </c>
      <c r="C56" s="52" t="s">
        <v>150</v>
      </c>
      <c r="D56" s="56"/>
      <c r="E56" s="56" t="s">
        <v>148</v>
      </c>
      <c r="F56" s="20" t="s">
        <v>27</v>
      </c>
      <c r="G56" s="21" t="s">
        <v>151</v>
      </c>
      <c r="H56" s="15">
        <v>2.0</v>
      </c>
      <c r="I56" s="16">
        <v>110000.0</v>
      </c>
    </row>
    <row r="57" ht="15.75" customHeight="1">
      <c r="A57" s="17">
        <f t="shared" si="2"/>
        <v>56</v>
      </c>
      <c r="B57" s="44" t="s">
        <v>146</v>
      </c>
      <c r="C57" s="47" t="s">
        <v>152</v>
      </c>
      <c r="D57" s="56"/>
      <c r="E57" s="56" t="s">
        <v>148</v>
      </c>
      <c r="F57" s="20" t="s">
        <v>30</v>
      </c>
      <c r="G57" s="21" t="s">
        <v>153</v>
      </c>
      <c r="H57" s="15">
        <v>1.0</v>
      </c>
      <c r="I57" s="16">
        <v>130000.0</v>
      </c>
    </row>
    <row r="58" ht="15.75" customHeight="1">
      <c r="A58" s="17">
        <f t="shared" si="2"/>
        <v>57</v>
      </c>
      <c r="B58" s="44" t="s">
        <v>146</v>
      </c>
      <c r="C58" s="47" t="s">
        <v>154</v>
      </c>
      <c r="D58" s="56"/>
      <c r="E58" s="56" t="s">
        <v>148</v>
      </c>
      <c r="F58" s="20" t="s">
        <v>30</v>
      </c>
      <c r="G58" s="21" t="s">
        <v>155</v>
      </c>
      <c r="H58" s="15">
        <v>1.0</v>
      </c>
      <c r="I58" s="16">
        <v>130000.0</v>
      </c>
    </row>
    <row r="59" ht="15.75" customHeight="1">
      <c r="A59" s="17">
        <f t="shared" si="2"/>
        <v>58</v>
      </c>
      <c r="B59" s="57" t="s">
        <v>146</v>
      </c>
      <c r="C59" s="58" t="s">
        <v>156</v>
      </c>
      <c r="D59" s="59"/>
      <c r="E59" s="59" t="s">
        <v>148</v>
      </c>
      <c r="F59" s="60" t="s">
        <v>30</v>
      </c>
      <c r="G59" s="61"/>
      <c r="H59" s="15">
        <v>1.0</v>
      </c>
      <c r="I59" s="16">
        <v>130000.0</v>
      </c>
    </row>
    <row r="60" ht="15.75" customHeight="1">
      <c r="A60" s="17">
        <f t="shared" si="2"/>
        <v>59</v>
      </c>
      <c r="B60" s="44" t="s">
        <v>123</v>
      </c>
      <c r="C60" s="62" t="s">
        <v>157</v>
      </c>
      <c r="D60" s="9" t="s">
        <v>158</v>
      </c>
      <c r="E60" s="13" t="s">
        <v>159</v>
      </c>
      <c r="F60" s="9" t="s">
        <v>27</v>
      </c>
      <c r="G60" s="63" t="s">
        <v>160</v>
      </c>
      <c r="H60" s="15">
        <v>2.0</v>
      </c>
      <c r="I60" s="16">
        <v>170000.0</v>
      </c>
    </row>
    <row r="61" ht="15.75" customHeight="1">
      <c r="A61" s="17">
        <f t="shared" si="2"/>
        <v>60</v>
      </c>
      <c r="B61" s="44" t="s">
        <v>123</v>
      </c>
      <c r="C61" s="64" t="s">
        <v>161</v>
      </c>
      <c r="D61" s="15" t="s">
        <v>158</v>
      </c>
      <c r="E61" s="20" t="s">
        <v>159</v>
      </c>
      <c r="F61" s="15" t="s">
        <v>30</v>
      </c>
      <c r="G61" s="65" t="s">
        <v>162</v>
      </c>
      <c r="H61" s="15">
        <v>1.0</v>
      </c>
      <c r="I61" s="16">
        <v>60000.0</v>
      </c>
    </row>
    <row r="62" ht="15.75" customHeight="1">
      <c r="A62" s="17">
        <f t="shared" si="2"/>
        <v>61</v>
      </c>
      <c r="B62" s="44" t="s">
        <v>123</v>
      </c>
      <c r="C62" s="66" t="s">
        <v>163</v>
      </c>
      <c r="D62" s="67" t="s">
        <v>164</v>
      </c>
      <c r="E62" s="60" t="s">
        <v>159</v>
      </c>
      <c r="F62" s="67" t="s">
        <v>30</v>
      </c>
      <c r="G62" s="68"/>
      <c r="H62" s="15">
        <v>1.0</v>
      </c>
      <c r="I62" s="16">
        <v>60000.0</v>
      </c>
    </row>
    <row r="63" ht="15.75" customHeight="1">
      <c r="A63" s="17">
        <f t="shared" si="2"/>
        <v>62</v>
      </c>
      <c r="B63" s="69" t="s">
        <v>146</v>
      </c>
      <c r="C63" s="54" t="s">
        <v>165</v>
      </c>
      <c r="D63" s="13" t="s">
        <v>166</v>
      </c>
      <c r="E63" s="13" t="s">
        <v>167</v>
      </c>
      <c r="F63" s="13" t="s">
        <v>30</v>
      </c>
      <c r="G63" s="14" t="s">
        <v>168</v>
      </c>
      <c r="H63" s="15">
        <v>1.0</v>
      </c>
      <c r="I63" s="16">
        <v>80000.0</v>
      </c>
    </row>
    <row r="64" ht="15.75" customHeight="1">
      <c r="A64" s="17">
        <f t="shared" si="2"/>
        <v>63</v>
      </c>
      <c r="B64" s="44" t="s">
        <v>146</v>
      </c>
      <c r="C64" s="47" t="s">
        <v>169</v>
      </c>
      <c r="D64" s="20" t="s">
        <v>166</v>
      </c>
      <c r="E64" s="20" t="s">
        <v>167</v>
      </c>
      <c r="F64" s="20" t="s">
        <v>30</v>
      </c>
      <c r="G64" s="21" t="s">
        <v>170</v>
      </c>
      <c r="H64" s="15">
        <v>1.0</v>
      </c>
      <c r="I64" s="16">
        <v>80000.0</v>
      </c>
    </row>
    <row r="65" ht="15.75" customHeight="1">
      <c r="A65" s="17">
        <f t="shared" si="2"/>
        <v>64</v>
      </c>
      <c r="B65" s="44" t="s">
        <v>146</v>
      </c>
      <c r="C65" s="47" t="s">
        <v>171</v>
      </c>
      <c r="D65" s="20" t="s">
        <v>166</v>
      </c>
      <c r="E65" s="20" t="s">
        <v>167</v>
      </c>
      <c r="F65" s="20" t="s">
        <v>27</v>
      </c>
      <c r="G65" s="70" t="s">
        <v>172</v>
      </c>
      <c r="H65" s="15">
        <v>2.0</v>
      </c>
      <c r="I65" s="16">
        <v>120000.0</v>
      </c>
    </row>
    <row r="66" ht="15.75" customHeight="1">
      <c r="A66" s="17">
        <f t="shared" si="2"/>
        <v>65</v>
      </c>
      <c r="B66" s="44" t="s">
        <v>146</v>
      </c>
      <c r="C66" s="47" t="s">
        <v>173</v>
      </c>
      <c r="D66" s="20" t="s">
        <v>166</v>
      </c>
      <c r="E66" s="20" t="s">
        <v>167</v>
      </c>
      <c r="F66" s="20" t="s">
        <v>27</v>
      </c>
      <c r="G66" s="70" t="s">
        <v>174</v>
      </c>
      <c r="H66" s="15">
        <v>2.0</v>
      </c>
      <c r="I66" s="16">
        <v>120000.0</v>
      </c>
    </row>
    <row r="67" ht="15.75" customHeight="1">
      <c r="A67" s="17">
        <f t="shared" si="2"/>
        <v>66</v>
      </c>
      <c r="B67" s="57" t="s">
        <v>146</v>
      </c>
      <c r="C67" s="71" t="s">
        <v>175</v>
      </c>
      <c r="D67" s="30" t="s">
        <v>166</v>
      </c>
      <c r="E67" s="30" t="s">
        <v>167</v>
      </c>
      <c r="F67" s="60" t="s">
        <v>30</v>
      </c>
      <c r="G67" s="72" t="s">
        <v>176</v>
      </c>
      <c r="H67" s="15">
        <v>1.0</v>
      </c>
      <c r="I67" s="16">
        <v>80000.0</v>
      </c>
    </row>
    <row r="68" ht="15.75" customHeight="1">
      <c r="A68" s="17">
        <f t="shared" si="2"/>
        <v>67</v>
      </c>
      <c r="B68" s="11" t="s">
        <v>177</v>
      </c>
      <c r="C68" s="73" t="s">
        <v>178</v>
      </c>
      <c r="D68" s="74" t="s">
        <v>179</v>
      </c>
      <c r="E68" s="74" t="s">
        <v>180</v>
      </c>
      <c r="F68" s="74" t="s">
        <v>30</v>
      </c>
      <c r="G68" s="75"/>
      <c r="H68" s="15">
        <v>1.0</v>
      </c>
      <c r="I68" s="16">
        <v>80000.0</v>
      </c>
    </row>
    <row r="69" ht="15.75" customHeight="1">
      <c r="A69" s="17">
        <f t="shared" si="2"/>
        <v>68</v>
      </c>
      <c r="B69" s="18" t="s">
        <v>177</v>
      </c>
      <c r="C69" s="76" t="s">
        <v>181</v>
      </c>
      <c r="D69" s="77" t="s">
        <v>179</v>
      </c>
      <c r="E69" s="77" t="s">
        <v>180</v>
      </c>
      <c r="F69" s="77" t="s">
        <v>33</v>
      </c>
      <c r="G69" s="78" t="s">
        <v>182</v>
      </c>
      <c r="H69" s="15">
        <v>3.0</v>
      </c>
      <c r="I69" s="16">
        <v>120000.0</v>
      </c>
    </row>
    <row r="70" ht="15.75" customHeight="1">
      <c r="A70" s="17">
        <f t="shared" si="2"/>
        <v>69</v>
      </c>
      <c r="B70" s="79" t="s">
        <v>146</v>
      </c>
      <c r="C70" s="76" t="s">
        <v>183</v>
      </c>
      <c r="D70" s="77" t="s">
        <v>184</v>
      </c>
      <c r="E70" s="77" t="s">
        <v>180</v>
      </c>
      <c r="F70" s="77" t="s">
        <v>185</v>
      </c>
      <c r="G70" s="80"/>
      <c r="H70" s="15">
        <v>4.0</v>
      </c>
      <c r="I70" s="16">
        <v>250000.0</v>
      </c>
    </row>
    <row r="71" ht="15.75" customHeight="1">
      <c r="A71" s="17">
        <f t="shared" si="2"/>
        <v>70</v>
      </c>
      <c r="B71" s="79" t="s">
        <v>146</v>
      </c>
      <c r="C71" s="76" t="s">
        <v>186</v>
      </c>
      <c r="D71" s="77" t="s">
        <v>184</v>
      </c>
      <c r="E71" s="77" t="s">
        <v>180</v>
      </c>
      <c r="F71" s="77" t="s">
        <v>185</v>
      </c>
      <c r="G71" s="80" t="s">
        <v>187</v>
      </c>
      <c r="H71" s="15">
        <v>4.0</v>
      </c>
      <c r="I71" s="16">
        <v>250000.0</v>
      </c>
    </row>
    <row r="72" ht="15.75" customHeight="1">
      <c r="A72" s="17">
        <f t="shared" si="2"/>
        <v>71</v>
      </c>
      <c r="B72" s="79" t="s">
        <v>146</v>
      </c>
      <c r="C72" s="76" t="s">
        <v>188</v>
      </c>
      <c r="D72" s="77" t="s">
        <v>184</v>
      </c>
      <c r="E72" s="77" t="s">
        <v>180</v>
      </c>
      <c r="F72" s="77" t="s">
        <v>185</v>
      </c>
      <c r="G72" s="80"/>
      <c r="H72" s="15">
        <v>4.0</v>
      </c>
      <c r="I72" s="16">
        <v>250000.0</v>
      </c>
    </row>
    <row r="73" ht="15.75" customHeight="1">
      <c r="A73" s="17">
        <f t="shared" si="2"/>
        <v>72</v>
      </c>
      <c r="B73" s="79" t="s">
        <v>146</v>
      </c>
      <c r="C73" s="76" t="s">
        <v>189</v>
      </c>
      <c r="D73" s="77" t="s">
        <v>184</v>
      </c>
      <c r="E73" s="77"/>
      <c r="F73" s="77" t="s">
        <v>185</v>
      </c>
      <c r="G73" s="80" t="s">
        <v>190</v>
      </c>
      <c r="H73" s="15">
        <v>3.0</v>
      </c>
      <c r="I73" s="16"/>
    </row>
    <row r="74" ht="15.75" customHeight="1">
      <c r="A74" s="17">
        <f t="shared" si="2"/>
        <v>73</v>
      </c>
      <c r="B74" s="79" t="s">
        <v>146</v>
      </c>
      <c r="C74" s="81" t="s">
        <v>191</v>
      </c>
      <c r="D74" s="82" t="s">
        <v>141</v>
      </c>
      <c r="E74" s="82" t="s">
        <v>102</v>
      </c>
      <c r="F74" s="82" t="s">
        <v>30</v>
      </c>
      <c r="G74" s="83"/>
      <c r="H74" s="15">
        <v>1.0</v>
      </c>
      <c r="I74" s="16"/>
    </row>
    <row r="75" ht="15.75" customHeight="1">
      <c r="A75" s="17">
        <f t="shared" si="2"/>
        <v>74</v>
      </c>
      <c r="B75" s="84"/>
      <c r="C75" s="85" t="s">
        <v>192</v>
      </c>
      <c r="D75" s="86" t="s">
        <v>193</v>
      </c>
      <c r="E75" s="86"/>
      <c r="F75" s="38" t="s">
        <v>30</v>
      </c>
      <c r="G75" s="40" t="s">
        <v>194</v>
      </c>
      <c r="H75" s="15">
        <v>1.0</v>
      </c>
      <c r="I75" s="16">
        <v>80000.0</v>
      </c>
    </row>
    <row r="76" ht="15.75" customHeight="1">
      <c r="A76" s="17">
        <f t="shared" si="2"/>
        <v>75</v>
      </c>
      <c r="B76" s="18"/>
      <c r="C76" s="87" t="s">
        <v>195</v>
      </c>
      <c r="D76" s="77" t="s">
        <v>193</v>
      </c>
      <c r="E76" s="77"/>
      <c r="F76" s="20" t="s">
        <v>27</v>
      </c>
      <c r="G76" s="21" t="s">
        <v>196</v>
      </c>
      <c r="H76" s="15">
        <v>2.0</v>
      </c>
      <c r="I76" s="16">
        <v>160000.0</v>
      </c>
    </row>
    <row r="77" ht="15.75" customHeight="1">
      <c r="A77" s="17">
        <f t="shared" si="2"/>
        <v>76</v>
      </c>
      <c r="B77" s="18"/>
      <c r="C77" s="87" t="s">
        <v>197</v>
      </c>
      <c r="D77" s="77" t="s">
        <v>193</v>
      </c>
      <c r="E77" s="77"/>
      <c r="F77" s="20" t="s">
        <v>27</v>
      </c>
      <c r="G77" s="21" t="s">
        <v>198</v>
      </c>
      <c r="H77" s="15">
        <v>2.0</v>
      </c>
      <c r="I77" s="16">
        <v>160000.0</v>
      </c>
    </row>
    <row r="78" ht="15.75" customHeight="1">
      <c r="A78" s="17">
        <f t="shared" si="2"/>
        <v>77</v>
      </c>
      <c r="B78" s="18"/>
      <c r="C78" s="87" t="s">
        <v>199</v>
      </c>
      <c r="D78" s="77" t="s">
        <v>193</v>
      </c>
      <c r="E78" s="77"/>
      <c r="F78" s="20" t="s">
        <v>27</v>
      </c>
      <c r="G78" s="21" t="s">
        <v>200</v>
      </c>
      <c r="H78" s="15">
        <v>2.0</v>
      </c>
      <c r="I78" s="16">
        <v>160000.0</v>
      </c>
    </row>
    <row r="79" ht="15.75" customHeight="1">
      <c r="A79" s="17">
        <f t="shared" si="2"/>
        <v>78</v>
      </c>
      <c r="B79" s="18"/>
      <c r="C79" s="87" t="s">
        <v>201</v>
      </c>
      <c r="D79" s="77" t="s">
        <v>193</v>
      </c>
      <c r="E79" s="77"/>
      <c r="F79" s="20" t="s">
        <v>30</v>
      </c>
      <c r="G79" s="21" t="s">
        <v>202</v>
      </c>
      <c r="H79" s="15">
        <v>1.0</v>
      </c>
      <c r="I79" s="16">
        <v>80000.0</v>
      </c>
    </row>
    <row r="80" ht="15.75" customHeight="1">
      <c r="A80" s="17">
        <f t="shared" si="2"/>
        <v>79</v>
      </c>
      <c r="B80" s="18"/>
      <c r="C80" s="87" t="s">
        <v>203</v>
      </c>
      <c r="D80" s="77" t="s">
        <v>193</v>
      </c>
      <c r="E80" s="77"/>
      <c r="F80" s="20" t="s">
        <v>46</v>
      </c>
      <c r="G80" s="21" t="s">
        <v>204</v>
      </c>
      <c r="H80" s="15">
        <v>1.0</v>
      </c>
      <c r="I80" s="16">
        <v>80000.0</v>
      </c>
    </row>
    <row r="81" ht="15.75" customHeight="1">
      <c r="A81" s="17">
        <f t="shared" si="2"/>
        <v>80</v>
      </c>
      <c r="B81" s="18"/>
      <c r="C81" s="87" t="s">
        <v>205</v>
      </c>
      <c r="D81" s="77" t="s">
        <v>193</v>
      </c>
      <c r="E81" s="77"/>
      <c r="F81" s="20" t="s">
        <v>30</v>
      </c>
      <c r="G81" s="21" t="s">
        <v>206</v>
      </c>
      <c r="H81" s="15">
        <v>1.0</v>
      </c>
      <c r="I81" s="16">
        <v>80000.0</v>
      </c>
    </row>
    <row r="82" ht="15.75" customHeight="1">
      <c r="A82" s="17">
        <f t="shared" si="2"/>
        <v>81</v>
      </c>
      <c r="B82" s="18"/>
      <c r="C82" s="87" t="s">
        <v>207</v>
      </c>
      <c r="D82" s="77" t="s">
        <v>193</v>
      </c>
      <c r="E82" s="77"/>
      <c r="F82" s="20" t="s">
        <v>30</v>
      </c>
      <c r="G82" s="21" t="s">
        <v>208</v>
      </c>
      <c r="H82" s="15">
        <v>1.0</v>
      </c>
      <c r="I82" s="16">
        <v>80000.0</v>
      </c>
    </row>
    <row r="83" ht="15.75" customHeight="1">
      <c r="A83" s="17">
        <f t="shared" si="2"/>
        <v>82</v>
      </c>
      <c r="B83" s="18"/>
      <c r="C83" s="87" t="s">
        <v>209</v>
      </c>
      <c r="D83" s="77" t="s">
        <v>193</v>
      </c>
      <c r="E83" s="77"/>
      <c r="F83" s="20" t="s">
        <v>27</v>
      </c>
      <c r="G83" s="21" t="s">
        <v>210</v>
      </c>
      <c r="H83" s="15">
        <v>2.0</v>
      </c>
      <c r="I83" s="16">
        <v>160000.0</v>
      </c>
    </row>
    <row r="84" ht="15.75" customHeight="1">
      <c r="A84" s="17">
        <f t="shared" si="2"/>
        <v>83</v>
      </c>
      <c r="B84" s="18"/>
      <c r="C84" s="87" t="s">
        <v>211</v>
      </c>
      <c r="D84" s="77" t="s">
        <v>193</v>
      </c>
      <c r="E84" s="77"/>
      <c r="F84" s="20" t="s">
        <v>46</v>
      </c>
      <c r="G84" s="21" t="s">
        <v>212</v>
      </c>
      <c r="H84" s="15">
        <v>1.0</v>
      </c>
      <c r="I84" s="16">
        <v>80000.0</v>
      </c>
    </row>
    <row r="85" ht="15.75" customHeight="1">
      <c r="A85" s="17">
        <f t="shared" si="2"/>
        <v>84</v>
      </c>
      <c r="B85" s="18"/>
      <c r="C85" s="88" t="s">
        <v>213</v>
      </c>
      <c r="D85" s="77" t="s">
        <v>193</v>
      </c>
      <c r="E85" s="77"/>
      <c r="F85" s="20" t="s">
        <v>30</v>
      </c>
      <c r="G85" s="89"/>
      <c r="H85" s="15">
        <v>1.0</v>
      </c>
      <c r="I85" s="16">
        <v>80000.0</v>
      </c>
    </row>
    <row r="86" ht="15.75" customHeight="1">
      <c r="A86" s="17">
        <f t="shared" si="2"/>
        <v>85</v>
      </c>
      <c r="B86" s="18"/>
      <c r="C86" s="87" t="s">
        <v>214</v>
      </c>
      <c r="D86" s="77" t="s">
        <v>193</v>
      </c>
      <c r="E86" s="77"/>
      <c r="F86" s="20" t="s">
        <v>30</v>
      </c>
      <c r="G86" s="90" t="s">
        <v>215</v>
      </c>
      <c r="H86" s="15">
        <v>1.0</v>
      </c>
      <c r="I86" s="16">
        <v>80000.0</v>
      </c>
    </row>
    <row r="87" ht="15.75" customHeight="1">
      <c r="A87" s="17">
        <f t="shared" si="2"/>
        <v>86</v>
      </c>
      <c r="B87" s="18"/>
      <c r="C87" s="87" t="s">
        <v>216</v>
      </c>
      <c r="D87" s="77" t="s">
        <v>193</v>
      </c>
      <c r="E87" s="77"/>
      <c r="F87" s="20" t="s">
        <v>30</v>
      </c>
      <c r="G87" s="90" t="s">
        <v>217</v>
      </c>
      <c r="H87" s="15">
        <v>1.0</v>
      </c>
      <c r="I87" s="16">
        <v>80000.0</v>
      </c>
    </row>
    <row r="88" ht="15.75" customHeight="1">
      <c r="A88" s="17">
        <f t="shared" si="2"/>
        <v>87</v>
      </c>
      <c r="B88" s="18"/>
      <c r="C88" s="87" t="s">
        <v>218</v>
      </c>
      <c r="D88" s="77" t="s">
        <v>193</v>
      </c>
      <c r="E88" s="77"/>
      <c r="F88" s="20" t="s">
        <v>27</v>
      </c>
      <c r="G88" s="90" t="s">
        <v>219</v>
      </c>
      <c r="H88" s="15">
        <v>2.0</v>
      </c>
      <c r="I88" s="16">
        <v>160000.0</v>
      </c>
    </row>
    <row r="89" ht="15.75" customHeight="1">
      <c r="A89" s="17">
        <f t="shared" si="2"/>
        <v>88</v>
      </c>
      <c r="B89" s="18"/>
      <c r="C89" s="87" t="s">
        <v>220</v>
      </c>
      <c r="D89" s="77" t="s">
        <v>193</v>
      </c>
      <c r="E89" s="77"/>
      <c r="F89" s="20" t="s">
        <v>221</v>
      </c>
      <c r="G89" s="21" t="s">
        <v>222</v>
      </c>
      <c r="H89" s="15">
        <v>3.0</v>
      </c>
      <c r="I89" s="16">
        <v>250000.0</v>
      </c>
    </row>
    <row r="90" ht="15.75" customHeight="1">
      <c r="A90" s="17">
        <f t="shared" si="2"/>
        <v>89</v>
      </c>
      <c r="B90" s="18"/>
      <c r="C90" s="87" t="s">
        <v>223</v>
      </c>
      <c r="D90" s="77" t="s">
        <v>193</v>
      </c>
      <c r="E90" s="77"/>
      <c r="F90" s="20" t="s">
        <v>224</v>
      </c>
      <c r="G90" s="21" t="s">
        <v>225</v>
      </c>
      <c r="H90" s="15">
        <v>1.0</v>
      </c>
      <c r="I90" s="16">
        <v>140000.0</v>
      </c>
    </row>
    <row r="91" ht="15.75" customHeight="1">
      <c r="A91" s="17">
        <f t="shared" si="2"/>
        <v>90</v>
      </c>
      <c r="B91" s="18"/>
      <c r="C91" s="87" t="s">
        <v>226</v>
      </c>
      <c r="D91" s="77" t="s">
        <v>193</v>
      </c>
      <c r="E91" s="77"/>
      <c r="F91" s="20" t="s">
        <v>224</v>
      </c>
      <c r="G91" s="89"/>
      <c r="H91" s="15">
        <v>1.0</v>
      </c>
      <c r="I91" s="16">
        <v>140000.0</v>
      </c>
    </row>
    <row r="92" ht="15.75" customHeight="1">
      <c r="A92" s="17">
        <f t="shared" si="2"/>
        <v>91</v>
      </c>
      <c r="B92" s="18"/>
      <c r="C92" s="87" t="s">
        <v>227</v>
      </c>
      <c r="D92" s="77" t="s">
        <v>193</v>
      </c>
      <c r="E92" s="77"/>
      <c r="F92" s="20" t="s">
        <v>224</v>
      </c>
      <c r="G92" s="21" t="s">
        <v>228</v>
      </c>
      <c r="H92" s="15">
        <v>1.0</v>
      </c>
      <c r="I92" s="16">
        <v>140000.0</v>
      </c>
    </row>
    <row r="93" ht="15.75" customHeight="1">
      <c r="A93" s="17">
        <f t="shared" si="2"/>
        <v>92</v>
      </c>
      <c r="B93" s="18"/>
      <c r="C93" s="87" t="s">
        <v>229</v>
      </c>
      <c r="D93" s="77" t="s">
        <v>193</v>
      </c>
      <c r="E93" s="77"/>
      <c r="F93" s="20" t="s">
        <v>27</v>
      </c>
      <c r="G93" s="21" t="s">
        <v>230</v>
      </c>
      <c r="H93" s="15">
        <v>2.0</v>
      </c>
      <c r="I93" s="16">
        <v>160000.0</v>
      </c>
    </row>
    <row r="94" ht="15.75" customHeight="1">
      <c r="A94" s="17">
        <f t="shared" si="2"/>
        <v>93</v>
      </c>
      <c r="B94" s="18"/>
      <c r="C94" s="87" t="s">
        <v>231</v>
      </c>
      <c r="D94" s="77" t="s">
        <v>193</v>
      </c>
      <c r="E94" s="77"/>
      <c r="F94" s="20" t="s">
        <v>27</v>
      </c>
      <c r="G94" s="89"/>
      <c r="H94" s="15">
        <v>2.0</v>
      </c>
      <c r="I94" s="16">
        <v>160000.0</v>
      </c>
    </row>
    <row r="95" ht="15.75" customHeight="1">
      <c r="A95" s="17">
        <f t="shared" si="2"/>
        <v>94</v>
      </c>
      <c r="B95" s="18"/>
      <c r="C95" s="87" t="s">
        <v>232</v>
      </c>
      <c r="D95" s="77" t="s">
        <v>193</v>
      </c>
      <c r="E95" s="77"/>
      <c r="F95" s="20" t="s">
        <v>27</v>
      </c>
      <c r="G95" s="89"/>
      <c r="H95" s="15">
        <v>2.0</v>
      </c>
      <c r="I95" s="16">
        <v>160000.0</v>
      </c>
    </row>
    <row r="96" ht="15.75" customHeight="1">
      <c r="A96" s="17">
        <f t="shared" si="2"/>
        <v>95</v>
      </c>
      <c r="B96" s="18"/>
      <c r="C96" s="87" t="s">
        <v>233</v>
      </c>
      <c r="D96" s="77" t="s">
        <v>193</v>
      </c>
      <c r="E96" s="77"/>
      <c r="F96" s="20" t="s">
        <v>30</v>
      </c>
      <c r="G96" s="21" t="s">
        <v>234</v>
      </c>
      <c r="H96" s="15">
        <v>1.0</v>
      </c>
      <c r="I96" s="16">
        <v>160000.0</v>
      </c>
    </row>
    <row r="97" ht="15.75" customHeight="1">
      <c r="A97" s="17">
        <f t="shared" si="2"/>
        <v>96</v>
      </c>
      <c r="B97" s="18" t="s">
        <v>58</v>
      </c>
      <c r="C97" s="91" t="s">
        <v>235</v>
      </c>
      <c r="D97" s="77" t="s">
        <v>236</v>
      </c>
      <c r="E97" s="77"/>
      <c r="F97" s="20" t="s">
        <v>27</v>
      </c>
      <c r="G97" s="21" t="s">
        <v>237</v>
      </c>
      <c r="H97" s="15">
        <v>2.0</v>
      </c>
      <c r="I97" s="16">
        <v>90000.0</v>
      </c>
    </row>
    <row r="98" ht="15.75" customHeight="1">
      <c r="A98" s="17">
        <f t="shared" si="2"/>
        <v>97</v>
      </c>
      <c r="B98" s="18" t="s">
        <v>58</v>
      </c>
      <c r="C98" s="91" t="s">
        <v>238</v>
      </c>
      <c r="D98" s="77" t="s">
        <v>236</v>
      </c>
      <c r="E98" s="77"/>
      <c r="F98" s="20" t="s">
        <v>27</v>
      </c>
      <c r="G98" s="21" t="s">
        <v>239</v>
      </c>
      <c r="H98" s="15">
        <v>2.0</v>
      </c>
      <c r="I98" s="16">
        <v>90000.0</v>
      </c>
    </row>
    <row r="99" ht="15.75" customHeight="1">
      <c r="A99" s="17">
        <f t="shared" si="2"/>
        <v>98</v>
      </c>
      <c r="B99" s="18" t="s">
        <v>58</v>
      </c>
      <c r="C99" s="91" t="s">
        <v>240</v>
      </c>
      <c r="D99" s="77" t="s">
        <v>236</v>
      </c>
      <c r="E99" s="77"/>
      <c r="F99" s="20" t="s">
        <v>27</v>
      </c>
      <c r="G99" s="21" t="s">
        <v>241</v>
      </c>
      <c r="H99" s="15">
        <v>2.0</v>
      </c>
      <c r="I99" s="16">
        <v>90000.0</v>
      </c>
    </row>
    <row r="100" ht="15.75" customHeight="1">
      <c r="A100" s="17">
        <f t="shared" si="2"/>
        <v>99</v>
      </c>
      <c r="B100" s="18" t="s">
        <v>58</v>
      </c>
      <c r="C100" s="92" t="s">
        <v>242</v>
      </c>
      <c r="D100" s="77" t="s">
        <v>236</v>
      </c>
      <c r="E100" s="77"/>
      <c r="F100" s="20" t="s">
        <v>30</v>
      </c>
      <c r="G100" s="21" t="s">
        <v>243</v>
      </c>
      <c r="H100" s="15">
        <v>1.0</v>
      </c>
      <c r="I100" s="16">
        <v>60000.0</v>
      </c>
    </row>
    <row r="101" ht="15.75" customHeight="1">
      <c r="A101" s="17"/>
      <c r="B101" s="93"/>
      <c r="C101" s="93"/>
      <c r="D101" s="93"/>
      <c r="E101" s="93"/>
      <c r="F101" s="93"/>
      <c r="G101" s="94"/>
      <c r="H101" s="15"/>
      <c r="I101" s="16"/>
    </row>
    <row r="102" ht="15.75" customHeight="1">
      <c r="A102" s="17"/>
      <c r="B102" s="93"/>
      <c r="C102" s="93"/>
      <c r="D102" s="93"/>
      <c r="E102" s="93"/>
      <c r="F102" s="93"/>
      <c r="G102" s="94"/>
      <c r="H102" s="15"/>
      <c r="I102" s="16"/>
    </row>
    <row r="103" ht="15.75" customHeight="1">
      <c r="A103" s="17"/>
      <c r="B103" s="93"/>
      <c r="C103" s="93"/>
      <c r="D103" s="93"/>
      <c r="E103" s="93"/>
      <c r="F103" s="93"/>
      <c r="G103" s="94"/>
      <c r="H103" s="15"/>
      <c r="I103" s="16"/>
    </row>
    <row r="104" ht="15.75" customHeight="1">
      <c r="A104" s="17"/>
      <c r="B104" s="93"/>
      <c r="C104" s="93"/>
      <c r="D104" s="93"/>
      <c r="E104" s="93"/>
      <c r="F104" s="93"/>
      <c r="G104" s="94"/>
      <c r="H104" s="15"/>
      <c r="I104" s="16"/>
    </row>
    <row r="105" ht="15.75" customHeight="1">
      <c r="A105" s="17"/>
      <c r="B105" s="93"/>
      <c r="C105" s="93"/>
      <c r="D105" s="93"/>
      <c r="E105" s="93"/>
      <c r="F105" s="93"/>
      <c r="G105" s="94"/>
      <c r="H105" s="15"/>
      <c r="I105" s="16"/>
    </row>
    <row r="106" ht="15.75" customHeight="1">
      <c r="A106" s="17"/>
      <c r="B106" s="93"/>
      <c r="C106" s="93"/>
      <c r="D106" s="93"/>
      <c r="E106" s="93"/>
      <c r="F106" s="93"/>
      <c r="G106" s="94"/>
      <c r="H106" s="15"/>
      <c r="I106" s="16"/>
    </row>
    <row r="107" ht="15.75" customHeight="1">
      <c r="A107" s="17"/>
      <c r="B107" s="93"/>
      <c r="C107" s="93"/>
      <c r="D107" s="93"/>
      <c r="E107" s="93"/>
      <c r="F107" s="93"/>
      <c r="G107" s="94"/>
      <c r="H107" s="15"/>
      <c r="I107" s="16"/>
    </row>
    <row r="108" ht="15.75" customHeight="1">
      <c r="A108" s="17"/>
      <c r="B108" s="93"/>
      <c r="C108" s="93"/>
      <c r="D108" s="93"/>
      <c r="E108" s="93"/>
      <c r="F108" s="93"/>
      <c r="G108" s="94"/>
      <c r="H108" s="15"/>
      <c r="I108" s="16"/>
    </row>
    <row r="109" ht="15.75" customHeight="1">
      <c r="A109" s="7"/>
      <c r="B109" s="93"/>
      <c r="C109" s="93"/>
      <c r="D109" s="93"/>
      <c r="E109" s="93"/>
      <c r="F109" s="93"/>
      <c r="G109" s="94"/>
      <c r="H109" s="15"/>
      <c r="I109" s="16"/>
    </row>
    <row r="110" ht="15.75" customHeight="1">
      <c r="A110" s="7"/>
      <c r="B110" s="93"/>
      <c r="C110" s="93"/>
      <c r="D110" s="93"/>
      <c r="E110" s="93"/>
      <c r="F110" s="93"/>
      <c r="G110" s="94"/>
      <c r="H110" s="15"/>
      <c r="I110" s="16"/>
    </row>
    <row r="111" ht="15.75" customHeight="1">
      <c r="A111" s="7"/>
      <c r="B111" s="93"/>
      <c r="C111" s="93"/>
      <c r="D111" s="93"/>
      <c r="E111" s="93"/>
      <c r="F111" s="93"/>
      <c r="G111" s="94"/>
      <c r="H111" s="15"/>
      <c r="I111" s="16"/>
    </row>
    <row r="112" ht="15.75" customHeight="1">
      <c r="A112" s="7"/>
      <c r="B112" s="93"/>
      <c r="C112" s="93"/>
      <c r="D112" s="93"/>
      <c r="E112" s="93"/>
      <c r="F112" s="93"/>
      <c r="G112" s="94"/>
      <c r="H112" s="15"/>
      <c r="I112" s="16"/>
    </row>
    <row r="113" ht="15.75" customHeight="1">
      <c r="A113" s="7"/>
      <c r="B113" s="93"/>
      <c r="C113" s="93"/>
      <c r="D113" s="93"/>
      <c r="E113" s="93"/>
      <c r="F113" s="93"/>
      <c r="G113" s="94"/>
      <c r="H113" s="15"/>
      <c r="I113" s="16"/>
    </row>
    <row r="114" ht="15.75" customHeight="1">
      <c r="A114" s="7"/>
      <c r="B114" s="93"/>
      <c r="C114" s="93"/>
      <c r="D114" s="93"/>
      <c r="E114" s="93"/>
      <c r="F114" s="93"/>
      <c r="G114" s="94"/>
      <c r="H114" s="15"/>
      <c r="I114" s="16"/>
    </row>
    <row r="115" ht="15.75" customHeight="1">
      <c r="A115" s="7"/>
      <c r="B115" s="93"/>
      <c r="C115" s="93"/>
      <c r="D115" s="93"/>
      <c r="E115" s="93"/>
      <c r="F115" s="93"/>
      <c r="G115" s="94"/>
      <c r="H115" s="15"/>
      <c r="I115" s="16"/>
    </row>
    <row r="116" ht="15.75" customHeight="1">
      <c r="A116" s="7"/>
      <c r="B116" s="93"/>
      <c r="C116" s="93"/>
      <c r="D116" s="93"/>
      <c r="E116" s="93"/>
      <c r="F116" s="93"/>
      <c r="G116" s="94"/>
      <c r="H116" s="15"/>
      <c r="I116" s="16"/>
    </row>
    <row r="117" ht="15.75" customHeight="1">
      <c r="A117" s="7"/>
      <c r="B117" s="93"/>
      <c r="C117" s="93"/>
      <c r="D117" s="93"/>
      <c r="E117" s="93"/>
      <c r="F117" s="93"/>
      <c r="H117" s="15"/>
      <c r="I117" s="16"/>
    </row>
    <row r="118" ht="15.75" customHeight="1">
      <c r="A118" s="7"/>
      <c r="B118" s="93"/>
      <c r="C118" s="93"/>
      <c r="D118" s="93"/>
      <c r="E118" s="93"/>
      <c r="F118" s="93"/>
      <c r="G118" s="94"/>
      <c r="H118" s="15"/>
      <c r="I118" s="16"/>
    </row>
    <row r="119" ht="15.75" customHeight="1">
      <c r="A119" s="7"/>
      <c r="B119" s="93"/>
      <c r="C119" s="93"/>
      <c r="D119" s="93"/>
      <c r="E119" s="93"/>
      <c r="F119" s="93"/>
      <c r="G119" s="94"/>
      <c r="H119" s="15"/>
      <c r="I119" s="16"/>
    </row>
    <row r="120" ht="15.75" customHeight="1">
      <c r="A120" s="7"/>
      <c r="B120" s="93"/>
      <c r="C120" s="93"/>
      <c r="D120" s="93"/>
      <c r="E120" s="93"/>
      <c r="F120" s="93"/>
      <c r="G120" s="94"/>
      <c r="H120" s="15"/>
      <c r="I120" s="16"/>
    </row>
    <row r="121" ht="15.75" customHeight="1">
      <c r="A121" s="7"/>
      <c r="B121" s="93"/>
      <c r="C121" s="93"/>
      <c r="D121" s="93"/>
      <c r="E121" s="93"/>
      <c r="F121" s="93"/>
      <c r="H121" s="15"/>
      <c r="I121" s="16"/>
    </row>
    <row r="122" ht="15.75" customHeight="1">
      <c r="A122" s="7"/>
      <c r="B122" s="93"/>
      <c r="C122" s="93"/>
      <c r="D122" s="15"/>
      <c r="E122" s="15"/>
      <c r="F122" s="93"/>
      <c r="G122" s="94"/>
      <c r="H122" s="15"/>
      <c r="I122" s="16"/>
    </row>
    <row r="123" ht="15.75" customHeight="1">
      <c r="A123" s="7"/>
      <c r="B123" s="93"/>
      <c r="C123" s="93"/>
      <c r="D123" s="15"/>
      <c r="E123" s="15"/>
      <c r="F123" s="93"/>
      <c r="G123" s="94"/>
      <c r="H123" s="15"/>
      <c r="I123" s="16"/>
    </row>
    <row r="124" ht="15.75" customHeight="1">
      <c r="A124" s="7"/>
      <c r="B124" s="93"/>
      <c r="C124" s="93"/>
      <c r="D124" s="15"/>
      <c r="E124" s="15"/>
      <c r="F124" s="93"/>
      <c r="G124" s="94"/>
      <c r="H124" s="15"/>
      <c r="I124" s="16"/>
    </row>
    <row r="125" ht="15.75" customHeight="1">
      <c r="A125" s="7"/>
      <c r="B125" s="93"/>
      <c r="C125" s="93"/>
      <c r="D125" s="15"/>
      <c r="E125" s="15"/>
      <c r="F125" s="93"/>
      <c r="G125" s="94"/>
      <c r="H125" s="15"/>
      <c r="I125" s="16"/>
    </row>
    <row r="126" ht="15.75" customHeight="1">
      <c r="A126" s="7"/>
      <c r="B126" s="93"/>
      <c r="C126" s="93"/>
      <c r="D126" s="15"/>
      <c r="E126" s="15"/>
      <c r="F126" s="93"/>
      <c r="G126" s="94"/>
      <c r="H126" s="15"/>
      <c r="I126" s="16"/>
    </row>
    <row r="127" ht="15.75" customHeight="1">
      <c r="A127" s="7"/>
      <c r="B127" s="93"/>
      <c r="C127" s="93"/>
      <c r="D127" s="15"/>
      <c r="E127" s="15"/>
      <c r="F127" s="93"/>
      <c r="G127" s="94"/>
      <c r="H127" s="15"/>
      <c r="I127" s="16"/>
    </row>
    <row r="128" ht="15.75" customHeight="1">
      <c r="A128" s="7"/>
      <c r="B128" s="93"/>
      <c r="C128" s="93"/>
      <c r="D128" s="15"/>
      <c r="E128" s="15"/>
      <c r="F128" s="93"/>
      <c r="G128" s="94"/>
      <c r="H128" s="15"/>
      <c r="I128" s="16"/>
    </row>
    <row r="129" ht="15.75" customHeight="1">
      <c r="A129" s="7"/>
      <c r="B129" s="93"/>
      <c r="C129" s="93"/>
      <c r="D129" s="15"/>
      <c r="E129" s="15"/>
      <c r="F129" s="93"/>
      <c r="G129" s="94"/>
      <c r="H129" s="15"/>
      <c r="I129" s="16"/>
    </row>
    <row r="130" ht="15.75" customHeight="1">
      <c r="A130" s="7"/>
      <c r="B130" s="93"/>
      <c r="C130" s="93"/>
      <c r="D130" s="15"/>
      <c r="E130" s="15"/>
      <c r="F130" s="93"/>
      <c r="G130" s="94"/>
      <c r="H130" s="15"/>
      <c r="I130" s="16"/>
    </row>
    <row r="131" ht="15.75" customHeight="1">
      <c r="A131" s="7"/>
      <c r="B131" s="93"/>
      <c r="C131" s="93"/>
      <c r="D131" s="15"/>
      <c r="E131" s="15"/>
      <c r="F131" s="93"/>
      <c r="G131" s="94"/>
      <c r="H131" s="15"/>
      <c r="I131" s="16"/>
    </row>
    <row r="132" ht="15.75" customHeight="1">
      <c r="A132" s="7"/>
      <c r="B132" s="93"/>
      <c r="C132" s="93"/>
      <c r="D132" s="15"/>
      <c r="E132" s="15"/>
      <c r="F132" s="93"/>
      <c r="H132" s="15"/>
      <c r="I132" s="16"/>
    </row>
    <row r="133" ht="15.75" customHeight="1">
      <c r="A133" s="7"/>
      <c r="B133" s="93"/>
      <c r="C133" s="93"/>
      <c r="D133" s="15"/>
      <c r="E133" s="15"/>
      <c r="F133" s="93"/>
      <c r="H133" s="15"/>
      <c r="I133" s="16"/>
    </row>
    <row r="134" ht="15.75" customHeight="1">
      <c r="A134" s="7"/>
      <c r="B134" s="93"/>
      <c r="C134" s="93"/>
      <c r="D134" s="15"/>
      <c r="E134" s="15"/>
      <c r="F134" s="93"/>
      <c r="G134" s="94"/>
      <c r="H134" s="15"/>
      <c r="I134" s="16"/>
    </row>
    <row r="135" ht="15.75" customHeight="1">
      <c r="A135" s="7"/>
      <c r="B135" s="93"/>
      <c r="C135" s="93"/>
      <c r="D135" s="15"/>
      <c r="E135" s="15"/>
      <c r="F135" s="93"/>
      <c r="G135" s="94"/>
      <c r="H135" s="15"/>
      <c r="I135" s="16"/>
    </row>
    <row r="136" ht="15.75" customHeight="1">
      <c r="A136" s="95">
        <f>A60+1</f>
        <v>60</v>
      </c>
      <c r="B136" s="96" t="s">
        <v>123</v>
      </c>
      <c r="C136" s="97" t="s">
        <v>244</v>
      </c>
      <c r="D136" s="98" t="s">
        <v>158</v>
      </c>
      <c r="E136" s="99" t="s">
        <v>159</v>
      </c>
      <c r="F136" s="98" t="s">
        <v>30</v>
      </c>
      <c r="G136" s="100" t="s">
        <v>245</v>
      </c>
      <c r="H136" s="98">
        <v>1.0</v>
      </c>
      <c r="I136" s="101">
        <v>60000.0</v>
      </c>
      <c r="J136" s="102"/>
      <c r="K136" s="102"/>
      <c r="L136" s="102"/>
      <c r="M136" s="102"/>
      <c r="N136" s="102"/>
      <c r="O136" s="102"/>
      <c r="P136" s="102"/>
      <c r="Q136" s="102"/>
      <c r="R136" s="102"/>
      <c r="S136" s="102"/>
      <c r="T136" s="102"/>
      <c r="U136" s="102"/>
      <c r="V136" s="102"/>
      <c r="W136" s="102"/>
      <c r="X136" s="102"/>
      <c r="Y136" s="102"/>
      <c r="Z136" s="102"/>
      <c r="AA136" s="102"/>
      <c r="AB136" s="102"/>
      <c r="AC136" s="102"/>
    </row>
    <row r="137" ht="15.75" customHeight="1">
      <c r="A137" s="95">
        <f t="shared" ref="A137:A138" si="3">A136+1</f>
        <v>61</v>
      </c>
      <c r="B137" s="96" t="s">
        <v>123</v>
      </c>
      <c r="C137" s="97" t="s">
        <v>246</v>
      </c>
      <c r="D137" s="98" t="s">
        <v>158</v>
      </c>
      <c r="E137" s="99" t="s">
        <v>159</v>
      </c>
      <c r="F137" s="98" t="s">
        <v>30</v>
      </c>
      <c r="G137" s="100" t="s">
        <v>247</v>
      </c>
      <c r="H137" s="98">
        <v>1.0</v>
      </c>
      <c r="I137" s="101">
        <v>60000.0</v>
      </c>
      <c r="J137" s="102"/>
      <c r="K137" s="102"/>
      <c r="L137" s="102"/>
      <c r="M137" s="102"/>
      <c r="N137" s="102"/>
      <c r="O137" s="102"/>
      <c r="P137" s="102"/>
      <c r="Q137" s="102"/>
      <c r="R137" s="102"/>
      <c r="S137" s="102"/>
      <c r="T137" s="102"/>
      <c r="U137" s="102"/>
      <c r="V137" s="102"/>
      <c r="W137" s="102"/>
      <c r="X137" s="102"/>
      <c r="Y137" s="102"/>
      <c r="Z137" s="102"/>
      <c r="AA137" s="102"/>
      <c r="AB137" s="102"/>
      <c r="AC137" s="102"/>
    </row>
    <row r="138" ht="15.75" customHeight="1">
      <c r="A138" s="95">
        <f t="shared" si="3"/>
        <v>62</v>
      </c>
      <c r="B138" s="96" t="s">
        <v>123</v>
      </c>
      <c r="C138" s="97" t="s">
        <v>248</v>
      </c>
      <c r="D138" s="98" t="s">
        <v>158</v>
      </c>
      <c r="E138" s="99" t="s">
        <v>159</v>
      </c>
      <c r="F138" s="98" t="s">
        <v>30</v>
      </c>
      <c r="G138" s="100" t="s">
        <v>249</v>
      </c>
      <c r="H138" s="98">
        <v>1.0</v>
      </c>
      <c r="I138" s="101">
        <v>60000.0</v>
      </c>
      <c r="J138" s="102"/>
      <c r="K138" s="102"/>
      <c r="L138" s="102"/>
      <c r="M138" s="102"/>
      <c r="N138" s="102"/>
      <c r="O138" s="102"/>
      <c r="P138" s="102"/>
      <c r="Q138" s="102"/>
      <c r="R138" s="102"/>
      <c r="S138" s="102"/>
      <c r="T138" s="102"/>
      <c r="U138" s="102"/>
      <c r="V138" s="102"/>
      <c r="W138" s="102"/>
      <c r="X138" s="102"/>
      <c r="Y138" s="102"/>
      <c r="Z138" s="102"/>
      <c r="AA138" s="102"/>
      <c r="AB138" s="102"/>
      <c r="AC138" s="102"/>
    </row>
    <row r="139" ht="15.75" customHeight="1">
      <c r="A139" s="7"/>
      <c r="B139" s="93"/>
      <c r="C139" s="93"/>
      <c r="D139" s="15"/>
      <c r="E139" s="15"/>
      <c r="F139" s="93"/>
      <c r="G139" s="94"/>
      <c r="H139" s="15"/>
      <c r="I139" s="16"/>
    </row>
    <row r="140" ht="15.75" customHeight="1">
      <c r="A140" s="17" t="str">
        <f>#REF!+1</f>
        <v>#REF!</v>
      </c>
      <c r="B140" s="18"/>
      <c r="C140" s="103" t="s">
        <v>250</v>
      </c>
      <c r="D140" s="77" t="s">
        <v>236</v>
      </c>
      <c r="E140" s="77"/>
      <c r="F140" s="20" t="s">
        <v>33</v>
      </c>
      <c r="G140" s="21" t="s">
        <v>251</v>
      </c>
      <c r="H140" s="15">
        <v>3.0</v>
      </c>
      <c r="I140" s="16">
        <v>120000.0</v>
      </c>
    </row>
    <row r="141" ht="15.75" customHeight="1">
      <c r="A141" s="17">
        <f>A98+1</f>
        <v>98</v>
      </c>
      <c r="B141" s="18"/>
      <c r="C141" s="103" t="s">
        <v>252</v>
      </c>
      <c r="D141" s="77" t="s">
        <v>236</v>
      </c>
      <c r="E141" s="77"/>
      <c r="F141" s="20" t="s">
        <v>30</v>
      </c>
      <c r="G141" s="21" t="s">
        <v>253</v>
      </c>
      <c r="H141" s="15">
        <v>1.0</v>
      </c>
      <c r="I141" s="16">
        <v>60000.0</v>
      </c>
    </row>
    <row r="142" ht="15.75" customHeight="1">
      <c r="A142" s="17">
        <f t="shared" ref="A142:A146" si="4">A141+1</f>
        <v>99</v>
      </c>
      <c r="B142" s="18"/>
      <c r="C142" s="103" t="s">
        <v>254</v>
      </c>
      <c r="D142" s="77" t="s">
        <v>236</v>
      </c>
      <c r="E142" s="77"/>
      <c r="F142" s="20" t="s">
        <v>27</v>
      </c>
      <c r="G142" s="21" t="s">
        <v>255</v>
      </c>
      <c r="H142" s="15">
        <v>2.0</v>
      </c>
      <c r="I142" s="16">
        <v>90000.0</v>
      </c>
    </row>
    <row r="143" ht="15.75" customHeight="1">
      <c r="A143" s="17">
        <f t="shared" si="4"/>
        <v>100</v>
      </c>
      <c r="B143" s="18"/>
      <c r="C143" s="103" t="s">
        <v>256</v>
      </c>
      <c r="D143" s="77" t="s">
        <v>236</v>
      </c>
      <c r="E143" s="77"/>
      <c r="F143" s="20" t="s">
        <v>30</v>
      </c>
      <c r="G143" s="21" t="s">
        <v>257</v>
      </c>
      <c r="H143" s="15">
        <v>1.0</v>
      </c>
      <c r="I143" s="16">
        <v>60000.0</v>
      </c>
    </row>
    <row r="144" ht="15.75" customHeight="1">
      <c r="A144" s="17">
        <f t="shared" si="4"/>
        <v>101</v>
      </c>
      <c r="B144" s="18"/>
      <c r="C144" s="103" t="s">
        <v>258</v>
      </c>
      <c r="D144" s="77" t="s">
        <v>236</v>
      </c>
      <c r="E144" s="77"/>
      <c r="F144" s="20" t="s">
        <v>30</v>
      </c>
      <c r="G144" s="21" t="s">
        <v>259</v>
      </c>
      <c r="H144" s="15">
        <v>1.0</v>
      </c>
      <c r="I144" s="16">
        <v>60000.0</v>
      </c>
    </row>
    <row r="145" ht="15.75" customHeight="1">
      <c r="A145" s="17">
        <f t="shared" si="4"/>
        <v>102</v>
      </c>
      <c r="B145" s="18"/>
      <c r="C145" s="103" t="s">
        <v>260</v>
      </c>
      <c r="D145" s="77" t="s">
        <v>236</v>
      </c>
      <c r="E145" s="77"/>
      <c r="F145" s="20" t="s">
        <v>27</v>
      </c>
      <c r="G145" s="21" t="s">
        <v>261</v>
      </c>
      <c r="H145" s="15">
        <v>2.0</v>
      </c>
      <c r="I145" s="16">
        <v>90000.0</v>
      </c>
    </row>
    <row r="146" ht="15.75" customHeight="1">
      <c r="A146" s="17">
        <f t="shared" si="4"/>
        <v>103</v>
      </c>
      <c r="B146" s="18"/>
      <c r="C146" s="103" t="s">
        <v>262</v>
      </c>
      <c r="D146" s="77" t="s">
        <v>236</v>
      </c>
      <c r="E146" s="77"/>
      <c r="F146" s="20" t="s">
        <v>30</v>
      </c>
      <c r="G146" s="21" t="s">
        <v>263</v>
      </c>
      <c r="H146" s="15">
        <v>1.0</v>
      </c>
      <c r="I146" s="16">
        <v>60000.0</v>
      </c>
    </row>
    <row r="147" ht="15.75" customHeight="1">
      <c r="A147" s="17">
        <f>A99+1</f>
        <v>99</v>
      </c>
      <c r="B147" s="18"/>
      <c r="C147" s="103" t="s">
        <v>264</v>
      </c>
      <c r="D147" s="77" t="s">
        <v>236</v>
      </c>
      <c r="E147" s="77"/>
      <c r="F147" s="20" t="s">
        <v>33</v>
      </c>
      <c r="G147" s="21" t="s">
        <v>265</v>
      </c>
      <c r="H147" s="15">
        <v>3.0</v>
      </c>
      <c r="I147" s="16">
        <v>120000.0</v>
      </c>
    </row>
    <row r="148" ht="15.75" customHeight="1">
      <c r="A148" s="17">
        <f t="shared" ref="A148:A149" si="5">A147+1</f>
        <v>100</v>
      </c>
      <c r="B148" s="18"/>
      <c r="C148" s="103" t="s">
        <v>266</v>
      </c>
      <c r="D148" s="77" t="s">
        <v>236</v>
      </c>
      <c r="E148" s="77"/>
      <c r="F148" s="20" t="s">
        <v>27</v>
      </c>
      <c r="G148" s="21" t="s">
        <v>267</v>
      </c>
      <c r="H148" s="15">
        <v>2.0</v>
      </c>
      <c r="I148" s="16">
        <v>90000.0</v>
      </c>
    </row>
    <row r="149" ht="15.75" customHeight="1">
      <c r="A149" s="17">
        <f t="shared" si="5"/>
        <v>101</v>
      </c>
      <c r="B149" s="18"/>
      <c r="C149" s="103" t="s">
        <v>268</v>
      </c>
      <c r="D149" s="77" t="s">
        <v>236</v>
      </c>
      <c r="E149" s="77"/>
      <c r="F149" s="20" t="s">
        <v>30</v>
      </c>
      <c r="G149" s="21" t="s">
        <v>269</v>
      </c>
      <c r="H149" s="15">
        <v>1.0</v>
      </c>
      <c r="I149" s="16">
        <v>60000.0</v>
      </c>
    </row>
    <row r="150" ht="15.75" customHeight="1">
      <c r="A150" s="17">
        <f>A100+1</f>
        <v>100</v>
      </c>
      <c r="B150" s="18"/>
      <c r="C150" s="103" t="s">
        <v>270</v>
      </c>
      <c r="D150" s="77" t="s">
        <v>236</v>
      </c>
      <c r="E150" s="77"/>
      <c r="F150" s="20" t="s">
        <v>30</v>
      </c>
      <c r="G150" s="21" t="s">
        <v>271</v>
      </c>
      <c r="H150" s="15">
        <v>1.0</v>
      </c>
      <c r="I150" s="16">
        <v>60000.0</v>
      </c>
    </row>
    <row r="151" ht="15.75" customHeight="1">
      <c r="A151" s="17">
        <f t="shared" ref="A151:A157" si="6">A150+1</f>
        <v>101</v>
      </c>
      <c r="B151" s="18"/>
      <c r="C151" s="103" t="s">
        <v>272</v>
      </c>
      <c r="D151" s="77" t="s">
        <v>236</v>
      </c>
      <c r="E151" s="77"/>
      <c r="F151" s="20" t="s">
        <v>27</v>
      </c>
      <c r="G151" s="21" t="s">
        <v>273</v>
      </c>
      <c r="H151" s="15">
        <v>2.0</v>
      </c>
      <c r="I151" s="16">
        <v>90000.0</v>
      </c>
    </row>
    <row r="152" ht="15.75" customHeight="1">
      <c r="A152" s="17">
        <f t="shared" si="6"/>
        <v>102</v>
      </c>
      <c r="B152" s="18"/>
      <c r="C152" s="103" t="s">
        <v>274</v>
      </c>
      <c r="D152" s="77" t="s">
        <v>236</v>
      </c>
      <c r="E152" s="77"/>
      <c r="F152" s="20" t="s">
        <v>27</v>
      </c>
      <c r="G152" s="21" t="s">
        <v>275</v>
      </c>
      <c r="H152" s="15">
        <v>2.0</v>
      </c>
      <c r="I152" s="16">
        <v>90000.0</v>
      </c>
    </row>
    <row r="153" ht="15.75" customHeight="1">
      <c r="A153" s="17">
        <f t="shared" si="6"/>
        <v>103</v>
      </c>
      <c r="B153" s="18"/>
      <c r="C153" s="103" t="s">
        <v>276</v>
      </c>
      <c r="D153" s="77" t="s">
        <v>236</v>
      </c>
      <c r="E153" s="77"/>
      <c r="F153" s="20" t="s">
        <v>27</v>
      </c>
      <c r="G153" s="21" t="s">
        <v>277</v>
      </c>
      <c r="H153" s="15">
        <v>2.0</v>
      </c>
      <c r="I153" s="16">
        <v>90000.0</v>
      </c>
    </row>
    <row r="154" ht="15.75" customHeight="1">
      <c r="A154" s="17">
        <f t="shared" si="6"/>
        <v>104</v>
      </c>
      <c r="B154" s="18"/>
      <c r="C154" s="103" t="s">
        <v>278</v>
      </c>
      <c r="D154" s="77" t="s">
        <v>236</v>
      </c>
      <c r="E154" s="77"/>
      <c r="F154" s="20" t="s">
        <v>27</v>
      </c>
      <c r="G154" s="21" t="s">
        <v>279</v>
      </c>
      <c r="H154" s="15">
        <v>2.0</v>
      </c>
      <c r="I154" s="16">
        <v>90000.0</v>
      </c>
    </row>
    <row r="155" ht="15.75" customHeight="1">
      <c r="A155" s="17">
        <f t="shared" si="6"/>
        <v>105</v>
      </c>
      <c r="B155" s="18"/>
      <c r="C155" s="103" t="s">
        <v>280</v>
      </c>
      <c r="D155" s="77" t="s">
        <v>236</v>
      </c>
      <c r="E155" s="77"/>
      <c r="F155" s="20" t="s">
        <v>281</v>
      </c>
      <c r="G155" s="21" t="s">
        <v>282</v>
      </c>
      <c r="H155" s="15">
        <v>1.0</v>
      </c>
      <c r="I155" s="16">
        <v>60000.0</v>
      </c>
    </row>
    <row r="156" ht="15.75" customHeight="1">
      <c r="A156" s="17">
        <f t="shared" si="6"/>
        <v>106</v>
      </c>
      <c r="B156" s="18"/>
      <c r="C156" s="103" t="s">
        <v>283</v>
      </c>
      <c r="D156" s="77" t="s">
        <v>236</v>
      </c>
      <c r="E156" s="77"/>
      <c r="F156" s="20" t="s">
        <v>284</v>
      </c>
      <c r="G156" s="21" t="s">
        <v>285</v>
      </c>
      <c r="H156" s="15">
        <v>1.0</v>
      </c>
      <c r="I156" s="16">
        <v>60000.0</v>
      </c>
    </row>
    <row r="157" ht="15.75" customHeight="1">
      <c r="A157" s="17">
        <f t="shared" si="6"/>
        <v>107</v>
      </c>
      <c r="B157" s="18"/>
      <c r="C157" s="103" t="s">
        <v>286</v>
      </c>
      <c r="D157" s="77" t="s">
        <v>236</v>
      </c>
      <c r="E157" s="77"/>
      <c r="F157" s="20" t="s">
        <v>221</v>
      </c>
      <c r="G157" s="104" t="s">
        <v>287</v>
      </c>
      <c r="H157" s="15">
        <v>3.0</v>
      </c>
      <c r="I157" s="16">
        <v>120000.0</v>
      </c>
    </row>
    <row r="158" ht="15.75" customHeight="1">
      <c r="A158" s="7"/>
      <c r="B158" s="93"/>
      <c r="C158" s="93"/>
      <c r="D158" s="15"/>
      <c r="E158" s="15"/>
      <c r="F158" s="93"/>
      <c r="G158" s="94"/>
      <c r="H158" s="15"/>
      <c r="I158" s="16"/>
    </row>
    <row r="159" ht="15.75" customHeight="1">
      <c r="A159" s="7"/>
      <c r="B159" s="93"/>
      <c r="C159" s="93"/>
      <c r="D159" s="15"/>
      <c r="E159" s="15"/>
      <c r="F159" s="93"/>
      <c r="G159" s="94"/>
      <c r="H159" s="15"/>
      <c r="I159" s="16"/>
    </row>
    <row r="160" ht="15.75" customHeight="1">
      <c r="A160" s="7"/>
      <c r="B160" s="93"/>
      <c r="C160" s="93"/>
      <c r="D160" s="15"/>
      <c r="E160" s="15"/>
      <c r="F160" s="93"/>
      <c r="G160" s="94"/>
      <c r="H160" s="15"/>
      <c r="I160" s="16"/>
    </row>
    <row r="161" ht="15.75" customHeight="1">
      <c r="A161" s="7"/>
      <c r="B161" s="93"/>
      <c r="C161" s="93"/>
      <c r="D161" s="15"/>
      <c r="E161" s="15"/>
      <c r="F161" s="93"/>
      <c r="G161" s="94"/>
      <c r="H161" s="15"/>
      <c r="I161" s="16"/>
    </row>
    <row r="162" ht="15.75" customHeight="1">
      <c r="A162" s="7"/>
      <c r="B162" s="93"/>
      <c r="C162" s="93"/>
      <c r="D162" s="15"/>
      <c r="E162" s="15"/>
      <c r="F162" s="93"/>
      <c r="G162" s="94"/>
      <c r="H162" s="15"/>
      <c r="I162" s="16"/>
    </row>
    <row r="163" ht="15.75" customHeight="1">
      <c r="A163" s="7"/>
      <c r="B163" s="93"/>
      <c r="C163" s="93"/>
      <c r="D163" s="15"/>
      <c r="E163" s="15"/>
      <c r="F163" s="93"/>
      <c r="G163" s="94"/>
      <c r="H163" s="15"/>
      <c r="I163" s="16"/>
    </row>
    <row r="164" ht="15.75" customHeight="1">
      <c r="A164" s="7"/>
      <c r="B164" s="93"/>
      <c r="C164" s="93"/>
      <c r="D164" s="15"/>
      <c r="E164" s="15"/>
      <c r="F164" s="93"/>
      <c r="H164" s="67"/>
      <c r="I164" s="105"/>
    </row>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F2:F100 F136:F138 F140:F154 F157">
      <formula1>"Студия,Студия/твин,Студия на 4х,1+1,1+2,1+2 с террасой,Дом"</formula1>
    </dataValidation>
    <dataValidation type="list" allowBlank="1" showErrorMessage="1" sqref="F155">
      <formula1>"Студия,1+1,1+2,Дом,Студия с террасой"</formula1>
    </dataValidation>
    <dataValidation type="list" allowBlank="1" showErrorMessage="1" sqref="F156">
      <formula1>"Студия,1+1,1+2,Дом,студия с террасой"</formula1>
    </dataValidation>
  </dataValidations>
  <hyperlinks>
    <hyperlink r:id="rId4" ref="G2"/>
    <hyperlink r:id="rId5" ref="G3"/>
    <hyperlink r:id="rId6" ref="G4"/>
    <hyperlink r:id="rId7" ref="G5"/>
    <hyperlink r:id="rId8" ref="G6"/>
    <hyperlink r:id="rId9" ref="G7"/>
    <hyperlink r:id="rId10" ref="G8"/>
    <hyperlink r:id="rId11" ref="G9"/>
    <hyperlink r:id="rId12" ref="G10"/>
    <hyperlink r:id="rId13" ref="G11"/>
    <hyperlink r:id="rId14" ref="G12"/>
    <hyperlink r:id="rId15" ref="G13"/>
    <hyperlink r:id="rId16" ref="G14"/>
    <hyperlink r:id="rId17" ref="G15"/>
    <hyperlink r:id="rId18" ref="G16"/>
    <hyperlink r:id="rId19" ref="G17"/>
    <hyperlink r:id="rId20" ref="G18"/>
    <hyperlink r:id="rId21" ref="G19"/>
    <hyperlink r:id="rId22" ref="G20"/>
    <hyperlink r:id="rId23" ref="G21"/>
    <hyperlink r:id="rId24" ref="G22"/>
    <hyperlink r:id="rId25" ref="G23"/>
    <hyperlink r:id="rId26" ref="G24"/>
    <hyperlink r:id="rId27" ref="G25"/>
    <hyperlink r:id="rId28" ref="G26"/>
    <hyperlink r:id="rId29" ref="G27"/>
    <hyperlink r:id="rId30" ref="G28"/>
    <hyperlink r:id="rId31" ref="G29"/>
    <hyperlink r:id="rId32" ref="G30"/>
    <hyperlink r:id="rId33" ref="G31"/>
    <hyperlink r:id="rId34" ref="G32"/>
    <hyperlink r:id="rId35" ref="G33"/>
    <hyperlink r:id="rId36" ref="G34"/>
    <hyperlink r:id="rId37" ref="G35"/>
    <hyperlink r:id="rId38" ref="G36"/>
    <hyperlink r:id="rId39" ref="G37"/>
    <hyperlink r:id="rId40" ref="G39"/>
    <hyperlink r:id="rId41" ref="G40"/>
    <hyperlink r:id="rId42" ref="G41"/>
    <hyperlink r:id="rId43" ref="G42"/>
    <hyperlink r:id="rId44" ref="G43"/>
    <hyperlink r:id="rId45" ref="G44"/>
    <hyperlink r:id="rId46" ref="G45"/>
    <hyperlink r:id="rId47" ref="G46"/>
    <hyperlink r:id="rId48" ref="G47"/>
    <hyperlink r:id="rId49" ref="G48"/>
    <hyperlink r:id="rId50" ref="G49"/>
    <hyperlink r:id="rId51" ref="G50"/>
    <hyperlink r:id="rId52" ref="G51"/>
    <hyperlink r:id="rId53" ref="G52"/>
    <hyperlink r:id="rId54" ref="G54"/>
    <hyperlink r:id="rId55" ref="G55"/>
    <hyperlink r:id="rId56" ref="G56"/>
    <hyperlink r:id="rId57" ref="G57"/>
    <hyperlink r:id="rId58" ref="G58"/>
    <hyperlink r:id="rId59" ref="G60"/>
    <hyperlink r:id="rId60" ref="G61"/>
    <hyperlink r:id="rId61" ref="G63"/>
    <hyperlink r:id="rId62" ref="G64"/>
    <hyperlink r:id="rId63" ref="G65"/>
    <hyperlink r:id="rId64" ref="G66"/>
    <hyperlink r:id="rId65" ref="G67"/>
    <hyperlink r:id="rId66" ref="G69"/>
    <hyperlink r:id="rId67" ref="G71"/>
    <hyperlink r:id="rId68" ref="G73"/>
    <hyperlink r:id="rId69" ref="G75"/>
    <hyperlink r:id="rId70" ref="G76"/>
    <hyperlink r:id="rId71" ref="G77"/>
    <hyperlink r:id="rId72" ref="G78"/>
    <hyperlink r:id="rId73" ref="G79"/>
    <hyperlink r:id="rId74" ref="G80"/>
    <hyperlink r:id="rId75" ref="G81"/>
    <hyperlink r:id="rId76" ref="G82"/>
    <hyperlink r:id="rId77" ref="G83"/>
    <hyperlink r:id="rId78" ref="G84"/>
    <hyperlink r:id="rId79" ref="G86"/>
    <hyperlink r:id="rId80" ref="G87"/>
    <hyperlink r:id="rId81" ref="G88"/>
    <hyperlink r:id="rId82" ref="G89"/>
    <hyperlink r:id="rId83" ref="G90"/>
    <hyperlink r:id="rId84" ref="G92"/>
    <hyperlink r:id="rId85" ref="G93"/>
    <hyperlink r:id="rId86" ref="G96"/>
    <hyperlink r:id="rId87" ref="G97"/>
    <hyperlink r:id="rId88" ref="G98"/>
    <hyperlink r:id="rId89" ref="G99"/>
    <hyperlink r:id="rId90" ref="G100"/>
    <hyperlink r:id="rId91" ref="G136"/>
    <hyperlink r:id="rId92" ref="G137"/>
    <hyperlink r:id="rId93" ref="G138"/>
    <hyperlink r:id="rId94" ref="G140"/>
    <hyperlink r:id="rId95" ref="G141"/>
    <hyperlink r:id="rId96" ref="G142"/>
    <hyperlink r:id="rId97" ref="G143"/>
    <hyperlink r:id="rId98" ref="G144"/>
    <hyperlink r:id="rId99" ref="G145"/>
    <hyperlink r:id="rId100" ref="G146"/>
    <hyperlink r:id="rId101" ref="G147"/>
    <hyperlink r:id="rId102" ref="G148"/>
    <hyperlink r:id="rId103" ref="G149"/>
    <hyperlink r:id="rId104" ref="G150"/>
    <hyperlink r:id="rId105" ref="G151"/>
    <hyperlink r:id="rId106" ref="G152"/>
    <hyperlink r:id="rId107" ref="G153"/>
    <hyperlink r:id="rId108" ref="G154"/>
    <hyperlink r:id="rId109" ref="G155"/>
    <hyperlink r:id="rId110" ref="G156"/>
    <hyperlink r:id="rId111" ref="G157"/>
  </hyperlinks>
  <drawing r:id="rId112"/>
  <legacyDrawing r:id="rId11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3" width="5.25"/>
    <col customWidth="1" min="4" max="4" width="7.88"/>
    <col customWidth="1" min="5" max="16" width="5.75"/>
  </cols>
  <sheetData>
    <row r="1" ht="15.75" customHeight="1">
      <c r="A1" s="106"/>
      <c r="B1" s="107"/>
      <c r="C1" s="108"/>
      <c r="D1" s="107" t="s">
        <v>288</v>
      </c>
      <c r="E1" s="107"/>
      <c r="F1" s="107"/>
      <c r="G1" s="107"/>
      <c r="H1" s="107"/>
      <c r="I1" s="107"/>
      <c r="J1" s="107"/>
      <c r="K1" s="107"/>
      <c r="L1" s="107"/>
      <c r="M1" s="107"/>
      <c r="N1" s="107"/>
      <c r="O1" s="107"/>
      <c r="P1" s="107"/>
    </row>
    <row r="2" ht="15.75" customHeight="1">
      <c r="A2" s="109"/>
      <c r="B2" s="110"/>
      <c r="C2" s="111"/>
      <c r="D2" s="110" t="s">
        <v>289</v>
      </c>
      <c r="E2" s="110" t="s">
        <v>290</v>
      </c>
      <c r="F2" s="110" t="s">
        <v>291</v>
      </c>
      <c r="G2" s="110" t="s">
        <v>292</v>
      </c>
      <c r="H2" s="110" t="s">
        <v>293</v>
      </c>
      <c r="I2" s="110" t="s">
        <v>294</v>
      </c>
      <c r="J2" s="110" t="s">
        <v>295</v>
      </c>
      <c r="K2" s="110" t="s">
        <v>296</v>
      </c>
      <c r="L2" s="110" t="s">
        <v>297</v>
      </c>
      <c r="M2" s="110" t="s">
        <v>298</v>
      </c>
      <c r="N2" s="110" t="s">
        <v>299</v>
      </c>
      <c r="O2" s="110" t="s">
        <v>300</v>
      </c>
      <c r="P2" s="110" t="s">
        <v>301</v>
      </c>
    </row>
    <row r="3" ht="15.75" customHeight="1">
      <c r="A3" s="112" t="str">
        <f>'1. Справочник'!C2</f>
        <v>WS В 503</v>
      </c>
      <c r="B3" s="113" t="str">
        <f>'1. Справочник'!D2</f>
        <v>WS</v>
      </c>
      <c r="C3" s="114" t="str">
        <f>'1. Справочник'!F2</f>
        <v>1+1</v>
      </c>
      <c r="D3" s="113"/>
      <c r="E3" s="113"/>
      <c r="F3" s="113"/>
      <c r="G3" s="113"/>
      <c r="H3" s="113"/>
      <c r="I3" s="113"/>
      <c r="J3" s="113"/>
      <c r="K3" s="113"/>
      <c r="L3" s="113"/>
      <c r="M3" s="113"/>
      <c r="N3" s="113"/>
      <c r="O3" s="113"/>
      <c r="P3" s="113"/>
    </row>
    <row r="4" ht="15.75" customHeight="1">
      <c r="A4" s="115" t="str">
        <f>'1. Справочник'!C3</f>
        <v>WS F 907</v>
      </c>
      <c r="B4" s="116" t="str">
        <f>'1. Справочник'!D3</f>
        <v>WS</v>
      </c>
      <c r="C4" s="117" t="str">
        <f>'1. Справочник'!F3</f>
        <v>Студия</v>
      </c>
      <c r="D4" s="116"/>
      <c r="E4" s="116"/>
      <c r="F4" s="116"/>
      <c r="G4" s="116"/>
      <c r="H4" s="116"/>
      <c r="I4" s="116"/>
      <c r="J4" s="116"/>
      <c r="K4" s="116"/>
      <c r="L4" s="116"/>
      <c r="M4" s="116"/>
      <c r="N4" s="116"/>
      <c r="O4" s="116"/>
      <c r="P4" s="116"/>
    </row>
    <row r="5" ht="15.75" customHeight="1">
      <c r="A5" s="115" t="str">
        <f>'1. Справочник'!C4</f>
        <v>WS В 212</v>
      </c>
      <c r="B5" s="116" t="str">
        <f>'1. Справочник'!D4</f>
        <v>WS</v>
      </c>
      <c r="C5" s="117" t="str">
        <f>'1. Справочник'!F4</f>
        <v>1+2</v>
      </c>
      <c r="D5" s="116"/>
      <c r="E5" s="116"/>
      <c r="F5" s="116"/>
      <c r="G5" s="116"/>
      <c r="H5" s="116"/>
      <c r="I5" s="116"/>
      <c r="J5" s="116"/>
      <c r="K5" s="116"/>
      <c r="L5" s="116"/>
      <c r="M5" s="116"/>
      <c r="N5" s="116"/>
      <c r="O5" s="116"/>
      <c r="P5" s="116"/>
    </row>
    <row r="6" ht="15.75" customHeight="1">
      <c r="A6" s="115" t="str">
        <f>'1. Справочник'!C5</f>
        <v>WS В 1510</v>
      </c>
      <c r="B6" s="116" t="str">
        <f>'1. Справочник'!D5</f>
        <v>WS</v>
      </c>
      <c r="C6" s="117" t="str">
        <f>'1. Справочник'!F5</f>
        <v>Студия</v>
      </c>
      <c r="D6" s="116"/>
      <c r="E6" s="116"/>
      <c r="F6" s="116"/>
      <c r="G6" s="116"/>
      <c r="H6" s="116"/>
      <c r="I6" s="116"/>
      <c r="J6" s="116"/>
      <c r="K6" s="116"/>
      <c r="L6" s="116"/>
      <c r="M6" s="116"/>
      <c r="N6" s="116"/>
      <c r="O6" s="116"/>
      <c r="P6" s="116"/>
    </row>
    <row r="7" ht="15.75" customHeight="1">
      <c r="A7" s="115" t="str">
        <f>'1. Справочник'!C6</f>
        <v>WS В 807</v>
      </c>
      <c r="B7" s="116" t="str">
        <f>'1. Справочник'!D6</f>
        <v>WS</v>
      </c>
      <c r="C7" s="117" t="str">
        <f>'1. Справочник'!F6</f>
        <v>Студия</v>
      </c>
      <c r="D7" s="116"/>
      <c r="E7" s="116"/>
      <c r="F7" s="116"/>
      <c r="G7" s="116"/>
      <c r="H7" s="116"/>
      <c r="I7" s="116"/>
      <c r="J7" s="116"/>
      <c r="K7" s="116"/>
      <c r="L7" s="116"/>
      <c r="M7" s="116"/>
      <c r="N7" s="116"/>
      <c r="O7" s="116"/>
      <c r="P7" s="116"/>
    </row>
    <row r="8" ht="15.75" customHeight="1">
      <c r="A8" s="115" t="str">
        <f>'1. Справочник'!C7</f>
        <v>WS E 1202</v>
      </c>
      <c r="B8" s="116" t="str">
        <f>'1. Справочник'!D7</f>
        <v>WS</v>
      </c>
      <c r="C8" s="117" t="str">
        <f>'1. Справочник'!F7</f>
        <v>1+1</v>
      </c>
      <c r="D8" s="116"/>
      <c r="E8" s="116"/>
      <c r="F8" s="116"/>
      <c r="G8" s="116"/>
      <c r="H8" s="116"/>
      <c r="I8" s="116"/>
      <c r="J8" s="116"/>
      <c r="K8" s="116"/>
      <c r="L8" s="116"/>
      <c r="M8" s="116"/>
      <c r="N8" s="116"/>
      <c r="O8" s="116"/>
      <c r="P8" s="116"/>
    </row>
    <row r="9" ht="15.75" customHeight="1">
      <c r="A9" s="115" t="str">
        <f>'1. Справочник'!C8</f>
        <v>WS A 409</v>
      </c>
      <c r="B9" s="116" t="str">
        <f>'1. Справочник'!D8</f>
        <v>WS</v>
      </c>
      <c r="C9" s="117" t="str">
        <f>'1. Справочник'!F8</f>
        <v>Студия</v>
      </c>
      <c r="D9" s="116"/>
      <c r="E9" s="116"/>
      <c r="F9" s="116"/>
      <c r="G9" s="116"/>
      <c r="H9" s="116"/>
      <c r="I9" s="116"/>
      <c r="J9" s="116"/>
      <c r="K9" s="116"/>
      <c r="L9" s="116"/>
      <c r="M9" s="116"/>
      <c r="N9" s="116"/>
      <c r="O9" s="116"/>
      <c r="P9" s="116"/>
    </row>
    <row r="10" ht="15.75" customHeight="1">
      <c r="A10" s="115" t="str">
        <f>'1. Справочник'!C9</f>
        <v>WS A 608</v>
      </c>
      <c r="B10" s="116" t="str">
        <f>'1. Справочник'!D9</f>
        <v>WS</v>
      </c>
      <c r="C10" s="117" t="str">
        <f>'1. Справочник'!F9</f>
        <v>Студия</v>
      </c>
      <c r="D10" s="116"/>
      <c r="E10" s="116"/>
      <c r="F10" s="116"/>
      <c r="G10" s="116"/>
      <c r="H10" s="116"/>
      <c r="I10" s="116"/>
      <c r="J10" s="116"/>
      <c r="K10" s="116"/>
      <c r="L10" s="116"/>
      <c r="M10" s="116"/>
      <c r="N10" s="116"/>
      <c r="O10" s="116"/>
      <c r="P10" s="116"/>
    </row>
    <row r="11" ht="15.75" customHeight="1">
      <c r="A11" s="115" t="str">
        <f>'1. Справочник'!C10</f>
        <v>WS A907</v>
      </c>
      <c r="B11" s="116" t="str">
        <f>'1. Справочник'!D10</f>
        <v>WS</v>
      </c>
      <c r="C11" s="117" t="str">
        <f>'1. Справочник'!F10</f>
        <v>Студия/твин</v>
      </c>
      <c r="D11" s="116"/>
      <c r="E11" s="116"/>
      <c r="F11" s="116"/>
      <c r="G11" s="116"/>
      <c r="H11" s="116"/>
      <c r="I11" s="116"/>
      <c r="J11" s="116"/>
      <c r="K11" s="116"/>
      <c r="L11" s="116"/>
      <c r="M11" s="116"/>
      <c r="N11" s="116"/>
      <c r="O11" s="116"/>
      <c r="P11" s="116"/>
    </row>
    <row r="12" ht="15.75" customHeight="1">
      <c r="A12" s="115" t="str">
        <f>'1. Справочник'!C11</f>
        <v>WS Е804</v>
      </c>
      <c r="B12" s="116" t="str">
        <f>'1. Справочник'!D11</f>
        <v>WS</v>
      </c>
      <c r="C12" s="117" t="str">
        <f>'1. Справочник'!F11</f>
        <v>Студия/твин</v>
      </c>
      <c r="D12" s="116"/>
      <c r="E12" s="116"/>
      <c r="F12" s="116"/>
      <c r="G12" s="116"/>
      <c r="H12" s="116"/>
      <c r="I12" s="116"/>
      <c r="J12" s="116"/>
      <c r="K12" s="116"/>
      <c r="L12" s="116"/>
      <c r="M12" s="116"/>
      <c r="N12" s="116"/>
      <c r="O12" s="116"/>
      <c r="P12" s="116"/>
    </row>
    <row r="13" ht="15.75" customHeight="1">
      <c r="A13" s="115" t="str">
        <f>'1. Справочник'!C12</f>
        <v>WS E704</v>
      </c>
      <c r="B13" s="116" t="str">
        <f>'1. Справочник'!D12</f>
        <v>WS</v>
      </c>
      <c r="C13" s="117" t="str">
        <f>'1. Справочник'!F12</f>
        <v>Студия</v>
      </c>
      <c r="D13" s="116"/>
      <c r="E13" s="116"/>
      <c r="F13" s="116"/>
      <c r="G13" s="116"/>
      <c r="H13" s="116"/>
      <c r="I13" s="116"/>
      <c r="J13" s="116"/>
      <c r="K13" s="116"/>
      <c r="L13" s="116"/>
      <c r="M13" s="116"/>
      <c r="N13" s="116"/>
      <c r="O13" s="116"/>
      <c r="P13" s="116"/>
    </row>
    <row r="14" ht="15.75" customHeight="1">
      <c r="A14" s="115" t="str">
        <f>'1. Справочник'!C13</f>
        <v>WS A805</v>
      </c>
      <c r="B14" s="116" t="str">
        <f>'1. Справочник'!D13</f>
        <v>WS</v>
      </c>
      <c r="C14" s="117" t="str">
        <f>'1. Справочник'!F13</f>
        <v>Студия</v>
      </c>
      <c r="D14" s="116"/>
      <c r="E14" s="116"/>
      <c r="F14" s="116"/>
      <c r="G14" s="116"/>
      <c r="H14" s="116"/>
      <c r="I14" s="116"/>
      <c r="J14" s="116"/>
      <c r="K14" s="116"/>
      <c r="L14" s="116"/>
      <c r="M14" s="116"/>
      <c r="N14" s="116"/>
      <c r="O14" s="116"/>
      <c r="P14" s="116"/>
    </row>
    <row r="15" ht="15.75" customHeight="1">
      <c r="A15" s="115" t="str">
        <f>'1. Справочник'!C14</f>
        <v>WS F1103</v>
      </c>
      <c r="B15" s="116" t="str">
        <f>'1. Справочник'!D14</f>
        <v>WS</v>
      </c>
      <c r="C15" s="117" t="str">
        <f>'1. Справочник'!F14</f>
        <v>1+1</v>
      </c>
      <c r="D15" s="116"/>
      <c r="E15" s="116"/>
      <c r="F15" s="116"/>
      <c r="G15" s="116"/>
      <c r="H15" s="116"/>
      <c r="I15" s="116"/>
      <c r="J15" s="116"/>
      <c r="K15" s="116"/>
      <c r="L15" s="116"/>
      <c r="M15" s="116"/>
      <c r="N15" s="116"/>
      <c r="O15" s="116"/>
      <c r="P15" s="116"/>
    </row>
    <row r="16" ht="15.75" customHeight="1">
      <c r="A16" s="115" t="str">
        <f>'1. Справочник'!C15</f>
        <v>WS F1008</v>
      </c>
      <c r="B16" s="116" t="str">
        <f>'1. Справочник'!D15</f>
        <v>WS</v>
      </c>
      <c r="C16" s="117" t="str">
        <f>'1. Справочник'!F15</f>
        <v>Студия</v>
      </c>
      <c r="D16" s="116"/>
      <c r="E16" s="116"/>
      <c r="F16" s="116"/>
      <c r="G16" s="116"/>
      <c r="H16" s="116"/>
      <c r="I16" s="116"/>
      <c r="J16" s="116"/>
      <c r="K16" s="116"/>
      <c r="L16" s="116"/>
      <c r="M16" s="116"/>
      <c r="N16" s="116"/>
      <c r="O16" s="116"/>
      <c r="P16" s="116"/>
    </row>
    <row r="17" ht="15.75" customHeight="1">
      <c r="A17" s="115" t="str">
        <f>'1. Справочник'!C16</f>
        <v>BV1318</v>
      </c>
      <c r="B17" s="116" t="str">
        <f>'1. Справочник'!D16</f>
        <v>BV</v>
      </c>
      <c r="C17" s="117" t="str">
        <f>'1. Справочник'!F16</f>
        <v>Студия</v>
      </c>
      <c r="D17" s="116"/>
      <c r="E17" s="116"/>
      <c r="F17" s="116"/>
      <c r="G17" s="116"/>
      <c r="H17" s="116"/>
      <c r="I17" s="116"/>
      <c r="J17" s="116"/>
      <c r="K17" s="116"/>
      <c r="L17" s="116"/>
      <c r="M17" s="116"/>
      <c r="N17" s="116"/>
      <c r="O17" s="116"/>
      <c r="P17" s="116"/>
    </row>
    <row r="18" ht="15.75" customHeight="1">
      <c r="A18" s="115" t="str">
        <f>'1. Справочник'!C17</f>
        <v>BV A 100</v>
      </c>
      <c r="B18" s="116" t="str">
        <f>'1. Справочник'!D17</f>
        <v>BV</v>
      </c>
      <c r="C18" s="117" t="str">
        <f>'1. Справочник'!F17</f>
        <v>Студия</v>
      </c>
      <c r="D18" s="116"/>
      <c r="E18" s="116"/>
      <c r="F18" s="116"/>
      <c r="G18" s="116"/>
      <c r="H18" s="116"/>
      <c r="I18" s="116"/>
      <c r="J18" s="116"/>
      <c r="K18" s="116"/>
      <c r="L18" s="116"/>
      <c r="M18" s="116"/>
      <c r="N18" s="116"/>
      <c r="O18" s="116"/>
      <c r="P18" s="116"/>
    </row>
    <row r="19" ht="15.75" customHeight="1">
      <c r="A19" s="115" t="str">
        <f>'1. Справочник'!C18</f>
        <v>Steps1123</v>
      </c>
      <c r="B19" s="116" t="str">
        <f>'1. Справочник'!D18</f>
        <v>ST</v>
      </c>
      <c r="C19" s="117" t="str">
        <f>'1. Справочник'!F18</f>
        <v>Студия</v>
      </c>
      <c r="D19" s="116"/>
      <c r="E19" s="116"/>
      <c r="F19" s="116"/>
      <c r="G19" s="116"/>
      <c r="H19" s="116"/>
      <c r="I19" s="116"/>
      <c r="J19" s="116"/>
      <c r="K19" s="116"/>
      <c r="L19" s="116"/>
      <c r="M19" s="116"/>
      <c r="N19" s="116"/>
      <c r="O19" s="116"/>
      <c r="P19" s="116"/>
    </row>
    <row r="20" ht="15.75" customHeight="1">
      <c r="A20" s="115" t="str">
        <f>'1. Справочник'!C19</f>
        <v>WH 176</v>
      </c>
      <c r="B20" s="116" t="str">
        <f>'1. Справочник'!D19</f>
        <v>WH </v>
      </c>
      <c r="C20" s="117" t="str">
        <f>'1. Справочник'!F19</f>
        <v>Студия</v>
      </c>
      <c r="D20" s="116"/>
      <c r="E20" s="116"/>
      <c r="F20" s="116"/>
      <c r="G20" s="116"/>
      <c r="H20" s="116"/>
      <c r="I20" s="116"/>
      <c r="J20" s="116"/>
      <c r="K20" s="116"/>
      <c r="L20" s="116"/>
      <c r="M20" s="116"/>
      <c r="N20" s="116"/>
      <c r="O20" s="116"/>
      <c r="P20" s="116"/>
    </row>
    <row r="21" ht="15.75" customHeight="1">
      <c r="A21" s="115" t="str">
        <f>'1. Справочник'!C20</f>
        <v>OBT 2906</v>
      </c>
      <c r="B21" s="116" t="str">
        <f>'1. Справочник'!D20</f>
        <v>OBT </v>
      </c>
      <c r="C21" s="117" t="str">
        <f>'1. Справочник'!F20</f>
        <v>Студия</v>
      </c>
      <c r="D21" s="116"/>
      <c r="E21" s="116"/>
      <c r="F21" s="116"/>
      <c r="G21" s="116"/>
      <c r="H21" s="116"/>
      <c r="I21" s="116"/>
      <c r="J21" s="116"/>
      <c r="K21" s="116"/>
      <c r="L21" s="116"/>
      <c r="M21" s="116"/>
      <c r="N21" s="116"/>
      <c r="O21" s="116"/>
      <c r="P21" s="116"/>
    </row>
    <row r="22" ht="15.75" customHeight="1">
      <c r="A22" s="115" t="str">
        <f>'1. Справочник'!C21</f>
        <v>OBT 2908</v>
      </c>
      <c r="B22" s="116" t="str">
        <f>'1. Справочник'!D21</f>
        <v>OBT </v>
      </c>
      <c r="C22" s="117" t="str">
        <f>'1. Справочник'!F21</f>
        <v>Студия</v>
      </c>
      <c r="D22" s="116"/>
      <c r="E22" s="116"/>
      <c r="F22" s="116"/>
      <c r="G22" s="116"/>
      <c r="H22" s="116"/>
      <c r="I22" s="116"/>
      <c r="J22" s="116"/>
      <c r="K22" s="116"/>
      <c r="L22" s="116"/>
      <c r="M22" s="116"/>
      <c r="N22" s="116"/>
      <c r="O22" s="116"/>
      <c r="P22" s="116"/>
    </row>
    <row r="23" ht="15.75" customHeight="1">
      <c r="A23" s="115" t="str">
        <f>'1. Справочник'!C22</f>
        <v>OBT 2910</v>
      </c>
      <c r="B23" s="116" t="str">
        <f>'1. Справочник'!D22</f>
        <v>OBT </v>
      </c>
      <c r="C23" s="117" t="str">
        <f>'1. Справочник'!F22</f>
        <v>Студия</v>
      </c>
      <c r="D23" s="116"/>
      <c r="E23" s="116"/>
      <c r="F23" s="116"/>
      <c r="G23" s="116"/>
      <c r="H23" s="116"/>
      <c r="I23" s="116"/>
      <c r="J23" s="116"/>
      <c r="K23" s="116"/>
      <c r="L23" s="116"/>
      <c r="M23" s="116"/>
      <c r="N23" s="116"/>
      <c r="O23" s="116"/>
      <c r="P23" s="116"/>
    </row>
    <row r="24" ht="15.75" customHeight="1">
      <c r="A24" s="115" t="str">
        <f>'1. Справочник'!C23</f>
        <v>BV A 133 (0715)</v>
      </c>
      <c r="B24" s="116" t="str">
        <f>'1. Справочник'!D23</f>
        <v>BV</v>
      </c>
      <c r="C24" s="117" t="str">
        <f>'1. Справочник'!F23</f>
        <v>1+1</v>
      </c>
      <c r="D24" s="116"/>
      <c r="E24" s="116"/>
      <c r="F24" s="116"/>
      <c r="G24" s="116"/>
      <c r="H24" s="116"/>
      <c r="I24" s="116"/>
      <c r="J24" s="116"/>
      <c r="K24" s="116"/>
      <c r="L24" s="116"/>
      <c r="M24" s="116"/>
      <c r="N24" s="116"/>
      <c r="O24" s="116"/>
      <c r="P24" s="116"/>
    </row>
    <row r="25" ht="15.75" customHeight="1">
      <c r="A25" s="115" t="str">
        <f>'1. Справочник'!C24</f>
        <v>BV A 134 (0713)</v>
      </c>
      <c r="B25" s="116" t="str">
        <f>'1. Справочник'!D24</f>
        <v>BV</v>
      </c>
      <c r="C25" s="117" t="str">
        <f>'1. Справочник'!F24</f>
        <v>1+1</v>
      </c>
      <c r="D25" s="116"/>
      <c r="E25" s="116"/>
      <c r="F25" s="116"/>
      <c r="G25" s="116"/>
      <c r="H25" s="116"/>
      <c r="I25" s="116"/>
      <c r="J25" s="116"/>
      <c r="K25" s="116"/>
      <c r="L25" s="116"/>
      <c r="M25" s="116"/>
      <c r="N25" s="116"/>
      <c r="O25" s="116"/>
      <c r="P25" s="116"/>
    </row>
    <row r="26" ht="15.75" customHeight="1">
      <c r="A26" s="115" t="str">
        <f>'1. Справочник'!C25</f>
        <v>BV A 144 (0708)</v>
      </c>
      <c r="B26" s="116" t="str">
        <f>'1. Справочник'!D25</f>
        <v>BV</v>
      </c>
      <c r="C26" s="117" t="str">
        <f>'1. Справочник'!F25</f>
        <v>1+1</v>
      </c>
      <c r="D26" s="116"/>
      <c r="E26" s="116"/>
      <c r="F26" s="116"/>
      <c r="G26" s="116"/>
      <c r="H26" s="116"/>
      <c r="I26" s="116"/>
      <c r="J26" s="116"/>
      <c r="K26" s="116"/>
      <c r="L26" s="116"/>
      <c r="M26" s="116"/>
      <c r="N26" s="116"/>
      <c r="O26" s="116"/>
      <c r="P26" s="116"/>
    </row>
    <row r="27" ht="15.75" customHeight="1">
      <c r="A27" s="115" t="str">
        <f>'1. Справочник'!C26</f>
        <v>BV A 145 (0710)</v>
      </c>
      <c r="B27" s="116" t="str">
        <f>'1. Справочник'!D26</f>
        <v>BV</v>
      </c>
      <c r="C27" s="117" t="str">
        <f>'1. Справочник'!F26</f>
        <v>1+1</v>
      </c>
      <c r="D27" s="116"/>
      <c r="E27" s="116"/>
      <c r="F27" s="116"/>
      <c r="G27" s="116"/>
      <c r="H27" s="116"/>
      <c r="I27" s="116"/>
      <c r="J27" s="116"/>
      <c r="K27" s="116"/>
      <c r="L27" s="116"/>
      <c r="M27" s="116"/>
      <c r="N27" s="116"/>
      <c r="O27" s="116"/>
      <c r="P27" s="116"/>
    </row>
    <row r="28" ht="15.75" customHeight="1">
      <c r="A28" s="115" t="str">
        <f>'1. Справочник'!C27</f>
        <v>BV A 147 (0714)</v>
      </c>
      <c r="B28" s="116" t="str">
        <f>'1. Справочник'!D27</f>
        <v>BV</v>
      </c>
      <c r="C28" s="117" t="str">
        <f>'1. Справочник'!F27</f>
        <v>1+1</v>
      </c>
      <c r="D28" s="116"/>
      <c r="E28" s="116"/>
      <c r="F28" s="116"/>
      <c r="G28" s="116"/>
      <c r="H28" s="116"/>
      <c r="I28" s="116"/>
      <c r="J28" s="116"/>
      <c r="K28" s="116"/>
      <c r="L28" s="116"/>
      <c r="M28" s="116"/>
      <c r="N28" s="116"/>
      <c r="O28" s="116"/>
      <c r="P28" s="116"/>
    </row>
    <row r="29" ht="15.75" customHeight="1">
      <c r="A29" s="115" t="str">
        <f>'1. Справочник'!C28</f>
        <v>BV A 164 (0804)</v>
      </c>
      <c r="B29" s="116" t="str">
        <f>'1. Справочник'!D28</f>
        <v>BV</v>
      </c>
      <c r="C29" s="117" t="str">
        <f>'1. Справочник'!F28</f>
        <v>1+1</v>
      </c>
      <c r="D29" s="116"/>
      <c r="E29" s="116"/>
      <c r="F29" s="116"/>
      <c r="G29" s="116"/>
      <c r="H29" s="116"/>
      <c r="I29" s="116"/>
      <c r="J29" s="116"/>
      <c r="K29" s="116"/>
      <c r="L29" s="116"/>
      <c r="M29" s="116"/>
      <c r="N29" s="116"/>
      <c r="O29" s="116"/>
      <c r="P29" s="116"/>
    </row>
    <row r="30" ht="15.75" customHeight="1">
      <c r="A30" s="115" t="str">
        <f>'1. Справочник'!C29</f>
        <v>BV A 225 (1106)</v>
      </c>
      <c r="B30" s="116" t="str">
        <f>'1. Справочник'!D29</f>
        <v>BV</v>
      </c>
      <c r="C30" s="117" t="str">
        <f>'1. Справочник'!F29</f>
        <v>1+1</v>
      </c>
      <c r="D30" s="116"/>
      <c r="E30" s="116"/>
      <c r="F30" s="116"/>
      <c r="G30" s="116"/>
      <c r="H30" s="116"/>
      <c r="I30" s="116"/>
      <c r="J30" s="116"/>
      <c r="K30" s="116"/>
      <c r="L30" s="116"/>
      <c r="M30" s="116"/>
      <c r="N30" s="116"/>
      <c r="O30" s="116"/>
      <c r="P30" s="116"/>
    </row>
    <row r="31" ht="15.75" customHeight="1">
      <c r="A31" s="115" t="str">
        <f>'1. Справочник'!C30</f>
        <v>BV A 210 (1014)</v>
      </c>
      <c r="B31" s="116" t="str">
        <f>'1. Справочник'!D30</f>
        <v>BV</v>
      </c>
      <c r="C31" s="117" t="str">
        <f>'1. Справочник'!F30</f>
        <v>1+1</v>
      </c>
      <c r="D31" s="116"/>
      <c r="E31" s="116"/>
      <c r="F31" s="116"/>
      <c r="G31" s="116"/>
      <c r="H31" s="116"/>
      <c r="I31" s="116"/>
      <c r="J31" s="116"/>
      <c r="K31" s="116"/>
      <c r="L31" s="116"/>
      <c r="M31" s="116"/>
      <c r="N31" s="116"/>
      <c r="O31" s="116"/>
      <c r="P31" s="116"/>
    </row>
    <row r="32" ht="15.75" customHeight="1">
      <c r="A32" s="115" t="str">
        <f>'1. Справочник'!C31</f>
        <v>BV C 137 (0707)</v>
      </c>
      <c r="B32" s="116" t="str">
        <f>'1. Справочник'!D31</f>
        <v>BV</v>
      </c>
      <c r="C32" s="117" t="str">
        <f>'1. Справочник'!F31</f>
        <v>Студия</v>
      </c>
      <c r="D32" s="116"/>
      <c r="E32" s="116"/>
      <c r="F32" s="116"/>
      <c r="G32" s="116"/>
      <c r="H32" s="116"/>
      <c r="I32" s="116"/>
      <c r="J32" s="116"/>
      <c r="K32" s="116"/>
      <c r="L32" s="116"/>
      <c r="M32" s="116"/>
      <c r="N32" s="116"/>
      <c r="O32" s="116"/>
      <c r="P32" s="116"/>
    </row>
    <row r="33" ht="15.75" customHeight="1">
      <c r="A33" s="115" t="str">
        <f>'1. Справочник'!C32</f>
        <v>BV C 0505</v>
      </c>
      <c r="B33" s="116" t="str">
        <f>'1. Справочник'!D32</f>
        <v>BV</v>
      </c>
      <c r="C33" s="117" t="str">
        <f>'1. Справочник'!F32</f>
        <v>Студия</v>
      </c>
      <c r="D33" s="116"/>
      <c r="E33" s="116"/>
      <c r="F33" s="116"/>
      <c r="G33" s="116"/>
      <c r="H33" s="116"/>
      <c r="I33" s="116"/>
      <c r="J33" s="116"/>
      <c r="K33" s="116"/>
      <c r="L33" s="116"/>
      <c r="M33" s="116"/>
      <c r="N33" s="116"/>
      <c r="O33" s="116"/>
      <c r="P33" s="116"/>
    </row>
    <row r="34" ht="15.75" customHeight="1">
      <c r="A34" s="115" t="str">
        <f>'1. Справочник'!C33</f>
        <v>MC A 708</v>
      </c>
      <c r="B34" s="116" t="str">
        <f>'1. Справочник'!D33</f>
        <v>MC</v>
      </c>
      <c r="C34" s="117" t="str">
        <f>'1. Справочник'!F33</f>
        <v>Студия</v>
      </c>
      <c r="D34" s="116"/>
      <c r="E34" s="116"/>
      <c r="F34" s="116"/>
      <c r="G34" s="116"/>
      <c r="H34" s="116"/>
      <c r="I34" s="116"/>
      <c r="J34" s="116"/>
      <c r="K34" s="116"/>
      <c r="L34" s="116"/>
      <c r="M34" s="116"/>
      <c r="N34" s="116"/>
      <c r="O34" s="116"/>
      <c r="P34" s="116"/>
    </row>
    <row r="35" ht="15.75" customHeight="1">
      <c r="A35" s="115" t="str">
        <f>'1. Справочник'!C34</f>
        <v>С 1125</v>
      </c>
      <c r="B35" s="116" t="str">
        <f>'1. Справочник'!D34</f>
        <v>Orbi</v>
      </c>
      <c r="C35" s="117" t="str">
        <f>'1. Справочник'!F34</f>
        <v>Студия</v>
      </c>
      <c r="D35" s="116"/>
      <c r="E35" s="116"/>
      <c r="F35" s="116"/>
      <c r="G35" s="116"/>
      <c r="H35" s="116"/>
      <c r="I35" s="116"/>
      <c r="J35" s="116"/>
      <c r="K35" s="116"/>
      <c r="L35" s="116"/>
      <c r="M35" s="116"/>
      <c r="N35" s="116"/>
      <c r="O35" s="116"/>
      <c r="P35" s="116"/>
    </row>
    <row r="36" ht="15.75" customHeight="1">
      <c r="A36" s="115" t="str">
        <f>'1. Справочник'!C35</f>
        <v>С 1443</v>
      </c>
      <c r="B36" s="116" t="str">
        <f>'1. Справочник'!D35</f>
        <v>Orbi</v>
      </c>
      <c r="C36" s="117" t="str">
        <f>'1. Справочник'!F35</f>
        <v>1+1</v>
      </c>
      <c r="D36" s="116"/>
      <c r="E36" s="116"/>
      <c r="F36" s="116"/>
      <c r="G36" s="116"/>
      <c r="H36" s="116"/>
      <c r="I36" s="116"/>
      <c r="J36" s="116"/>
      <c r="K36" s="116"/>
      <c r="L36" s="116"/>
      <c r="M36" s="116"/>
      <c r="N36" s="116"/>
      <c r="O36" s="116"/>
      <c r="P36" s="116"/>
    </row>
    <row r="37" ht="15.75" customHeight="1">
      <c r="A37" s="115" t="str">
        <f>'1. Справочник'!C36</f>
        <v>C 4245</v>
      </c>
      <c r="B37" s="116" t="str">
        <f>'1. Справочник'!D36</f>
        <v>Orbi</v>
      </c>
      <c r="C37" s="117" t="str">
        <f>'1. Справочник'!F36</f>
        <v>1+1</v>
      </c>
      <c r="D37" s="116"/>
      <c r="E37" s="116"/>
      <c r="F37" s="116"/>
      <c r="G37" s="116"/>
      <c r="H37" s="116"/>
      <c r="I37" s="116"/>
      <c r="J37" s="116"/>
      <c r="K37" s="116"/>
      <c r="L37" s="116"/>
      <c r="M37" s="116"/>
      <c r="N37" s="116"/>
      <c r="O37" s="116"/>
      <c r="P37" s="116"/>
    </row>
    <row r="38" ht="15.75" customHeight="1">
      <c r="A38" s="115" t="str">
        <f>'1. Справочник'!C37</f>
        <v>А 4049</v>
      </c>
      <c r="B38" s="116" t="str">
        <f>'1. Справочник'!D37</f>
        <v>Orbi</v>
      </c>
      <c r="C38" s="117" t="str">
        <f>'1. Справочник'!F37</f>
        <v>Студия</v>
      </c>
      <c r="D38" s="116"/>
      <c r="E38" s="116"/>
      <c r="F38" s="116"/>
      <c r="G38" s="116"/>
      <c r="H38" s="116"/>
      <c r="I38" s="116"/>
      <c r="J38" s="116"/>
      <c r="K38" s="116"/>
      <c r="L38" s="116"/>
      <c r="M38" s="116"/>
      <c r="N38" s="116"/>
      <c r="O38" s="116"/>
      <c r="P38" s="116"/>
    </row>
    <row r="39" ht="15.75" customHeight="1">
      <c r="A39" s="115" t="str">
        <f>'1. Справочник'!C38</f>
        <v>C 732</v>
      </c>
      <c r="B39" s="116" t="str">
        <f>'1. Справочник'!D38</f>
        <v>Orbi</v>
      </c>
      <c r="C39" s="117" t="str">
        <f>'1. Справочник'!F38</f>
        <v>Студия</v>
      </c>
      <c r="D39" s="116"/>
      <c r="E39" s="116"/>
      <c r="F39" s="116"/>
      <c r="G39" s="116"/>
      <c r="H39" s="116"/>
      <c r="I39" s="116"/>
      <c r="J39" s="116"/>
      <c r="K39" s="116"/>
      <c r="L39" s="116"/>
      <c r="M39" s="116"/>
      <c r="N39" s="116"/>
      <c r="O39" s="116"/>
      <c r="P39" s="116"/>
    </row>
    <row r="40" ht="15.75" customHeight="1">
      <c r="A40" s="115" t="str">
        <f>'1. Справочник'!C39</f>
        <v>С 2756</v>
      </c>
      <c r="B40" s="116" t="str">
        <f>'1. Справочник'!D39</f>
        <v>Orbi</v>
      </c>
      <c r="C40" s="117" t="str">
        <f>'1. Справочник'!F39</f>
        <v>Студия</v>
      </c>
      <c r="D40" s="116"/>
      <c r="E40" s="116"/>
      <c r="F40" s="116"/>
      <c r="G40" s="116"/>
      <c r="H40" s="116"/>
      <c r="I40" s="116"/>
      <c r="J40" s="116"/>
      <c r="K40" s="116"/>
      <c r="L40" s="116"/>
      <c r="M40" s="116"/>
      <c r="N40" s="116"/>
      <c r="O40" s="116"/>
      <c r="P40" s="116"/>
    </row>
    <row r="41" ht="15.75" customHeight="1">
      <c r="A41" s="115" t="str">
        <f>'1. Справочник'!C40</f>
        <v>D 1321</v>
      </c>
      <c r="B41" s="116" t="str">
        <f>'1. Справочник'!D40</f>
        <v>Orbi</v>
      </c>
      <c r="C41" s="117" t="str">
        <f>'1. Справочник'!F40</f>
        <v>Студия</v>
      </c>
      <c r="D41" s="116"/>
      <c r="E41" s="116"/>
      <c r="F41" s="116"/>
      <c r="G41" s="116"/>
      <c r="H41" s="116"/>
      <c r="I41" s="116"/>
      <c r="J41" s="116"/>
      <c r="K41" s="116"/>
      <c r="L41" s="116"/>
      <c r="M41" s="116"/>
      <c r="N41" s="116"/>
      <c r="O41" s="116"/>
      <c r="P41" s="116"/>
    </row>
    <row r="42" ht="15.75" customHeight="1">
      <c r="A42" s="115" t="str">
        <f>'1. Справочник'!C41</f>
        <v>D2 1625</v>
      </c>
      <c r="B42" s="116" t="str">
        <f>'1. Справочник'!D41</f>
        <v>Orbi</v>
      </c>
      <c r="C42" s="117" t="str">
        <f>'1. Справочник'!F41</f>
        <v>1+1</v>
      </c>
      <c r="D42" s="116"/>
      <c r="E42" s="116"/>
      <c r="F42" s="116"/>
      <c r="G42" s="116"/>
      <c r="H42" s="116"/>
      <c r="I42" s="116"/>
      <c r="J42" s="116"/>
      <c r="K42" s="116"/>
      <c r="L42" s="116"/>
      <c r="M42" s="116"/>
      <c r="N42" s="116"/>
      <c r="O42" s="116"/>
      <c r="P42" s="116"/>
    </row>
    <row r="43" ht="15.75" customHeight="1">
      <c r="A43" s="115" t="str">
        <f>'1. Справочник'!C42</f>
        <v>D2 3216</v>
      </c>
      <c r="B43" s="116" t="str">
        <f>'1. Справочник'!D42</f>
        <v>Orbi</v>
      </c>
      <c r="C43" s="117" t="str">
        <f>'1. Справочник'!F42</f>
        <v>1+1</v>
      </c>
      <c r="D43" s="116"/>
      <c r="E43" s="116"/>
      <c r="F43" s="116"/>
      <c r="G43" s="116"/>
      <c r="H43" s="116"/>
      <c r="I43" s="116"/>
      <c r="J43" s="116"/>
      <c r="K43" s="116"/>
      <c r="L43" s="116"/>
      <c r="M43" s="116"/>
      <c r="N43" s="116"/>
      <c r="O43" s="116"/>
      <c r="P43" s="116"/>
    </row>
    <row r="44" ht="15.75" customHeight="1">
      <c r="A44" s="115" t="str">
        <f>'1. Справочник'!C43</f>
        <v>D1 3902</v>
      </c>
      <c r="B44" s="116" t="str">
        <f>'1. Справочник'!D43</f>
        <v>Orbi</v>
      </c>
      <c r="C44" s="117" t="str">
        <f>'1. Справочник'!F43</f>
        <v>1+1</v>
      </c>
      <c r="D44" s="116"/>
      <c r="E44" s="116"/>
      <c r="F44" s="116"/>
      <c r="G44" s="116"/>
      <c r="H44" s="116"/>
      <c r="I44" s="116"/>
      <c r="J44" s="116"/>
      <c r="K44" s="116"/>
      <c r="L44" s="116"/>
      <c r="M44" s="116"/>
      <c r="N44" s="116"/>
      <c r="O44" s="116"/>
      <c r="P44" s="116"/>
    </row>
    <row r="45" ht="15.75" customHeight="1">
      <c r="A45" s="115" t="str">
        <f>'1. Справочник'!C44</f>
        <v>D2 503</v>
      </c>
      <c r="B45" s="116" t="str">
        <f>'1. Справочник'!D44</f>
        <v>Orbi</v>
      </c>
      <c r="C45" s="117" t="str">
        <f>'1. Справочник'!F44</f>
        <v>1+1</v>
      </c>
      <c r="D45" s="116"/>
      <c r="E45" s="116"/>
      <c r="F45" s="116"/>
      <c r="G45" s="116"/>
      <c r="H45" s="116"/>
      <c r="I45" s="116"/>
      <c r="J45" s="116"/>
      <c r="K45" s="116"/>
      <c r="L45" s="116"/>
      <c r="M45" s="116"/>
      <c r="N45" s="116"/>
      <c r="O45" s="116"/>
      <c r="P45" s="116"/>
    </row>
    <row r="46" ht="15.75" customHeight="1">
      <c r="A46" s="115" t="str">
        <f>'1. Справочник'!C45</f>
        <v>CM 1604</v>
      </c>
      <c r="B46" s="116" t="str">
        <f>'1. Справочник'!D45</f>
        <v>CM</v>
      </c>
      <c r="C46" s="117" t="str">
        <f>'1. Справочник'!F45</f>
        <v>1+1</v>
      </c>
      <c r="D46" s="116"/>
      <c r="E46" s="116"/>
      <c r="F46" s="116"/>
      <c r="G46" s="116"/>
      <c r="H46" s="116"/>
      <c r="I46" s="116"/>
      <c r="J46" s="116"/>
      <c r="K46" s="116"/>
      <c r="L46" s="116"/>
      <c r="M46" s="116"/>
      <c r="N46" s="116"/>
      <c r="O46" s="116"/>
      <c r="P46" s="116"/>
    </row>
    <row r="47" ht="15.75" customHeight="1">
      <c r="A47" s="115" t="str">
        <f>'1. Справочник'!C46</f>
        <v>CM 1606</v>
      </c>
      <c r="B47" s="116" t="str">
        <f>'1. Справочник'!D46</f>
        <v>CM</v>
      </c>
      <c r="C47" s="117" t="str">
        <f>'1. Справочник'!F46</f>
        <v>Студия</v>
      </c>
      <c r="D47" s="116"/>
      <c r="E47" s="116"/>
      <c r="F47" s="116"/>
      <c r="G47" s="116"/>
      <c r="H47" s="116"/>
      <c r="I47" s="116"/>
      <c r="J47" s="116"/>
      <c r="K47" s="116"/>
      <c r="L47" s="116"/>
      <c r="M47" s="116"/>
      <c r="N47" s="116"/>
      <c r="O47" s="116"/>
      <c r="P47" s="116"/>
    </row>
    <row r="48" ht="15.75" customHeight="1">
      <c r="A48" s="115" t="str">
        <f>'1. Справочник'!C47</f>
        <v>CM 1931</v>
      </c>
      <c r="B48" s="116" t="str">
        <f>'1. Справочник'!D47</f>
        <v>CM</v>
      </c>
      <c r="C48" s="117" t="str">
        <f>'1. Справочник'!F47</f>
        <v>Студия</v>
      </c>
      <c r="D48" s="116"/>
      <c r="E48" s="116"/>
      <c r="F48" s="116"/>
      <c r="G48" s="116"/>
      <c r="H48" s="116"/>
      <c r="I48" s="116"/>
      <c r="J48" s="116"/>
      <c r="K48" s="116"/>
      <c r="L48" s="116"/>
      <c r="M48" s="116"/>
      <c r="N48" s="116"/>
      <c r="O48" s="116"/>
      <c r="P48" s="116"/>
    </row>
    <row r="49" ht="15.75" customHeight="1">
      <c r="A49" s="115" t="str">
        <f>'1. Справочник'!C48</f>
        <v>CM 1304</v>
      </c>
      <c r="B49" s="116" t="str">
        <f>'1. Справочник'!D48</f>
        <v>CM</v>
      </c>
      <c r="C49" s="117" t="str">
        <f>'1. Справочник'!F48</f>
        <v>1+1</v>
      </c>
      <c r="D49" s="116"/>
      <c r="E49" s="116"/>
      <c r="F49" s="116"/>
      <c r="G49" s="116"/>
      <c r="H49" s="116"/>
      <c r="I49" s="116"/>
      <c r="J49" s="116"/>
      <c r="K49" s="116"/>
      <c r="L49" s="116"/>
      <c r="M49" s="116"/>
      <c r="N49" s="116"/>
      <c r="O49" s="116"/>
      <c r="P49" s="116"/>
    </row>
    <row r="50" ht="15.75" customHeight="1">
      <c r="A50" s="115" t="str">
        <f>'1. Справочник'!C49</f>
        <v>CM 1327</v>
      </c>
      <c r="B50" s="116" t="str">
        <f>'1. Справочник'!D49</f>
        <v>CM</v>
      </c>
      <c r="C50" s="117" t="str">
        <f>'1. Справочник'!F49</f>
        <v>1+1</v>
      </c>
      <c r="D50" s="116"/>
      <c r="E50" s="116"/>
      <c r="F50" s="116"/>
      <c r="G50" s="116"/>
      <c r="H50" s="116"/>
      <c r="I50" s="116"/>
      <c r="J50" s="116"/>
      <c r="K50" s="116"/>
      <c r="L50" s="116"/>
      <c r="M50" s="116"/>
      <c r="N50" s="116"/>
      <c r="O50" s="116"/>
      <c r="P50" s="116"/>
    </row>
    <row r="51" ht="15.75" customHeight="1">
      <c r="A51" s="115" t="str">
        <f>'1. Справочник'!C50</f>
        <v>Int 2905</v>
      </c>
      <c r="B51" s="116" t="str">
        <f>'1. Справочник'!D50</f>
        <v>Int</v>
      </c>
      <c r="C51" s="117" t="str">
        <f>'1. Справочник'!F50</f>
        <v>1+1</v>
      </c>
      <c r="D51" s="116"/>
      <c r="E51" s="116"/>
      <c r="F51" s="116"/>
      <c r="G51" s="116"/>
      <c r="H51" s="116"/>
      <c r="I51" s="116"/>
      <c r="J51" s="116"/>
      <c r="K51" s="116"/>
      <c r="L51" s="116"/>
      <c r="M51" s="116"/>
      <c r="N51" s="116"/>
      <c r="O51" s="116"/>
      <c r="P51" s="116"/>
    </row>
    <row r="52" ht="15.75" customHeight="1">
      <c r="A52" s="115" t="str">
        <f>'1. Справочник'!C51</f>
        <v>Int 2612</v>
      </c>
      <c r="B52" s="116" t="str">
        <f>'1. Справочник'!D51</f>
        <v>Int</v>
      </c>
      <c r="C52" s="117" t="str">
        <f>'1. Справочник'!F51</f>
        <v>1+1</v>
      </c>
      <c r="D52" s="116"/>
      <c r="E52" s="116"/>
      <c r="F52" s="116"/>
      <c r="G52" s="116"/>
      <c r="H52" s="116"/>
      <c r="I52" s="116"/>
      <c r="J52" s="116"/>
      <c r="K52" s="116"/>
      <c r="L52" s="116"/>
      <c r="M52" s="116"/>
      <c r="N52" s="116"/>
      <c r="O52" s="116"/>
      <c r="P52" s="116"/>
    </row>
    <row r="53" ht="15.75" customHeight="1">
      <c r="A53" s="115" t="str">
        <f>'1. Справочник'!C52</f>
        <v>Шар 2505</v>
      </c>
      <c r="B53" s="116" t="str">
        <f>'1. Справочник'!D52</f>
        <v>АГ</v>
      </c>
      <c r="C53" s="117" t="str">
        <f>'1. Справочник'!F52</f>
        <v>Студия</v>
      </c>
      <c r="D53" s="116"/>
      <c r="E53" s="116"/>
      <c r="F53" s="116"/>
      <c r="G53" s="116"/>
      <c r="H53" s="116"/>
      <c r="I53" s="116"/>
      <c r="J53" s="116"/>
      <c r="K53" s="116"/>
      <c r="L53" s="116"/>
      <c r="M53" s="116"/>
      <c r="N53" s="116"/>
      <c r="O53" s="116"/>
      <c r="P53" s="116"/>
    </row>
    <row r="54" ht="15.75" customHeight="1">
      <c r="A54" s="115" t="str">
        <f>'1. Справочник'!C53</f>
        <v>Шар 2708</v>
      </c>
      <c r="B54" s="116" t="str">
        <f>'1. Справочник'!D53</f>
        <v>АГ</v>
      </c>
      <c r="C54" s="117" t="str">
        <f>'1. Справочник'!F53</f>
        <v>1+1</v>
      </c>
      <c r="D54" s="116"/>
      <c r="E54" s="116"/>
      <c r="F54" s="116"/>
      <c r="G54" s="116"/>
      <c r="H54" s="116"/>
      <c r="I54" s="116"/>
      <c r="J54" s="116"/>
      <c r="K54" s="116"/>
      <c r="L54" s="116"/>
      <c r="M54" s="116"/>
      <c r="N54" s="116"/>
      <c r="O54" s="116"/>
      <c r="P54" s="116"/>
    </row>
    <row r="55" ht="15.75" customHeight="1">
      <c r="A55" s="115" t="str">
        <f>'1. Справочник'!C54</f>
        <v>Багратиони</v>
      </c>
      <c r="B55" s="116" t="str">
        <f>'1. Справочник'!D54</f>
        <v>АГ</v>
      </c>
      <c r="C55" s="117" t="str">
        <f>'1. Справочник'!F54</f>
        <v>1+2</v>
      </c>
      <c r="D55" s="116"/>
      <c r="E55" s="116"/>
      <c r="F55" s="116"/>
      <c r="G55" s="116"/>
      <c r="H55" s="116"/>
      <c r="I55" s="116"/>
      <c r="J55" s="116"/>
      <c r="K55" s="116"/>
      <c r="L55" s="116"/>
      <c r="M55" s="116"/>
      <c r="N55" s="116"/>
      <c r="O55" s="116"/>
      <c r="P55" s="116"/>
    </row>
    <row r="56" ht="15.75" customHeight="1">
      <c r="A56" s="115" t="str">
        <f>'1. Справочник'!C55</f>
        <v>Думбадзе</v>
      </c>
      <c r="B56" s="116" t="str">
        <f>'1. Справочник'!D55</f>
        <v/>
      </c>
      <c r="C56" s="117" t="str">
        <f>'1. Справочник'!F55</f>
        <v>1+1</v>
      </c>
      <c r="D56" s="116"/>
      <c r="E56" s="116"/>
      <c r="F56" s="116"/>
      <c r="G56" s="116"/>
      <c r="H56" s="116"/>
      <c r="I56" s="116"/>
      <c r="J56" s="116"/>
      <c r="K56" s="116"/>
      <c r="L56" s="116"/>
      <c r="M56" s="116"/>
      <c r="N56" s="116"/>
      <c r="O56" s="116"/>
      <c r="P56" s="116"/>
    </row>
    <row r="57" ht="15.75" customHeight="1">
      <c r="A57" s="115" t="str">
        <f>'1. Справочник'!C56</f>
        <v>26 мая 52 - 813</v>
      </c>
      <c r="B57" s="116" t="str">
        <f>'1. Справочник'!D56</f>
        <v/>
      </c>
      <c r="C57" s="117" t="str">
        <f>'1. Справочник'!F56</f>
        <v>1+1</v>
      </c>
      <c r="D57" s="116"/>
      <c r="E57" s="116"/>
      <c r="F57" s="116"/>
      <c r="G57" s="116"/>
      <c r="H57" s="116"/>
      <c r="I57" s="116"/>
      <c r="J57" s="116"/>
      <c r="K57" s="116"/>
      <c r="L57" s="116"/>
      <c r="M57" s="116"/>
      <c r="N57" s="116"/>
      <c r="O57" s="116"/>
      <c r="P57" s="116"/>
    </row>
    <row r="58" ht="15.75" customHeight="1">
      <c r="A58" s="115" t="str">
        <f>'1. Справочник'!C57</f>
        <v>PT2604</v>
      </c>
      <c r="B58" s="116" t="str">
        <f>'1. Справочник'!D57</f>
        <v/>
      </c>
      <c r="C58" s="117" t="str">
        <f>'1. Справочник'!F57</f>
        <v>Студия</v>
      </c>
      <c r="D58" s="116"/>
      <c r="E58" s="116"/>
      <c r="F58" s="116"/>
      <c r="G58" s="116"/>
      <c r="H58" s="116"/>
      <c r="I58" s="116"/>
      <c r="J58" s="116"/>
      <c r="K58" s="116"/>
      <c r="L58" s="116"/>
      <c r="M58" s="116"/>
      <c r="N58" s="116"/>
      <c r="O58" s="116"/>
      <c r="P58" s="116"/>
    </row>
    <row r="59" ht="15.75" customHeight="1">
      <c r="A59" s="115" t="str">
        <f>'1. Справочник'!C58</f>
        <v>PT2704</v>
      </c>
      <c r="B59" s="116" t="str">
        <f>'1. Справочник'!D58</f>
        <v/>
      </c>
      <c r="C59" s="117" t="str">
        <f>'1. Справочник'!F58</f>
        <v>Студия</v>
      </c>
      <c r="D59" s="116"/>
      <c r="E59" s="116"/>
      <c r="F59" s="116"/>
      <c r="G59" s="116"/>
      <c r="H59" s="116"/>
      <c r="I59" s="116"/>
      <c r="J59" s="116"/>
      <c r="K59" s="116"/>
      <c r="L59" s="116"/>
      <c r="M59" s="116"/>
      <c r="N59" s="116"/>
      <c r="O59" s="116"/>
      <c r="P59" s="116"/>
    </row>
    <row r="60" ht="15.75" customHeight="1">
      <c r="A60" s="115" t="str">
        <f>'1. Справочник'!C59</f>
        <v>PT3604</v>
      </c>
      <c r="B60" s="116" t="str">
        <f>'1. Справочник'!D59</f>
        <v/>
      </c>
      <c r="C60" s="117" t="str">
        <f>'1. Справочник'!F59</f>
        <v>Студия</v>
      </c>
      <c r="D60" s="116"/>
      <c r="E60" s="116"/>
      <c r="F60" s="116"/>
      <c r="G60" s="116"/>
      <c r="H60" s="116"/>
      <c r="I60" s="116"/>
      <c r="J60" s="116"/>
      <c r="K60" s="116"/>
      <c r="L60" s="116"/>
      <c r="M60" s="116"/>
      <c r="N60" s="116"/>
      <c r="O60" s="116"/>
      <c r="P60" s="116"/>
    </row>
    <row r="61" ht="15.75" customHeight="1">
      <c r="A61" s="115" t="str">
        <f>'1. Справочник'!C60</f>
        <v>NW 2-5</v>
      </c>
      <c r="B61" s="116" t="str">
        <f>'1. Справочник'!D60</f>
        <v>NW</v>
      </c>
      <c r="C61" s="117" t="str">
        <f>'1. Справочник'!F60</f>
        <v>1+1</v>
      </c>
      <c r="D61" s="116"/>
      <c r="E61" s="116"/>
      <c r="F61" s="116"/>
      <c r="G61" s="116"/>
      <c r="H61" s="116"/>
      <c r="I61" s="116"/>
      <c r="J61" s="116"/>
      <c r="K61" s="116"/>
      <c r="L61" s="116"/>
      <c r="M61" s="116"/>
      <c r="N61" s="116"/>
      <c r="O61" s="116"/>
      <c r="P61" s="116"/>
    </row>
    <row r="62" ht="15.75" customHeight="1">
      <c r="A62" s="115" t="str">
        <f>'1. Справочник'!C61</f>
        <v>NW 3-7</v>
      </c>
      <c r="B62" s="116" t="str">
        <f>'1. Справочник'!D61</f>
        <v>NW</v>
      </c>
      <c r="C62" s="117" t="str">
        <f>'1. Справочник'!F61</f>
        <v>Студия</v>
      </c>
      <c r="D62" s="116"/>
      <c r="E62" s="116"/>
      <c r="F62" s="116"/>
      <c r="G62" s="116"/>
      <c r="H62" s="116"/>
      <c r="I62" s="116"/>
      <c r="J62" s="116"/>
      <c r="K62" s="116"/>
      <c r="L62" s="116"/>
      <c r="M62" s="116"/>
      <c r="N62" s="116"/>
      <c r="O62" s="116"/>
      <c r="P62" s="116"/>
    </row>
    <row r="63" ht="15.75" customHeight="1">
      <c r="A63" s="115" t="str">
        <f>'1. Справочник'!C62</f>
        <v>NA 3-16</v>
      </c>
      <c r="B63" s="116" t="str">
        <f>'1. Справочник'!D62</f>
        <v>NA</v>
      </c>
      <c r="C63" s="117" t="str">
        <f>'1. Справочник'!F62</f>
        <v>Студия</v>
      </c>
      <c r="D63" s="116"/>
      <c r="E63" s="116"/>
      <c r="F63" s="116"/>
      <c r="G63" s="116"/>
      <c r="H63" s="116"/>
      <c r="I63" s="116"/>
      <c r="J63" s="116"/>
      <c r="K63" s="116"/>
      <c r="L63" s="116"/>
      <c r="M63" s="116"/>
      <c r="N63" s="116"/>
      <c r="O63" s="116"/>
      <c r="P63" s="116"/>
    </row>
    <row r="64" ht="15.75" customHeight="1">
      <c r="A64" s="115" t="str">
        <f>'1. Справочник'!C63</f>
        <v>MZ 718</v>
      </c>
      <c r="B64" s="116" t="str">
        <f>'1. Справочник'!D63</f>
        <v>MZ</v>
      </c>
      <c r="C64" s="117" t="str">
        <f>'1. Справочник'!F63</f>
        <v>Студия</v>
      </c>
      <c r="D64" s="116"/>
      <c r="E64" s="116"/>
      <c r="F64" s="116"/>
      <c r="G64" s="116"/>
      <c r="H64" s="116"/>
      <c r="I64" s="116"/>
      <c r="J64" s="116"/>
      <c r="K64" s="116"/>
      <c r="L64" s="116"/>
      <c r="M64" s="116"/>
      <c r="N64" s="116"/>
      <c r="O64" s="116"/>
      <c r="P64" s="116"/>
    </row>
    <row r="65" ht="15.75" customHeight="1">
      <c r="A65" s="115" t="str">
        <f>'1. Справочник'!C64</f>
        <v>MZ 913</v>
      </c>
      <c r="B65" s="116" t="str">
        <f>'1. Справочник'!D64</f>
        <v>MZ</v>
      </c>
      <c r="C65" s="117" t="str">
        <f>'1. Справочник'!F64</f>
        <v>Студия</v>
      </c>
      <c r="D65" s="116"/>
      <c r="E65" s="116"/>
      <c r="F65" s="116"/>
      <c r="G65" s="116"/>
      <c r="H65" s="116"/>
      <c r="I65" s="116"/>
      <c r="J65" s="116"/>
      <c r="K65" s="116"/>
      <c r="L65" s="116"/>
      <c r="M65" s="116"/>
      <c r="N65" s="116"/>
      <c r="O65" s="116"/>
      <c r="P65" s="116"/>
    </row>
    <row r="66" ht="15.75" customHeight="1">
      <c r="A66" s="115" t="str">
        <f>'1. Справочник'!C65</f>
        <v>MZ 1408</v>
      </c>
      <c r="B66" s="116" t="str">
        <f>'1. Справочник'!D65</f>
        <v>MZ</v>
      </c>
      <c r="C66" s="117" t="str">
        <f>'1. Справочник'!F65</f>
        <v>1+1</v>
      </c>
      <c r="D66" s="116"/>
      <c r="E66" s="116"/>
      <c r="F66" s="116"/>
      <c r="G66" s="116"/>
      <c r="H66" s="116"/>
      <c r="I66" s="116"/>
      <c r="J66" s="116"/>
      <c r="K66" s="116"/>
      <c r="L66" s="116"/>
      <c r="M66" s="116"/>
      <c r="N66" s="116"/>
      <c r="O66" s="116"/>
      <c r="P66" s="116"/>
    </row>
    <row r="67" ht="15.75" customHeight="1">
      <c r="A67" s="115" t="str">
        <f>'1. Справочник'!C66</f>
        <v>MZ А 1113</v>
      </c>
      <c r="B67" s="116" t="str">
        <f>'1. Справочник'!D66</f>
        <v>MZ</v>
      </c>
      <c r="C67" s="117" t="str">
        <f>'1. Справочник'!F66</f>
        <v>1+1</v>
      </c>
      <c r="D67" s="116"/>
      <c r="E67" s="116"/>
      <c r="F67" s="116"/>
      <c r="G67" s="116"/>
      <c r="H67" s="116"/>
      <c r="I67" s="116"/>
      <c r="J67" s="116"/>
      <c r="K67" s="116"/>
      <c r="L67" s="116"/>
      <c r="M67" s="116"/>
      <c r="N67" s="116"/>
      <c r="O67" s="116"/>
      <c r="P67" s="116"/>
    </row>
    <row r="68" ht="15.75" customHeight="1">
      <c r="A68" s="115" t="str">
        <f>'1. Справочник'!C67</f>
        <v>MZ C 511</v>
      </c>
      <c r="B68" s="116" t="str">
        <f>'1. Справочник'!D67</f>
        <v>MZ</v>
      </c>
      <c r="C68" s="117" t="str">
        <f>'1. Справочник'!F67</f>
        <v>Студия</v>
      </c>
      <c r="D68" s="116"/>
      <c r="E68" s="116"/>
      <c r="F68" s="116"/>
      <c r="G68" s="116"/>
      <c r="H68" s="116"/>
      <c r="I68" s="116"/>
      <c r="J68" s="116"/>
      <c r="K68" s="116"/>
      <c r="L68" s="116"/>
      <c r="M68" s="116"/>
      <c r="N68" s="116"/>
      <c r="O68" s="116"/>
      <c r="P68" s="116"/>
    </row>
    <row r="69" ht="15.75" customHeight="1">
      <c r="A69" s="115" t="str">
        <f>'1. Справочник'!C68</f>
        <v>Пиросмани 162</v>
      </c>
      <c r="B69" s="116" t="str">
        <f>'1. Справочник'!D68</f>
        <v>PIR</v>
      </c>
      <c r="C69" s="117" t="str">
        <f>'1. Справочник'!F68</f>
        <v>Студия</v>
      </c>
      <c r="D69" s="116"/>
      <c r="E69" s="116"/>
      <c r="F69" s="116"/>
      <c r="G69" s="116"/>
      <c r="H69" s="116"/>
      <c r="I69" s="116"/>
      <c r="J69" s="116"/>
      <c r="K69" s="116"/>
      <c r="L69" s="116"/>
      <c r="M69" s="116"/>
      <c r="N69" s="116"/>
      <c r="O69" s="116"/>
      <c r="P69" s="116"/>
    </row>
    <row r="70" ht="15.75" customHeight="1">
      <c r="A70" s="115" t="str">
        <f>'1. Справочник'!C69</f>
        <v>Пиросмани 181</v>
      </c>
      <c r="B70" s="116" t="str">
        <f>'1. Справочник'!D69</f>
        <v>PIR</v>
      </c>
      <c r="C70" s="117" t="str">
        <f>'1. Справочник'!F69</f>
        <v>1+2</v>
      </c>
      <c r="D70" s="116"/>
      <c r="E70" s="116"/>
      <c r="F70" s="116"/>
      <c r="G70" s="116"/>
      <c r="H70" s="116"/>
      <c r="I70" s="116"/>
      <c r="J70" s="116"/>
      <c r="K70" s="116"/>
      <c r="L70" s="116"/>
      <c r="M70" s="116"/>
      <c r="N70" s="116"/>
      <c r="O70" s="116"/>
      <c r="P70" s="116"/>
    </row>
    <row r="71" ht="15.75" customHeight="1">
      <c r="A71" s="115" t="str">
        <f>'1. Справочник'!C70</f>
        <v>Pollo 2-2</v>
      </c>
      <c r="B71" s="116" t="str">
        <f>'1. Справочник'!D70</f>
        <v>Villa</v>
      </c>
      <c r="C71" s="117" t="str">
        <f>'1. Справочник'!F70</f>
        <v>Дом</v>
      </c>
      <c r="D71" s="116"/>
      <c r="E71" s="116"/>
      <c r="F71" s="116"/>
      <c r="G71" s="116"/>
      <c r="H71" s="116"/>
      <c r="I71" s="116"/>
      <c r="J71" s="116"/>
      <c r="K71" s="116"/>
      <c r="L71" s="116"/>
      <c r="M71" s="116"/>
      <c r="N71" s="116"/>
      <c r="O71" s="116"/>
      <c r="P71" s="116"/>
    </row>
    <row r="72" ht="15.75" customHeight="1">
      <c r="A72" s="115" t="str">
        <f>'1. Справочник'!C71</f>
        <v>Pollo 3-5</v>
      </c>
      <c r="B72" s="116" t="str">
        <f>'1. Справочник'!D71</f>
        <v>Villa</v>
      </c>
      <c r="C72" s="117" t="str">
        <f>'1. Справочник'!F71</f>
        <v>Дом</v>
      </c>
      <c r="D72" s="116"/>
      <c r="E72" s="116"/>
      <c r="F72" s="116"/>
      <c r="G72" s="116"/>
      <c r="H72" s="116"/>
      <c r="I72" s="116"/>
      <c r="J72" s="116"/>
      <c r="K72" s="116"/>
      <c r="L72" s="116"/>
      <c r="M72" s="116"/>
      <c r="N72" s="116"/>
      <c r="O72" s="116"/>
      <c r="P72" s="116"/>
    </row>
    <row r="73" ht="15.75" customHeight="1">
      <c r="A73" s="115" t="str">
        <f>'1. Справочник'!C72</f>
        <v>Polo 4-12</v>
      </c>
      <c r="B73" s="116" t="str">
        <f>'1. Справочник'!D72</f>
        <v>Villa</v>
      </c>
      <c r="C73" s="117" t="str">
        <f>'1. Справочник'!F72</f>
        <v>Дом</v>
      </c>
      <c r="D73" s="116"/>
      <c r="E73" s="116"/>
      <c r="F73" s="116"/>
      <c r="G73" s="116"/>
      <c r="H73" s="116"/>
      <c r="I73" s="116"/>
      <c r="J73" s="116"/>
      <c r="K73" s="116"/>
      <c r="L73" s="116"/>
      <c r="M73" s="116"/>
      <c r="N73" s="116"/>
      <c r="O73" s="116"/>
      <c r="P73" s="116"/>
    </row>
    <row r="74" ht="15.75" customHeight="1">
      <c r="A74" s="115" t="str">
        <f>'1. Справочник'!C73</f>
        <v>Вилла Ева</v>
      </c>
      <c r="B74" s="116" t="str">
        <f>'1. Справочник'!D73</f>
        <v>Villa</v>
      </c>
      <c r="C74" s="117" t="str">
        <f>'1. Справочник'!F73</f>
        <v>Дом</v>
      </c>
      <c r="D74" s="116"/>
      <c r="E74" s="116"/>
      <c r="F74" s="116"/>
      <c r="G74" s="116"/>
      <c r="H74" s="116"/>
      <c r="I74" s="116"/>
      <c r="J74" s="116"/>
      <c r="K74" s="116"/>
      <c r="L74" s="116"/>
      <c r="M74" s="116"/>
      <c r="N74" s="116"/>
      <c r="O74" s="116"/>
      <c r="P74" s="116"/>
    </row>
    <row r="75" ht="15.75" customHeight="1">
      <c r="A75" s="115" t="str">
        <f>'1. Справочник'!C74</f>
        <v>шартава 16/18</v>
      </c>
      <c r="B75" s="116" t="str">
        <f>'1. Справочник'!D74</f>
        <v>АГ</v>
      </c>
      <c r="C75" s="117" t="str">
        <f>'1. Справочник'!F74</f>
        <v>Студия</v>
      </c>
      <c r="D75" s="116"/>
      <c r="E75" s="116"/>
      <c r="F75" s="116"/>
      <c r="G75" s="116"/>
      <c r="H75" s="116"/>
      <c r="I75" s="116"/>
      <c r="J75" s="116"/>
      <c r="K75" s="116"/>
      <c r="L75" s="116"/>
      <c r="M75" s="116"/>
      <c r="N75" s="116"/>
      <c r="O75" s="116"/>
      <c r="P75" s="116"/>
    </row>
    <row r="76" ht="15.75" customHeight="1">
      <c r="A76" s="115" t="str">
        <f>'1. Справочник'!C75</f>
        <v>DL 11-1112</v>
      </c>
      <c r="B76" s="116" t="str">
        <f>'1. Справочник'!D75</f>
        <v>DL</v>
      </c>
      <c r="C76" s="117" t="str">
        <f>'1. Справочник'!F75</f>
        <v>Студия</v>
      </c>
      <c r="D76" s="116"/>
      <c r="E76" s="116"/>
      <c r="F76" s="116"/>
      <c r="G76" s="116"/>
      <c r="H76" s="116"/>
      <c r="I76" s="116"/>
      <c r="J76" s="116"/>
      <c r="K76" s="116"/>
      <c r="L76" s="116"/>
      <c r="M76" s="116"/>
      <c r="N76" s="116"/>
      <c r="O76" s="116"/>
      <c r="P76" s="116"/>
    </row>
    <row r="77" ht="15.75" customHeight="1">
      <c r="A77" s="115" t="str">
        <f>'1. Справочник'!C76</f>
        <v>DL 11-1305</v>
      </c>
      <c r="B77" s="116" t="str">
        <f>'1. Справочник'!D76</f>
        <v>DL</v>
      </c>
      <c r="C77" s="117" t="str">
        <f>'1. Справочник'!F76</f>
        <v>1+1</v>
      </c>
      <c r="D77" s="116"/>
      <c r="E77" s="116"/>
      <c r="F77" s="116"/>
      <c r="G77" s="116"/>
      <c r="H77" s="116"/>
      <c r="I77" s="116"/>
      <c r="J77" s="116"/>
      <c r="K77" s="116"/>
      <c r="L77" s="116"/>
      <c r="M77" s="116"/>
      <c r="N77" s="116"/>
      <c r="O77" s="116"/>
      <c r="P77" s="116"/>
    </row>
    <row r="78" ht="15.75" customHeight="1">
      <c r="A78" s="115" t="str">
        <f>'1. Справочник'!C77</f>
        <v>DL 14-516</v>
      </c>
      <c r="B78" s="116" t="str">
        <f>'1. Справочник'!D77</f>
        <v>DL</v>
      </c>
      <c r="C78" s="117" t="str">
        <f>'1. Справочник'!F77</f>
        <v>1+1</v>
      </c>
      <c r="D78" s="116"/>
      <c r="E78" s="116"/>
      <c r="F78" s="116"/>
      <c r="G78" s="116"/>
      <c r="H78" s="116"/>
      <c r="I78" s="116"/>
      <c r="J78" s="116"/>
      <c r="K78" s="116"/>
      <c r="L78" s="116"/>
      <c r="M78" s="116"/>
      <c r="N78" s="116"/>
      <c r="O78" s="116"/>
      <c r="P78" s="116"/>
    </row>
    <row r="79" ht="15.75" customHeight="1">
      <c r="A79" s="115" t="str">
        <f>'1. Справочник'!C78</f>
        <v>DL 14-702</v>
      </c>
      <c r="B79" s="116" t="str">
        <f>'1. Справочник'!D78</f>
        <v>DL</v>
      </c>
      <c r="C79" s="117" t="str">
        <f>'1. Справочник'!F78</f>
        <v>1+1</v>
      </c>
      <c r="D79" s="116"/>
      <c r="E79" s="116"/>
      <c r="F79" s="116"/>
      <c r="G79" s="116"/>
      <c r="H79" s="116"/>
      <c r="I79" s="116"/>
      <c r="J79" s="116"/>
      <c r="K79" s="116"/>
      <c r="L79" s="116"/>
      <c r="M79" s="116"/>
      <c r="N79" s="116"/>
      <c r="O79" s="116"/>
      <c r="P79" s="116"/>
    </row>
    <row r="80" ht="15.75" customHeight="1">
      <c r="A80" s="115" t="str">
        <f>'1. Справочник'!C79</f>
        <v>DL 14-1214</v>
      </c>
      <c r="B80" s="116" t="str">
        <f>'1. Справочник'!D79</f>
        <v>DL</v>
      </c>
      <c r="C80" s="117" t="str">
        <f>'1. Справочник'!F79</f>
        <v>Студия</v>
      </c>
      <c r="D80" s="116"/>
      <c r="E80" s="116"/>
      <c r="F80" s="116"/>
      <c r="G80" s="116"/>
      <c r="H80" s="116"/>
      <c r="I80" s="116"/>
      <c r="J80" s="116"/>
      <c r="K80" s="116"/>
      <c r="L80" s="116"/>
      <c r="M80" s="116"/>
      <c r="N80" s="116"/>
      <c r="O80" s="116"/>
      <c r="P80" s="116"/>
    </row>
    <row r="81" ht="15.75" customHeight="1">
      <c r="A81" s="115" t="str">
        <f>'1. Справочник'!C80</f>
        <v>14-411</v>
      </c>
      <c r="B81" s="116" t="str">
        <f>'1. Справочник'!D80</f>
        <v>DL</v>
      </c>
      <c r="C81" s="117" t="str">
        <f>'1. Справочник'!F80</f>
        <v>Студия/твин</v>
      </c>
      <c r="D81" s="116"/>
      <c r="E81" s="116"/>
      <c r="F81" s="116"/>
      <c r="G81" s="116"/>
      <c r="H81" s="116"/>
      <c r="I81" s="116"/>
      <c r="J81" s="116"/>
      <c r="K81" s="116"/>
      <c r="L81" s="116"/>
      <c r="M81" s="116"/>
      <c r="N81" s="116"/>
      <c r="O81" s="116"/>
      <c r="P81" s="116"/>
    </row>
    <row r="82" ht="15.75" customHeight="1">
      <c r="A82" s="115" t="str">
        <f>'1. Справочник'!C81</f>
        <v>DL 4-09</v>
      </c>
      <c r="B82" s="116" t="str">
        <f>'1. Справочник'!D81</f>
        <v>DL</v>
      </c>
      <c r="C82" s="117" t="str">
        <f>'1. Справочник'!F81</f>
        <v>Студия</v>
      </c>
      <c r="D82" s="116"/>
      <c r="E82" s="116"/>
      <c r="F82" s="116"/>
      <c r="G82" s="116"/>
      <c r="H82" s="116"/>
      <c r="I82" s="116"/>
      <c r="J82" s="116"/>
      <c r="K82" s="116"/>
      <c r="L82" s="116"/>
      <c r="M82" s="116"/>
      <c r="N82" s="116"/>
      <c r="O82" s="116"/>
      <c r="P82" s="116"/>
    </row>
    <row r="83" ht="15.75" customHeight="1">
      <c r="A83" s="115" t="str">
        <f>'1. Справочник'!C82</f>
        <v>DL14-518</v>
      </c>
      <c r="B83" s="116" t="str">
        <f>'1. Справочник'!D82</f>
        <v>DL</v>
      </c>
      <c r="C83" s="117" t="str">
        <f>'1. Справочник'!F82</f>
        <v>Студия</v>
      </c>
      <c r="D83" s="116"/>
      <c r="E83" s="116"/>
      <c r="F83" s="116"/>
      <c r="G83" s="116"/>
      <c r="H83" s="116"/>
      <c r="I83" s="116"/>
      <c r="J83" s="116"/>
      <c r="K83" s="116"/>
      <c r="L83" s="116"/>
      <c r="M83" s="116"/>
      <c r="N83" s="116"/>
      <c r="O83" s="116"/>
      <c r="P83" s="116"/>
    </row>
    <row r="84" ht="15.75" customHeight="1">
      <c r="A84" s="115" t="str">
        <f>'1. Справочник'!C83</f>
        <v>DL14-1405</v>
      </c>
      <c r="B84" s="116" t="str">
        <f>'1. Справочник'!D83</f>
        <v>DL</v>
      </c>
      <c r="C84" s="117" t="str">
        <f>'1. Справочник'!F83</f>
        <v>1+1</v>
      </c>
      <c r="D84" s="116"/>
      <c r="E84" s="116"/>
      <c r="F84" s="116"/>
      <c r="G84" s="116"/>
      <c r="H84" s="116"/>
      <c r="I84" s="116"/>
      <c r="J84" s="116"/>
      <c r="K84" s="116"/>
      <c r="L84" s="116"/>
      <c r="M84" s="116"/>
      <c r="N84" s="116"/>
      <c r="O84" s="116"/>
      <c r="P84" s="116"/>
    </row>
    <row r="85" ht="15.75" customHeight="1">
      <c r="A85" s="115" t="str">
        <f>'1. Справочник'!C84</f>
        <v>DL 14-505</v>
      </c>
      <c r="B85" s="116" t="str">
        <f>'1. Справочник'!D84</f>
        <v>DL</v>
      </c>
      <c r="C85" s="117" t="str">
        <f>'1. Справочник'!F84</f>
        <v>Студия/твин</v>
      </c>
      <c r="D85" s="116"/>
      <c r="E85" s="116"/>
      <c r="F85" s="116"/>
      <c r="G85" s="116"/>
      <c r="H85" s="116"/>
      <c r="I85" s="116"/>
      <c r="J85" s="116"/>
      <c r="K85" s="116"/>
      <c r="L85" s="116"/>
      <c r="M85" s="116"/>
      <c r="N85" s="116"/>
      <c r="O85" s="116"/>
      <c r="P85" s="116"/>
    </row>
    <row r="86" ht="15.75" customHeight="1">
      <c r="A86" s="115" t="str">
        <f>'1. Справочник'!C85</f>
        <v>DL 14-1614</v>
      </c>
      <c r="B86" s="116" t="str">
        <f>'1. Справочник'!D85</f>
        <v>DL</v>
      </c>
      <c r="C86" s="117" t="str">
        <f>'1. Справочник'!F85</f>
        <v>Студия</v>
      </c>
      <c r="D86" s="116"/>
      <c r="E86" s="116"/>
      <c r="F86" s="116"/>
      <c r="G86" s="116"/>
      <c r="H86" s="116"/>
      <c r="I86" s="116"/>
      <c r="J86" s="116"/>
      <c r="K86" s="116"/>
      <c r="L86" s="116"/>
      <c r="M86" s="116"/>
      <c r="N86" s="116"/>
      <c r="O86" s="116"/>
      <c r="P86" s="116"/>
    </row>
    <row r="87" ht="15.75" customHeight="1">
      <c r="A87" s="115" t="str">
        <f>'1. Справочник'!C86</f>
        <v>DL 14-1710</v>
      </c>
      <c r="B87" s="116" t="str">
        <f>'1. Справочник'!D86</f>
        <v>DL</v>
      </c>
      <c r="C87" s="117" t="str">
        <f>'1. Справочник'!F86</f>
        <v>Студия</v>
      </c>
      <c r="D87" s="116"/>
      <c r="E87" s="116"/>
      <c r="F87" s="116"/>
      <c r="G87" s="116"/>
      <c r="H87" s="116"/>
      <c r="I87" s="116"/>
      <c r="J87" s="116"/>
      <c r="K87" s="116"/>
      <c r="L87" s="116"/>
      <c r="M87" s="116"/>
      <c r="N87" s="116"/>
      <c r="O87" s="116"/>
      <c r="P87" s="116"/>
    </row>
    <row r="88" ht="15.75" customHeight="1">
      <c r="A88" s="115" t="str">
        <f>'1. Справочник'!C87</f>
        <v>DL14-305</v>
      </c>
      <c r="B88" s="116" t="str">
        <f>'1. Справочник'!D87</f>
        <v>DL</v>
      </c>
      <c r="C88" s="117" t="str">
        <f>'1. Справочник'!F87</f>
        <v>Студия</v>
      </c>
      <c r="D88" s="116"/>
      <c r="E88" s="116"/>
      <c r="F88" s="116"/>
      <c r="G88" s="116"/>
      <c r="H88" s="116"/>
      <c r="I88" s="116"/>
      <c r="J88" s="116"/>
      <c r="K88" s="116"/>
      <c r="L88" s="116"/>
      <c r="M88" s="116"/>
      <c r="N88" s="116"/>
      <c r="O88" s="116"/>
      <c r="P88" s="116"/>
    </row>
    <row r="89" ht="15.75" customHeight="1">
      <c r="A89" s="115" t="str">
        <f>'1. Справочник'!C88</f>
        <v>DL14-501-502</v>
      </c>
      <c r="B89" s="116" t="str">
        <f>'1. Справочник'!D88</f>
        <v>DL</v>
      </c>
      <c r="C89" s="117" t="str">
        <f>'1. Справочник'!F88</f>
        <v>1+1</v>
      </c>
      <c r="D89" s="116"/>
      <c r="E89" s="116"/>
      <c r="F89" s="116"/>
      <c r="G89" s="116"/>
      <c r="H89" s="116"/>
      <c r="I89" s="116"/>
      <c r="J89" s="116"/>
      <c r="K89" s="116"/>
      <c r="L89" s="116"/>
      <c r="M89" s="116"/>
      <c r="N89" s="116"/>
      <c r="O89" s="116"/>
      <c r="P89" s="116"/>
    </row>
    <row r="90" ht="15.75" customHeight="1">
      <c r="A90" s="115" t="str">
        <f>'1. Справочник'!C89</f>
        <v>DL7-16</v>
      </c>
      <c r="B90" s="116" t="str">
        <f>'1. Справочник'!D89</f>
        <v>DL</v>
      </c>
      <c r="C90" s="117" t="str">
        <f>'1. Справочник'!F89</f>
        <v>1+2 с террасой</v>
      </c>
      <c r="D90" s="116"/>
      <c r="E90" s="116"/>
      <c r="F90" s="116"/>
      <c r="G90" s="116"/>
      <c r="H90" s="116"/>
      <c r="I90" s="116"/>
      <c r="J90" s="116"/>
      <c r="K90" s="116"/>
      <c r="L90" s="116"/>
      <c r="M90" s="116"/>
      <c r="N90" s="116"/>
      <c r="O90" s="116"/>
      <c r="P90" s="116"/>
    </row>
    <row r="91" ht="15.75" customHeight="1">
      <c r="A91" s="115" t="str">
        <f>'1. Справочник'!C90</f>
        <v>DL 13-206</v>
      </c>
      <c r="B91" s="116" t="str">
        <f>'1. Справочник'!D90</f>
        <v>DL</v>
      </c>
      <c r="C91" s="117" t="str">
        <f>'1. Справочник'!F90</f>
        <v>Студия на 4х</v>
      </c>
      <c r="D91" s="116"/>
      <c r="E91" s="116"/>
      <c r="F91" s="116"/>
      <c r="G91" s="116"/>
      <c r="H91" s="116"/>
      <c r="I91" s="116"/>
      <c r="J91" s="116"/>
      <c r="K91" s="116"/>
      <c r="L91" s="116"/>
      <c r="M91" s="116"/>
      <c r="N91" s="116"/>
      <c r="O91" s="116"/>
      <c r="P91" s="116"/>
    </row>
    <row r="92" ht="15.75" customHeight="1">
      <c r="A92" s="115" t="str">
        <f>'1. Справочник'!C91</f>
        <v>DL 13-201</v>
      </c>
      <c r="B92" s="116" t="str">
        <f>'1. Справочник'!D91</f>
        <v>DL</v>
      </c>
      <c r="C92" s="117" t="str">
        <f>'1. Справочник'!F91</f>
        <v>Студия на 4х</v>
      </c>
      <c r="D92" s="116"/>
      <c r="E92" s="116"/>
      <c r="F92" s="116"/>
      <c r="G92" s="116"/>
      <c r="H92" s="116"/>
      <c r="I92" s="116"/>
      <c r="J92" s="116"/>
      <c r="K92" s="116"/>
      <c r="L92" s="116"/>
      <c r="M92" s="116"/>
      <c r="N92" s="116"/>
      <c r="O92" s="116"/>
      <c r="P92" s="116"/>
    </row>
    <row r="93" ht="15.75" customHeight="1">
      <c r="A93" s="115" t="str">
        <f>'1. Справочник'!C92</f>
        <v>DL 13-709</v>
      </c>
      <c r="B93" s="116" t="str">
        <f>'1. Справочник'!D92</f>
        <v>DL</v>
      </c>
      <c r="C93" s="117" t="str">
        <f>'1. Справочник'!F92</f>
        <v>Студия на 4х</v>
      </c>
      <c r="D93" s="116"/>
      <c r="E93" s="116"/>
      <c r="F93" s="116"/>
      <c r="G93" s="116"/>
      <c r="H93" s="116"/>
      <c r="I93" s="116"/>
      <c r="J93" s="116"/>
      <c r="K93" s="116"/>
      <c r="L93" s="116"/>
      <c r="M93" s="116"/>
      <c r="N93" s="116"/>
      <c r="O93" s="116"/>
      <c r="P93" s="116"/>
    </row>
    <row r="94" ht="15.75" customHeight="1">
      <c r="A94" s="115" t="str">
        <f>'1. Справочник'!C93</f>
        <v>DL 13-703</v>
      </c>
      <c r="B94" s="116" t="str">
        <f>'1. Справочник'!D93</f>
        <v>DL</v>
      </c>
      <c r="C94" s="117" t="str">
        <f>'1. Справочник'!F93</f>
        <v>1+1</v>
      </c>
      <c r="D94" s="116"/>
      <c r="E94" s="116"/>
      <c r="F94" s="116"/>
      <c r="G94" s="116"/>
      <c r="H94" s="116"/>
      <c r="I94" s="116"/>
      <c r="J94" s="116"/>
      <c r="K94" s="116"/>
      <c r="L94" s="116"/>
      <c r="M94" s="116"/>
      <c r="N94" s="116"/>
      <c r="O94" s="116"/>
      <c r="P94" s="116"/>
    </row>
    <row r="95" ht="15.75" customHeight="1">
      <c r="A95" s="115" t="str">
        <f>'1. Справочник'!C94</f>
        <v>DL 13-1006</v>
      </c>
      <c r="B95" s="116" t="str">
        <f>'1. Справочник'!D94</f>
        <v>DL</v>
      </c>
      <c r="C95" s="117" t="str">
        <f>'1. Справочник'!F94</f>
        <v>1+1</v>
      </c>
      <c r="D95" s="116"/>
      <c r="E95" s="116"/>
      <c r="F95" s="116"/>
      <c r="G95" s="116"/>
      <c r="H95" s="116"/>
      <c r="I95" s="116"/>
      <c r="J95" s="116"/>
      <c r="K95" s="116"/>
      <c r="L95" s="116"/>
      <c r="M95" s="116"/>
      <c r="N95" s="116"/>
      <c r="O95" s="116"/>
      <c r="P95" s="116"/>
    </row>
    <row r="96" ht="15.75" customHeight="1">
      <c r="A96" s="115" t="str">
        <f>'1. Справочник'!C95</f>
        <v>DL 13-1106</v>
      </c>
      <c r="B96" s="116" t="str">
        <f>'1. Справочник'!D95</f>
        <v>DL</v>
      </c>
      <c r="C96" s="117" t="str">
        <f>'1. Справочник'!F95</f>
        <v>1+1</v>
      </c>
      <c r="D96" s="116"/>
      <c r="E96" s="116"/>
      <c r="F96" s="116"/>
      <c r="G96" s="116"/>
      <c r="H96" s="116"/>
      <c r="I96" s="116"/>
      <c r="J96" s="116"/>
      <c r="K96" s="116"/>
      <c r="L96" s="116"/>
      <c r="M96" s="116"/>
      <c r="N96" s="116"/>
      <c r="O96" s="116"/>
      <c r="P96" s="116"/>
    </row>
    <row r="97" ht="15.75" customHeight="1">
      <c r="A97" s="115" t="str">
        <f>'1. Справочник'!C96</f>
        <v>DL 14-506</v>
      </c>
      <c r="B97" s="116" t="str">
        <f>'1. Справочник'!D96</f>
        <v>DL</v>
      </c>
      <c r="C97" s="117" t="str">
        <f>'1. Справочник'!F96</f>
        <v>Студия</v>
      </c>
      <c r="D97" s="116"/>
      <c r="E97" s="116"/>
      <c r="F97" s="116"/>
      <c r="G97" s="116"/>
      <c r="H97" s="116"/>
      <c r="I97" s="116"/>
      <c r="J97" s="116"/>
      <c r="K97" s="116"/>
      <c r="L97" s="116"/>
      <c r="M97" s="116"/>
      <c r="N97" s="116"/>
      <c r="O97" s="116"/>
      <c r="P97" s="116"/>
    </row>
    <row r="98" ht="15.75" customHeight="1">
      <c r="A98" s="115" t="str">
        <f>'1. Справочник'!C97</f>
        <v>TGB195</v>
      </c>
      <c r="B98" s="116" t="str">
        <f>'1. Справочник'!D97</f>
        <v>TG</v>
      </c>
      <c r="C98" s="117" t="str">
        <f>'1. Справочник'!F97</f>
        <v>1+1</v>
      </c>
      <c r="D98" s="116"/>
      <c r="E98" s="116"/>
      <c r="F98" s="116"/>
      <c r="G98" s="116"/>
      <c r="H98" s="116"/>
      <c r="I98" s="116"/>
      <c r="J98" s="116"/>
      <c r="K98" s="116"/>
      <c r="L98" s="116"/>
      <c r="M98" s="116"/>
      <c r="N98" s="116"/>
      <c r="O98" s="116"/>
      <c r="P98" s="116"/>
    </row>
    <row r="99" ht="15.75" customHeight="1">
      <c r="A99" s="115" t="str">
        <f>'1. Справочник'!C98</f>
        <v>TGA2</v>
      </c>
      <c r="B99" s="116" t="str">
        <f>'1. Справочник'!D98</f>
        <v>TG</v>
      </c>
      <c r="C99" s="117" t="str">
        <f>'1. Справочник'!F98</f>
        <v>1+1</v>
      </c>
      <c r="D99" s="116"/>
      <c r="E99" s="116"/>
      <c r="F99" s="116"/>
      <c r="G99" s="116"/>
      <c r="H99" s="116"/>
      <c r="I99" s="116"/>
      <c r="J99" s="116"/>
      <c r="K99" s="116"/>
      <c r="L99" s="116"/>
      <c r="M99" s="116"/>
      <c r="N99" s="116"/>
      <c r="O99" s="116"/>
      <c r="P99" s="116"/>
    </row>
    <row r="100" ht="15.75" customHeight="1">
      <c r="A100" s="115" t="str">
        <f>'1. Справочник'!C99</f>
        <v>TGA9</v>
      </c>
      <c r="B100" s="116" t="str">
        <f>'1. Справочник'!D99</f>
        <v>TG</v>
      </c>
      <c r="C100" s="117" t="str">
        <f>'1. Справочник'!F99</f>
        <v>1+1</v>
      </c>
      <c r="D100" s="116"/>
      <c r="E100" s="116"/>
      <c r="F100" s="116"/>
      <c r="G100" s="116"/>
      <c r="H100" s="116"/>
      <c r="I100" s="116"/>
      <c r="J100" s="116"/>
      <c r="K100" s="116"/>
      <c r="L100" s="116"/>
      <c r="M100" s="116"/>
      <c r="N100" s="116"/>
      <c r="O100" s="116"/>
      <c r="P100" s="116"/>
    </row>
    <row r="101" ht="15.75" customHeight="1">
      <c r="A101" s="118" t="str">
        <f>'1. Справочник'!C100</f>
        <v>TGB3</v>
      </c>
      <c r="B101" s="119" t="str">
        <f>'1. Справочник'!D100</f>
        <v>TG</v>
      </c>
      <c r="C101" s="120" t="str">
        <f>'1. Справочник'!F100</f>
        <v>Студия</v>
      </c>
      <c r="D101" s="119"/>
      <c r="E101" s="119"/>
      <c r="F101" s="119"/>
      <c r="G101" s="119"/>
      <c r="H101" s="119"/>
      <c r="I101" s="119"/>
      <c r="J101" s="119"/>
      <c r="K101" s="119"/>
      <c r="L101" s="119"/>
      <c r="M101" s="119"/>
      <c r="N101" s="119"/>
      <c r="O101" s="119"/>
      <c r="P101" s="119"/>
    </row>
    <row r="102" ht="15.75" customHeight="1">
      <c r="A102" s="121" t="str">
        <f>'1. Справочник'!C101</f>
        <v/>
      </c>
      <c r="B102" s="122" t="str">
        <f>'1. Справочник'!D101</f>
        <v/>
      </c>
      <c r="C102" s="123" t="str">
        <f>'1. Справочник'!F101</f>
        <v/>
      </c>
      <c r="D102" s="122"/>
      <c r="E102" s="122"/>
      <c r="F102" s="122"/>
      <c r="G102" s="122"/>
      <c r="H102" s="122"/>
      <c r="I102" s="122"/>
      <c r="J102" s="122"/>
      <c r="K102" s="122"/>
      <c r="L102" s="122"/>
      <c r="M102" s="122"/>
      <c r="N102" s="122"/>
      <c r="O102" s="122"/>
      <c r="P102" s="122"/>
    </row>
    <row r="103" ht="15.75" customHeight="1">
      <c r="A103" s="121" t="str">
        <f>'1. Справочник'!C102</f>
        <v/>
      </c>
      <c r="B103" s="122" t="str">
        <f>'1. Справочник'!D102</f>
        <v/>
      </c>
      <c r="C103" s="123" t="str">
        <f>'1. Справочник'!F102</f>
        <v/>
      </c>
      <c r="D103" s="122"/>
      <c r="E103" s="122"/>
      <c r="F103" s="122"/>
      <c r="G103" s="122"/>
      <c r="H103" s="122"/>
      <c r="I103" s="122"/>
      <c r="J103" s="122"/>
      <c r="K103" s="122"/>
      <c r="L103" s="122"/>
      <c r="M103" s="122"/>
      <c r="N103" s="122"/>
      <c r="O103" s="122"/>
      <c r="P103" s="122"/>
    </row>
    <row r="104" ht="15.75" customHeight="1">
      <c r="A104" s="121" t="str">
        <f>'1. Справочник'!C103</f>
        <v/>
      </c>
      <c r="B104" s="122" t="str">
        <f>'1. Справочник'!D103</f>
        <v/>
      </c>
      <c r="C104" s="123" t="str">
        <f>'1. Справочник'!F103</f>
        <v/>
      </c>
      <c r="D104" s="122"/>
      <c r="E104" s="122"/>
      <c r="F104" s="122"/>
      <c r="G104" s="122"/>
      <c r="H104" s="122"/>
      <c r="I104" s="122"/>
      <c r="J104" s="122"/>
      <c r="K104" s="122"/>
      <c r="L104" s="122"/>
      <c r="M104" s="122"/>
      <c r="N104" s="122"/>
      <c r="O104" s="122"/>
      <c r="P104" s="122"/>
    </row>
    <row r="105" ht="15.75" customHeight="1">
      <c r="A105" s="121" t="str">
        <f>'1. Справочник'!C104</f>
        <v/>
      </c>
      <c r="B105" s="122" t="str">
        <f>'1. Справочник'!D104</f>
        <v/>
      </c>
      <c r="C105" s="123" t="str">
        <f>'1. Справочник'!F104</f>
        <v/>
      </c>
      <c r="D105" s="122"/>
      <c r="E105" s="122"/>
      <c r="F105" s="122"/>
      <c r="G105" s="122"/>
      <c r="H105" s="122"/>
      <c r="I105" s="122"/>
      <c r="J105" s="122"/>
      <c r="K105" s="122"/>
      <c r="L105" s="122"/>
      <c r="M105" s="122"/>
      <c r="N105" s="122"/>
      <c r="O105" s="122"/>
      <c r="P105" s="122"/>
    </row>
    <row r="106" ht="15.75" customHeight="1">
      <c r="A106" s="121" t="str">
        <f>'1. Справочник'!C105</f>
        <v/>
      </c>
      <c r="B106" s="122" t="str">
        <f>'1. Справочник'!D105</f>
        <v/>
      </c>
      <c r="C106" s="123" t="str">
        <f>'1. Справочник'!F105</f>
        <v/>
      </c>
      <c r="D106" s="122"/>
      <c r="E106" s="122"/>
      <c r="F106" s="122"/>
      <c r="G106" s="122"/>
      <c r="H106" s="122"/>
      <c r="I106" s="122"/>
      <c r="J106" s="122"/>
      <c r="K106" s="122"/>
      <c r="L106" s="122"/>
      <c r="M106" s="122"/>
      <c r="N106" s="122"/>
      <c r="O106" s="122"/>
      <c r="P106" s="122"/>
    </row>
    <row r="107" ht="15.75" customHeight="1">
      <c r="A107" s="121" t="str">
        <f>'1. Справочник'!C106</f>
        <v/>
      </c>
      <c r="B107" s="122" t="str">
        <f>'1. Справочник'!D106</f>
        <v/>
      </c>
      <c r="C107" s="123" t="str">
        <f>'1. Справочник'!F106</f>
        <v/>
      </c>
      <c r="D107" s="122"/>
      <c r="E107" s="122"/>
      <c r="F107" s="122"/>
      <c r="G107" s="122"/>
      <c r="H107" s="122"/>
      <c r="I107" s="122"/>
      <c r="J107" s="122"/>
      <c r="K107" s="122"/>
      <c r="L107" s="122"/>
      <c r="M107" s="122"/>
      <c r="N107" s="122"/>
      <c r="O107" s="122"/>
      <c r="P107" s="122"/>
    </row>
    <row r="108" ht="15.75" customHeight="1">
      <c r="A108" s="121" t="str">
        <f>'1. Справочник'!C107</f>
        <v/>
      </c>
      <c r="B108" s="122" t="str">
        <f>'1. Справочник'!D107</f>
        <v/>
      </c>
      <c r="C108" s="123" t="str">
        <f>'1. Справочник'!F107</f>
        <v/>
      </c>
      <c r="D108" s="122"/>
      <c r="E108" s="122"/>
      <c r="F108" s="122"/>
      <c r="G108" s="122"/>
      <c r="H108" s="122"/>
      <c r="I108" s="122"/>
      <c r="J108" s="122"/>
      <c r="K108" s="122"/>
      <c r="L108" s="122"/>
      <c r="M108" s="122"/>
      <c r="N108" s="122"/>
      <c r="O108" s="122"/>
      <c r="P108" s="122"/>
    </row>
    <row r="109" ht="15.75" customHeight="1">
      <c r="A109" s="121" t="str">
        <f>'1. Справочник'!C108</f>
        <v/>
      </c>
      <c r="B109" s="122" t="str">
        <f>'1. Справочник'!D108</f>
        <v/>
      </c>
      <c r="C109" s="123" t="str">
        <f>'1. Справочник'!F108</f>
        <v/>
      </c>
      <c r="D109" s="122"/>
      <c r="E109" s="122"/>
      <c r="F109" s="122"/>
      <c r="G109" s="122"/>
      <c r="H109" s="122"/>
      <c r="I109" s="122"/>
      <c r="J109" s="122"/>
      <c r="K109" s="122"/>
      <c r="L109" s="122"/>
      <c r="M109" s="122"/>
      <c r="N109" s="122"/>
      <c r="O109" s="122"/>
      <c r="P109" s="122"/>
    </row>
    <row r="110" ht="15.75" customHeight="1">
      <c r="A110" s="121" t="str">
        <f>'1. Справочник'!C109</f>
        <v/>
      </c>
      <c r="B110" s="122" t="str">
        <f>'1. Справочник'!D109</f>
        <v/>
      </c>
      <c r="C110" s="123" t="str">
        <f>'1. Справочник'!F109</f>
        <v/>
      </c>
      <c r="D110" s="122"/>
      <c r="E110" s="122"/>
      <c r="F110" s="122"/>
      <c r="G110" s="122"/>
      <c r="H110" s="122"/>
      <c r="I110" s="122"/>
      <c r="J110" s="122"/>
      <c r="K110" s="122"/>
      <c r="L110" s="122"/>
      <c r="M110" s="122"/>
      <c r="N110" s="122"/>
      <c r="O110" s="122"/>
      <c r="P110" s="122"/>
    </row>
    <row r="111" ht="15.75" customHeight="1">
      <c r="A111" s="121" t="str">
        <f>'1. Справочник'!C110</f>
        <v/>
      </c>
      <c r="B111" s="122" t="str">
        <f>'1. Справочник'!D110</f>
        <v/>
      </c>
      <c r="C111" s="123" t="str">
        <f>'1. Справочник'!F110</f>
        <v/>
      </c>
      <c r="D111" s="122"/>
      <c r="E111" s="122"/>
      <c r="F111" s="122"/>
      <c r="G111" s="122"/>
      <c r="H111" s="122"/>
      <c r="I111" s="122"/>
      <c r="J111" s="122"/>
      <c r="K111" s="122"/>
      <c r="L111" s="122"/>
      <c r="M111" s="122"/>
      <c r="N111" s="122"/>
      <c r="O111" s="122"/>
      <c r="P111" s="122"/>
    </row>
    <row r="112" ht="15.75" customHeight="1">
      <c r="A112" s="121" t="str">
        <f>'1. Справочник'!C111</f>
        <v/>
      </c>
      <c r="B112" s="122" t="str">
        <f>'1. Справочник'!D111</f>
        <v/>
      </c>
      <c r="C112" s="123" t="str">
        <f>'1. Справочник'!F111</f>
        <v/>
      </c>
      <c r="D112" s="122"/>
      <c r="E112" s="122"/>
      <c r="F112" s="122"/>
      <c r="G112" s="122"/>
      <c r="H112" s="122"/>
      <c r="I112" s="122"/>
      <c r="J112" s="122"/>
      <c r="K112" s="122"/>
      <c r="L112" s="122"/>
      <c r="M112" s="122"/>
      <c r="N112" s="122"/>
      <c r="O112" s="122"/>
      <c r="P112" s="122"/>
    </row>
    <row r="113" ht="15.75" customHeight="1">
      <c r="A113" s="121" t="str">
        <f>'1. Справочник'!C112</f>
        <v/>
      </c>
      <c r="B113" s="122" t="str">
        <f>'1. Справочник'!D112</f>
        <v/>
      </c>
      <c r="C113" s="123" t="str">
        <f>'1. Справочник'!F112</f>
        <v/>
      </c>
      <c r="D113" s="122"/>
      <c r="E113" s="122"/>
      <c r="F113" s="122"/>
      <c r="G113" s="122"/>
      <c r="H113" s="122"/>
      <c r="I113" s="122"/>
      <c r="J113" s="122"/>
      <c r="K113" s="122"/>
      <c r="L113" s="122"/>
      <c r="M113" s="122"/>
      <c r="N113" s="122"/>
      <c r="O113" s="122"/>
      <c r="P113" s="122"/>
    </row>
    <row r="114" ht="15.75" customHeight="1">
      <c r="A114" s="121" t="str">
        <f>'1. Справочник'!C113</f>
        <v/>
      </c>
      <c r="B114" s="122" t="str">
        <f>'1. Справочник'!D113</f>
        <v/>
      </c>
      <c r="C114" s="123" t="str">
        <f>'1. Справочник'!F113</f>
        <v/>
      </c>
      <c r="D114" s="122"/>
      <c r="E114" s="122"/>
      <c r="F114" s="122"/>
      <c r="G114" s="122"/>
      <c r="H114" s="122"/>
      <c r="I114" s="122"/>
      <c r="J114" s="122"/>
      <c r="K114" s="122"/>
      <c r="L114" s="122"/>
      <c r="M114" s="122"/>
      <c r="N114" s="122"/>
      <c r="O114" s="122"/>
      <c r="P114" s="122"/>
    </row>
    <row r="115" ht="15.75" customHeight="1">
      <c r="A115" s="121" t="str">
        <f>'1. Справочник'!C114</f>
        <v/>
      </c>
      <c r="B115" s="122" t="str">
        <f>'1. Справочник'!D114</f>
        <v/>
      </c>
      <c r="C115" s="123" t="str">
        <f>'1. Справочник'!F114</f>
        <v/>
      </c>
      <c r="D115" s="122"/>
      <c r="E115" s="122"/>
      <c r="F115" s="122"/>
      <c r="G115" s="122"/>
      <c r="H115" s="122"/>
      <c r="I115" s="122"/>
      <c r="J115" s="122"/>
      <c r="K115" s="122"/>
      <c r="L115" s="122"/>
      <c r="M115" s="122"/>
      <c r="N115" s="122"/>
      <c r="O115" s="122"/>
      <c r="P115" s="122"/>
    </row>
    <row r="116" ht="15.75" customHeight="1">
      <c r="A116" s="121" t="str">
        <f>'1. Справочник'!C115</f>
        <v/>
      </c>
      <c r="B116" s="122" t="str">
        <f>'1. Справочник'!D115</f>
        <v/>
      </c>
      <c r="C116" s="123" t="str">
        <f>'1. Справочник'!F115</f>
        <v/>
      </c>
      <c r="D116" s="122"/>
      <c r="E116" s="122"/>
      <c r="F116" s="122"/>
      <c r="G116" s="122"/>
      <c r="H116" s="122"/>
      <c r="I116" s="122"/>
      <c r="J116" s="122"/>
      <c r="K116" s="122"/>
      <c r="L116" s="122"/>
      <c r="M116" s="122"/>
      <c r="N116" s="122"/>
      <c r="O116" s="122"/>
      <c r="P116" s="122"/>
    </row>
    <row r="117" ht="15.75" customHeight="1">
      <c r="A117" s="121" t="str">
        <f>'1. Справочник'!C116</f>
        <v/>
      </c>
      <c r="B117" s="122" t="str">
        <f>'1. Справочник'!D116</f>
        <v/>
      </c>
      <c r="C117" s="123" t="str">
        <f>'1. Справочник'!F116</f>
        <v/>
      </c>
      <c r="D117" s="122"/>
      <c r="E117" s="122"/>
      <c r="F117" s="122"/>
      <c r="G117" s="122"/>
      <c r="H117" s="122"/>
      <c r="I117" s="122"/>
      <c r="J117" s="122"/>
      <c r="K117" s="122"/>
      <c r="L117" s="122"/>
      <c r="M117" s="122"/>
      <c r="N117" s="122"/>
      <c r="O117" s="122"/>
      <c r="P117" s="122"/>
    </row>
    <row r="118" ht="15.75" customHeight="1">
      <c r="A118" s="121" t="str">
        <f>'1. Справочник'!C117</f>
        <v/>
      </c>
      <c r="B118" s="122" t="str">
        <f>'1. Справочник'!D117</f>
        <v/>
      </c>
      <c r="C118" s="123" t="str">
        <f>'1. Справочник'!F117</f>
        <v/>
      </c>
      <c r="D118" s="122"/>
      <c r="E118" s="122"/>
      <c r="F118" s="122"/>
      <c r="G118" s="122"/>
      <c r="H118" s="122"/>
      <c r="I118" s="122"/>
      <c r="J118" s="122"/>
      <c r="K118" s="122"/>
      <c r="L118" s="122"/>
      <c r="M118" s="122"/>
      <c r="N118" s="122"/>
      <c r="O118" s="122"/>
      <c r="P118" s="122"/>
    </row>
    <row r="119" ht="15.75" customHeight="1">
      <c r="A119" s="121" t="str">
        <f>'1. Справочник'!C118</f>
        <v/>
      </c>
      <c r="B119" s="122" t="str">
        <f>'1. Справочник'!D118</f>
        <v/>
      </c>
      <c r="C119" s="123" t="str">
        <f>'1. Справочник'!F118</f>
        <v/>
      </c>
      <c r="D119" s="122"/>
      <c r="E119" s="122"/>
      <c r="F119" s="122"/>
      <c r="G119" s="122"/>
      <c r="H119" s="122"/>
      <c r="I119" s="122"/>
      <c r="J119" s="122"/>
      <c r="K119" s="122"/>
      <c r="L119" s="122"/>
      <c r="M119" s="122"/>
      <c r="N119" s="122"/>
      <c r="O119" s="122"/>
      <c r="P119" s="122"/>
    </row>
    <row r="120" ht="15.75" customHeight="1">
      <c r="A120" s="121" t="str">
        <f>'1. Справочник'!C119</f>
        <v/>
      </c>
      <c r="B120" s="122"/>
      <c r="C120" s="123"/>
      <c r="D120" s="122"/>
      <c r="E120" s="122"/>
      <c r="F120" s="122"/>
      <c r="G120" s="122"/>
      <c r="H120" s="122"/>
      <c r="I120" s="122"/>
      <c r="J120" s="122"/>
      <c r="K120" s="122"/>
      <c r="L120" s="122"/>
      <c r="M120" s="122"/>
      <c r="N120" s="122"/>
      <c r="O120" s="122"/>
      <c r="P120" s="122"/>
    </row>
    <row r="121" ht="15.75" customHeight="1">
      <c r="A121" s="121" t="str">
        <f>'1. Справочник'!C120</f>
        <v/>
      </c>
      <c r="B121" s="122"/>
      <c r="C121" s="123"/>
      <c r="D121" s="122"/>
      <c r="E121" s="122"/>
      <c r="F121" s="122"/>
      <c r="G121" s="122"/>
      <c r="H121" s="122"/>
      <c r="I121" s="122"/>
      <c r="J121" s="122"/>
      <c r="K121" s="122"/>
      <c r="L121" s="122"/>
      <c r="M121" s="122"/>
      <c r="N121" s="122"/>
      <c r="O121" s="122"/>
      <c r="P121" s="122"/>
    </row>
    <row r="122" ht="15.75" customHeight="1">
      <c r="A122" s="121" t="str">
        <f>'1. Справочник'!C121</f>
        <v/>
      </c>
      <c r="B122" s="122"/>
      <c r="C122" s="123"/>
      <c r="D122" s="122"/>
      <c r="E122" s="122"/>
      <c r="F122" s="122"/>
      <c r="G122" s="122"/>
      <c r="H122" s="122"/>
      <c r="I122" s="122"/>
      <c r="J122" s="122"/>
      <c r="K122" s="122"/>
      <c r="L122" s="122"/>
      <c r="M122" s="122"/>
      <c r="N122" s="122"/>
      <c r="O122" s="122"/>
      <c r="P122" s="122"/>
    </row>
    <row r="123" ht="15.75" customHeight="1">
      <c r="A123" s="121" t="str">
        <f>'1. Справочник'!C122</f>
        <v/>
      </c>
      <c r="B123" s="122"/>
      <c r="C123" s="123"/>
      <c r="D123" s="122"/>
      <c r="E123" s="122"/>
      <c r="F123" s="122"/>
      <c r="G123" s="122"/>
      <c r="H123" s="122"/>
      <c r="I123" s="122"/>
      <c r="J123" s="122"/>
      <c r="K123" s="122"/>
      <c r="L123" s="122"/>
      <c r="M123" s="122"/>
      <c r="N123" s="122"/>
      <c r="O123" s="122"/>
      <c r="P123" s="122"/>
    </row>
    <row r="124" ht="15.75" customHeight="1">
      <c r="A124" s="121" t="str">
        <f>'1. Справочник'!C123</f>
        <v/>
      </c>
      <c r="B124" s="122"/>
      <c r="C124" s="123"/>
      <c r="D124" s="122"/>
      <c r="E124" s="122"/>
      <c r="F124" s="122"/>
      <c r="G124" s="122"/>
      <c r="H124" s="122"/>
      <c r="I124" s="122"/>
      <c r="J124" s="122"/>
      <c r="K124" s="122"/>
      <c r="L124" s="122"/>
      <c r="M124" s="122"/>
      <c r="N124" s="122"/>
      <c r="O124" s="122"/>
      <c r="P124" s="122"/>
    </row>
    <row r="125" ht="15.75" customHeight="1">
      <c r="A125" s="121" t="str">
        <f>'1. Справочник'!C124</f>
        <v/>
      </c>
      <c r="B125" s="122"/>
      <c r="C125" s="123"/>
      <c r="D125" s="122"/>
      <c r="E125" s="122"/>
      <c r="F125" s="122"/>
      <c r="G125" s="122"/>
      <c r="H125" s="122"/>
      <c r="I125" s="122"/>
      <c r="J125" s="122"/>
      <c r="K125" s="122"/>
      <c r="L125" s="122"/>
      <c r="M125" s="122"/>
      <c r="N125" s="122"/>
      <c r="O125" s="122"/>
      <c r="P125" s="122"/>
    </row>
    <row r="126" ht="15.75" customHeight="1">
      <c r="A126" s="121" t="str">
        <f>'1. Справочник'!C125</f>
        <v/>
      </c>
      <c r="B126" s="122"/>
      <c r="C126" s="123"/>
      <c r="D126" s="122"/>
      <c r="E126" s="122"/>
      <c r="F126" s="122"/>
      <c r="G126" s="122"/>
      <c r="H126" s="122"/>
      <c r="I126" s="122"/>
      <c r="J126" s="122"/>
      <c r="K126" s="122"/>
      <c r="L126" s="122"/>
      <c r="M126" s="122"/>
      <c r="N126" s="122"/>
      <c r="O126" s="122"/>
      <c r="P126" s="122"/>
    </row>
    <row r="127" ht="15.75" customHeight="1">
      <c r="A127" s="121" t="str">
        <f>'1. Справочник'!C126</f>
        <v/>
      </c>
      <c r="B127" s="122"/>
      <c r="C127" s="123"/>
      <c r="D127" s="122"/>
      <c r="E127" s="122"/>
      <c r="F127" s="122"/>
      <c r="G127" s="122"/>
      <c r="H127" s="122"/>
      <c r="I127" s="122"/>
      <c r="J127" s="122"/>
      <c r="K127" s="122"/>
      <c r="L127" s="122"/>
      <c r="M127" s="122"/>
      <c r="N127" s="122"/>
      <c r="O127" s="122"/>
      <c r="P127" s="122"/>
    </row>
    <row r="128" ht="15.75" customHeight="1">
      <c r="A128" s="121" t="str">
        <f>'1. Справочник'!C127</f>
        <v/>
      </c>
      <c r="B128" s="122"/>
      <c r="C128" s="123"/>
      <c r="D128" s="122"/>
      <c r="E128" s="122"/>
      <c r="F128" s="122"/>
      <c r="G128" s="122"/>
      <c r="H128" s="122"/>
      <c r="I128" s="122"/>
      <c r="J128" s="122"/>
      <c r="K128" s="122"/>
      <c r="L128" s="122"/>
      <c r="M128" s="122"/>
      <c r="N128" s="122"/>
      <c r="O128" s="122"/>
      <c r="P128" s="122"/>
    </row>
    <row r="129" ht="15.75" customHeight="1">
      <c r="A129" s="121" t="str">
        <f>'1. Справочник'!C128</f>
        <v/>
      </c>
      <c r="B129" s="122"/>
      <c r="C129" s="123"/>
      <c r="D129" s="122"/>
      <c r="E129" s="122"/>
      <c r="F129" s="122"/>
      <c r="G129" s="122"/>
      <c r="H129" s="122"/>
      <c r="I129" s="122"/>
      <c r="J129" s="122"/>
      <c r="K129" s="122"/>
      <c r="L129" s="122"/>
      <c r="M129" s="122"/>
      <c r="N129" s="122"/>
      <c r="O129" s="122"/>
      <c r="P129" s="122"/>
    </row>
    <row r="130" ht="15.75" customHeight="1">
      <c r="A130" s="121" t="str">
        <f>'1. Справочник'!C129</f>
        <v/>
      </c>
      <c r="B130" s="122"/>
      <c r="C130" s="123"/>
      <c r="D130" s="122"/>
      <c r="E130" s="122"/>
      <c r="F130" s="122"/>
      <c r="G130" s="122"/>
      <c r="H130" s="122"/>
      <c r="I130" s="122"/>
      <c r="J130" s="122"/>
      <c r="K130" s="122"/>
      <c r="L130" s="122"/>
      <c r="M130" s="122"/>
      <c r="N130" s="122"/>
      <c r="O130" s="122"/>
      <c r="P130" s="122"/>
    </row>
    <row r="131" ht="15.75" customHeight="1">
      <c r="A131" s="121"/>
      <c r="B131" s="122"/>
      <c r="C131" s="123"/>
      <c r="D131" s="122"/>
      <c r="E131" s="122"/>
      <c r="F131" s="122"/>
      <c r="G131" s="122"/>
      <c r="H131" s="122"/>
      <c r="I131" s="122"/>
      <c r="J131" s="122"/>
      <c r="K131" s="122"/>
      <c r="L131" s="122"/>
      <c r="M131" s="122"/>
      <c r="N131" s="122"/>
      <c r="O131" s="122"/>
      <c r="P131" s="122"/>
    </row>
    <row r="132" ht="15.75" customHeight="1">
      <c r="A132" s="121"/>
      <c r="B132" s="122"/>
      <c r="C132" s="123"/>
      <c r="D132" s="122"/>
      <c r="E132" s="122"/>
      <c r="F132" s="122"/>
      <c r="G132" s="122"/>
      <c r="H132" s="122"/>
      <c r="I132" s="122"/>
      <c r="J132" s="122"/>
      <c r="K132" s="122"/>
      <c r="L132" s="122"/>
      <c r="M132" s="122"/>
      <c r="N132" s="122"/>
      <c r="O132" s="122"/>
      <c r="P132" s="122"/>
    </row>
    <row r="133" ht="15.75" customHeight="1">
      <c r="A133" s="121"/>
      <c r="B133" s="122"/>
      <c r="C133" s="123"/>
      <c r="D133" s="122"/>
      <c r="E133" s="122"/>
      <c r="F133" s="122"/>
      <c r="G133" s="122"/>
      <c r="H133" s="122"/>
      <c r="I133" s="122"/>
      <c r="J133" s="122"/>
      <c r="K133" s="122"/>
      <c r="L133" s="122"/>
      <c r="M133" s="122"/>
      <c r="N133" s="122"/>
      <c r="O133" s="122"/>
      <c r="P133" s="122"/>
    </row>
    <row r="134" ht="15.75" customHeight="1">
      <c r="A134" s="121"/>
      <c r="B134" s="122"/>
      <c r="C134" s="123"/>
      <c r="D134" s="122"/>
      <c r="E134" s="122"/>
      <c r="F134" s="122"/>
      <c r="G134" s="122"/>
      <c r="H134" s="122"/>
      <c r="I134" s="122"/>
      <c r="J134" s="122"/>
      <c r="K134" s="122"/>
      <c r="L134" s="122"/>
      <c r="M134" s="122"/>
      <c r="N134" s="122"/>
      <c r="O134" s="122"/>
      <c r="P134" s="122"/>
    </row>
    <row r="135" ht="15.75" customHeight="1">
      <c r="A135" s="121"/>
      <c r="B135" s="122"/>
      <c r="C135" s="123"/>
      <c r="D135" s="122"/>
      <c r="E135" s="122"/>
      <c r="F135" s="122"/>
      <c r="G135" s="122"/>
      <c r="H135" s="122"/>
      <c r="I135" s="122"/>
      <c r="J135" s="122"/>
      <c r="K135" s="122"/>
      <c r="L135" s="122"/>
      <c r="M135" s="122"/>
      <c r="N135" s="122"/>
      <c r="O135" s="122"/>
      <c r="P135" s="122"/>
    </row>
    <row r="136" ht="15.75" customHeight="1">
      <c r="A136" s="121"/>
      <c r="B136" s="122"/>
      <c r="C136" s="123"/>
      <c r="D136" s="122"/>
      <c r="E136" s="122"/>
      <c r="F136" s="122"/>
      <c r="G136" s="122"/>
      <c r="H136" s="122"/>
      <c r="I136" s="122"/>
      <c r="J136" s="122"/>
      <c r="K136" s="122"/>
      <c r="L136" s="122"/>
      <c r="M136" s="122"/>
      <c r="N136" s="122"/>
      <c r="O136" s="122"/>
      <c r="P136" s="122"/>
    </row>
    <row r="137" ht="15.75" customHeight="1">
      <c r="A137" s="121"/>
      <c r="B137" s="122"/>
      <c r="C137" s="123"/>
      <c r="D137" s="122"/>
      <c r="E137" s="122"/>
      <c r="F137" s="122"/>
      <c r="G137" s="122"/>
      <c r="H137" s="122"/>
      <c r="I137" s="122"/>
      <c r="J137" s="122"/>
      <c r="K137" s="122"/>
      <c r="L137" s="122"/>
      <c r="M137" s="122"/>
      <c r="N137" s="122"/>
      <c r="O137" s="122"/>
      <c r="P137" s="122"/>
    </row>
    <row r="138" ht="15.75" customHeight="1">
      <c r="A138" s="121"/>
      <c r="B138" s="122"/>
      <c r="C138" s="123"/>
      <c r="D138" s="122"/>
      <c r="E138" s="122"/>
      <c r="F138" s="122"/>
      <c r="G138" s="122"/>
      <c r="H138" s="122"/>
      <c r="I138" s="122"/>
      <c r="J138" s="122"/>
      <c r="K138" s="122"/>
      <c r="L138" s="122"/>
      <c r="M138" s="122"/>
      <c r="N138" s="122"/>
      <c r="O138" s="122"/>
      <c r="P138" s="122"/>
    </row>
    <row r="139" ht="15.75" customHeight="1">
      <c r="A139" s="121"/>
      <c r="B139" s="122"/>
      <c r="C139" s="123"/>
      <c r="D139" s="122"/>
      <c r="E139" s="122"/>
      <c r="F139" s="122"/>
      <c r="G139" s="122"/>
      <c r="H139" s="122"/>
      <c r="I139" s="122"/>
      <c r="J139" s="122"/>
      <c r="K139" s="122"/>
      <c r="L139" s="122"/>
      <c r="M139" s="122"/>
      <c r="N139" s="122"/>
      <c r="O139" s="122"/>
      <c r="P139" s="122"/>
    </row>
    <row r="140" ht="15.75" customHeight="1">
      <c r="A140" s="121"/>
      <c r="B140" s="122"/>
      <c r="C140" s="123"/>
      <c r="D140" s="122"/>
      <c r="E140" s="122"/>
      <c r="F140" s="122"/>
      <c r="G140" s="122"/>
      <c r="H140" s="122"/>
      <c r="I140" s="122"/>
      <c r="J140" s="122"/>
      <c r="K140" s="122"/>
      <c r="L140" s="122"/>
      <c r="M140" s="122"/>
      <c r="N140" s="122"/>
      <c r="O140" s="122"/>
      <c r="P140" s="122"/>
    </row>
    <row r="141" ht="15.75" customHeight="1">
      <c r="A141" s="121"/>
      <c r="B141" s="122"/>
      <c r="C141" s="123"/>
      <c r="D141" s="122"/>
      <c r="E141" s="122"/>
      <c r="F141" s="122"/>
      <c r="G141" s="122"/>
      <c r="H141" s="122"/>
      <c r="I141" s="122"/>
      <c r="J141" s="122"/>
      <c r="K141" s="122"/>
      <c r="L141" s="122"/>
      <c r="M141" s="122"/>
      <c r="N141" s="122"/>
      <c r="O141" s="122"/>
      <c r="P141" s="122"/>
    </row>
    <row r="142" ht="15.75" customHeight="1">
      <c r="A142" s="121"/>
      <c r="B142" s="122"/>
      <c r="C142" s="123"/>
      <c r="D142" s="122"/>
      <c r="E142" s="122"/>
      <c r="F142" s="122"/>
      <c r="G142" s="122"/>
      <c r="H142" s="122"/>
      <c r="I142" s="122"/>
      <c r="J142" s="122"/>
      <c r="K142" s="122"/>
      <c r="L142" s="122"/>
      <c r="M142" s="122"/>
      <c r="N142" s="122"/>
      <c r="O142" s="122"/>
      <c r="P142" s="122"/>
    </row>
    <row r="143" ht="15.75" customHeight="1">
      <c r="A143" s="121"/>
      <c r="B143" s="122"/>
      <c r="C143" s="123"/>
      <c r="D143" s="122"/>
      <c r="E143" s="122"/>
      <c r="F143" s="122"/>
      <c r="G143" s="122"/>
      <c r="H143" s="122"/>
      <c r="I143" s="122"/>
      <c r="J143" s="122"/>
      <c r="K143" s="122"/>
      <c r="L143" s="122"/>
      <c r="M143" s="122"/>
      <c r="N143" s="122"/>
      <c r="O143" s="122"/>
      <c r="P143" s="122"/>
    </row>
    <row r="144" ht="15.75" customHeight="1">
      <c r="A144" s="121"/>
      <c r="B144" s="122"/>
      <c r="C144" s="123"/>
      <c r="D144" s="122"/>
      <c r="E144" s="122"/>
      <c r="F144" s="122"/>
      <c r="G144" s="122"/>
      <c r="H144" s="122"/>
      <c r="I144" s="122"/>
      <c r="J144" s="122"/>
      <c r="K144" s="122"/>
      <c r="L144" s="122"/>
      <c r="M144" s="122"/>
      <c r="N144" s="122"/>
      <c r="O144" s="122"/>
      <c r="P144" s="122"/>
    </row>
    <row r="145" ht="15.75" customHeight="1">
      <c r="A145" s="121"/>
      <c r="B145" s="122"/>
      <c r="C145" s="123"/>
      <c r="D145" s="122"/>
      <c r="E145" s="122"/>
      <c r="F145" s="122"/>
      <c r="G145" s="122"/>
      <c r="H145" s="122"/>
      <c r="I145" s="122"/>
      <c r="J145" s="122"/>
      <c r="K145" s="122"/>
      <c r="L145" s="122"/>
      <c r="M145" s="122"/>
      <c r="N145" s="122"/>
      <c r="O145" s="122"/>
      <c r="P145" s="122"/>
    </row>
    <row r="146" ht="15.75" customHeight="1">
      <c r="A146" s="121"/>
      <c r="B146" s="122"/>
      <c r="C146" s="123"/>
      <c r="D146" s="122"/>
      <c r="E146" s="122"/>
      <c r="F146" s="122"/>
      <c r="G146" s="122"/>
      <c r="H146" s="122"/>
      <c r="I146" s="122"/>
      <c r="J146" s="122"/>
      <c r="K146" s="122"/>
      <c r="L146" s="122"/>
      <c r="M146" s="122"/>
      <c r="N146" s="122"/>
      <c r="O146" s="122"/>
      <c r="P146" s="122"/>
    </row>
    <row r="147" ht="15.75" customHeight="1">
      <c r="A147" s="121"/>
      <c r="B147" s="122"/>
      <c r="C147" s="123"/>
      <c r="D147" s="122"/>
      <c r="E147" s="122"/>
      <c r="F147" s="122"/>
      <c r="G147" s="122"/>
      <c r="H147" s="122"/>
      <c r="I147" s="122"/>
      <c r="J147" s="122"/>
      <c r="K147" s="122"/>
      <c r="L147" s="122"/>
      <c r="M147" s="122"/>
      <c r="N147" s="122"/>
      <c r="O147" s="122"/>
      <c r="P147" s="122"/>
    </row>
    <row r="148" ht="15.75" customHeight="1">
      <c r="A148" s="121"/>
      <c r="B148" s="122"/>
      <c r="C148" s="123"/>
      <c r="D148" s="122"/>
      <c r="E148" s="122"/>
      <c r="F148" s="122"/>
      <c r="G148" s="122"/>
      <c r="H148" s="122"/>
      <c r="I148" s="122"/>
      <c r="J148" s="122"/>
      <c r="K148" s="122"/>
      <c r="L148" s="122"/>
      <c r="M148" s="122"/>
      <c r="N148" s="122"/>
      <c r="O148" s="122"/>
      <c r="P148" s="122"/>
    </row>
    <row r="149" ht="15.75" customHeight="1">
      <c r="A149" s="121"/>
      <c r="B149" s="122"/>
      <c r="C149" s="123"/>
      <c r="D149" s="122"/>
      <c r="E149" s="122"/>
      <c r="F149" s="122"/>
      <c r="G149" s="122"/>
      <c r="H149" s="122"/>
      <c r="I149" s="122"/>
      <c r="J149" s="122"/>
      <c r="K149" s="122"/>
      <c r="L149" s="122"/>
      <c r="M149" s="122"/>
      <c r="N149" s="122"/>
      <c r="O149" s="122"/>
      <c r="P149" s="122"/>
    </row>
    <row r="150" ht="15.75" customHeight="1">
      <c r="A150" s="121"/>
      <c r="B150" s="122"/>
      <c r="C150" s="123"/>
      <c r="D150" s="122"/>
      <c r="E150" s="122"/>
      <c r="F150" s="122"/>
      <c r="G150" s="122"/>
      <c r="H150" s="122"/>
      <c r="I150" s="122"/>
      <c r="J150" s="122"/>
      <c r="K150" s="122"/>
      <c r="L150" s="122"/>
      <c r="M150" s="122"/>
      <c r="N150" s="122"/>
      <c r="O150" s="122"/>
      <c r="P150" s="122"/>
    </row>
    <row r="151" ht="15.75" customHeight="1">
      <c r="A151" s="121"/>
      <c r="B151" s="122"/>
      <c r="C151" s="123"/>
      <c r="D151" s="122"/>
      <c r="E151" s="122"/>
      <c r="F151" s="122"/>
      <c r="G151" s="122"/>
      <c r="H151" s="122"/>
      <c r="I151" s="122"/>
      <c r="J151" s="122"/>
      <c r="K151" s="122"/>
      <c r="L151" s="122"/>
      <c r="M151" s="122"/>
      <c r="N151" s="122"/>
      <c r="O151" s="122"/>
      <c r="P151" s="122"/>
    </row>
    <row r="152" ht="15.75" customHeight="1">
      <c r="A152" s="121"/>
      <c r="B152" s="122"/>
      <c r="C152" s="123"/>
      <c r="D152" s="122"/>
      <c r="E152" s="122"/>
      <c r="F152" s="122"/>
      <c r="G152" s="122"/>
      <c r="H152" s="122"/>
      <c r="I152" s="122"/>
      <c r="J152" s="122"/>
      <c r="K152" s="122"/>
      <c r="L152" s="122"/>
      <c r="M152" s="122"/>
      <c r="N152" s="122"/>
      <c r="O152" s="122"/>
      <c r="P152" s="122"/>
    </row>
    <row r="153" ht="15.75" customHeight="1">
      <c r="A153" s="121"/>
      <c r="B153" s="122"/>
      <c r="C153" s="123"/>
      <c r="D153" s="122"/>
      <c r="E153" s="122"/>
      <c r="F153" s="122"/>
      <c r="G153" s="122"/>
      <c r="H153" s="122"/>
      <c r="I153" s="122"/>
      <c r="J153" s="122"/>
      <c r="K153" s="122"/>
      <c r="L153" s="122"/>
      <c r="M153" s="122"/>
      <c r="N153" s="122"/>
      <c r="O153" s="122"/>
      <c r="P153" s="122"/>
    </row>
    <row r="154" ht="15.75" customHeight="1">
      <c r="A154" s="121"/>
      <c r="B154" s="122"/>
      <c r="C154" s="123"/>
      <c r="D154" s="122"/>
      <c r="E154" s="122"/>
      <c r="F154" s="122"/>
      <c r="G154" s="122"/>
      <c r="H154" s="122"/>
      <c r="I154" s="122"/>
      <c r="J154" s="122"/>
      <c r="K154" s="122"/>
      <c r="L154" s="122"/>
      <c r="M154" s="122"/>
      <c r="N154" s="122"/>
      <c r="O154" s="122"/>
      <c r="P154" s="122"/>
    </row>
    <row r="155" ht="15.75" customHeight="1">
      <c r="A155" s="121"/>
      <c r="B155" s="122"/>
      <c r="C155" s="123"/>
      <c r="D155" s="122"/>
      <c r="E155" s="122"/>
      <c r="F155" s="122"/>
      <c r="G155" s="122"/>
      <c r="H155" s="122"/>
      <c r="I155" s="122"/>
      <c r="J155" s="122"/>
      <c r="K155" s="122"/>
      <c r="L155" s="122"/>
      <c r="M155" s="122"/>
      <c r="N155" s="122"/>
      <c r="O155" s="122"/>
      <c r="P155" s="122"/>
    </row>
    <row r="156" ht="15.75" customHeight="1">
      <c r="A156" s="121"/>
      <c r="B156" s="122"/>
      <c r="C156" s="123"/>
      <c r="D156" s="122"/>
      <c r="E156" s="122"/>
      <c r="F156" s="122"/>
      <c r="G156" s="122"/>
      <c r="H156" s="122"/>
      <c r="I156" s="122"/>
      <c r="J156" s="122"/>
      <c r="K156" s="122"/>
      <c r="L156" s="122"/>
      <c r="M156" s="122"/>
      <c r="N156" s="122"/>
      <c r="O156" s="122"/>
      <c r="P156" s="122"/>
    </row>
    <row r="157" ht="15.75" customHeight="1">
      <c r="A157" s="121"/>
      <c r="B157" s="122"/>
      <c r="C157" s="123"/>
      <c r="D157" s="122"/>
      <c r="E157" s="122"/>
      <c r="F157" s="122"/>
      <c r="G157" s="122"/>
      <c r="H157" s="122"/>
      <c r="I157" s="122"/>
      <c r="J157" s="122"/>
      <c r="K157" s="122"/>
      <c r="L157" s="122"/>
      <c r="M157" s="122"/>
      <c r="N157" s="122"/>
      <c r="O157" s="122"/>
      <c r="P157" s="122"/>
    </row>
    <row r="158" ht="15.75" customHeight="1">
      <c r="A158" s="121"/>
      <c r="B158" s="122"/>
      <c r="C158" s="123"/>
      <c r="D158" s="122"/>
      <c r="E158" s="122"/>
      <c r="F158" s="122"/>
      <c r="G158" s="122"/>
      <c r="H158" s="122"/>
      <c r="I158" s="122"/>
      <c r="J158" s="122"/>
      <c r="K158" s="122"/>
      <c r="L158" s="122"/>
      <c r="M158" s="122"/>
      <c r="N158" s="122"/>
      <c r="O158" s="122"/>
      <c r="P158" s="122"/>
    </row>
    <row r="159" ht="15.75" customHeight="1">
      <c r="A159" s="121"/>
      <c r="B159" s="122"/>
      <c r="C159" s="123"/>
      <c r="D159" s="122"/>
      <c r="E159" s="122"/>
      <c r="F159" s="122"/>
      <c r="G159" s="122"/>
      <c r="H159" s="122"/>
      <c r="I159" s="122"/>
      <c r="J159" s="122"/>
      <c r="K159" s="122"/>
      <c r="L159" s="122"/>
      <c r="M159" s="122"/>
      <c r="N159" s="122"/>
      <c r="O159" s="122"/>
      <c r="P159" s="122"/>
    </row>
    <row r="160" ht="15.75" customHeight="1">
      <c r="A160" s="121"/>
      <c r="B160" s="122"/>
      <c r="C160" s="123"/>
      <c r="D160" s="122"/>
      <c r="E160" s="122"/>
      <c r="F160" s="122"/>
      <c r="G160" s="122"/>
      <c r="H160" s="122"/>
      <c r="I160" s="122"/>
      <c r="J160" s="122"/>
      <c r="K160" s="122"/>
      <c r="L160" s="122"/>
      <c r="M160" s="122"/>
      <c r="N160" s="122"/>
      <c r="O160" s="122"/>
      <c r="P160" s="122"/>
    </row>
    <row r="161" ht="15.75" customHeight="1">
      <c r="A161" s="121"/>
      <c r="B161" s="122"/>
      <c r="C161" s="123"/>
      <c r="D161" s="122"/>
      <c r="E161" s="122"/>
      <c r="F161" s="122"/>
      <c r="G161" s="122"/>
      <c r="H161" s="122"/>
      <c r="I161" s="122"/>
      <c r="J161" s="122"/>
      <c r="K161" s="122"/>
      <c r="L161" s="122"/>
      <c r="M161" s="122"/>
      <c r="N161" s="122"/>
      <c r="O161" s="122"/>
      <c r="P161" s="122"/>
    </row>
    <row r="162" ht="15.75" customHeight="1">
      <c r="A162" s="121"/>
      <c r="B162" s="122"/>
      <c r="C162" s="123"/>
      <c r="D162" s="122"/>
      <c r="E162" s="122"/>
      <c r="F162" s="122"/>
      <c r="G162" s="122"/>
      <c r="H162" s="122"/>
      <c r="I162" s="122"/>
      <c r="J162" s="122"/>
      <c r="K162" s="122"/>
      <c r="L162" s="122"/>
      <c r="M162" s="122"/>
      <c r="N162" s="122"/>
      <c r="O162" s="122"/>
      <c r="P162" s="122"/>
    </row>
    <row r="163" ht="15.75" customHeight="1">
      <c r="A163" s="121"/>
      <c r="B163" s="122"/>
      <c r="C163" s="123"/>
      <c r="D163" s="122"/>
      <c r="E163" s="122"/>
      <c r="F163" s="122"/>
      <c r="G163" s="122"/>
      <c r="H163" s="122"/>
      <c r="I163" s="122"/>
      <c r="J163" s="122"/>
      <c r="K163" s="122"/>
      <c r="L163" s="122"/>
      <c r="M163" s="122"/>
      <c r="N163" s="122"/>
      <c r="O163" s="122"/>
      <c r="P163" s="122"/>
    </row>
    <row r="164" ht="15.75" customHeight="1">
      <c r="A164" s="121"/>
      <c r="B164" s="122"/>
      <c r="C164" s="123"/>
      <c r="D164" s="122"/>
      <c r="E164" s="122"/>
      <c r="F164" s="122"/>
      <c r="G164" s="122"/>
      <c r="H164" s="122"/>
      <c r="I164" s="122"/>
      <c r="J164" s="122"/>
      <c r="K164" s="122"/>
      <c r="L164" s="122"/>
      <c r="M164" s="122"/>
      <c r="N164" s="122"/>
      <c r="O164" s="122"/>
      <c r="P164" s="122"/>
    </row>
    <row r="165" ht="15.75" customHeight="1">
      <c r="A165" s="121"/>
      <c r="B165" s="122"/>
      <c r="C165" s="123"/>
      <c r="D165" s="122"/>
      <c r="E165" s="122"/>
      <c r="F165" s="122"/>
      <c r="G165" s="122"/>
      <c r="H165" s="122"/>
      <c r="I165" s="122"/>
      <c r="J165" s="122"/>
      <c r="K165" s="122"/>
      <c r="L165" s="122"/>
      <c r="M165" s="122"/>
      <c r="N165" s="122"/>
      <c r="O165" s="122"/>
      <c r="P165" s="122"/>
    </row>
    <row r="166" ht="15.75" customHeight="1">
      <c r="A166" s="121"/>
      <c r="B166" s="122"/>
      <c r="C166" s="123"/>
      <c r="D166" s="122"/>
      <c r="E166" s="122"/>
      <c r="F166" s="122"/>
      <c r="G166" s="122"/>
      <c r="H166" s="122"/>
      <c r="I166" s="122"/>
      <c r="J166" s="122"/>
      <c r="K166" s="122"/>
      <c r="L166" s="122"/>
      <c r="M166" s="122"/>
      <c r="N166" s="122"/>
      <c r="O166" s="122"/>
      <c r="P166" s="122"/>
    </row>
    <row r="167" ht="15.75" customHeight="1">
      <c r="A167" s="121"/>
      <c r="B167" s="122"/>
      <c r="C167" s="123"/>
      <c r="D167" s="122"/>
      <c r="E167" s="122"/>
      <c r="F167" s="122"/>
      <c r="G167" s="122"/>
      <c r="H167" s="122"/>
      <c r="I167" s="122"/>
      <c r="J167" s="122"/>
      <c r="K167" s="122"/>
      <c r="L167" s="122"/>
      <c r="M167" s="122"/>
      <c r="N167" s="122"/>
      <c r="O167" s="122"/>
      <c r="P167" s="122"/>
    </row>
    <row r="168" ht="15.75" customHeight="1">
      <c r="A168" s="121"/>
      <c r="B168" s="122"/>
      <c r="C168" s="123"/>
      <c r="D168" s="122"/>
      <c r="E168" s="122"/>
      <c r="F168" s="122"/>
      <c r="G168" s="122"/>
      <c r="H168" s="122"/>
      <c r="I168" s="122"/>
      <c r="J168" s="122"/>
      <c r="K168" s="122"/>
      <c r="L168" s="122"/>
      <c r="M168" s="122"/>
      <c r="N168" s="122"/>
      <c r="O168" s="122"/>
      <c r="P168" s="122"/>
    </row>
    <row r="169" ht="15.75" customHeight="1">
      <c r="A169" s="121"/>
      <c r="B169" s="122"/>
      <c r="C169" s="123"/>
      <c r="D169" s="122"/>
      <c r="E169" s="122"/>
      <c r="F169" s="122"/>
      <c r="G169" s="122"/>
      <c r="H169" s="122"/>
      <c r="I169" s="122"/>
      <c r="J169" s="122"/>
      <c r="K169" s="122"/>
      <c r="L169" s="122"/>
      <c r="M169" s="122"/>
      <c r="N169" s="122"/>
      <c r="O169" s="122"/>
      <c r="P169" s="122"/>
    </row>
    <row r="170" ht="15.75" customHeight="1">
      <c r="A170" s="121"/>
      <c r="B170" s="122"/>
      <c r="C170" s="123"/>
      <c r="D170" s="122"/>
      <c r="E170" s="122"/>
      <c r="F170" s="122"/>
      <c r="G170" s="122"/>
      <c r="H170" s="122"/>
      <c r="I170" s="122"/>
      <c r="J170" s="122"/>
      <c r="K170" s="122"/>
      <c r="L170" s="122"/>
      <c r="M170" s="122"/>
      <c r="N170" s="122"/>
      <c r="O170" s="122"/>
      <c r="P170" s="122"/>
    </row>
    <row r="171" ht="15.75" customHeight="1">
      <c r="A171" s="121"/>
      <c r="B171" s="122"/>
      <c r="C171" s="123"/>
      <c r="D171" s="122"/>
      <c r="E171" s="122"/>
      <c r="F171" s="122"/>
      <c r="G171" s="122"/>
      <c r="H171" s="122"/>
      <c r="I171" s="122"/>
      <c r="J171" s="122"/>
      <c r="K171" s="122"/>
      <c r="L171" s="122"/>
      <c r="M171" s="122"/>
      <c r="N171" s="122"/>
      <c r="O171" s="122"/>
      <c r="P171" s="122"/>
    </row>
    <row r="172" ht="15.75" customHeight="1">
      <c r="A172" s="121"/>
      <c r="B172" s="122"/>
      <c r="C172" s="123"/>
      <c r="D172" s="122"/>
      <c r="E172" s="122"/>
      <c r="F172" s="122"/>
      <c r="G172" s="122"/>
      <c r="H172" s="122"/>
      <c r="I172" s="122"/>
      <c r="J172" s="122"/>
      <c r="K172" s="122"/>
      <c r="L172" s="122"/>
      <c r="M172" s="122"/>
      <c r="N172" s="122"/>
      <c r="O172" s="122"/>
      <c r="P172" s="122"/>
    </row>
    <row r="173" ht="15.75" customHeight="1">
      <c r="A173" s="121"/>
      <c r="B173" s="122"/>
      <c r="C173" s="123"/>
      <c r="D173" s="122"/>
      <c r="E173" s="122"/>
      <c r="F173" s="122"/>
      <c r="G173" s="122"/>
      <c r="H173" s="122"/>
      <c r="I173" s="122"/>
      <c r="J173" s="122"/>
      <c r="K173" s="122"/>
      <c r="L173" s="122"/>
      <c r="M173" s="122"/>
      <c r="N173" s="122"/>
      <c r="O173" s="122"/>
      <c r="P173" s="122"/>
    </row>
    <row r="174" ht="15.75" customHeight="1">
      <c r="A174" s="121"/>
      <c r="B174" s="122"/>
      <c r="C174" s="123"/>
      <c r="D174" s="122"/>
      <c r="E174" s="122"/>
      <c r="F174" s="122"/>
      <c r="G174" s="122"/>
      <c r="H174" s="122"/>
      <c r="I174" s="122"/>
      <c r="J174" s="122"/>
      <c r="K174" s="122"/>
      <c r="L174" s="122"/>
      <c r="M174" s="122"/>
      <c r="N174" s="122"/>
      <c r="O174" s="122"/>
      <c r="P174" s="122"/>
    </row>
    <row r="175" ht="15.75" customHeight="1">
      <c r="A175" s="121"/>
      <c r="B175" s="122"/>
      <c r="C175" s="123"/>
      <c r="D175" s="122"/>
      <c r="E175" s="122"/>
      <c r="F175" s="122"/>
      <c r="G175" s="122"/>
      <c r="H175" s="122"/>
      <c r="I175" s="122"/>
      <c r="J175" s="122"/>
      <c r="K175" s="122"/>
      <c r="L175" s="122"/>
      <c r="M175" s="122"/>
      <c r="N175" s="122"/>
      <c r="O175" s="122"/>
      <c r="P175" s="122"/>
    </row>
    <row r="176" ht="15.75" customHeight="1">
      <c r="A176" s="121"/>
      <c r="B176" s="122"/>
      <c r="C176" s="123"/>
      <c r="D176" s="122"/>
      <c r="E176" s="122"/>
      <c r="F176" s="122"/>
      <c r="G176" s="122"/>
      <c r="H176" s="122"/>
      <c r="I176" s="122"/>
      <c r="J176" s="122"/>
      <c r="K176" s="122"/>
      <c r="L176" s="122"/>
      <c r="M176" s="122"/>
      <c r="N176" s="122"/>
      <c r="O176" s="122"/>
      <c r="P176" s="122"/>
    </row>
    <row r="177" ht="15.75" customHeight="1">
      <c r="A177" s="121"/>
      <c r="B177" s="122"/>
      <c r="C177" s="123"/>
      <c r="D177" s="122"/>
      <c r="E177" s="122"/>
      <c r="F177" s="122"/>
      <c r="G177" s="122"/>
      <c r="H177" s="122"/>
      <c r="I177" s="122"/>
      <c r="J177" s="122"/>
      <c r="K177" s="122"/>
      <c r="L177" s="122"/>
      <c r="M177" s="122"/>
      <c r="N177" s="122"/>
      <c r="O177" s="122"/>
      <c r="P177" s="122"/>
    </row>
    <row r="178" ht="15.75" customHeight="1">
      <c r="A178" s="121"/>
      <c r="B178" s="122"/>
      <c r="C178" s="123"/>
      <c r="D178" s="122"/>
      <c r="E178" s="122"/>
      <c r="F178" s="122"/>
      <c r="G178" s="122"/>
      <c r="H178" s="122"/>
      <c r="I178" s="122"/>
      <c r="J178" s="122"/>
      <c r="K178" s="122"/>
      <c r="L178" s="122"/>
      <c r="M178" s="122"/>
      <c r="N178" s="122"/>
      <c r="O178" s="122"/>
      <c r="P178" s="122"/>
    </row>
    <row r="179" ht="15.75" customHeight="1">
      <c r="A179" s="121"/>
      <c r="B179" s="122"/>
      <c r="C179" s="123"/>
      <c r="D179" s="122"/>
      <c r="E179" s="122"/>
      <c r="F179" s="122"/>
      <c r="G179" s="122"/>
      <c r="H179" s="122"/>
      <c r="I179" s="122"/>
      <c r="J179" s="122"/>
      <c r="K179" s="122"/>
      <c r="L179" s="122"/>
      <c r="M179" s="122"/>
      <c r="N179" s="122"/>
      <c r="O179" s="122"/>
      <c r="P179" s="122"/>
    </row>
    <row r="180" ht="15.75" customHeight="1">
      <c r="A180" s="121"/>
      <c r="B180" s="122"/>
      <c r="C180" s="123"/>
      <c r="D180" s="122"/>
      <c r="E180" s="122"/>
      <c r="F180" s="122"/>
      <c r="G180" s="122"/>
      <c r="H180" s="122"/>
      <c r="I180" s="122"/>
      <c r="J180" s="122"/>
      <c r="K180" s="122"/>
      <c r="L180" s="122"/>
      <c r="M180" s="122"/>
      <c r="N180" s="122"/>
      <c r="O180" s="122"/>
      <c r="P180" s="122"/>
    </row>
    <row r="181" ht="15.75" customHeight="1">
      <c r="A181" s="121"/>
      <c r="B181" s="122"/>
      <c r="C181" s="123"/>
      <c r="D181" s="122"/>
      <c r="E181" s="122"/>
      <c r="F181" s="122"/>
      <c r="G181" s="122"/>
      <c r="H181" s="122"/>
      <c r="I181" s="122"/>
      <c r="J181" s="122"/>
      <c r="K181" s="122"/>
      <c r="L181" s="122"/>
      <c r="M181" s="122"/>
      <c r="N181" s="122"/>
      <c r="O181" s="122"/>
      <c r="P181" s="122"/>
    </row>
    <row r="182" ht="15.75" customHeight="1">
      <c r="A182" s="121"/>
      <c r="B182" s="122"/>
      <c r="C182" s="123"/>
      <c r="D182" s="122"/>
      <c r="E182" s="122"/>
      <c r="F182" s="122"/>
      <c r="G182" s="122"/>
      <c r="H182" s="122"/>
      <c r="I182" s="122"/>
      <c r="J182" s="122"/>
      <c r="K182" s="122"/>
      <c r="L182" s="122"/>
      <c r="M182" s="122"/>
      <c r="N182" s="122"/>
      <c r="O182" s="122"/>
      <c r="P182" s="122"/>
    </row>
    <row r="183" ht="15.75" customHeight="1">
      <c r="A183" s="121"/>
      <c r="B183" s="122"/>
      <c r="C183" s="123"/>
      <c r="D183" s="122"/>
      <c r="E183" s="122"/>
      <c r="F183" s="122"/>
      <c r="G183" s="122"/>
      <c r="H183" s="122"/>
      <c r="I183" s="122"/>
      <c r="J183" s="122"/>
      <c r="K183" s="122"/>
      <c r="L183" s="122"/>
      <c r="M183" s="122"/>
      <c r="N183" s="122"/>
      <c r="O183" s="122"/>
      <c r="P183" s="122"/>
    </row>
    <row r="184" ht="15.75" customHeight="1">
      <c r="A184" s="121"/>
      <c r="B184" s="122"/>
      <c r="C184" s="123"/>
      <c r="D184" s="122"/>
      <c r="E184" s="122"/>
      <c r="F184" s="122"/>
      <c r="G184" s="122"/>
      <c r="H184" s="122"/>
      <c r="I184" s="122"/>
      <c r="J184" s="122"/>
      <c r="K184" s="122"/>
      <c r="L184" s="122"/>
      <c r="M184" s="122"/>
      <c r="N184" s="122"/>
      <c r="O184" s="122"/>
      <c r="P184" s="122"/>
    </row>
    <row r="185" ht="15.75" customHeight="1">
      <c r="A185" s="121"/>
      <c r="B185" s="122"/>
      <c r="C185" s="123"/>
      <c r="D185" s="122"/>
      <c r="E185" s="122"/>
      <c r="F185" s="122"/>
      <c r="G185" s="122"/>
      <c r="H185" s="122"/>
      <c r="I185" s="122"/>
      <c r="J185" s="122"/>
      <c r="K185" s="122"/>
      <c r="L185" s="122"/>
      <c r="M185" s="122"/>
      <c r="N185" s="122"/>
      <c r="O185" s="122"/>
      <c r="P185" s="122"/>
    </row>
    <row r="186" ht="15.75" customHeight="1">
      <c r="A186" s="121"/>
      <c r="B186" s="122"/>
      <c r="C186" s="123"/>
      <c r="D186" s="122"/>
      <c r="E186" s="122"/>
      <c r="F186" s="122"/>
      <c r="G186" s="122"/>
      <c r="H186" s="122"/>
      <c r="I186" s="122"/>
      <c r="J186" s="122"/>
      <c r="K186" s="122"/>
      <c r="L186" s="122"/>
      <c r="M186" s="122"/>
      <c r="N186" s="122"/>
      <c r="O186" s="122"/>
      <c r="P186" s="122"/>
    </row>
    <row r="187" ht="15.75" customHeight="1">
      <c r="A187" s="121"/>
      <c r="B187" s="122"/>
      <c r="C187" s="123"/>
      <c r="D187" s="122"/>
      <c r="E187" s="122"/>
      <c r="F187" s="122"/>
      <c r="G187" s="122"/>
      <c r="H187" s="122"/>
      <c r="I187" s="122"/>
      <c r="J187" s="122"/>
      <c r="K187" s="122"/>
      <c r="L187" s="122"/>
      <c r="M187" s="122"/>
      <c r="N187" s="122"/>
      <c r="O187" s="122"/>
      <c r="P187" s="122"/>
    </row>
    <row r="188" ht="15.75" customHeight="1">
      <c r="A188" s="121"/>
      <c r="B188" s="122"/>
      <c r="C188" s="123"/>
      <c r="D188" s="122"/>
      <c r="E188" s="122"/>
      <c r="F188" s="122"/>
      <c r="G188" s="122"/>
      <c r="H188" s="122"/>
      <c r="I188" s="122"/>
      <c r="J188" s="122"/>
      <c r="K188" s="122"/>
      <c r="L188" s="122"/>
      <c r="M188" s="122"/>
      <c r="N188" s="122"/>
      <c r="O188" s="122"/>
      <c r="P188" s="122"/>
    </row>
    <row r="189" ht="15.75" customHeight="1">
      <c r="A189" s="121"/>
      <c r="B189" s="122"/>
      <c r="C189" s="123"/>
      <c r="D189" s="122"/>
      <c r="E189" s="122"/>
      <c r="F189" s="122"/>
      <c r="G189" s="122"/>
      <c r="H189" s="122"/>
      <c r="I189" s="122"/>
      <c r="J189" s="122"/>
      <c r="K189" s="122"/>
      <c r="L189" s="122"/>
      <c r="M189" s="122"/>
      <c r="N189" s="122"/>
      <c r="O189" s="122"/>
      <c r="P189" s="122"/>
    </row>
    <row r="190" ht="15.75" customHeight="1">
      <c r="A190" s="121"/>
      <c r="B190" s="122"/>
      <c r="C190" s="123"/>
      <c r="D190" s="122"/>
      <c r="E190" s="122"/>
      <c r="F190" s="122"/>
      <c r="G190" s="122"/>
      <c r="H190" s="122"/>
      <c r="I190" s="122"/>
      <c r="J190" s="122"/>
      <c r="K190" s="122"/>
      <c r="L190" s="122"/>
      <c r="M190" s="122"/>
      <c r="N190" s="122"/>
      <c r="O190" s="122"/>
      <c r="P190" s="122"/>
    </row>
    <row r="191" ht="15.75" customHeight="1">
      <c r="A191" s="121"/>
      <c r="B191" s="122"/>
      <c r="C191" s="123"/>
      <c r="D191" s="122"/>
      <c r="E191" s="122"/>
      <c r="F191" s="122"/>
      <c r="G191" s="122"/>
      <c r="H191" s="122"/>
      <c r="I191" s="122"/>
      <c r="J191" s="122"/>
      <c r="K191" s="122"/>
      <c r="L191" s="122"/>
      <c r="M191" s="122"/>
      <c r="N191" s="122"/>
      <c r="O191" s="122"/>
      <c r="P191" s="122"/>
    </row>
    <row r="192" ht="15.75" customHeight="1">
      <c r="A192" s="121"/>
      <c r="B192" s="122"/>
      <c r="C192" s="123"/>
      <c r="D192" s="122"/>
      <c r="E192" s="122"/>
      <c r="F192" s="122"/>
      <c r="G192" s="122"/>
      <c r="H192" s="122"/>
      <c r="I192" s="122"/>
      <c r="J192" s="122"/>
      <c r="K192" s="122"/>
      <c r="L192" s="122"/>
      <c r="M192" s="122"/>
      <c r="N192" s="122"/>
      <c r="O192" s="122"/>
      <c r="P192" s="122"/>
    </row>
    <row r="193" ht="15.75" customHeight="1">
      <c r="A193" s="121"/>
      <c r="B193" s="122"/>
      <c r="C193" s="123"/>
      <c r="D193" s="122"/>
      <c r="E193" s="122"/>
      <c r="F193" s="122"/>
      <c r="G193" s="122"/>
      <c r="H193" s="122"/>
      <c r="I193" s="122"/>
      <c r="J193" s="122"/>
      <c r="K193" s="122"/>
      <c r="L193" s="122"/>
      <c r="M193" s="122"/>
      <c r="N193" s="122"/>
      <c r="O193" s="122"/>
      <c r="P193" s="122"/>
    </row>
    <row r="194" ht="15.75" customHeight="1">
      <c r="A194" s="121"/>
      <c r="B194" s="122"/>
      <c r="C194" s="123"/>
      <c r="D194" s="122"/>
      <c r="E194" s="122"/>
      <c r="F194" s="122"/>
      <c r="G194" s="122"/>
      <c r="H194" s="122"/>
      <c r="I194" s="122"/>
      <c r="J194" s="122"/>
      <c r="K194" s="122"/>
      <c r="L194" s="122"/>
      <c r="M194" s="122"/>
      <c r="N194" s="122"/>
      <c r="O194" s="122"/>
      <c r="P194" s="122"/>
    </row>
    <row r="195" ht="15.75" customHeight="1">
      <c r="A195" s="121"/>
      <c r="B195" s="122"/>
      <c r="C195" s="123"/>
      <c r="D195" s="122"/>
      <c r="E195" s="122"/>
      <c r="F195" s="122"/>
      <c r="G195" s="122"/>
      <c r="H195" s="122"/>
      <c r="I195" s="122"/>
      <c r="J195" s="122"/>
      <c r="K195" s="122"/>
      <c r="L195" s="122"/>
      <c r="M195" s="122"/>
      <c r="N195" s="122"/>
      <c r="O195" s="122"/>
      <c r="P195" s="122"/>
    </row>
    <row r="196" ht="15.75" customHeight="1">
      <c r="A196" s="121"/>
      <c r="B196" s="122"/>
      <c r="C196" s="123"/>
      <c r="D196" s="122"/>
      <c r="E196" s="122"/>
      <c r="F196" s="122"/>
      <c r="G196" s="122"/>
      <c r="H196" s="122"/>
      <c r="I196" s="122"/>
      <c r="J196" s="122"/>
      <c r="K196" s="122"/>
      <c r="L196" s="122"/>
      <c r="M196" s="122"/>
      <c r="N196" s="122"/>
      <c r="O196" s="122"/>
      <c r="P196" s="122"/>
    </row>
    <row r="197" ht="15.75" customHeight="1">
      <c r="A197" s="121"/>
      <c r="B197" s="122"/>
      <c r="C197" s="123"/>
      <c r="D197" s="122"/>
      <c r="E197" s="122"/>
      <c r="F197" s="122"/>
      <c r="G197" s="122"/>
      <c r="H197" s="122"/>
      <c r="I197" s="122"/>
      <c r="J197" s="122"/>
      <c r="K197" s="122"/>
      <c r="L197" s="122"/>
      <c r="M197" s="122"/>
      <c r="N197" s="122"/>
      <c r="O197" s="122"/>
      <c r="P197" s="122"/>
    </row>
    <row r="198" ht="15.75" customHeight="1">
      <c r="A198" s="121"/>
      <c r="B198" s="122"/>
      <c r="C198" s="123"/>
      <c r="D198" s="122"/>
      <c r="E198" s="122"/>
      <c r="F198" s="122"/>
      <c r="G198" s="122"/>
      <c r="H198" s="122"/>
      <c r="I198" s="122"/>
      <c r="J198" s="122"/>
      <c r="K198" s="122"/>
      <c r="L198" s="122"/>
      <c r="M198" s="122"/>
      <c r="N198" s="122"/>
      <c r="O198" s="122"/>
      <c r="P198" s="122"/>
    </row>
    <row r="199" ht="15.75" customHeight="1">
      <c r="A199" s="121"/>
      <c r="B199" s="122"/>
      <c r="C199" s="123"/>
      <c r="D199" s="122"/>
      <c r="E199" s="122"/>
      <c r="F199" s="122"/>
      <c r="G199" s="122"/>
      <c r="H199" s="122"/>
      <c r="I199" s="122"/>
      <c r="J199" s="122"/>
      <c r="K199" s="122"/>
      <c r="L199" s="122"/>
      <c r="M199" s="122"/>
      <c r="N199" s="122"/>
      <c r="O199" s="122"/>
      <c r="P199" s="122"/>
    </row>
    <row r="200" ht="15.75" customHeight="1">
      <c r="A200" s="121"/>
      <c r="B200" s="122"/>
      <c r="C200" s="123"/>
      <c r="D200" s="122"/>
      <c r="E200" s="122"/>
      <c r="F200" s="122"/>
      <c r="G200" s="122"/>
      <c r="H200" s="122"/>
      <c r="I200" s="122"/>
      <c r="J200" s="122"/>
      <c r="K200" s="122"/>
      <c r="L200" s="122"/>
      <c r="M200" s="122"/>
      <c r="N200" s="122"/>
      <c r="O200" s="122"/>
      <c r="P200" s="122"/>
    </row>
    <row r="201" ht="15.75" customHeight="1">
      <c r="A201" s="121"/>
      <c r="B201" s="122"/>
      <c r="C201" s="123"/>
      <c r="D201" s="122"/>
      <c r="E201" s="122"/>
      <c r="F201" s="122"/>
      <c r="G201" s="122"/>
      <c r="H201" s="122"/>
      <c r="I201" s="122"/>
      <c r="J201" s="122"/>
      <c r="K201" s="122"/>
      <c r="L201" s="122"/>
      <c r="M201" s="122"/>
      <c r="N201" s="122"/>
      <c r="O201" s="122"/>
      <c r="P201" s="122"/>
    </row>
    <row r="202" ht="15.75" customHeight="1">
      <c r="A202" s="121"/>
      <c r="B202" s="122"/>
      <c r="C202" s="123"/>
      <c r="D202" s="122"/>
      <c r="E202" s="122"/>
      <c r="F202" s="122"/>
      <c r="G202" s="122"/>
      <c r="H202" s="122"/>
      <c r="I202" s="122"/>
      <c r="J202" s="122"/>
      <c r="K202" s="122"/>
      <c r="L202" s="122"/>
      <c r="M202" s="122"/>
      <c r="N202" s="122"/>
      <c r="O202" s="122"/>
      <c r="P202" s="122"/>
    </row>
    <row r="203" ht="15.75" customHeight="1">
      <c r="A203" s="121"/>
      <c r="B203" s="122"/>
      <c r="C203" s="123"/>
      <c r="D203" s="122"/>
      <c r="E203" s="122"/>
      <c r="F203" s="122"/>
      <c r="G203" s="122"/>
      <c r="H203" s="122"/>
      <c r="I203" s="122"/>
      <c r="J203" s="122"/>
      <c r="K203" s="122"/>
      <c r="L203" s="122"/>
      <c r="M203" s="122"/>
      <c r="N203" s="122"/>
      <c r="O203" s="122"/>
      <c r="P203" s="122"/>
    </row>
    <row r="204" ht="15.75" customHeight="1">
      <c r="A204" s="121"/>
      <c r="B204" s="122"/>
      <c r="C204" s="123"/>
      <c r="D204" s="122"/>
      <c r="E204" s="122"/>
      <c r="F204" s="122"/>
      <c r="G204" s="122"/>
      <c r="H204" s="122"/>
      <c r="I204" s="122"/>
      <c r="J204" s="122"/>
      <c r="K204" s="122"/>
      <c r="L204" s="122"/>
      <c r="M204" s="122"/>
      <c r="N204" s="122"/>
      <c r="O204" s="122"/>
      <c r="P204" s="122"/>
    </row>
    <row r="205" ht="15.75" customHeight="1">
      <c r="A205" s="121"/>
      <c r="B205" s="122"/>
      <c r="C205" s="123"/>
      <c r="D205" s="122"/>
      <c r="E205" s="122"/>
      <c r="F205" s="122"/>
      <c r="G205" s="122"/>
      <c r="H205" s="122"/>
      <c r="I205" s="122"/>
      <c r="J205" s="122"/>
      <c r="K205" s="122"/>
      <c r="L205" s="122"/>
      <c r="M205" s="122"/>
      <c r="N205" s="122"/>
      <c r="O205" s="122"/>
      <c r="P205" s="122"/>
    </row>
    <row r="206" ht="15.75" customHeight="1">
      <c r="A206" s="121"/>
      <c r="B206" s="122"/>
      <c r="C206" s="123"/>
      <c r="D206" s="122"/>
      <c r="E206" s="122"/>
      <c r="F206" s="122"/>
      <c r="G206" s="122"/>
      <c r="H206" s="122"/>
      <c r="I206" s="122"/>
      <c r="J206" s="122"/>
      <c r="K206" s="122"/>
      <c r="L206" s="122"/>
      <c r="M206" s="122"/>
      <c r="N206" s="122"/>
      <c r="O206" s="122"/>
      <c r="P206" s="122"/>
    </row>
    <row r="207" ht="15.75" customHeight="1">
      <c r="A207" s="121"/>
      <c r="B207" s="122"/>
      <c r="C207" s="123"/>
      <c r="D207" s="122"/>
      <c r="E207" s="122"/>
      <c r="F207" s="122"/>
      <c r="G207" s="122"/>
      <c r="H207" s="122"/>
      <c r="I207" s="122"/>
      <c r="J207" s="122"/>
      <c r="K207" s="122"/>
      <c r="L207" s="122"/>
      <c r="M207" s="122"/>
      <c r="N207" s="122"/>
      <c r="O207" s="122"/>
      <c r="P207" s="122"/>
    </row>
    <row r="208" ht="15.75" customHeight="1">
      <c r="A208" s="121"/>
      <c r="B208" s="122"/>
      <c r="C208" s="123"/>
      <c r="D208" s="122"/>
      <c r="E208" s="122"/>
      <c r="F208" s="122"/>
      <c r="G208" s="122"/>
      <c r="H208" s="122"/>
      <c r="I208" s="122"/>
      <c r="J208" s="122"/>
      <c r="K208" s="122"/>
      <c r="L208" s="122"/>
      <c r="M208" s="122"/>
      <c r="N208" s="122"/>
      <c r="O208" s="122"/>
      <c r="P208" s="122"/>
    </row>
    <row r="209" ht="15.75" customHeight="1">
      <c r="A209" s="121"/>
      <c r="B209" s="122"/>
      <c r="C209" s="123"/>
      <c r="D209" s="122"/>
      <c r="E209" s="122"/>
      <c r="F209" s="122"/>
      <c r="G209" s="122"/>
      <c r="H209" s="122"/>
      <c r="I209" s="122"/>
      <c r="J209" s="122"/>
      <c r="K209" s="122"/>
      <c r="L209" s="122"/>
      <c r="M209" s="122"/>
      <c r="N209" s="122"/>
      <c r="O209" s="122"/>
      <c r="P209" s="122"/>
    </row>
    <row r="210" ht="15.75" customHeight="1">
      <c r="A210" s="121"/>
      <c r="B210" s="122"/>
      <c r="C210" s="123"/>
      <c r="D210" s="122"/>
      <c r="E210" s="122"/>
      <c r="F210" s="122"/>
      <c r="G210" s="122"/>
      <c r="H210" s="122"/>
      <c r="I210" s="122"/>
      <c r="J210" s="122"/>
      <c r="K210" s="122"/>
      <c r="L210" s="122"/>
      <c r="M210" s="122"/>
      <c r="N210" s="122"/>
      <c r="O210" s="122"/>
      <c r="P210" s="122"/>
    </row>
    <row r="211" ht="15.75" customHeight="1">
      <c r="A211" s="121"/>
      <c r="B211" s="122"/>
      <c r="C211" s="123"/>
      <c r="D211" s="122"/>
      <c r="E211" s="122"/>
      <c r="F211" s="122"/>
      <c r="G211" s="122"/>
      <c r="H211" s="122"/>
      <c r="I211" s="122"/>
      <c r="J211" s="122"/>
      <c r="K211" s="122"/>
      <c r="L211" s="122"/>
      <c r="M211" s="122"/>
      <c r="N211" s="122"/>
      <c r="O211" s="122"/>
      <c r="P211" s="122"/>
    </row>
    <row r="212" ht="15.75" customHeight="1">
      <c r="A212" s="121"/>
      <c r="B212" s="122"/>
      <c r="C212" s="123"/>
      <c r="D212" s="122"/>
      <c r="E212" s="122"/>
      <c r="F212" s="122"/>
      <c r="G212" s="122"/>
      <c r="H212" s="122"/>
      <c r="I212" s="122"/>
      <c r="J212" s="122"/>
      <c r="K212" s="122"/>
      <c r="L212" s="122"/>
      <c r="M212" s="122"/>
      <c r="N212" s="122"/>
      <c r="O212" s="122"/>
      <c r="P212" s="122"/>
    </row>
    <row r="213" ht="15.75" customHeight="1">
      <c r="A213" s="121"/>
      <c r="B213" s="122"/>
      <c r="C213" s="123"/>
      <c r="D213" s="122"/>
      <c r="E213" s="122"/>
      <c r="F213" s="122"/>
      <c r="G213" s="122"/>
      <c r="H213" s="122"/>
      <c r="I213" s="122"/>
      <c r="J213" s="122"/>
      <c r="K213" s="122"/>
      <c r="L213" s="122"/>
      <c r="M213" s="122"/>
      <c r="N213" s="122"/>
      <c r="O213" s="122"/>
      <c r="P213" s="122"/>
    </row>
    <row r="214" ht="15.75" customHeight="1">
      <c r="A214" s="121"/>
      <c r="B214" s="122"/>
      <c r="C214" s="123"/>
      <c r="D214" s="122"/>
      <c r="E214" s="122"/>
      <c r="F214" s="122"/>
      <c r="G214" s="122"/>
      <c r="H214" s="122"/>
      <c r="I214" s="122"/>
      <c r="J214" s="122"/>
      <c r="K214" s="122"/>
      <c r="L214" s="122"/>
      <c r="M214" s="122"/>
      <c r="N214" s="122"/>
      <c r="O214" s="122"/>
      <c r="P214" s="122"/>
    </row>
    <row r="215" ht="15.75" customHeight="1">
      <c r="A215" s="121"/>
      <c r="B215" s="122"/>
      <c r="C215" s="123"/>
      <c r="D215" s="122"/>
      <c r="E215" s="122"/>
      <c r="F215" s="122"/>
      <c r="G215" s="122"/>
      <c r="H215" s="122"/>
      <c r="I215" s="122"/>
      <c r="J215" s="122"/>
      <c r="K215" s="122"/>
      <c r="L215" s="122"/>
      <c r="M215" s="122"/>
      <c r="N215" s="122"/>
      <c r="O215" s="122"/>
      <c r="P215" s="122"/>
    </row>
    <row r="216" ht="15.75" customHeight="1">
      <c r="A216" s="121"/>
      <c r="B216" s="122"/>
      <c r="C216" s="123"/>
      <c r="D216" s="122"/>
      <c r="E216" s="122"/>
      <c r="F216" s="122"/>
      <c r="G216" s="122"/>
      <c r="H216" s="122"/>
      <c r="I216" s="122"/>
      <c r="J216" s="122"/>
      <c r="K216" s="122"/>
      <c r="L216" s="122"/>
      <c r="M216" s="122"/>
      <c r="N216" s="122"/>
      <c r="O216" s="122"/>
      <c r="P216" s="122"/>
    </row>
    <row r="217" ht="15.75" customHeight="1">
      <c r="A217" s="121"/>
      <c r="B217" s="122"/>
      <c r="C217" s="123"/>
      <c r="D217" s="122"/>
      <c r="E217" s="122"/>
      <c r="F217" s="122"/>
      <c r="G217" s="122"/>
      <c r="H217" s="122"/>
      <c r="I217" s="122"/>
      <c r="J217" s="122"/>
      <c r="K217" s="122"/>
      <c r="L217" s="122"/>
      <c r="M217" s="122"/>
      <c r="N217" s="122"/>
      <c r="O217" s="122"/>
      <c r="P217" s="122"/>
    </row>
    <row r="218" ht="15.75" customHeight="1">
      <c r="A218" s="121"/>
      <c r="B218" s="122"/>
      <c r="C218" s="123"/>
      <c r="D218" s="122"/>
      <c r="E218" s="122"/>
      <c r="F218" s="122"/>
      <c r="G218" s="122"/>
      <c r="H218" s="122"/>
      <c r="I218" s="122"/>
      <c r="J218" s="122"/>
      <c r="K218" s="122"/>
      <c r="L218" s="122"/>
      <c r="M218" s="122"/>
      <c r="N218" s="122"/>
      <c r="O218" s="122"/>
      <c r="P218" s="122"/>
    </row>
    <row r="219" ht="15.75" customHeight="1">
      <c r="A219" s="121"/>
      <c r="B219" s="122"/>
      <c r="C219" s="123"/>
      <c r="D219" s="122"/>
      <c r="E219" s="122"/>
      <c r="F219" s="122"/>
      <c r="G219" s="122"/>
      <c r="H219" s="122"/>
      <c r="I219" s="122"/>
      <c r="J219" s="122"/>
      <c r="K219" s="122"/>
      <c r="L219" s="122"/>
      <c r="M219" s="122"/>
      <c r="N219" s="122"/>
      <c r="O219" s="122"/>
      <c r="P219" s="122"/>
    </row>
    <row r="220" ht="15.75" customHeight="1">
      <c r="A220" s="121"/>
      <c r="B220" s="122"/>
      <c r="C220" s="123"/>
      <c r="D220" s="122"/>
      <c r="E220" s="122"/>
      <c r="F220" s="122"/>
      <c r="G220" s="122"/>
      <c r="H220" s="122"/>
      <c r="I220" s="122"/>
      <c r="J220" s="122"/>
      <c r="K220" s="122"/>
      <c r="L220" s="122"/>
      <c r="M220" s="122"/>
      <c r="N220" s="122"/>
      <c r="O220" s="122"/>
      <c r="P220" s="122"/>
    </row>
    <row r="221" ht="15.75" customHeight="1">
      <c r="A221" s="121"/>
      <c r="B221" s="122"/>
      <c r="C221" s="123"/>
      <c r="D221" s="122"/>
      <c r="E221" s="122"/>
      <c r="F221" s="122"/>
      <c r="G221" s="122"/>
      <c r="H221" s="122"/>
      <c r="I221" s="122"/>
      <c r="J221" s="122"/>
      <c r="K221" s="122"/>
      <c r="L221" s="122"/>
      <c r="M221" s="122"/>
      <c r="N221" s="122"/>
      <c r="O221" s="122"/>
      <c r="P221" s="122"/>
    </row>
    <row r="222" ht="15.75" customHeight="1">
      <c r="A222" s="121"/>
      <c r="B222" s="122"/>
      <c r="C222" s="123"/>
      <c r="D222" s="122"/>
      <c r="E222" s="122"/>
      <c r="F222" s="122"/>
      <c r="G222" s="122"/>
      <c r="H222" s="122"/>
      <c r="I222" s="122"/>
      <c r="J222" s="122"/>
      <c r="K222" s="122"/>
      <c r="L222" s="122"/>
      <c r="M222" s="122"/>
      <c r="N222" s="122"/>
      <c r="O222" s="122"/>
      <c r="P222" s="122"/>
    </row>
    <row r="223" ht="15.75" customHeight="1">
      <c r="A223" s="121"/>
      <c r="B223" s="122"/>
      <c r="C223" s="123"/>
      <c r="D223" s="122"/>
      <c r="E223" s="122"/>
      <c r="F223" s="122"/>
      <c r="G223" s="122"/>
      <c r="H223" s="122"/>
      <c r="I223" s="122"/>
      <c r="J223" s="122"/>
      <c r="K223" s="122"/>
      <c r="L223" s="122"/>
      <c r="M223" s="122"/>
      <c r="N223" s="122"/>
      <c r="O223" s="122"/>
      <c r="P223" s="122"/>
    </row>
    <row r="224" ht="15.75" customHeight="1">
      <c r="A224" s="121"/>
      <c r="B224" s="122"/>
      <c r="C224" s="123"/>
      <c r="D224" s="122"/>
      <c r="E224" s="122"/>
      <c r="F224" s="122"/>
      <c r="G224" s="122"/>
      <c r="H224" s="122"/>
      <c r="I224" s="122"/>
      <c r="J224" s="122"/>
      <c r="K224" s="122"/>
      <c r="L224" s="122"/>
      <c r="M224" s="122"/>
      <c r="N224" s="122"/>
      <c r="O224" s="122"/>
      <c r="P224" s="122"/>
    </row>
    <row r="225" ht="15.75" customHeight="1">
      <c r="A225" s="121"/>
      <c r="B225" s="122"/>
      <c r="C225" s="123"/>
      <c r="D225" s="122"/>
      <c r="E225" s="122"/>
      <c r="F225" s="122"/>
      <c r="G225" s="122"/>
      <c r="H225" s="122"/>
      <c r="I225" s="122"/>
      <c r="J225" s="122"/>
      <c r="K225" s="122"/>
      <c r="L225" s="122"/>
      <c r="M225" s="122"/>
      <c r="N225" s="122"/>
      <c r="O225" s="122"/>
      <c r="P225" s="122"/>
    </row>
    <row r="226" ht="15.75" customHeight="1">
      <c r="A226" s="121"/>
      <c r="B226" s="122"/>
      <c r="C226" s="123"/>
      <c r="D226" s="122"/>
      <c r="E226" s="122"/>
      <c r="F226" s="122"/>
      <c r="G226" s="122"/>
      <c r="H226" s="122"/>
      <c r="I226" s="122"/>
      <c r="J226" s="122"/>
      <c r="K226" s="122"/>
      <c r="L226" s="122"/>
      <c r="M226" s="122"/>
      <c r="N226" s="122"/>
      <c r="O226" s="122"/>
      <c r="P226" s="122"/>
    </row>
    <row r="227" ht="15.75" customHeight="1">
      <c r="A227" s="121"/>
      <c r="B227" s="122"/>
      <c r="C227" s="123"/>
      <c r="D227" s="122"/>
      <c r="E227" s="122"/>
      <c r="F227" s="122"/>
      <c r="G227" s="122"/>
      <c r="H227" s="122"/>
      <c r="I227" s="122"/>
      <c r="J227" s="122"/>
      <c r="K227" s="122"/>
      <c r="L227" s="122"/>
      <c r="M227" s="122"/>
      <c r="N227" s="122"/>
      <c r="O227" s="122"/>
      <c r="P227" s="122"/>
    </row>
    <row r="228" ht="15.75" customHeight="1">
      <c r="A228" s="121"/>
      <c r="B228" s="122"/>
      <c r="C228" s="123"/>
      <c r="D228" s="122"/>
      <c r="E228" s="122"/>
      <c r="F228" s="122"/>
      <c r="G228" s="122"/>
      <c r="H228" s="122"/>
      <c r="I228" s="122"/>
      <c r="J228" s="122"/>
      <c r="K228" s="122"/>
      <c r="L228" s="122"/>
      <c r="M228" s="122"/>
      <c r="N228" s="122"/>
      <c r="O228" s="122"/>
      <c r="P228" s="122"/>
    </row>
    <row r="229" ht="15.75" customHeight="1">
      <c r="A229" s="121"/>
      <c r="B229" s="122"/>
      <c r="C229" s="123"/>
      <c r="D229" s="122"/>
      <c r="E229" s="122"/>
      <c r="F229" s="122"/>
      <c r="G229" s="122"/>
      <c r="H229" s="122"/>
      <c r="I229" s="122"/>
      <c r="J229" s="122"/>
      <c r="K229" s="122"/>
      <c r="L229" s="122"/>
      <c r="M229" s="122"/>
      <c r="N229" s="122"/>
      <c r="O229" s="122"/>
      <c r="P229" s="122"/>
    </row>
    <row r="230" ht="15.75" customHeight="1">
      <c r="A230" s="121"/>
      <c r="B230" s="122"/>
      <c r="C230" s="123"/>
      <c r="D230" s="122"/>
      <c r="E230" s="122"/>
      <c r="F230" s="122"/>
      <c r="G230" s="122"/>
      <c r="H230" s="122"/>
      <c r="I230" s="122"/>
      <c r="J230" s="122"/>
      <c r="K230" s="122"/>
      <c r="L230" s="122"/>
      <c r="M230" s="122"/>
      <c r="N230" s="122"/>
      <c r="O230" s="122"/>
      <c r="P230" s="122"/>
    </row>
    <row r="231" ht="15.75" customHeight="1">
      <c r="A231" s="121"/>
      <c r="B231" s="122"/>
      <c r="C231" s="123"/>
      <c r="D231" s="122"/>
      <c r="E231" s="122"/>
      <c r="F231" s="122"/>
      <c r="G231" s="122"/>
      <c r="H231" s="122"/>
      <c r="I231" s="122"/>
      <c r="J231" s="122"/>
      <c r="K231" s="122"/>
      <c r="L231" s="122"/>
      <c r="M231" s="122"/>
      <c r="N231" s="122"/>
      <c r="O231" s="122"/>
      <c r="P231" s="122"/>
    </row>
    <row r="232" ht="15.75" customHeight="1">
      <c r="A232" s="121"/>
      <c r="B232" s="122"/>
      <c r="C232" s="123"/>
      <c r="D232" s="122"/>
      <c r="E232" s="122"/>
      <c r="F232" s="122"/>
      <c r="G232" s="122"/>
      <c r="H232" s="122"/>
      <c r="I232" s="122"/>
      <c r="J232" s="122"/>
      <c r="K232" s="122"/>
      <c r="L232" s="122"/>
      <c r="M232" s="122"/>
      <c r="N232" s="122"/>
      <c r="O232" s="122"/>
      <c r="P232" s="122"/>
    </row>
    <row r="233" ht="15.75" customHeight="1">
      <c r="A233" s="121"/>
      <c r="B233" s="122"/>
      <c r="C233" s="123"/>
      <c r="D233" s="122"/>
      <c r="E233" s="122"/>
      <c r="F233" s="122"/>
      <c r="G233" s="122"/>
      <c r="H233" s="122"/>
      <c r="I233" s="122"/>
      <c r="J233" s="122"/>
      <c r="K233" s="122"/>
      <c r="L233" s="122"/>
      <c r="M233" s="122"/>
      <c r="N233" s="122"/>
      <c r="O233" s="122"/>
      <c r="P233" s="122"/>
    </row>
    <row r="234" ht="15.75" customHeight="1">
      <c r="A234" s="121"/>
      <c r="B234" s="122"/>
      <c r="C234" s="123"/>
      <c r="D234" s="122"/>
      <c r="E234" s="122"/>
      <c r="F234" s="122"/>
      <c r="G234" s="122"/>
      <c r="H234" s="122"/>
      <c r="I234" s="122"/>
      <c r="J234" s="122"/>
      <c r="K234" s="122"/>
      <c r="L234" s="122"/>
      <c r="M234" s="122"/>
      <c r="N234" s="122"/>
      <c r="O234" s="122"/>
      <c r="P234" s="122"/>
    </row>
    <row r="235" ht="15.75" customHeight="1">
      <c r="A235" s="121"/>
      <c r="B235" s="122"/>
      <c r="C235" s="123"/>
      <c r="D235" s="122"/>
      <c r="E235" s="122"/>
      <c r="F235" s="122"/>
      <c r="G235" s="122"/>
      <c r="H235" s="122"/>
      <c r="I235" s="122"/>
      <c r="J235" s="122"/>
      <c r="K235" s="122"/>
      <c r="L235" s="122"/>
      <c r="M235" s="122"/>
      <c r="N235" s="122"/>
      <c r="O235" s="122"/>
      <c r="P235" s="122"/>
    </row>
    <row r="236" ht="15.75" customHeight="1">
      <c r="A236" s="121"/>
      <c r="B236" s="122"/>
      <c r="C236" s="123"/>
      <c r="D236" s="122"/>
      <c r="E236" s="122"/>
      <c r="F236" s="122"/>
      <c r="G236" s="122"/>
      <c r="H236" s="122"/>
      <c r="I236" s="122"/>
      <c r="J236" s="122"/>
      <c r="K236" s="122"/>
      <c r="L236" s="122"/>
      <c r="M236" s="122"/>
      <c r="N236" s="122"/>
      <c r="O236" s="122"/>
      <c r="P236" s="122"/>
    </row>
    <row r="237" ht="15.75" customHeight="1">
      <c r="A237" s="121"/>
      <c r="B237" s="122"/>
      <c r="C237" s="123"/>
      <c r="D237" s="122"/>
      <c r="E237" s="122"/>
      <c r="F237" s="122"/>
      <c r="G237" s="122"/>
      <c r="H237" s="122"/>
      <c r="I237" s="122"/>
      <c r="J237" s="122"/>
      <c r="K237" s="122"/>
      <c r="L237" s="122"/>
      <c r="M237" s="122"/>
      <c r="N237" s="122"/>
      <c r="O237" s="122"/>
      <c r="P237" s="122"/>
    </row>
    <row r="238" ht="15.75" customHeight="1">
      <c r="A238" s="121"/>
      <c r="B238" s="122"/>
      <c r="C238" s="123"/>
      <c r="D238" s="122"/>
      <c r="E238" s="122"/>
      <c r="F238" s="122"/>
      <c r="G238" s="122"/>
      <c r="H238" s="122"/>
      <c r="I238" s="122"/>
      <c r="J238" s="122"/>
      <c r="K238" s="122"/>
      <c r="L238" s="122"/>
      <c r="M238" s="122"/>
      <c r="N238" s="122"/>
      <c r="O238" s="122"/>
      <c r="P238" s="122"/>
    </row>
    <row r="239" ht="15.75" customHeight="1">
      <c r="A239" s="121"/>
      <c r="B239" s="122"/>
      <c r="C239" s="123"/>
      <c r="D239" s="122"/>
      <c r="E239" s="122"/>
      <c r="F239" s="122"/>
      <c r="G239" s="122"/>
      <c r="H239" s="122"/>
      <c r="I239" s="122"/>
      <c r="J239" s="122"/>
      <c r="K239" s="122"/>
      <c r="L239" s="122"/>
      <c r="M239" s="122"/>
      <c r="N239" s="122"/>
      <c r="O239" s="122"/>
      <c r="P239" s="122"/>
    </row>
    <row r="240" ht="15.75" customHeight="1">
      <c r="A240" s="121"/>
      <c r="B240" s="122"/>
      <c r="C240" s="123"/>
      <c r="D240" s="122"/>
      <c r="E240" s="122"/>
      <c r="F240" s="122"/>
      <c r="G240" s="122"/>
      <c r="H240" s="122"/>
      <c r="I240" s="122"/>
      <c r="J240" s="122"/>
      <c r="K240" s="122"/>
      <c r="L240" s="122"/>
      <c r="M240" s="122"/>
      <c r="N240" s="122"/>
      <c r="O240" s="122"/>
      <c r="P240" s="122"/>
    </row>
    <row r="241" ht="15.75" customHeight="1">
      <c r="A241" s="121"/>
      <c r="B241" s="122"/>
      <c r="C241" s="123"/>
      <c r="D241" s="122"/>
      <c r="E241" s="122"/>
      <c r="F241" s="122"/>
      <c r="G241" s="122"/>
      <c r="H241" s="122"/>
      <c r="I241" s="122"/>
      <c r="J241" s="122"/>
      <c r="K241" s="122"/>
      <c r="L241" s="122"/>
      <c r="M241" s="122"/>
      <c r="N241" s="122"/>
      <c r="O241" s="122"/>
      <c r="P241" s="122"/>
    </row>
    <row r="242" ht="15.75" customHeight="1">
      <c r="A242" s="121"/>
      <c r="B242" s="122"/>
      <c r="C242" s="123"/>
      <c r="D242" s="122"/>
      <c r="E242" s="122"/>
      <c r="F242" s="122"/>
      <c r="G242" s="122"/>
      <c r="H242" s="122"/>
      <c r="I242" s="122"/>
      <c r="J242" s="122"/>
      <c r="K242" s="122"/>
      <c r="L242" s="122"/>
      <c r="M242" s="122"/>
      <c r="N242" s="122"/>
      <c r="O242" s="122"/>
      <c r="P242" s="122"/>
    </row>
    <row r="243" ht="15.75" customHeight="1">
      <c r="A243" s="121"/>
      <c r="B243" s="122"/>
      <c r="C243" s="123"/>
      <c r="D243" s="122"/>
      <c r="E243" s="122"/>
      <c r="F243" s="122"/>
      <c r="G243" s="122"/>
      <c r="H243" s="122"/>
      <c r="I243" s="122"/>
      <c r="J243" s="122"/>
      <c r="K243" s="122"/>
      <c r="L243" s="122"/>
      <c r="M243" s="122"/>
      <c r="N243" s="122"/>
      <c r="O243" s="122"/>
      <c r="P243" s="122"/>
    </row>
    <row r="244" ht="15.75" customHeight="1">
      <c r="A244" s="121"/>
      <c r="B244" s="122"/>
      <c r="C244" s="123"/>
      <c r="D244" s="122"/>
      <c r="E244" s="122"/>
      <c r="F244" s="122"/>
      <c r="G244" s="122"/>
      <c r="H244" s="122"/>
      <c r="I244" s="122"/>
      <c r="J244" s="122"/>
      <c r="K244" s="122"/>
      <c r="L244" s="122"/>
      <c r="M244" s="122"/>
      <c r="N244" s="122"/>
      <c r="O244" s="122"/>
      <c r="P244" s="122"/>
    </row>
    <row r="245" ht="15.75" customHeight="1">
      <c r="A245" s="121"/>
      <c r="B245" s="122"/>
      <c r="C245" s="123"/>
      <c r="D245" s="122"/>
      <c r="E245" s="122"/>
      <c r="F245" s="122"/>
      <c r="G245" s="122"/>
      <c r="H245" s="122"/>
      <c r="I245" s="122"/>
      <c r="J245" s="122"/>
      <c r="K245" s="122"/>
      <c r="L245" s="122"/>
      <c r="M245" s="122"/>
      <c r="N245" s="122"/>
      <c r="O245" s="122"/>
      <c r="P245" s="122"/>
    </row>
    <row r="246" ht="15.75" customHeight="1">
      <c r="A246" s="121"/>
      <c r="B246" s="122"/>
      <c r="C246" s="123"/>
      <c r="D246" s="122"/>
      <c r="E246" s="122"/>
      <c r="F246" s="122"/>
      <c r="G246" s="122"/>
      <c r="H246" s="122"/>
      <c r="I246" s="122"/>
      <c r="J246" s="122"/>
      <c r="K246" s="122"/>
      <c r="L246" s="122"/>
      <c r="M246" s="122"/>
      <c r="N246" s="122"/>
      <c r="O246" s="122"/>
      <c r="P246" s="122"/>
    </row>
    <row r="247" ht="15.75" customHeight="1">
      <c r="A247" s="121"/>
      <c r="B247" s="122"/>
      <c r="C247" s="123"/>
      <c r="D247" s="122"/>
      <c r="E247" s="122"/>
      <c r="F247" s="122"/>
      <c r="G247" s="122"/>
      <c r="H247" s="122"/>
      <c r="I247" s="122"/>
      <c r="J247" s="122"/>
      <c r="K247" s="122"/>
      <c r="L247" s="122"/>
      <c r="M247" s="122"/>
      <c r="N247" s="122"/>
      <c r="O247" s="122"/>
      <c r="P247" s="122"/>
    </row>
    <row r="248" ht="15.75" customHeight="1">
      <c r="A248" s="121"/>
      <c r="B248" s="122"/>
      <c r="C248" s="123"/>
      <c r="D248" s="122"/>
      <c r="E248" s="122"/>
      <c r="F248" s="122"/>
      <c r="G248" s="122"/>
      <c r="H248" s="122"/>
      <c r="I248" s="122"/>
      <c r="J248" s="122"/>
      <c r="K248" s="122"/>
      <c r="L248" s="122"/>
      <c r="M248" s="122"/>
      <c r="N248" s="122"/>
      <c r="O248" s="122"/>
      <c r="P248" s="122"/>
    </row>
    <row r="249" ht="15.75" customHeight="1">
      <c r="A249" s="121"/>
      <c r="B249" s="122"/>
      <c r="C249" s="123"/>
      <c r="D249" s="122"/>
      <c r="E249" s="122"/>
      <c r="F249" s="122"/>
      <c r="G249" s="122"/>
      <c r="H249" s="122"/>
      <c r="I249" s="122"/>
      <c r="J249" s="122"/>
      <c r="K249" s="122"/>
      <c r="L249" s="122"/>
      <c r="M249" s="122"/>
      <c r="N249" s="122"/>
      <c r="O249" s="122"/>
      <c r="P249" s="122"/>
    </row>
    <row r="250" ht="15.75" customHeight="1">
      <c r="A250" s="121"/>
      <c r="B250" s="122"/>
      <c r="C250" s="123"/>
      <c r="D250" s="122"/>
      <c r="E250" s="122"/>
      <c r="F250" s="122"/>
      <c r="G250" s="122"/>
      <c r="H250" s="122"/>
      <c r="I250" s="122"/>
      <c r="J250" s="122"/>
      <c r="K250" s="122"/>
      <c r="L250" s="122"/>
      <c r="M250" s="122"/>
      <c r="N250" s="122"/>
      <c r="O250" s="122"/>
      <c r="P250" s="122"/>
    </row>
    <row r="251" ht="15.75" customHeight="1">
      <c r="A251" s="121"/>
      <c r="B251" s="122"/>
      <c r="C251" s="123"/>
      <c r="D251" s="122"/>
      <c r="E251" s="122"/>
      <c r="F251" s="122"/>
      <c r="G251" s="122"/>
      <c r="H251" s="122"/>
      <c r="I251" s="122"/>
      <c r="J251" s="122"/>
      <c r="K251" s="122"/>
      <c r="L251" s="122"/>
      <c r="M251" s="122"/>
      <c r="N251" s="122"/>
      <c r="O251" s="122"/>
      <c r="P251" s="122"/>
    </row>
    <row r="252" ht="15.75" customHeight="1">
      <c r="A252" s="121"/>
      <c r="B252" s="122"/>
      <c r="C252" s="123"/>
      <c r="D252" s="122"/>
      <c r="E252" s="122"/>
      <c r="F252" s="122"/>
      <c r="G252" s="122"/>
      <c r="H252" s="122"/>
      <c r="I252" s="122"/>
      <c r="J252" s="122"/>
      <c r="K252" s="122"/>
      <c r="L252" s="122"/>
      <c r="M252" s="122"/>
      <c r="N252" s="122"/>
      <c r="O252" s="122"/>
      <c r="P252" s="122"/>
    </row>
    <row r="253" ht="15.75" customHeight="1">
      <c r="A253" s="121"/>
      <c r="B253" s="122"/>
      <c r="C253" s="123"/>
      <c r="D253" s="122"/>
      <c r="E253" s="122"/>
      <c r="F253" s="122"/>
      <c r="G253" s="122"/>
      <c r="H253" s="122"/>
      <c r="I253" s="122"/>
      <c r="J253" s="122"/>
      <c r="K253" s="122"/>
      <c r="L253" s="122"/>
      <c r="M253" s="122"/>
      <c r="N253" s="122"/>
      <c r="O253" s="122"/>
      <c r="P253" s="122"/>
    </row>
    <row r="254" ht="15.75" customHeight="1">
      <c r="A254" s="121"/>
      <c r="B254" s="122"/>
      <c r="C254" s="123"/>
      <c r="D254" s="122"/>
      <c r="E254" s="122"/>
      <c r="F254" s="122"/>
      <c r="G254" s="122"/>
      <c r="H254" s="122"/>
      <c r="I254" s="122"/>
      <c r="J254" s="122"/>
      <c r="K254" s="122"/>
      <c r="L254" s="122"/>
      <c r="M254" s="122"/>
      <c r="N254" s="122"/>
      <c r="O254" s="122"/>
      <c r="P254" s="122"/>
    </row>
    <row r="255" ht="15.75" customHeight="1">
      <c r="A255" s="121"/>
      <c r="B255" s="122"/>
      <c r="C255" s="123"/>
      <c r="D255" s="122"/>
      <c r="E255" s="122"/>
      <c r="F255" s="122"/>
      <c r="G255" s="122"/>
      <c r="H255" s="122"/>
      <c r="I255" s="122"/>
      <c r="J255" s="122"/>
      <c r="K255" s="122"/>
      <c r="L255" s="122"/>
      <c r="M255" s="122"/>
      <c r="N255" s="122"/>
      <c r="O255" s="122"/>
      <c r="P255" s="122"/>
    </row>
    <row r="256" ht="15.75" customHeight="1">
      <c r="A256" s="121"/>
      <c r="B256" s="122"/>
      <c r="C256" s="123"/>
      <c r="D256" s="122"/>
      <c r="E256" s="122"/>
      <c r="F256" s="122"/>
      <c r="G256" s="122"/>
      <c r="H256" s="122"/>
      <c r="I256" s="122"/>
      <c r="J256" s="122"/>
      <c r="K256" s="122"/>
      <c r="L256" s="122"/>
      <c r="M256" s="122"/>
      <c r="N256" s="122"/>
      <c r="O256" s="122"/>
      <c r="P256" s="122"/>
    </row>
    <row r="257" ht="15.75" customHeight="1">
      <c r="A257" s="121"/>
      <c r="B257" s="122"/>
      <c r="C257" s="123"/>
      <c r="D257" s="122"/>
      <c r="E257" s="122"/>
      <c r="F257" s="122"/>
      <c r="G257" s="122"/>
      <c r="H257" s="122"/>
      <c r="I257" s="122"/>
      <c r="J257" s="122"/>
      <c r="K257" s="122"/>
      <c r="L257" s="122"/>
      <c r="M257" s="122"/>
      <c r="N257" s="122"/>
      <c r="O257" s="122"/>
      <c r="P257" s="122"/>
    </row>
    <row r="258" ht="15.75" customHeight="1">
      <c r="A258" s="121"/>
      <c r="B258" s="122"/>
      <c r="C258" s="123"/>
      <c r="D258" s="122"/>
      <c r="E258" s="122"/>
      <c r="F258" s="122"/>
      <c r="G258" s="122"/>
      <c r="H258" s="122"/>
      <c r="I258" s="122"/>
      <c r="J258" s="122"/>
      <c r="K258" s="122"/>
      <c r="L258" s="122"/>
      <c r="M258" s="122"/>
      <c r="N258" s="122"/>
      <c r="O258" s="122"/>
      <c r="P258" s="122"/>
    </row>
    <row r="259" ht="15.75" customHeight="1">
      <c r="A259" s="121"/>
      <c r="B259" s="122"/>
      <c r="C259" s="123"/>
      <c r="D259" s="122"/>
      <c r="E259" s="122"/>
      <c r="F259" s="122"/>
      <c r="G259" s="122"/>
      <c r="H259" s="122"/>
      <c r="I259" s="122"/>
      <c r="J259" s="122"/>
      <c r="K259" s="122"/>
      <c r="L259" s="122"/>
      <c r="M259" s="122"/>
      <c r="N259" s="122"/>
      <c r="O259" s="122"/>
      <c r="P259" s="122"/>
    </row>
    <row r="260" ht="15.75" customHeight="1">
      <c r="A260" s="121"/>
      <c r="B260" s="122"/>
      <c r="C260" s="123"/>
      <c r="D260" s="122"/>
      <c r="E260" s="122"/>
      <c r="F260" s="122"/>
      <c r="G260" s="122"/>
      <c r="H260" s="122"/>
      <c r="I260" s="122"/>
      <c r="J260" s="122"/>
      <c r="K260" s="122"/>
      <c r="L260" s="122"/>
      <c r="M260" s="122"/>
      <c r="N260" s="122"/>
      <c r="O260" s="122"/>
      <c r="P260" s="122"/>
    </row>
    <row r="261" ht="15.75" customHeight="1">
      <c r="A261" s="121"/>
      <c r="B261" s="122"/>
      <c r="C261" s="123"/>
      <c r="D261" s="122"/>
      <c r="E261" s="122"/>
      <c r="F261" s="122"/>
      <c r="G261" s="122"/>
      <c r="H261" s="122"/>
      <c r="I261" s="122"/>
      <c r="J261" s="122"/>
      <c r="K261" s="122"/>
      <c r="L261" s="122"/>
      <c r="M261" s="122"/>
      <c r="N261" s="122"/>
      <c r="O261" s="122"/>
      <c r="P261" s="122"/>
    </row>
    <row r="262" ht="15.75" customHeight="1">
      <c r="A262" s="121"/>
      <c r="B262" s="122"/>
      <c r="C262" s="123"/>
      <c r="D262" s="122"/>
      <c r="E262" s="122"/>
      <c r="F262" s="122"/>
      <c r="G262" s="122"/>
      <c r="H262" s="122"/>
      <c r="I262" s="122"/>
      <c r="J262" s="122"/>
      <c r="K262" s="122"/>
      <c r="L262" s="122"/>
      <c r="M262" s="122"/>
      <c r="N262" s="122"/>
      <c r="O262" s="122"/>
      <c r="P262" s="122"/>
    </row>
    <row r="263" ht="15.75" customHeight="1">
      <c r="A263" s="121"/>
      <c r="B263" s="122"/>
      <c r="C263" s="123"/>
      <c r="D263" s="122"/>
      <c r="E263" s="122"/>
      <c r="F263" s="122"/>
      <c r="G263" s="122"/>
      <c r="H263" s="122"/>
      <c r="I263" s="122"/>
      <c r="J263" s="122"/>
      <c r="K263" s="122"/>
      <c r="L263" s="122"/>
      <c r="M263" s="122"/>
      <c r="N263" s="122"/>
      <c r="O263" s="122"/>
      <c r="P263" s="122"/>
    </row>
    <row r="264" ht="15.75" customHeight="1">
      <c r="A264" s="121"/>
      <c r="B264" s="122"/>
      <c r="C264" s="123"/>
      <c r="D264" s="122"/>
      <c r="E264" s="122"/>
      <c r="F264" s="122"/>
      <c r="G264" s="122"/>
      <c r="H264" s="122"/>
      <c r="I264" s="122"/>
      <c r="J264" s="122"/>
      <c r="K264" s="122"/>
      <c r="L264" s="122"/>
      <c r="M264" s="122"/>
      <c r="N264" s="122"/>
      <c r="O264" s="122"/>
      <c r="P264" s="122"/>
    </row>
    <row r="265" ht="15.75" customHeight="1">
      <c r="A265" s="121"/>
      <c r="B265" s="122"/>
      <c r="C265" s="123"/>
      <c r="D265" s="122"/>
      <c r="E265" s="122"/>
      <c r="F265" s="122"/>
      <c r="G265" s="122"/>
      <c r="H265" s="122"/>
      <c r="I265" s="122"/>
      <c r="J265" s="122"/>
      <c r="K265" s="122"/>
      <c r="L265" s="122"/>
      <c r="M265" s="122"/>
      <c r="N265" s="122"/>
      <c r="O265" s="122"/>
      <c r="P265" s="122"/>
    </row>
    <row r="266" ht="15.75" customHeight="1">
      <c r="A266" s="121"/>
      <c r="B266" s="122"/>
      <c r="C266" s="123"/>
      <c r="D266" s="122"/>
      <c r="E266" s="122"/>
      <c r="F266" s="122"/>
      <c r="G266" s="122"/>
      <c r="H266" s="122"/>
      <c r="I266" s="122"/>
      <c r="J266" s="122"/>
      <c r="K266" s="122"/>
      <c r="L266" s="122"/>
      <c r="M266" s="122"/>
      <c r="N266" s="122"/>
      <c r="O266" s="122"/>
      <c r="P266" s="122"/>
    </row>
    <row r="267" ht="15.75" customHeight="1">
      <c r="A267" s="121"/>
      <c r="B267" s="122"/>
      <c r="C267" s="123"/>
      <c r="D267" s="122"/>
      <c r="E267" s="122"/>
      <c r="F267" s="122"/>
      <c r="G267" s="122"/>
      <c r="H267" s="122"/>
      <c r="I267" s="122"/>
      <c r="J267" s="122"/>
      <c r="K267" s="122"/>
      <c r="L267" s="122"/>
      <c r="M267" s="122"/>
      <c r="N267" s="122"/>
      <c r="O267" s="122"/>
      <c r="P267" s="122"/>
    </row>
    <row r="268" ht="15.75" customHeight="1">
      <c r="A268" s="121"/>
      <c r="B268" s="122"/>
      <c r="C268" s="123"/>
      <c r="D268" s="122"/>
      <c r="E268" s="122"/>
      <c r="F268" s="122"/>
      <c r="G268" s="122"/>
      <c r="H268" s="122"/>
      <c r="I268" s="122"/>
      <c r="J268" s="122"/>
      <c r="K268" s="122"/>
      <c r="L268" s="122"/>
      <c r="M268" s="122"/>
      <c r="N268" s="122"/>
      <c r="O268" s="122"/>
      <c r="P268" s="122"/>
    </row>
    <row r="269" ht="15.75" customHeight="1">
      <c r="A269" s="121"/>
      <c r="B269" s="122"/>
      <c r="C269" s="123"/>
      <c r="D269" s="122"/>
      <c r="E269" s="122"/>
      <c r="F269" s="122"/>
      <c r="G269" s="122"/>
      <c r="H269" s="122"/>
      <c r="I269" s="122"/>
      <c r="J269" s="122"/>
      <c r="K269" s="122"/>
      <c r="L269" s="122"/>
      <c r="M269" s="122"/>
      <c r="N269" s="122"/>
      <c r="O269" s="122"/>
      <c r="P269" s="122"/>
    </row>
    <row r="270" ht="15.75" customHeight="1">
      <c r="A270" s="121"/>
      <c r="B270" s="122"/>
      <c r="C270" s="123"/>
      <c r="D270" s="122"/>
      <c r="E270" s="122"/>
      <c r="F270" s="122"/>
      <c r="G270" s="122"/>
      <c r="H270" s="122"/>
      <c r="I270" s="122"/>
      <c r="J270" s="122"/>
      <c r="K270" s="122"/>
      <c r="L270" s="122"/>
      <c r="M270" s="122"/>
      <c r="N270" s="122"/>
      <c r="O270" s="122"/>
      <c r="P270" s="122"/>
    </row>
    <row r="271" ht="15.75" customHeight="1">
      <c r="A271" s="121"/>
      <c r="B271" s="122"/>
      <c r="C271" s="123"/>
      <c r="D271" s="122"/>
      <c r="E271" s="122"/>
      <c r="F271" s="122"/>
      <c r="G271" s="122"/>
      <c r="H271" s="122"/>
      <c r="I271" s="122"/>
      <c r="J271" s="122"/>
      <c r="K271" s="122"/>
      <c r="L271" s="122"/>
      <c r="M271" s="122"/>
      <c r="N271" s="122"/>
      <c r="O271" s="122"/>
      <c r="P271" s="122"/>
    </row>
    <row r="272" ht="15.75" customHeight="1">
      <c r="A272" s="121"/>
      <c r="B272" s="122"/>
      <c r="C272" s="123"/>
      <c r="D272" s="122"/>
      <c r="E272" s="122"/>
      <c r="F272" s="122"/>
      <c r="G272" s="122"/>
      <c r="H272" s="122"/>
      <c r="I272" s="122"/>
      <c r="J272" s="122"/>
      <c r="K272" s="122"/>
      <c r="L272" s="122"/>
      <c r="M272" s="122"/>
      <c r="N272" s="122"/>
      <c r="O272" s="122"/>
      <c r="P272" s="122"/>
    </row>
    <row r="273" ht="15.75" customHeight="1">
      <c r="A273" s="121"/>
      <c r="B273" s="122"/>
      <c r="C273" s="123"/>
      <c r="D273" s="122"/>
      <c r="E273" s="122"/>
      <c r="F273" s="122"/>
      <c r="G273" s="122"/>
      <c r="H273" s="122"/>
      <c r="I273" s="122"/>
      <c r="J273" s="122"/>
      <c r="K273" s="122"/>
      <c r="L273" s="122"/>
      <c r="M273" s="122"/>
      <c r="N273" s="122"/>
      <c r="O273" s="122"/>
      <c r="P273" s="122"/>
    </row>
    <row r="274" ht="15.75" customHeight="1">
      <c r="A274" s="121"/>
      <c r="B274" s="122"/>
      <c r="C274" s="123"/>
      <c r="D274" s="122"/>
      <c r="E274" s="122"/>
      <c r="F274" s="122"/>
      <c r="G274" s="122"/>
      <c r="H274" s="122"/>
      <c r="I274" s="122"/>
      <c r="J274" s="122"/>
      <c r="K274" s="122"/>
      <c r="L274" s="122"/>
      <c r="M274" s="122"/>
      <c r="N274" s="122"/>
      <c r="O274" s="122"/>
      <c r="P274" s="122"/>
    </row>
    <row r="275" ht="15.75" customHeight="1">
      <c r="A275" s="121"/>
      <c r="B275" s="122"/>
      <c r="C275" s="123"/>
      <c r="D275" s="122"/>
      <c r="E275" s="122"/>
      <c r="F275" s="122"/>
      <c r="G275" s="122"/>
      <c r="H275" s="122"/>
      <c r="I275" s="122"/>
      <c r="J275" s="122"/>
      <c r="K275" s="122"/>
      <c r="L275" s="122"/>
      <c r="M275" s="122"/>
      <c r="N275" s="122"/>
      <c r="O275" s="122"/>
      <c r="P275" s="122"/>
    </row>
    <row r="276" ht="15.75" customHeight="1">
      <c r="A276" s="121"/>
      <c r="B276" s="122"/>
      <c r="C276" s="123"/>
      <c r="D276" s="122"/>
      <c r="E276" s="122"/>
      <c r="F276" s="122"/>
      <c r="G276" s="122"/>
      <c r="H276" s="122"/>
      <c r="I276" s="122"/>
      <c r="J276" s="122"/>
      <c r="K276" s="122"/>
      <c r="L276" s="122"/>
      <c r="M276" s="122"/>
      <c r="N276" s="122"/>
      <c r="O276" s="122"/>
      <c r="P276" s="122"/>
    </row>
    <row r="277" ht="15.75" customHeight="1">
      <c r="A277" s="121"/>
      <c r="B277" s="122"/>
      <c r="C277" s="123"/>
      <c r="D277" s="122"/>
      <c r="E277" s="122"/>
      <c r="F277" s="122"/>
      <c r="G277" s="122"/>
      <c r="H277" s="122"/>
      <c r="I277" s="122"/>
      <c r="J277" s="122"/>
      <c r="K277" s="122"/>
      <c r="L277" s="122"/>
      <c r="M277" s="122"/>
      <c r="N277" s="122"/>
      <c r="O277" s="122"/>
      <c r="P277" s="122"/>
    </row>
    <row r="278" ht="15.75" customHeight="1">
      <c r="A278" s="121"/>
      <c r="B278" s="122"/>
      <c r="C278" s="123"/>
      <c r="D278" s="122"/>
      <c r="E278" s="122"/>
      <c r="F278" s="122"/>
      <c r="G278" s="122"/>
      <c r="H278" s="122"/>
      <c r="I278" s="122"/>
      <c r="J278" s="122"/>
      <c r="K278" s="122"/>
      <c r="L278" s="122"/>
      <c r="M278" s="122"/>
      <c r="N278" s="122"/>
      <c r="O278" s="122"/>
      <c r="P278" s="122"/>
    </row>
    <row r="279" ht="15.75" customHeight="1">
      <c r="A279" s="121"/>
      <c r="B279" s="122"/>
      <c r="C279" s="123"/>
      <c r="D279" s="122"/>
      <c r="E279" s="122"/>
      <c r="F279" s="122"/>
      <c r="G279" s="122"/>
      <c r="H279" s="122"/>
      <c r="I279" s="122"/>
      <c r="J279" s="122"/>
      <c r="K279" s="122"/>
      <c r="L279" s="122"/>
      <c r="M279" s="122"/>
      <c r="N279" s="122"/>
      <c r="O279" s="122"/>
      <c r="P279" s="122"/>
    </row>
    <row r="280" ht="15.75" customHeight="1">
      <c r="A280" s="121"/>
      <c r="B280" s="122"/>
      <c r="C280" s="123"/>
      <c r="D280" s="122"/>
      <c r="E280" s="122"/>
      <c r="F280" s="122"/>
      <c r="G280" s="122"/>
      <c r="H280" s="122"/>
      <c r="I280" s="122"/>
      <c r="J280" s="122"/>
      <c r="K280" s="122"/>
      <c r="L280" s="122"/>
      <c r="M280" s="122"/>
      <c r="N280" s="122"/>
      <c r="O280" s="122"/>
      <c r="P280" s="122"/>
    </row>
    <row r="281" ht="15.75" customHeight="1">
      <c r="A281" s="121"/>
      <c r="B281" s="122"/>
      <c r="C281" s="123"/>
      <c r="D281" s="122"/>
      <c r="E281" s="122"/>
      <c r="F281" s="122"/>
      <c r="G281" s="122"/>
      <c r="H281" s="122"/>
      <c r="I281" s="122"/>
      <c r="J281" s="122"/>
      <c r="K281" s="122"/>
      <c r="L281" s="122"/>
      <c r="M281" s="122"/>
      <c r="N281" s="122"/>
      <c r="O281" s="122"/>
      <c r="P281" s="122"/>
    </row>
    <row r="282" ht="15.75" customHeight="1">
      <c r="A282" s="121"/>
      <c r="B282" s="122"/>
      <c r="C282" s="123"/>
      <c r="D282" s="122"/>
      <c r="E282" s="122"/>
      <c r="F282" s="122"/>
      <c r="G282" s="122"/>
      <c r="H282" s="122"/>
      <c r="I282" s="122"/>
      <c r="J282" s="122"/>
      <c r="K282" s="122"/>
      <c r="L282" s="122"/>
      <c r="M282" s="122"/>
      <c r="N282" s="122"/>
      <c r="O282" s="122"/>
      <c r="P282" s="122"/>
    </row>
    <row r="283" ht="15.75" customHeight="1">
      <c r="A283" s="121"/>
      <c r="B283" s="122"/>
      <c r="C283" s="123"/>
      <c r="D283" s="122"/>
      <c r="E283" s="122"/>
      <c r="F283" s="122"/>
      <c r="G283" s="122"/>
      <c r="H283" s="122"/>
      <c r="I283" s="122"/>
      <c r="J283" s="122"/>
      <c r="K283" s="122"/>
      <c r="L283" s="122"/>
      <c r="M283" s="122"/>
      <c r="N283" s="122"/>
      <c r="O283" s="122"/>
      <c r="P283" s="122"/>
    </row>
    <row r="284" ht="15.75" customHeight="1">
      <c r="A284" s="121"/>
      <c r="B284" s="122"/>
      <c r="C284" s="123"/>
      <c r="D284" s="122"/>
      <c r="E284" s="122"/>
      <c r="F284" s="122"/>
      <c r="G284" s="122"/>
      <c r="H284" s="122"/>
      <c r="I284" s="122"/>
      <c r="J284" s="122"/>
      <c r="K284" s="122"/>
      <c r="L284" s="122"/>
      <c r="M284" s="122"/>
      <c r="N284" s="122"/>
      <c r="O284" s="122"/>
      <c r="P284" s="122"/>
    </row>
    <row r="285" ht="15.75" customHeight="1">
      <c r="A285" s="121"/>
      <c r="B285" s="122"/>
      <c r="C285" s="123"/>
      <c r="D285" s="122"/>
      <c r="E285" s="122"/>
      <c r="F285" s="122"/>
      <c r="G285" s="122"/>
      <c r="H285" s="122"/>
      <c r="I285" s="122"/>
      <c r="J285" s="122"/>
      <c r="K285" s="122"/>
      <c r="L285" s="122"/>
      <c r="M285" s="122"/>
      <c r="N285" s="122"/>
      <c r="O285" s="122"/>
      <c r="P285" s="122"/>
    </row>
    <row r="286" ht="15.75" customHeight="1">
      <c r="A286" s="121"/>
      <c r="B286" s="122"/>
      <c r="C286" s="123"/>
      <c r="D286" s="122"/>
      <c r="E286" s="122"/>
      <c r="F286" s="122"/>
      <c r="G286" s="122"/>
      <c r="H286" s="122"/>
      <c r="I286" s="122"/>
      <c r="J286" s="122"/>
      <c r="K286" s="122"/>
      <c r="L286" s="122"/>
      <c r="M286" s="122"/>
      <c r="N286" s="122"/>
      <c r="O286" s="122"/>
      <c r="P286" s="122"/>
    </row>
    <row r="287" ht="15.75" customHeight="1">
      <c r="A287" s="121"/>
      <c r="B287" s="122"/>
      <c r="C287" s="123"/>
      <c r="D287" s="122"/>
      <c r="E287" s="122"/>
      <c r="F287" s="122"/>
      <c r="G287" s="122"/>
      <c r="H287" s="122"/>
      <c r="I287" s="122"/>
      <c r="J287" s="122"/>
      <c r="K287" s="122"/>
      <c r="L287" s="122"/>
      <c r="M287" s="122"/>
      <c r="N287" s="122"/>
      <c r="O287" s="122"/>
      <c r="P287" s="122"/>
    </row>
    <row r="288" ht="15.75" customHeight="1">
      <c r="A288" s="121"/>
      <c r="B288" s="122"/>
      <c r="C288" s="123"/>
      <c r="D288" s="122"/>
      <c r="E288" s="122"/>
      <c r="F288" s="122"/>
      <c r="G288" s="122"/>
      <c r="H288" s="122"/>
      <c r="I288" s="122"/>
      <c r="J288" s="122"/>
      <c r="K288" s="122"/>
      <c r="L288" s="122"/>
      <c r="M288" s="122"/>
      <c r="N288" s="122"/>
      <c r="O288" s="122"/>
      <c r="P288" s="122"/>
    </row>
    <row r="289" ht="15.75" customHeight="1">
      <c r="A289" s="121"/>
      <c r="B289" s="122"/>
      <c r="C289" s="123"/>
      <c r="D289" s="122"/>
      <c r="E289" s="122"/>
      <c r="F289" s="122"/>
      <c r="G289" s="122"/>
      <c r="H289" s="122"/>
      <c r="I289" s="122"/>
      <c r="J289" s="122"/>
      <c r="K289" s="122"/>
      <c r="L289" s="122"/>
      <c r="M289" s="122"/>
      <c r="N289" s="122"/>
      <c r="O289" s="122"/>
      <c r="P289" s="122"/>
    </row>
    <row r="290" ht="15.75" customHeight="1">
      <c r="A290" s="121"/>
      <c r="B290" s="122"/>
      <c r="C290" s="123"/>
      <c r="D290" s="122"/>
      <c r="E290" s="122"/>
      <c r="F290" s="122"/>
      <c r="G290" s="122"/>
      <c r="H290" s="122"/>
      <c r="I290" s="122"/>
      <c r="J290" s="122"/>
      <c r="K290" s="122"/>
      <c r="L290" s="122"/>
      <c r="M290" s="122"/>
      <c r="N290" s="122"/>
      <c r="O290" s="122"/>
      <c r="P290" s="122"/>
    </row>
    <row r="291" ht="15.75" customHeight="1">
      <c r="A291" s="121"/>
      <c r="B291" s="122"/>
      <c r="C291" s="123"/>
      <c r="D291" s="122"/>
      <c r="E291" s="122"/>
      <c r="F291" s="122"/>
      <c r="G291" s="122"/>
      <c r="H291" s="122"/>
      <c r="I291" s="122"/>
      <c r="J291" s="122"/>
      <c r="K291" s="122"/>
      <c r="L291" s="122"/>
      <c r="M291" s="122"/>
      <c r="N291" s="122"/>
      <c r="O291" s="122"/>
      <c r="P291" s="122"/>
    </row>
    <row r="292" ht="15.75" customHeight="1">
      <c r="A292" s="121"/>
      <c r="B292" s="122"/>
      <c r="C292" s="123"/>
      <c r="D292" s="122"/>
      <c r="E292" s="122"/>
      <c r="F292" s="122"/>
      <c r="G292" s="122"/>
      <c r="H292" s="122"/>
      <c r="I292" s="122"/>
      <c r="J292" s="122"/>
      <c r="K292" s="122"/>
      <c r="L292" s="122"/>
      <c r="M292" s="122"/>
      <c r="N292" s="122"/>
      <c r="O292" s="122"/>
      <c r="P292" s="122"/>
    </row>
    <row r="293" ht="15.75" customHeight="1">
      <c r="A293" s="121"/>
      <c r="B293" s="122"/>
      <c r="C293" s="123"/>
      <c r="D293" s="122"/>
      <c r="E293" s="122"/>
      <c r="F293" s="122"/>
      <c r="G293" s="122"/>
      <c r="H293" s="122"/>
      <c r="I293" s="122"/>
      <c r="J293" s="122"/>
      <c r="K293" s="122"/>
      <c r="L293" s="122"/>
      <c r="M293" s="122"/>
      <c r="N293" s="122"/>
      <c r="O293" s="122"/>
      <c r="P293" s="122"/>
    </row>
    <row r="294" ht="15.75" customHeight="1">
      <c r="A294" s="121"/>
      <c r="B294" s="122"/>
      <c r="C294" s="123"/>
      <c r="D294" s="122"/>
      <c r="E294" s="122"/>
      <c r="F294" s="122"/>
      <c r="G294" s="122"/>
      <c r="H294" s="122"/>
      <c r="I294" s="122"/>
      <c r="J294" s="122"/>
      <c r="K294" s="122"/>
      <c r="L294" s="122"/>
      <c r="M294" s="122"/>
      <c r="N294" s="122"/>
      <c r="O294" s="122"/>
      <c r="P294" s="122"/>
    </row>
    <row r="295" ht="15.75" customHeight="1">
      <c r="A295" s="121"/>
      <c r="B295" s="122"/>
      <c r="C295" s="123"/>
      <c r="D295" s="122"/>
      <c r="E295" s="122"/>
      <c r="F295" s="122"/>
      <c r="G295" s="122"/>
      <c r="H295" s="122"/>
      <c r="I295" s="122"/>
      <c r="J295" s="122"/>
      <c r="K295" s="122"/>
      <c r="L295" s="122"/>
      <c r="M295" s="122"/>
      <c r="N295" s="122"/>
      <c r="O295" s="122"/>
      <c r="P295" s="122"/>
    </row>
    <row r="296" ht="15.75" customHeight="1">
      <c r="A296" s="121"/>
      <c r="B296" s="122"/>
      <c r="C296" s="123"/>
      <c r="D296" s="122"/>
      <c r="E296" s="122"/>
      <c r="F296" s="122"/>
      <c r="G296" s="122"/>
      <c r="H296" s="122"/>
      <c r="I296" s="122"/>
      <c r="J296" s="122"/>
      <c r="K296" s="122"/>
      <c r="L296" s="122"/>
      <c r="M296" s="122"/>
      <c r="N296" s="122"/>
      <c r="O296" s="122"/>
      <c r="P296" s="122"/>
    </row>
    <row r="297" ht="15.75" customHeight="1">
      <c r="A297" s="121"/>
      <c r="B297" s="122"/>
      <c r="C297" s="123"/>
      <c r="D297" s="122"/>
      <c r="E297" s="122"/>
      <c r="F297" s="122"/>
      <c r="G297" s="122"/>
      <c r="H297" s="122"/>
      <c r="I297" s="122"/>
      <c r="J297" s="122"/>
      <c r="K297" s="122"/>
      <c r="L297" s="122"/>
      <c r="M297" s="122"/>
      <c r="N297" s="122"/>
      <c r="O297" s="122"/>
      <c r="P297" s="122"/>
    </row>
    <row r="298" ht="15.75" customHeight="1">
      <c r="A298" s="121"/>
      <c r="B298" s="122"/>
      <c r="C298" s="123"/>
      <c r="D298" s="122"/>
      <c r="E298" s="122"/>
      <c r="F298" s="122"/>
      <c r="G298" s="122"/>
      <c r="H298" s="122"/>
      <c r="I298" s="122"/>
      <c r="J298" s="122"/>
      <c r="K298" s="122"/>
      <c r="L298" s="122"/>
      <c r="M298" s="122"/>
      <c r="N298" s="122"/>
      <c r="O298" s="122"/>
      <c r="P298" s="122"/>
    </row>
    <row r="299" ht="15.75" customHeight="1">
      <c r="A299" s="121"/>
      <c r="B299" s="122"/>
      <c r="C299" s="123"/>
      <c r="D299" s="122"/>
      <c r="E299" s="122"/>
      <c r="F299" s="122"/>
      <c r="G299" s="122"/>
      <c r="H299" s="122"/>
      <c r="I299" s="122"/>
      <c r="J299" s="122"/>
      <c r="K299" s="122"/>
      <c r="L299" s="122"/>
      <c r="M299" s="122"/>
      <c r="N299" s="122"/>
      <c r="O299" s="122"/>
      <c r="P299" s="122"/>
    </row>
    <row r="300" ht="15.75" customHeight="1">
      <c r="A300" s="121"/>
      <c r="B300" s="122"/>
      <c r="C300" s="123"/>
      <c r="D300" s="122"/>
      <c r="E300" s="122"/>
      <c r="F300" s="122"/>
      <c r="G300" s="122"/>
      <c r="H300" s="122"/>
      <c r="I300" s="122"/>
      <c r="J300" s="122"/>
      <c r="K300" s="122"/>
      <c r="L300" s="122"/>
      <c r="M300" s="122"/>
      <c r="N300" s="122"/>
      <c r="O300" s="122"/>
      <c r="P300" s="122"/>
    </row>
    <row r="301" ht="15.75" customHeight="1">
      <c r="A301" s="121"/>
      <c r="B301" s="122"/>
      <c r="C301" s="123"/>
      <c r="D301" s="122"/>
      <c r="E301" s="122"/>
      <c r="F301" s="122"/>
      <c r="G301" s="122"/>
      <c r="H301" s="122"/>
      <c r="I301" s="122"/>
      <c r="J301" s="122"/>
      <c r="K301" s="122"/>
      <c r="L301" s="122"/>
      <c r="M301" s="122"/>
      <c r="N301" s="122"/>
      <c r="O301" s="122"/>
      <c r="P301" s="122"/>
    </row>
    <row r="302" ht="15.75" customHeight="1">
      <c r="A302" s="121"/>
      <c r="B302" s="122"/>
      <c r="C302" s="123"/>
      <c r="D302" s="122"/>
      <c r="E302" s="122"/>
      <c r="F302" s="122"/>
      <c r="G302" s="122"/>
      <c r="H302" s="122"/>
      <c r="I302" s="122"/>
      <c r="J302" s="122"/>
      <c r="K302" s="122"/>
      <c r="L302" s="122"/>
      <c r="M302" s="122"/>
      <c r="N302" s="122"/>
      <c r="O302" s="122"/>
      <c r="P302" s="122"/>
    </row>
    <row r="303" ht="15.75" customHeight="1">
      <c r="A303" s="121"/>
      <c r="B303" s="122"/>
      <c r="C303" s="123"/>
      <c r="D303" s="122"/>
      <c r="E303" s="122"/>
      <c r="F303" s="122"/>
      <c r="G303" s="122"/>
      <c r="H303" s="122"/>
      <c r="I303" s="122"/>
      <c r="J303" s="122"/>
      <c r="K303" s="122"/>
      <c r="L303" s="122"/>
      <c r="M303" s="122"/>
      <c r="N303" s="122"/>
      <c r="O303" s="122"/>
      <c r="P303" s="122"/>
    </row>
    <row r="304" ht="15.75" customHeight="1">
      <c r="A304" s="121"/>
      <c r="B304" s="122"/>
      <c r="C304" s="123"/>
      <c r="D304" s="122"/>
      <c r="E304" s="122"/>
      <c r="F304" s="122"/>
      <c r="G304" s="122"/>
      <c r="H304" s="122"/>
      <c r="I304" s="122"/>
      <c r="J304" s="122"/>
      <c r="K304" s="122"/>
      <c r="L304" s="122"/>
      <c r="M304" s="122"/>
      <c r="N304" s="122"/>
      <c r="O304" s="122"/>
      <c r="P304" s="122"/>
    </row>
    <row r="305" ht="15.75" customHeight="1">
      <c r="A305" s="121"/>
      <c r="B305" s="122"/>
      <c r="C305" s="123"/>
      <c r="D305" s="122"/>
      <c r="E305" s="122"/>
      <c r="F305" s="122"/>
      <c r="G305" s="122"/>
      <c r="H305" s="122"/>
      <c r="I305" s="122"/>
      <c r="J305" s="122"/>
      <c r="K305" s="122"/>
      <c r="L305" s="122"/>
      <c r="M305" s="122"/>
      <c r="N305" s="122"/>
      <c r="O305" s="122"/>
      <c r="P305" s="122"/>
    </row>
    <row r="306" ht="15.75" customHeight="1">
      <c r="A306" s="121"/>
      <c r="B306" s="122"/>
      <c r="C306" s="123"/>
      <c r="D306" s="122"/>
      <c r="E306" s="122"/>
      <c r="F306" s="122"/>
      <c r="G306" s="122"/>
      <c r="H306" s="122"/>
      <c r="I306" s="122"/>
      <c r="J306" s="122"/>
      <c r="K306" s="122"/>
      <c r="L306" s="122"/>
      <c r="M306" s="122"/>
      <c r="N306" s="122"/>
      <c r="O306" s="122"/>
      <c r="P306" s="122"/>
    </row>
    <row r="307" ht="15.75" customHeight="1">
      <c r="A307" s="121"/>
      <c r="B307" s="122"/>
      <c r="C307" s="123"/>
      <c r="D307" s="122"/>
      <c r="E307" s="122"/>
      <c r="F307" s="122"/>
      <c r="G307" s="122"/>
      <c r="H307" s="122"/>
      <c r="I307" s="122"/>
      <c r="J307" s="122"/>
      <c r="K307" s="122"/>
      <c r="L307" s="122"/>
      <c r="M307" s="122"/>
      <c r="N307" s="122"/>
      <c r="O307" s="122"/>
      <c r="P307" s="122"/>
    </row>
    <row r="308" ht="15.75" customHeight="1">
      <c r="A308" s="121"/>
      <c r="B308" s="122"/>
      <c r="C308" s="123"/>
      <c r="D308" s="122"/>
      <c r="E308" s="122"/>
      <c r="F308" s="122"/>
      <c r="G308" s="122"/>
      <c r="H308" s="122"/>
      <c r="I308" s="122"/>
      <c r="J308" s="122"/>
      <c r="K308" s="122"/>
      <c r="L308" s="122"/>
      <c r="M308" s="122"/>
      <c r="N308" s="122"/>
      <c r="O308" s="122"/>
      <c r="P308" s="122"/>
    </row>
    <row r="309" ht="15.75" customHeight="1">
      <c r="A309" s="121"/>
      <c r="B309" s="122"/>
      <c r="C309" s="123"/>
      <c r="D309" s="122"/>
      <c r="E309" s="122"/>
      <c r="F309" s="122"/>
      <c r="G309" s="122"/>
      <c r="H309" s="122"/>
      <c r="I309" s="122"/>
      <c r="J309" s="122"/>
      <c r="K309" s="122"/>
      <c r="L309" s="122"/>
      <c r="M309" s="122"/>
      <c r="N309" s="122"/>
      <c r="O309" s="122"/>
      <c r="P309" s="122"/>
    </row>
    <row r="310" ht="15.75" customHeight="1">
      <c r="A310" s="121"/>
      <c r="B310" s="122"/>
      <c r="C310" s="123"/>
      <c r="D310" s="122"/>
      <c r="E310" s="122"/>
      <c r="F310" s="122"/>
      <c r="G310" s="122"/>
      <c r="H310" s="122"/>
      <c r="I310" s="122"/>
      <c r="J310" s="122"/>
      <c r="K310" s="122"/>
      <c r="L310" s="122"/>
      <c r="M310" s="122"/>
      <c r="N310" s="122"/>
      <c r="O310" s="122"/>
      <c r="P310" s="122"/>
    </row>
    <row r="311" ht="15.75" customHeight="1">
      <c r="A311" s="121"/>
      <c r="B311" s="122"/>
      <c r="C311" s="123"/>
      <c r="D311" s="122"/>
      <c r="E311" s="122"/>
      <c r="F311" s="122"/>
      <c r="G311" s="122"/>
      <c r="H311" s="122"/>
      <c r="I311" s="122"/>
      <c r="J311" s="122"/>
      <c r="K311" s="122"/>
      <c r="L311" s="122"/>
      <c r="M311" s="122"/>
      <c r="N311" s="122"/>
      <c r="O311" s="122"/>
      <c r="P311" s="122"/>
    </row>
    <row r="312" ht="15.75" customHeight="1">
      <c r="A312" s="121"/>
      <c r="B312" s="122"/>
      <c r="C312" s="123"/>
      <c r="D312" s="122"/>
      <c r="E312" s="122"/>
      <c r="F312" s="122"/>
      <c r="G312" s="122"/>
      <c r="H312" s="122"/>
      <c r="I312" s="122"/>
      <c r="J312" s="122"/>
      <c r="K312" s="122"/>
      <c r="L312" s="122"/>
      <c r="M312" s="122"/>
      <c r="N312" s="122"/>
      <c r="O312" s="122"/>
      <c r="P312" s="122"/>
    </row>
    <row r="313" ht="15.75" customHeight="1">
      <c r="A313" s="121"/>
      <c r="B313" s="122"/>
      <c r="C313" s="123"/>
      <c r="D313" s="122"/>
      <c r="E313" s="122"/>
      <c r="F313" s="122"/>
      <c r="G313" s="122"/>
      <c r="H313" s="122"/>
      <c r="I313" s="122"/>
      <c r="J313" s="122"/>
      <c r="K313" s="122"/>
      <c r="L313" s="122"/>
      <c r="M313" s="122"/>
      <c r="N313" s="122"/>
      <c r="O313" s="122"/>
      <c r="P313" s="122"/>
    </row>
    <row r="314" ht="15.75" customHeight="1">
      <c r="A314" s="121"/>
      <c r="B314" s="122"/>
      <c r="C314" s="123"/>
      <c r="D314" s="122"/>
      <c r="E314" s="122"/>
      <c r="F314" s="122"/>
      <c r="G314" s="122"/>
      <c r="H314" s="122"/>
      <c r="I314" s="122"/>
      <c r="J314" s="122"/>
      <c r="K314" s="122"/>
      <c r="L314" s="122"/>
      <c r="M314" s="122"/>
      <c r="N314" s="122"/>
      <c r="O314" s="122"/>
      <c r="P314" s="122"/>
    </row>
    <row r="315" ht="15.75" customHeight="1">
      <c r="A315" s="121"/>
      <c r="B315" s="122"/>
      <c r="C315" s="123"/>
      <c r="D315" s="122"/>
      <c r="E315" s="122"/>
      <c r="F315" s="122"/>
      <c r="G315" s="122"/>
      <c r="H315" s="122"/>
      <c r="I315" s="122"/>
      <c r="J315" s="122"/>
      <c r="K315" s="122"/>
      <c r="L315" s="122"/>
      <c r="M315" s="122"/>
      <c r="N315" s="122"/>
      <c r="O315" s="122"/>
      <c r="P315" s="122"/>
    </row>
    <row r="316" ht="15.75" customHeight="1">
      <c r="A316" s="121"/>
      <c r="B316" s="122"/>
      <c r="C316" s="123"/>
      <c r="D316" s="122"/>
      <c r="E316" s="122"/>
      <c r="F316" s="122"/>
      <c r="G316" s="122"/>
      <c r="H316" s="122"/>
      <c r="I316" s="122"/>
      <c r="J316" s="122"/>
      <c r="K316" s="122"/>
      <c r="L316" s="122"/>
      <c r="M316" s="122"/>
      <c r="N316" s="122"/>
      <c r="O316" s="122"/>
      <c r="P316" s="122"/>
    </row>
    <row r="317" ht="15.75" customHeight="1">
      <c r="A317" s="121"/>
      <c r="B317" s="122"/>
      <c r="C317" s="123"/>
      <c r="D317" s="122"/>
      <c r="E317" s="122"/>
      <c r="F317" s="122"/>
      <c r="G317" s="122"/>
      <c r="H317" s="122"/>
      <c r="I317" s="122"/>
      <c r="J317" s="122"/>
      <c r="K317" s="122"/>
      <c r="L317" s="122"/>
      <c r="M317" s="122"/>
      <c r="N317" s="122"/>
      <c r="O317" s="122"/>
      <c r="P317" s="122"/>
    </row>
    <row r="318" ht="15.75" customHeight="1">
      <c r="A318" s="121"/>
      <c r="B318" s="122"/>
      <c r="C318" s="123"/>
      <c r="D318" s="122"/>
      <c r="E318" s="122"/>
      <c r="F318" s="122"/>
      <c r="G318" s="122"/>
      <c r="H318" s="122"/>
      <c r="I318" s="122"/>
      <c r="J318" s="122"/>
      <c r="K318" s="122"/>
      <c r="L318" s="122"/>
      <c r="M318" s="122"/>
      <c r="N318" s="122"/>
      <c r="O318" s="122"/>
      <c r="P318" s="122"/>
    </row>
    <row r="319" ht="15.75" customHeight="1">
      <c r="A319" s="121"/>
      <c r="B319" s="122"/>
      <c r="C319" s="123"/>
      <c r="D319" s="122"/>
      <c r="E319" s="122"/>
      <c r="F319" s="122"/>
      <c r="G319" s="122"/>
      <c r="H319" s="122"/>
      <c r="I319" s="122"/>
      <c r="J319" s="122"/>
      <c r="K319" s="122"/>
      <c r="L319" s="122"/>
      <c r="M319" s="122"/>
      <c r="N319" s="122"/>
      <c r="O319" s="122"/>
      <c r="P319" s="122"/>
    </row>
    <row r="320" ht="15.75" customHeight="1">
      <c r="A320" s="121"/>
      <c r="B320" s="122"/>
      <c r="C320" s="123"/>
      <c r="D320" s="122"/>
      <c r="E320" s="122"/>
      <c r="F320" s="122"/>
      <c r="G320" s="122"/>
      <c r="H320" s="122"/>
      <c r="I320" s="122"/>
      <c r="J320" s="122"/>
      <c r="K320" s="122"/>
      <c r="L320" s="122"/>
      <c r="M320" s="122"/>
      <c r="N320" s="122"/>
      <c r="O320" s="122"/>
      <c r="P320" s="122"/>
    </row>
    <row r="321" ht="15.75" customHeight="1">
      <c r="A321" s="121"/>
      <c r="B321" s="122"/>
      <c r="C321" s="123"/>
      <c r="D321" s="122"/>
      <c r="E321" s="122"/>
      <c r="F321" s="122"/>
      <c r="G321" s="122"/>
      <c r="H321" s="122"/>
      <c r="I321" s="122"/>
      <c r="J321" s="122"/>
      <c r="K321" s="122"/>
      <c r="L321" s="122"/>
      <c r="M321" s="122"/>
      <c r="N321" s="122"/>
      <c r="O321" s="122"/>
      <c r="P321" s="122"/>
    </row>
    <row r="322" ht="15.75" customHeight="1">
      <c r="A322" s="121"/>
      <c r="B322" s="122"/>
      <c r="C322" s="123"/>
      <c r="D322" s="122"/>
      <c r="E322" s="122"/>
      <c r="F322" s="122"/>
      <c r="G322" s="122"/>
      <c r="H322" s="122"/>
      <c r="I322" s="122"/>
      <c r="J322" s="122"/>
      <c r="K322" s="122"/>
      <c r="L322" s="122"/>
      <c r="M322" s="122"/>
      <c r="N322" s="122"/>
      <c r="O322" s="122"/>
      <c r="P322" s="122"/>
    </row>
    <row r="323" ht="15.75" customHeight="1">
      <c r="A323" s="121"/>
      <c r="B323" s="122"/>
      <c r="C323" s="123"/>
      <c r="D323" s="122"/>
      <c r="E323" s="122"/>
      <c r="F323" s="122"/>
      <c r="G323" s="122"/>
      <c r="H323" s="122"/>
      <c r="I323" s="122"/>
      <c r="J323" s="122"/>
      <c r="K323" s="122"/>
      <c r="L323" s="122"/>
      <c r="M323" s="122"/>
      <c r="N323" s="122"/>
      <c r="O323" s="122"/>
      <c r="P323" s="122"/>
    </row>
    <row r="324" ht="15.75" customHeight="1">
      <c r="A324" s="121"/>
      <c r="B324" s="122"/>
      <c r="C324" s="123"/>
      <c r="D324" s="122"/>
      <c r="E324" s="122"/>
      <c r="F324" s="122"/>
      <c r="G324" s="122"/>
      <c r="H324" s="122"/>
      <c r="I324" s="122"/>
      <c r="J324" s="122"/>
      <c r="K324" s="122"/>
      <c r="L324" s="122"/>
      <c r="M324" s="122"/>
      <c r="N324" s="122"/>
      <c r="O324" s="122"/>
      <c r="P324" s="122"/>
    </row>
    <row r="325" ht="15.75" customHeight="1">
      <c r="A325" s="121"/>
      <c r="B325" s="122"/>
      <c r="C325" s="123"/>
      <c r="D325" s="122"/>
      <c r="E325" s="122"/>
      <c r="F325" s="122"/>
      <c r="G325" s="122"/>
      <c r="H325" s="122"/>
      <c r="I325" s="122"/>
      <c r="J325" s="122"/>
      <c r="K325" s="122"/>
      <c r="L325" s="122"/>
      <c r="M325" s="122"/>
      <c r="N325" s="122"/>
      <c r="O325" s="122"/>
      <c r="P325" s="122"/>
    </row>
    <row r="326" ht="15.75" customHeight="1">
      <c r="A326" s="121"/>
      <c r="B326" s="122"/>
      <c r="C326" s="123"/>
      <c r="D326" s="122"/>
      <c r="E326" s="122"/>
      <c r="F326" s="122"/>
      <c r="G326" s="122"/>
      <c r="H326" s="122"/>
      <c r="I326" s="122"/>
      <c r="J326" s="122"/>
      <c r="K326" s="122"/>
      <c r="L326" s="122"/>
      <c r="M326" s="122"/>
      <c r="N326" s="122"/>
      <c r="O326" s="122"/>
      <c r="P326" s="122"/>
    </row>
    <row r="327" ht="15.75" customHeight="1">
      <c r="A327" s="121"/>
      <c r="B327" s="122"/>
      <c r="C327" s="123"/>
      <c r="D327" s="122"/>
      <c r="E327" s="122"/>
      <c r="F327" s="122"/>
      <c r="G327" s="122"/>
      <c r="H327" s="122"/>
      <c r="I327" s="122"/>
      <c r="J327" s="122"/>
      <c r="K327" s="122"/>
      <c r="L327" s="122"/>
      <c r="M327" s="122"/>
      <c r="N327" s="122"/>
      <c r="O327" s="122"/>
      <c r="P327" s="122"/>
    </row>
    <row r="328" ht="15.75" customHeight="1">
      <c r="A328" s="121"/>
      <c r="B328" s="122"/>
      <c r="C328" s="123"/>
      <c r="D328" s="122"/>
      <c r="E328" s="122"/>
      <c r="F328" s="122"/>
      <c r="G328" s="122"/>
      <c r="H328" s="122"/>
      <c r="I328" s="122"/>
      <c r="J328" s="122"/>
      <c r="K328" s="122"/>
      <c r="L328" s="122"/>
      <c r="M328" s="122"/>
      <c r="N328" s="122"/>
      <c r="O328" s="122"/>
      <c r="P328" s="122"/>
    </row>
    <row r="329" ht="15.75" customHeight="1">
      <c r="A329" s="121"/>
      <c r="B329" s="122"/>
      <c r="C329" s="123"/>
      <c r="D329" s="122"/>
      <c r="E329" s="122"/>
      <c r="F329" s="122"/>
      <c r="G329" s="122"/>
      <c r="H329" s="122"/>
      <c r="I329" s="122"/>
      <c r="J329" s="122"/>
      <c r="K329" s="122"/>
      <c r="L329" s="122"/>
      <c r="M329" s="122"/>
      <c r="N329" s="122"/>
      <c r="O329" s="122"/>
      <c r="P329" s="122"/>
    </row>
    <row r="330" ht="15.75" customHeight="1">
      <c r="A330" s="121"/>
      <c r="B330" s="122"/>
      <c r="C330" s="123"/>
      <c r="D330" s="122"/>
      <c r="E330" s="122"/>
      <c r="F330" s="122"/>
      <c r="G330" s="122"/>
      <c r="H330" s="122"/>
      <c r="I330" s="122"/>
      <c r="J330" s="122"/>
      <c r="K330" s="122"/>
      <c r="L330" s="122"/>
      <c r="M330" s="122"/>
      <c r="N330" s="122"/>
      <c r="O330" s="122"/>
      <c r="P330" s="122"/>
    </row>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7.5"/>
    <col customWidth="1" min="2" max="2" width="3.38"/>
    <col customWidth="1" min="3" max="3" width="12.88"/>
    <col customWidth="1" min="4" max="4" width="11.0"/>
    <col customWidth="1" min="5" max="5" width="9.5"/>
    <col customWidth="1" min="6" max="6" width="12.38"/>
    <col customWidth="1" min="7" max="7" width="19.38"/>
    <col customWidth="1" min="8" max="11" width="13.88"/>
    <col customWidth="1" min="12" max="12" width="14.5"/>
    <col customWidth="1" min="13" max="13" width="9.75"/>
    <col customWidth="1" min="14" max="14" width="9.63"/>
    <col customWidth="1" min="15" max="15" width="10.38"/>
    <col customWidth="1" min="16" max="16" width="6.63"/>
    <col customWidth="1" min="17" max="17" width="10.5"/>
    <col customWidth="1" min="18" max="18" width="20.75"/>
    <col customWidth="1" hidden="1" min="21" max="23" width="7.5"/>
    <col customWidth="1" hidden="1" min="24" max="24" width="8.88"/>
    <col customWidth="1" hidden="1" min="25" max="28" width="12.63"/>
  </cols>
  <sheetData>
    <row r="1" ht="23.25" customHeight="1">
      <c r="A1" s="124" t="s">
        <v>302</v>
      </c>
      <c r="B1" s="125"/>
      <c r="C1" s="126" t="s">
        <v>303</v>
      </c>
      <c r="D1" s="127" t="s">
        <v>304</v>
      </c>
      <c r="E1" s="128" t="s">
        <v>305</v>
      </c>
      <c r="F1" s="129" t="s">
        <v>306</v>
      </c>
      <c r="G1" s="130" t="s">
        <v>307</v>
      </c>
      <c r="H1" s="131" t="s">
        <v>308</v>
      </c>
      <c r="I1" s="132" t="s">
        <v>309</v>
      </c>
      <c r="J1" s="133" t="s">
        <v>310</v>
      </c>
      <c r="K1" s="134" t="s">
        <v>311</v>
      </c>
      <c r="L1" s="135" t="s">
        <v>312</v>
      </c>
      <c r="M1" s="136" t="s">
        <v>313</v>
      </c>
      <c r="N1" s="137" t="s">
        <v>314</v>
      </c>
      <c r="O1" s="138" t="s">
        <v>315</v>
      </c>
      <c r="P1" s="139" t="s">
        <v>316</v>
      </c>
      <c r="Q1" s="139"/>
      <c r="R1" s="140" t="s">
        <v>317</v>
      </c>
      <c r="S1" s="140" t="s">
        <v>318</v>
      </c>
      <c r="T1" s="141" t="s">
        <v>319</v>
      </c>
      <c r="U1" s="94"/>
      <c r="V1" s="94"/>
      <c r="W1" s="142"/>
      <c r="X1" s="142"/>
      <c r="Y1" s="142"/>
      <c r="Z1" s="142"/>
      <c r="AA1" s="94"/>
      <c r="AB1" s="94"/>
      <c r="AC1" s="94"/>
      <c r="AD1" s="94"/>
      <c r="AE1" s="94"/>
    </row>
    <row r="2" ht="11.25" customHeight="1">
      <c r="A2" s="143" t="str">
        <f>'1. Справочник'!B2</f>
        <v>Марина</v>
      </c>
      <c r="B2" s="144" t="s">
        <v>320</v>
      </c>
      <c r="C2" s="145" t="str">
        <f>'1. Справочник'!C2</f>
        <v>WS В 503</v>
      </c>
      <c r="D2" s="146" t="str">
        <f>'1. Справочник'!F2</f>
        <v>1+1</v>
      </c>
      <c r="E2" s="147" t="s">
        <v>321</v>
      </c>
      <c r="F2" s="148"/>
      <c r="G2" s="149" t="s">
        <v>322</v>
      </c>
      <c r="H2" s="150" t="s">
        <v>323</v>
      </c>
      <c r="I2" s="151" t="s">
        <v>324</v>
      </c>
      <c r="J2" s="152" t="s">
        <v>325</v>
      </c>
      <c r="K2" s="153" t="s">
        <v>326</v>
      </c>
      <c r="L2" s="154" t="s">
        <v>327</v>
      </c>
      <c r="M2" s="155">
        <v>6.011234992E9</v>
      </c>
      <c r="N2" s="156" t="s">
        <v>328</v>
      </c>
      <c r="O2" s="157">
        <v>4.22209727E8</v>
      </c>
      <c r="P2" s="157">
        <v>33.0</v>
      </c>
      <c r="Q2" s="157">
        <v>5.1895127E7</v>
      </c>
      <c r="R2" s="158" t="s">
        <v>329</v>
      </c>
      <c r="S2" s="158" t="s">
        <v>330</v>
      </c>
      <c r="T2" s="159" t="s">
        <v>331</v>
      </c>
      <c r="U2" s="160"/>
      <c r="V2" s="160"/>
      <c r="W2" s="161"/>
      <c r="X2" s="161"/>
      <c r="Y2" s="162" t="s">
        <v>332</v>
      </c>
      <c r="Z2" s="163" t="s">
        <v>333</v>
      </c>
      <c r="AA2" s="162" t="s">
        <v>332</v>
      </c>
      <c r="AB2" s="164"/>
      <c r="AC2" s="164"/>
      <c r="AD2" s="164"/>
      <c r="AE2" s="164"/>
    </row>
    <row r="3" ht="11.25" customHeight="1">
      <c r="A3" s="165" t="str">
        <f>'1. Справочник'!B3</f>
        <v>Марина</v>
      </c>
      <c r="B3" s="166">
        <f t="shared" ref="B3:B119" si="1">B2+1</f>
        <v>2</v>
      </c>
      <c r="C3" s="167" t="str">
        <f>'1. Справочник'!C3</f>
        <v>WS F 907</v>
      </c>
      <c r="D3" s="168" t="str">
        <f>'1. Справочник'!F3</f>
        <v>Студия</v>
      </c>
      <c r="E3" s="147" t="s">
        <v>321</v>
      </c>
      <c r="F3" s="169"/>
      <c r="G3" s="170" t="s">
        <v>334</v>
      </c>
      <c r="H3" s="171" t="s">
        <v>335</v>
      </c>
      <c r="I3" s="172" t="s">
        <v>324</v>
      </c>
      <c r="J3" s="173" t="s">
        <v>336</v>
      </c>
      <c r="K3" s="174" t="s">
        <v>337</v>
      </c>
      <c r="L3" s="175" t="s">
        <v>327</v>
      </c>
      <c r="M3" s="176">
        <v>6.01109493E9</v>
      </c>
      <c r="N3" s="177" t="s">
        <v>338</v>
      </c>
      <c r="O3" s="157">
        <v>4.22589587E8</v>
      </c>
      <c r="P3" s="157">
        <v>42.0</v>
      </c>
      <c r="Q3" s="157">
        <v>7.6054799E7</v>
      </c>
      <c r="R3" s="158" t="s">
        <v>339</v>
      </c>
      <c r="S3" s="158" t="s">
        <v>340</v>
      </c>
      <c r="T3" s="159" t="s">
        <v>331</v>
      </c>
      <c r="U3" s="178"/>
      <c r="V3" s="160"/>
      <c r="W3" s="161"/>
      <c r="X3" s="163"/>
      <c r="Y3" s="163"/>
      <c r="Z3" s="163"/>
      <c r="AA3" s="179">
        <v>330.45</v>
      </c>
      <c r="AB3" s="164"/>
      <c r="AC3" s="164"/>
      <c r="AD3" s="164"/>
      <c r="AE3" s="164"/>
    </row>
    <row r="4" ht="11.25" customHeight="1">
      <c r="A4" s="165" t="str">
        <f>'1. Справочник'!B4</f>
        <v>Марина</v>
      </c>
      <c r="B4" s="166">
        <f t="shared" si="1"/>
        <v>3</v>
      </c>
      <c r="C4" s="167" t="str">
        <f>'1. Справочник'!C4</f>
        <v>WS В 212</v>
      </c>
      <c r="D4" s="168" t="s">
        <v>27</v>
      </c>
      <c r="E4" s="147" t="s">
        <v>321</v>
      </c>
      <c r="F4" s="169"/>
      <c r="G4" s="170" t="s">
        <v>341</v>
      </c>
      <c r="H4" s="180" t="s">
        <v>342</v>
      </c>
      <c r="I4" s="172" t="s">
        <v>324</v>
      </c>
      <c r="J4" s="173" t="s">
        <v>343</v>
      </c>
      <c r="K4" s="174" t="s">
        <v>344</v>
      </c>
      <c r="L4" s="175" t="s">
        <v>327</v>
      </c>
      <c r="M4" s="176">
        <v>6.0114696E9</v>
      </c>
      <c r="N4" s="177" t="s">
        <v>345</v>
      </c>
      <c r="O4" s="157">
        <v>4.22898373E8</v>
      </c>
      <c r="P4" s="157">
        <v>38.0</v>
      </c>
      <c r="Q4" s="157">
        <v>8.1875641E7</v>
      </c>
      <c r="R4" s="158" t="s">
        <v>346</v>
      </c>
      <c r="S4" s="158" t="s">
        <v>347</v>
      </c>
      <c r="T4" s="159" t="s">
        <v>331</v>
      </c>
      <c r="U4" s="160"/>
      <c r="V4" s="160"/>
      <c r="W4" s="161"/>
      <c r="X4" s="163"/>
      <c r="Y4" s="163"/>
      <c r="Z4" s="163"/>
      <c r="AA4" s="179">
        <v>378.4</v>
      </c>
      <c r="AB4" s="164"/>
      <c r="AC4" s="164"/>
      <c r="AD4" s="164"/>
      <c r="AE4" s="164"/>
    </row>
    <row r="5" ht="11.25" customHeight="1">
      <c r="A5" s="165" t="str">
        <f>'1. Справочник'!B5</f>
        <v>Марина</v>
      </c>
      <c r="B5" s="166">
        <f t="shared" si="1"/>
        <v>4</v>
      </c>
      <c r="C5" s="181" t="str">
        <f>'1. Справочник'!C5</f>
        <v>WS В 1510</v>
      </c>
      <c r="D5" s="168" t="str">
        <f>'1. Справочник'!F5</f>
        <v>Студия</v>
      </c>
      <c r="E5" s="147" t="s">
        <v>321</v>
      </c>
      <c r="F5" s="182"/>
      <c r="G5" s="183" t="s">
        <v>348</v>
      </c>
      <c r="H5" s="180" t="s">
        <v>349</v>
      </c>
      <c r="I5" s="172" t="s">
        <v>324</v>
      </c>
      <c r="J5" s="173" t="s">
        <v>350</v>
      </c>
      <c r="K5" s="174" t="s">
        <v>351</v>
      </c>
      <c r="L5" s="175" t="s">
        <v>327</v>
      </c>
      <c r="M5" s="184" t="s">
        <v>352</v>
      </c>
      <c r="N5" s="177" t="s">
        <v>353</v>
      </c>
      <c r="O5" s="157">
        <v>4.22454408E8</v>
      </c>
      <c r="P5" s="157">
        <v>47.0</v>
      </c>
      <c r="Q5" s="157">
        <v>7.642946E7</v>
      </c>
      <c r="R5" s="158" t="s">
        <v>354</v>
      </c>
      <c r="S5" s="158" t="s">
        <v>355</v>
      </c>
      <c r="T5" s="159" t="s">
        <v>331</v>
      </c>
      <c r="U5" s="160"/>
      <c r="V5" s="160"/>
      <c r="W5" s="161"/>
      <c r="X5" s="163"/>
      <c r="Y5" s="163"/>
      <c r="Z5" s="163"/>
      <c r="AA5" s="179">
        <v>324.76</v>
      </c>
      <c r="AB5" s="164"/>
      <c r="AC5" s="164"/>
      <c r="AD5" s="164"/>
      <c r="AE5" s="164"/>
    </row>
    <row r="6" ht="11.25" customHeight="1">
      <c r="A6" s="165" t="str">
        <f>'1. Справочник'!B6</f>
        <v>Марина</v>
      </c>
      <c r="B6" s="166">
        <f t="shared" si="1"/>
        <v>5</v>
      </c>
      <c r="C6" s="181" t="str">
        <f>'1. Справочник'!C6</f>
        <v>WS В 807</v>
      </c>
      <c r="D6" s="168" t="str">
        <f>'1. Справочник'!F6</f>
        <v>Студия</v>
      </c>
      <c r="E6" s="147" t="s">
        <v>321</v>
      </c>
      <c r="F6" s="185" t="s">
        <v>356</v>
      </c>
      <c r="G6" s="183" t="s">
        <v>357</v>
      </c>
      <c r="H6" s="171" t="s">
        <v>358</v>
      </c>
      <c r="I6" s="172" t="s">
        <v>324</v>
      </c>
      <c r="J6" s="173"/>
      <c r="K6" s="186"/>
      <c r="L6" s="175" t="s">
        <v>327</v>
      </c>
      <c r="M6" s="176">
        <v>6.011554481E9</v>
      </c>
      <c r="N6" s="177" t="s">
        <v>359</v>
      </c>
      <c r="O6" s="157">
        <v>4.22958722E8</v>
      </c>
      <c r="P6" s="157">
        <v>42.0</v>
      </c>
      <c r="Q6" s="157">
        <v>7.6101652E7</v>
      </c>
      <c r="R6" s="187" t="s">
        <v>360</v>
      </c>
      <c r="S6" s="158"/>
      <c r="T6" s="158" t="s">
        <v>361</v>
      </c>
      <c r="U6" s="160"/>
      <c r="V6" s="160"/>
      <c r="W6" s="188"/>
      <c r="X6" s="162" t="s">
        <v>362</v>
      </c>
      <c r="Y6" s="162" t="s">
        <v>362</v>
      </c>
      <c r="Z6" s="162" t="s">
        <v>362</v>
      </c>
      <c r="AA6" s="164" t="s">
        <v>332</v>
      </c>
      <c r="AB6" s="164"/>
      <c r="AC6" s="164"/>
      <c r="AD6" s="164"/>
      <c r="AE6" s="164"/>
    </row>
    <row r="7" ht="11.25" customHeight="1">
      <c r="A7" s="165" t="str">
        <f>'1. Справочник'!B7</f>
        <v>Марина</v>
      </c>
      <c r="B7" s="166">
        <f t="shared" si="1"/>
        <v>6</v>
      </c>
      <c r="C7" s="167" t="str">
        <f>'1. Справочник'!C7</f>
        <v>WS E 1202</v>
      </c>
      <c r="D7" s="168" t="str">
        <f>'1. Справочник'!F7</f>
        <v>1+1</v>
      </c>
      <c r="E7" s="147" t="s">
        <v>321</v>
      </c>
      <c r="F7" s="182"/>
      <c r="G7" s="183" t="s">
        <v>363</v>
      </c>
      <c r="H7" s="171" t="s">
        <v>40</v>
      </c>
      <c r="I7" s="172" t="s">
        <v>324</v>
      </c>
      <c r="J7" s="173" t="s">
        <v>364</v>
      </c>
      <c r="K7" s="174" t="s">
        <v>365</v>
      </c>
      <c r="L7" s="175" t="s">
        <v>327</v>
      </c>
      <c r="M7" s="176">
        <v>6.011366441E9</v>
      </c>
      <c r="N7" s="177" t="s">
        <v>366</v>
      </c>
      <c r="O7" s="157">
        <v>4.22609023E8</v>
      </c>
      <c r="P7" s="157">
        <v>42.0</v>
      </c>
      <c r="Q7" s="157">
        <v>4.9453499E7</v>
      </c>
      <c r="R7" s="187" t="s">
        <v>367</v>
      </c>
      <c r="S7" s="158" t="s">
        <v>368</v>
      </c>
      <c r="T7" s="159" t="s">
        <v>369</v>
      </c>
      <c r="U7" s="160"/>
      <c r="V7" s="160"/>
      <c r="W7" s="188" t="s">
        <v>370</v>
      </c>
      <c r="X7" s="163"/>
      <c r="Y7" s="162" t="s">
        <v>370</v>
      </c>
      <c r="Z7" s="162" t="s">
        <v>370</v>
      </c>
      <c r="AA7" s="164" t="s">
        <v>370</v>
      </c>
      <c r="AB7" s="164"/>
      <c r="AC7" s="164"/>
      <c r="AD7" s="164"/>
      <c r="AE7" s="164"/>
    </row>
    <row r="8" ht="11.25" customHeight="1">
      <c r="A8" s="165" t="str">
        <f>'1. Справочник'!B8</f>
        <v>Марина</v>
      </c>
      <c r="B8" s="166">
        <f t="shared" si="1"/>
        <v>7</v>
      </c>
      <c r="C8" s="167" t="str">
        <f>'1. Справочник'!C8</f>
        <v>WS A 409</v>
      </c>
      <c r="D8" s="168" t="str">
        <f>'1. Справочник'!F8</f>
        <v>Студия</v>
      </c>
      <c r="E8" s="147" t="s">
        <v>321</v>
      </c>
      <c r="F8" s="182"/>
      <c r="G8" s="183" t="s">
        <v>371</v>
      </c>
      <c r="H8" s="180" t="s">
        <v>372</v>
      </c>
      <c r="I8" s="172" t="s">
        <v>324</v>
      </c>
      <c r="J8" s="173" t="s">
        <v>373</v>
      </c>
      <c r="K8" s="174" t="s">
        <v>374</v>
      </c>
      <c r="L8" s="175" t="s">
        <v>327</v>
      </c>
      <c r="M8" s="176">
        <v>6.011394071E9</v>
      </c>
      <c r="N8" s="177" t="s">
        <v>375</v>
      </c>
      <c r="O8" s="157">
        <v>4.22464178E8</v>
      </c>
      <c r="P8" s="157">
        <v>42.0</v>
      </c>
      <c r="Q8" s="157">
        <v>2.4980033E7</v>
      </c>
      <c r="R8" s="187" t="s">
        <v>376</v>
      </c>
      <c r="S8" s="158" t="s">
        <v>377</v>
      </c>
      <c r="T8" s="159" t="s">
        <v>331</v>
      </c>
      <c r="U8" s="178"/>
      <c r="V8" s="160"/>
      <c r="W8" s="161"/>
      <c r="X8" s="163"/>
      <c r="Y8" s="163"/>
      <c r="Z8" s="163"/>
      <c r="AA8" s="179">
        <v>308.79</v>
      </c>
      <c r="AB8" s="164"/>
      <c r="AC8" s="164"/>
      <c r="AD8" s="164"/>
      <c r="AE8" s="164"/>
    </row>
    <row r="9" ht="11.25" customHeight="1">
      <c r="A9" s="165" t="str">
        <f>'1. Справочник'!B9</f>
        <v>Марина</v>
      </c>
      <c r="B9" s="166">
        <f t="shared" si="1"/>
        <v>8</v>
      </c>
      <c r="C9" s="167" t="str">
        <f>'1. Справочник'!C9</f>
        <v>WS A 608</v>
      </c>
      <c r="D9" s="168" t="s">
        <v>30</v>
      </c>
      <c r="E9" s="147" t="s">
        <v>321</v>
      </c>
      <c r="F9" s="182"/>
      <c r="G9" s="183" t="s">
        <v>378</v>
      </c>
      <c r="H9" s="189" t="s">
        <v>44</v>
      </c>
      <c r="I9" s="172" t="s">
        <v>379</v>
      </c>
      <c r="J9" s="173" t="s">
        <v>380</v>
      </c>
      <c r="K9" s="174" t="s">
        <v>381</v>
      </c>
      <c r="L9" s="175" t="s">
        <v>327</v>
      </c>
      <c r="M9" s="176">
        <v>6.011095331E9</v>
      </c>
      <c r="N9" s="177" t="s">
        <v>382</v>
      </c>
      <c r="O9" s="157">
        <v>4.2237325E8</v>
      </c>
      <c r="P9" s="157">
        <v>42.0</v>
      </c>
      <c r="Q9" s="157">
        <v>5.8567815E7</v>
      </c>
      <c r="R9" s="187" t="s">
        <v>383</v>
      </c>
      <c r="S9" s="158" t="s">
        <v>384</v>
      </c>
      <c r="T9" s="158" t="s">
        <v>361</v>
      </c>
      <c r="U9" s="160"/>
      <c r="V9" s="160"/>
      <c r="W9" s="161"/>
      <c r="X9" s="163"/>
      <c r="Y9" s="162" t="s">
        <v>332</v>
      </c>
      <c r="Z9" s="163"/>
      <c r="AA9" s="162" t="s">
        <v>362</v>
      </c>
      <c r="AB9" s="164"/>
      <c r="AC9" s="164"/>
      <c r="AD9" s="164"/>
      <c r="AE9" s="164"/>
    </row>
    <row r="10" ht="11.25" customHeight="1">
      <c r="A10" s="165" t="str">
        <f>'1. Справочник'!B10</f>
        <v>Марина</v>
      </c>
      <c r="B10" s="166">
        <f t="shared" si="1"/>
        <v>9</v>
      </c>
      <c r="C10" s="167" t="str">
        <f>'1. Справочник'!C10</f>
        <v>WS A907</v>
      </c>
      <c r="D10" s="168" t="str">
        <f>'1. Справочник'!F10</f>
        <v>Студия/твин</v>
      </c>
      <c r="E10" s="147" t="s">
        <v>321</v>
      </c>
      <c r="F10" s="182"/>
      <c r="G10" s="183" t="s">
        <v>385</v>
      </c>
      <c r="H10" s="189" t="s">
        <v>47</v>
      </c>
      <c r="I10" s="172" t="s">
        <v>379</v>
      </c>
      <c r="J10" s="173" t="s">
        <v>386</v>
      </c>
      <c r="K10" s="174" t="s">
        <v>387</v>
      </c>
      <c r="L10" s="175" t="s">
        <v>327</v>
      </c>
      <c r="M10" s="176">
        <v>6.0110922E9</v>
      </c>
      <c r="N10" s="177" t="s">
        <v>388</v>
      </c>
      <c r="O10" s="157">
        <v>4.22355072E8</v>
      </c>
      <c r="P10" s="157">
        <v>42.0</v>
      </c>
      <c r="Q10" s="157">
        <v>8.6197762E7</v>
      </c>
      <c r="R10" s="158" t="s">
        <v>389</v>
      </c>
      <c r="S10" s="158" t="s">
        <v>390</v>
      </c>
      <c r="T10" s="158" t="s">
        <v>391</v>
      </c>
      <c r="U10" s="178"/>
      <c r="V10" s="160"/>
      <c r="W10" s="161"/>
      <c r="X10" s="163"/>
      <c r="Y10" s="163"/>
      <c r="Z10" s="163"/>
      <c r="AA10" s="190" t="s">
        <v>370</v>
      </c>
      <c r="AB10" s="164"/>
      <c r="AC10" s="164"/>
      <c r="AD10" s="164"/>
      <c r="AE10" s="164"/>
    </row>
    <row r="11" ht="11.25" customHeight="1">
      <c r="A11" s="165" t="str">
        <f>'1. Справочник'!B11</f>
        <v>Марина</v>
      </c>
      <c r="B11" s="166">
        <f t="shared" si="1"/>
        <v>10</v>
      </c>
      <c r="C11" s="167" t="str">
        <f>'1. Справочник'!C11</f>
        <v>WS Е804</v>
      </c>
      <c r="D11" s="168" t="str">
        <f>'1. Справочник'!F11</f>
        <v>Студия/твин</v>
      </c>
      <c r="E11" s="147" t="s">
        <v>321</v>
      </c>
      <c r="F11" s="182"/>
      <c r="G11" s="191" t="s">
        <v>392</v>
      </c>
      <c r="H11" s="189" t="s">
        <v>49</v>
      </c>
      <c r="I11" s="172" t="s">
        <v>379</v>
      </c>
      <c r="J11" s="173" t="s">
        <v>393</v>
      </c>
      <c r="K11" s="192" t="s">
        <v>394</v>
      </c>
      <c r="L11" s="193" t="s">
        <v>327</v>
      </c>
      <c r="M11" s="176">
        <v>6.011093302E9</v>
      </c>
      <c r="N11" s="177" t="s">
        <v>395</v>
      </c>
      <c r="O11" s="157">
        <v>4.22681834E8</v>
      </c>
      <c r="P11" s="157">
        <v>42.0</v>
      </c>
      <c r="Q11" s="157">
        <v>2.2139297E7</v>
      </c>
      <c r="R11" s="158" t="s">
        <v>396</v>
      </c>
      <c r="S11" s="158" t="s">
        <v>397</v>
      </c>
      <c r="T11" s="159" t="s">
        <v>331</v>
      </c>
      <c r="U11" s="178"/>
      <c r="V11" s="160"/>
      <c r="W11" s="161"/>
      <c r="X11" s="163"/>
      <c r="Y11" s="163"/>
      <c r="Z11" s="163"/>
      <c r="AA11" s="162" t="s">
        <v>332</v>
      </c>
      <c r="AB11" s="164"/>
      <c r="AC11" s="164"/>
      <c r="AD11" s="164"/>
      <c r="AE11" s="164"/>
    </row>
    <row r="12" ht="12.0" customHeight="1">
      <c r="A12" s="165" t="str">
        <f>'1. Справочник'!B12</f>
        <v>Марина</v>
      </c>
      <c r="B12" s="166">
        <f t="shared" si="1"/>
        <v>11</v>
      </c>
      <c r="C12" s="167" t="str">
        <f>'1. Справочник'!C12</f>
        <v>WS E704</v>
      </c>
      <c r="D12" s="168" t="str">
        <f>'1. Справочник'!F12</f>
        <v>Студия</v>
      </c>
      <c r="E12" s="147" t="s">
        <v>321</v>
      </c>
      <c r="F12" s="182"/>
      <c r="G12" s="183" t="s">
        <v>398</v>
      </c>
      <c r="H12" s="194" t="s">
        <v>51</v>
      </c>
      <c r="I12" s="172" t="s">
        <v>379</v>
      </c>
      <c r="J12" s="173" t="s">
        <v>399</v>
      </c>
      <c r="K12" s="174" t="s">
        <v>400</v>
      </c>
      <c r="L12" s="175" t="s">
        <v>327</v>
      </c>
      <c r="M12" s="176">
        <v>6.011320361E9</v>
      </c>
      <c r="N12" s="177" t="s">
        <v>401</v>
      </c>
      <c r="O12" s="157">
        <v>4.22450253E8</v>
      </c>
      <c r="P12" s="157">
        <v>42.0</v>
      </c>
      <c r="Q12" s="157">
        <v>4.5539364E7</v>
      </c>
      <c r="R12" s="195" t="s">
        <v>402</v>
      </c>
      <c r="S12" s="158"/>
      <c r="T12" s="158"/>
      <c r="U12" s="196"/>
      <c r="V12" s="160"/>
      <c r="W12" s="161"/>
      <c r="X12" s="161"/>
      <c r="Y12" s="163"/>
      <c r="Z12" s="162" t="s">
        <v>332</v>
      </c>
      <c r="AA12" s="190" t="s">
        <v>370</v>
      </c>
      <c r="AB12" s="164"/>
      <c r="AC12" s="164"/>
      <c r="AD12" s="164"/>
      <c r="AE12" s="164"/>
    </row>
    <row r="13" ht="11.25" customHeight="1">
      <c r="A13" s="165" t="str">
        <f>'1. Справочник'!B13</f>
        <v>Марина</v>
      </c>
      <c r="B13" s="166">
        <f t="shared" si="1"/>
        <v>12</v>
      </c>
      <c r="C13" s="167" t="str">
        <f>'1. Справочник'!C13</f>
        <v>WS A805</v>
      </c>
      <c r="D13" s="168" t="str">
        <f>'1. Справочник'!F13</f>
        <v>Студия</v>
      </c>
      <c r="E13" s="147" t="s">
        <v>321</v>
      </c>
      <c r="F13" s="182"/>
      <c r="G13" s="183" t="s">
        <v>403</v>
      </c>
      <c r="H13" s="189" t="s">
        <v>404</v>
      </c>
      <c r="I13" s="172" t="s">
        <v>379</v>
      </c>
      <c r="J13" s="173" t="s">
        <v>405</v>
      </c>
      <c r="K13" s="197"/>
      <c r="L13" s="193" t="s">
        <v>327</v>
      </c>
      <c r="M13" s="176">
        <v>6.01118289E9</v>
      </c>
      <c r="N13" s="177" t="s">
        <v>406</v>
      </c>
      <c r="O13" s="157">
        <v>4.22532923E8</v>
      </c>
      <c r="P13" s="157">
        <v>42.0</v>
      </c>
      <c r="Q13" s="157">
        <v>4.1406017E7</v>
      </c>
      <c r="R13" s="195" t="s">
        <v>407</v>
      </c>
      <c r="S13" s="158"/>
      <c r="T13" s="158"/>
      <c r="U13" s="178"/>
      <c r="V13" s="198" t="s">
        <v>370</v>
      </c>
      <c r="W13" s="188" t="s">
        <v>370</v>
      </c>
      <c r="X13" s="163" t="s">
        <v>408</v>
      </c>
      <c r="Y13" s="190" t="s">
        <v>370</v>
      </c>
      <c r="Z13" s="190" t="s">
        <v>370</v>
      </c>
      <c r="AA13" s="190" t="s">
        <v>370</v>
      </c>
      <c r="AB13" s="164"/>
      <c r="AC13" s="164"/>
      <c r="AD13" s="164"/>
      <c r="AE13" s="164"/>
    </row>
    <row r="14" ht="14.25" customHeight="1">
      <c r="A14" s="165" t="str">
        <f>'1. Справочник'!B14</f>
        <v>Марина</v>
      </c>
      <c r="B14" s="166">
        <f t="shared" si="1"/>
        <v>13</v>
      </c>
      <c r="C14" s="167" t="str">
        <f>'1. Справочник'!C14</f>
        <v>WS F1103</v>
      </c>
      <c r="D14" s="168" t="str">
        <f>'1. Справочник'!F14</f>
        <v>1+1</v>
      </c>
      <c r="E14" s="147" t="s">
        <v>321</v>
      </c>
      <c r="F14" s="182"/>
      <c r="G14" s="183" t="s">
        <v>409</v>
      </c>
      <c r="H14" s="180" t="s">
        <v>410</v>
      </c>
      <c r="I14" s="172" t="s">
        <v>379</v>
      </c>
      <c r="J14" s="173" t="s">
        <v>411</v>
      </c>
      <c r="K14" s="197"/>
      <c r="L14" s="175" t="s">
        <v>327</v>
      </c>
      <c r="M14" s="176">
        <v>6.011093692E9</v>
      </c>
      <c r="N14" s="177" t="s">
        <v>412</v>
      </c>
      <c r="O14" s="157">
        <v>4.22094809E8</v>
      </c>
      <c r="P14" s="157">
        <v>42.0</v>
      </c>
      <c r="Q14" s="157">
        <v>7.2724508E7</v>
      </c>
      <c r="R14" s="158" t="s">
        <v>413</v>
      </c>
      <c r="S14" s="158" t="s">
        <v>414</v>
      </c>
      <c r="T14" s="159" t="s">
        <v>331</v>
      </c>
      <c r="U14" s="178"/>
      <c r="V14" s="160"/>
      <c r="W14" s="161"/>
      <c r="X14" s="163"/>
      <c r="Y14" s="163"/>
      <c r="Z14" s="162" t="s">
        <v>332</v>
      </c>
      <c r="AA14" s="179">
        <v>464.94</v>
      </c>
      <c r="AB14" s="164"/>
      <c r="AC14" s="164"/>
      <c r="AD14" s="164"/>
      <c r="AE14" s="164"/>
    </row>
    <row r="15" ht="14.25" customHeight="1">
      <c r="A15" s="165" t="str">
        <f>'1. Справочник'!B15</f>
        <v>Марина</v>
      </c>
      <c r="B15" s="166">
        <f t="shared" si="1"/>
        <v>14</v>
      </c>
      <c r="C15" s="167" t="str">
        <f>'1. Справочник'!C15</f>
        <v>WS F1008</v>
      </c>
      <c r="D15" s="168" t="str">
        <f>'1. Справочник'!F15</f>
        <v>Студия</v>
      </c>
      <c r="E15" s="147" t="s">
        <v>321</v>
      </c>
      <c r="F15" s="185" t="s">
        <v>415</v>
      </c>
      <c r="G15" s="183" t="s">
        <v>416</v>
      </c>
      <c r="H15" s="180" t="s">
        <v>417</v>
      </c>
      <c r="I15" s="172" t="s">
        <v>379</v>
      </c>
      <c r="J15" s="173" t="s">
        <v>418</v>
      </c>
      <c r="K15" s="197"/>
      <c r="L15" s="175" t="s">
        <v>327</v>
      </c>
      <c r="M15" s="176">
        <v>6.011093471E9</v>
      </c>
      <c r="N15" s="177" t="s">
        <v>419</v>
      </c>
      <c r="O15" s="157">
        <v>4.22284141E8</v>
      </c>
      <c r="P15" s="157">
        <v>42.0</v>
      </c>
      <c r="Q15" s="157">
        <v>6.9056665E7</v>
      </c>
      <c r="R15" s="158" t="s">
        <v>420</v>
      </c>
      <c r="S15" s="158" t="s">
        <v>421</v>
      </c>
      <c r="T15" s="159" t="s">
        <v>331</v>
      </c>
      <c r="U15" s="178"/>
      <c r="V15" s="160"/>
      <c r="W15" s="161"/>
      <c r="X15" s="163"/>
      <c r="Y15" s="163"/>
      <c r="Z15" s="162" t="s">
        <v>332</v>
      </c>
      <c r="AA15" s="179">
        <v>103.25</v>
      </c>
      <c r="AB15" s="179">
        <v>103.25</v>
      </c>
      <c r="AC15" s="164"/>
      <c r="AD15" s="164"/>
      <c r="AE15" s="164"/>
    </row>
    <row r="16" ht="11.25" customHeight="1">
      <c r="A16" s="165" t="str">
        <f>'1. Справочник'!B16</f>
        <v>Светлана</v>
      </c>
      <c r="B16" s="166">
        <f t="shared" si="1"/>
        <v>15</v>
      </c>
      <c r="C16" s="181" t="str">
        <f>'1. Справочник'!C16</f>
        <v>BV1318</v>
      </c>
      <c r="D16" s="168" t="str">
        <f>'1. Справочник'!F16</f>
        <v>Студия</v>
      </c>
      <c r="E16" s="147" t="s">
        <v>321</v>
      </c>
      <c r="F16" s="182"/>
      <c r="G16" s="183" t="s">
        <v>422</v>
      </c>
      <c r="H16" s="180" t="s">
        <v>423</v>
      </c>
      <c r="I16" s="172" t="s">
        <v>424</v>
      </c>
      <c r="J16" s="173" t="s">
        <v>425</v>
      </c>
      <c r="K16" s="174" t="s">
        <v>426</v>
      </c>
      <c r="L16" s="175" t="s">
        <v>327</v>
      </c>
      <c r="M16" s="199"/>
      <c r="N16" s="200"/>
      <c r="O16" s="201"/>
      <c r="P16" s="201"/>
      <c r="Q16" s="201"/>
      <c r="R16" s="158" t="s">
        <v>427</v>
      </c>
      <c r="S16" s="158" t="s">
        <v>428</v>
      </c>
      <c r="T16" s="159" t="s">
        <v>331</v>
      </c>
      <c r="U16" s="160"/>
      <c r="V16" s="160"/>
      <c r="W16" s="161"/>
      <c r="X16" s="163"/>
      <c r="Y16" s="163"/>
      <c r="Z16" s="163"/>
      <c r="AA16" s="179">
        <v>125.65</v>
      </c>
      <c r="AB16" s="164"/>
      <c r="AC16" s="164"/>
      <c r="AD16" s="164"/>
      <c r="AE16" s="164"/>
    </row>
    <row r="17" ht="15.0" customHeight="1">
      <c r="A17" s="165" t="str">
        <f>'1. Справочник'!B17</f>
        <v>Светлана</v>
      </c>
      <c r="B17" s="166">
        <f t="shared" si="1"/>
        <v>16</v>
      </c>
      <c r="C17" s="181" t="str">
        <f>'1. Справочник'!C17</f>
        <v>BV A 100</v>
      </c>
      <c r="D17" s="168" t="s">
        <v>30</v>
      </c>
      <c r="E17" s="147" t="s">
        <v>321</v>
      </c>
      <c r="F17" s="185" t="s">
        <v>429</v>
      </c>
      <c r="G17" s="183" t="s">
        <v>430</v>
      </c>
      <c r="H17" s="194" t="s">
        <v>431</v>
      </c>
      <c r="I17" s="172" t="s">
        <v>432</v>
      </c>
      <c r="J17" s="202" t="s">
        <v>433</v>
      </c>
      <c r="K17" s="197"/>
      <c r="L17" s="175" t="s">
        <v>327</v>
      </c>
      <c r="M17" s="176">
        <v>6.01136445E9</v>
      </c>
      <c r="N17" s="177" t="s">
        <v>434</v>
      </c>
      <c r="O17" s="157">
        <v>4.22313986E8</v>
      </c>
      <c r="P17" s="157">
        <v>33.0</v>
      </c>
      <c r="Q17" s="157"/>
      <c r="R17" s="158" t="s">
        <v>435</v>
      </c>
      <c r="S17" s="187" t="s">
        <v>436</v>
      </c>
      <c r="T17" s="187" t="s">
        <v>437</v>
      </c>
      <c r="U17" s="198"/>
      <c r="V17" s="198"/>
      <c r="W17" s="188"/>
      <c r="X17" s="162"/>
      <c r="Y17" s="162" t="s">
        <v>332</v>
      </c>
      <c r="Z17" s="163"/>
      <c r="AA17" s="179">
        <v>545.43</v>
      </c>
      <c r="AB17" s="179">
        <v>545.43</v>
      </c>
      <c r="AC17" s="164"/>
      <c r="AD17" s="164"/>
      <c r="AE17" s="164"/>
    </row>
    <row r="18" ht="11.25" customHeight="1">
      <c r="A18" s="165" t="str">
        <f>'1. Справочник'!B18</f>
        <v>Светлана</v>
      </c>
      <c r="B18" s="166">
        <f t="shared" si="1"/>
        <v>17</v>
      </c>
      <c r="C18" s="181" t="str">
        <f>'1. Справочник'!C18</f>
        <v>Steps1123</v>
      </c>
      <c r="D18" s="168" t="str">
        <f>'1. Справочник'!F18</f>
        <v>Студия</v>
      </c>
      <c r="E18" s="147" t="s">
        <v>321</v>
      </c>
      <c r="F18" s="182"/>
      <c r="G18" s="183" t="s">
        <v>438</v>
      </c>
      <c r="H18" s="194" t="s">
        <v>66</v>
      </c>
      <c r="I18" s="172" t="s">
        <v>439</v>
      </c>
      <c r="J18" s="202" t="s">
        <v>440</v>
      </c>
      <c r="K18" s="197" t="s">
        <v>441</v>
      </c>
      <c r="L18" s="175" t="s">
        <v>327</v>
      </c>
      <c r="M18" s="176">
        <v>6.011507471E9</v>
      </c>
      <c r="N18" s="177" t="s">
        <v>442</v>
      </c>
      <c r="O18" s="157">
        <v>3.0746942E8</v>
      </c>
      <c r="P18" s="157"/>
      <c r="Q18" s="157"/>
      <c r="R18" s="195" t="s">
        <v>407</v>
      </c>
      <c r="S18" s="187"/>
      <c r="T18" s="187"/>
      <c r="U18" s="198" t="s">
        <v>370</v>
      </c>
      <c r="V18" s="198" t="s">
        <v>370</v>
      </c>
      <c r="W18" s="188" t="s">
        <v>370</v>
      </c>
      <c r="X18" s="188" t="s">
        <v>370</v>
      </c>
      <c r="Y18" s="188" t="s">
        <v>370</v>
      </c>
      <c r="Z18" s="188" t="s">
        <v>370</v>
      </c>
      <c r="AA18" s="188" t="s">
        <v>370</v>
      </c>
      <c r="AB18" s="164"/>
      <c r="AC18" s="164"/>
      <c r="AD18" s="164"/>
      <c r="AE18" s="164"/>
    </row>
    <row r="19" ht="11.25" customHeight="1">
      <c r="A19" s="165" t="str">
        <f>'1. Справочник'!B20</f>
        <v>Светлана</v>
      </c>
      <c r="B19" s="166">
        <f t="shared" si="1"/>
        <v>18</v>
      </c>
      <c r="C19" s="181" t="str">
        <f>'1. Справочник'!C19</f>
        <v>WH 176</v>
      </c>
      <c r="D19" s="168" t="str">
        <f>'1. Справочник'!F19</f>
        <v>Студия</v>
      </c>
      <c r="E19" s="203" t="s">
        <v>321</v>
      </c>
      <c r="F19" s="185" t="s">
        <v>443</v>
      </c>
      <c r="G19" s="204" t="s">
        <v>444</v>
      </c>
      <c r="H19" s="180" t="s">
        <v>445</v>
      </c>
      <c r="I19" s="205"/>
      <c r="J19" s="202" t="s">
        <v>446</v>
      </c>
      <c r="K19" s="206"/>
      <c r="L19" s="175">
        <v>2.117437984E9</v>
      </c>
      <c r="M19" s="207">
        <v>6.011510141E9</v>
      </c>
      <c r="N19" s="177" t="s">
        <v>447</v>
      </c>
      <c r="O19" s="208">
        <v>3.09596293E8</v>
      </c>
      <c r="P19" s="209"/>
      <c r="Q19" s="209">
        <v>7.9222959246E10</v>
      </c>
      <c r="R19" s="158" t="s">
        <v>448</v>
      </c>
      <c r="S19" s="158" t="s">
        <v>449</v>
      </c>
      <c r="T19" s="158" t="s">
        <v>450</v>
      </c>
      <c r="U19" s="210"/>
      <c r="V19" s="210"/>
      <c r="W19" s="211"/>
      <c r="X19" s="163"/>
      <c r="Y19" s="163"/>
      <c r="Z19" s="212" t="s">
        <v>370</v>
      </c>
      <c r="AA19" s="164"/>
      <c r="AB19" s="179">
        <v>476.31</v>
      </c>
      <c r="AC19" s="164"/>
      <c r="AD19" s="164"/>
      <c r="AE19" s="164"/>
    </row>
    <row r="20" ht="11.25" customHeight="1">
      <c r="A20" s="165" t="str">
        <f>'1. Справочник'!B21</f>
        <v>Светлана</v>
      </c>
      <c r="B20" s="166">
        <f t="shared" si="1"/>
        <v>19</v>
      </c>
      <c r="C20" s="213" t="str">
        <f>'1. Справочник'!C20</f>
        <v>OBT 2906</v>
      </c>
      <c r="D20" s="214" t="str">
        <f>'1. Справочник'!F20</f>
        <v>Студия</v>
      </c>
      <c r="E20" s="215" t="s">
        <v>321</v>
      </c>
      <c r="F20" s="216" t="s">
        <v>451</v>
      </c>
      <c r="G20" s="217" t="s">
        <v>452</v>
      </c>
      <c r="H20" s="218" t="s">
        <v>453</v>
      </c>
      <c r="I20" s="219" t="s">
        <v>454</v>
      </c>
      <c r="J20" s="220" t="s">
        <v>455</v>
      </c>
      <c r="K20" s="221"/>
      <c r="L20" s="222"/>
      <c r="M20" s="223">
        <v>6.01092468E9</v>
      </c>
      <c r="N20" s="224" t="s">
        <v>456</v>
      </c>
      <c r="O20" s="225">
        <v>4.2212481E8</v>
      </c>
      <c r="P20" s="209">
        <v>47.0</v>
      </c>
      <c r="Q20" s="209"/>
      <c r="R20" s="226" t="s">
        <v>457</v>
      </c>
      <c r="S20" s="226" t="s">
        <v>458</v>
      </c>
      <c r="T20" s="227" t="s">
        <v>331</v>
      </c>
      <c r="U20" s="228"/>
      <c r="V20" s="228"/>
      <c r="W20" s="229"/>
      <c r="X20" s="163"/>
      <c r="Y20" s="162"/>
      <c r="Z20" s="162"/>
      <c r="AA20" s="164" t="s">
        <v>332</v>
      </c>
      <c r="AB20" s="164"/>
      <c r="AC20" s="164"/>
      <c r="AD20" s="164"/>
      <c r="AE20" s="164"/>
    </row>
    <row r="21" ht="11.25" customHeight="1">
      <c r="A21" s="165" t="str">
        <f>'1. Справочник'!B22</f>
        <v>Светлана</v>
      </c>
      <c r="B21" s="166">
        <f t="shared" si="1"/>
        <v>20</v>
      </c>
      <c r="C21" s="230" t="str">
        <f>'1. Справочник'!C21</f>
        <v>OBT 2908</v>
      </c>
      <c r="D21" s="168" t="str">
        <f>'1. Справочник'!F21</f>
        <v>Студия</v>
      </c>
      <c r="E21" s="231" t="s">
        <v>321</v>
      </c>
      <c r="F21" s="232"/>
      <c r="G21" s="204" t="s">
        <v>459</v>
      </c>
      <c r="H21" s="180" t="s">
        <v>460</v>
      </c>
      <c r="I21" s="233"/>
      <c r="J21" s="202" t="s">
        <v>461</v>
      </c>
      <c r="K21" s="206"/>
      <c r="L21" s="175"/>
      <c r="M21" s="223">
        <v>6.010924822E9</v>
      </c>
      <c r="N21" s="224" t="s">
        <v>462</v>
      </c>
      <c r="O21" s="234">
        <v>4.22556559E8</v>
      </c>
      <c r="P21" s="235">
        <v>42.0</v>
      </c>
      <c r="Q21" s="235"/>
      <c r="R21" s="236"/>
      <c r="S21" s="236"/>
      <c r="T21" s="236"/>
      <c r="U21" s="228"/>
      <c r="V21" s="228"/>
      <c r="W21" s="229"/>
      <c r="X21" s="163"/>
      <c r="AA21" s="164" t="s">
        <v>332</v>
      </c>
      <c r="AB21" s="164"/>
      <c r="AC21" s="164"/>
      <c r="AD21" s="164"/>
      <c r="AE21" s="164"/>
    </row>
    <row r="22" ht="11.25" customHeight="1">
      <c r="A22" s="165" t="str">
        <f>'1. Справочник'!B23</f>
        <v>Светлана</v>
      </c>
      <c r="B22" s="166">
        <f t="shared" si="1"/>
        <v>21</v>
      </c>
      <c r="C22" s="237" t="str">
        <f>'1. Справочник'!C22</f>
        <v>OBT 2910</v>
      </c>
      <c r="D22" s="238" t="str">
        <f>'1. Справочник'!F22</f>
        <v>Студия</v>
      </c>
      <c r="E22" s="239" t="s">
        <v>321</v>
      </c>
      <c r="F22" s="240"/>
      <c r="G22" s="241" t="s">
        <v>463</v>
      </c>
      <c r="H22" s="242" t="s">
        <v>464</v>
      </c>
      <c r="I22" s="243"/>
      <c r="J22" s="244"/>
      <c r="K22" s="245"/>
      <c r="L22" s="246"/>
      <c r="M22" s="223">
        <v>6.010924972E9</v>
      </c>
      <c r="N22" s="224" t="s">
        <v>465</v>
      </c>
      <c r="O22" s="247">
        <v>4.22196746E8</v>
      </c>
      <c r="P22" s="248">
        <v>50.0</v>
      </c>
      <c r="Q22" s="248"/>
      <c r="R22" s="249"/>
      <c r="S22" s="249"/>
      <c r="T22" s="249"/>
      <c r="U22" s="228"/>
      <c r="V22" s="228"/>
      <c r="W22" s="229"/>
      <c r="X22" s="163"/>
      <c r="AA22" s="164" t="s">
        <v>332</v>
      </c>
      <c r="AB22" s="164"/>
      <c r="AC22" s="164"/>
      <c r="AD22" s="164"/>
      <c r="AE22" s="164"/>
    </row>
    <row r="23" ht="11.25" hidden="1" customHeight="1">
      <c r="A23" s="165" t="str">
        <f>'1. Справочник'!B24</f>
        <v>Светлана</v>
      </c>
      <c r="B23" s="166">
        <f t="shared" si="1"/>
        <v>22</v>
      </c>
      <c r="C23" s="181" t="str">
        <f>'1. Справочник'!C23</f>
        <v>BV A 133 (0715)</v>
      </c>
      <c r="D23" s="168" t="str">
        <f>'1. Справочник'!F23</f>
        <v>1+1</v>
      </c>
      <c r="E23" s="231" t="s">
        <v>321</v>
      </c>
      <c r="F23" s="185" t="s">
        <v>466</v>
      </c>
      <c r="G23" s="204" t="s">
        <v>467</v>
      </c>
      <c r="H23" s="180" t="s">
        <v>468</v>
      </c>
      <c r="I23" s="250" t="s">
        <v>424</v>
      </c>
      <c r="J23" s="202" t="s">
        <v>469</v>
      </c>
      <c r="K23" s="206"/>
      <c r="L23" s="175"/>
      <c r="M23" s="207">
        <v>6.011385862E9</v>
      </c>
      <c r="N23" s="177" t="s">
        <v>470</v>
      </c>
      <c r="O23" s="234">
        <v>4.2242482E8</v>
      </c>
      <c r="P23" s="235">
        <v>42.0</v>
      </c>
      <c r="Q23" s="235"/>
      <c r="R23" s="158"/>
      <c r="S23" s="158"/>
      <c r="T23" s="158" t="s">
        <v>391</v>
      </c>
      <c r="U23" s="228"/>
      <c r="V23" s="228"/>
      <c r="W23" s="229"/>
      <c r="X23" s="163"/>
      <c r="Y23" s="162"/>
      <c r="Z23" s="162"/>
      <c r="AA23" s="162" t="s">
        <v>362</v>
      </c>
      <c r="AB23" s="164"/>
      <c r="AC23" s="164"/>
      <c r="AD23" s="164"/>
      <c r="AE23" s="164"/>
    </row>
    <row r="24" ht="11.25" hidden="1" customHeight="1">
      <c r="A24" s="165" t="str">
        <f>'1. Справочник'!B25</f>
        <v>Светлана</v>
      </c>
      <c r="B24" s="166">
        <f t="shared" si="1"/>
        <v>23</v>
      </c>
      <c r="C24" s="181" t="str">
        <f>'1. Справочник'!C24</f>
        <v>BV A 134 (0713)</v>
      </c>
      <c r="D24" s="168" t="str">
        <f>'1. Справочник'!F24</f>
        <v>1+1</v>
      </c>
      <c r="E24" s="231" t="s">
        <v>321</v>
      </c>
      <c r="F24" s="232"/>
      <c r="G24" s="204" t="s">
        <v>471</v>
      </c>
      <c r="H24" s="180" t="s">
        <v>468</v>
      </c>
      <c r="I24" s="233"/>
      <c r="J24" s="202" t="s">
        <v>472</v>
      </c>
      <c r="K24" s="206"/>
      <c r="L24" s="175"/>
      <c r="M24" s="207">
        <v>6.011385011E9</v>
      </c>
      <c r="N24" s="177" t="s">
        <v>473</v>
      </c>
      <c r="O24" s="234">
        <v>4.22860425E8</v>
      </c>
      <c r="P24" s="235">
        <v>33.0</v>
      </c>
      <c r="Q24" s="235"/>
      <c r="R24" s="158" t="s">
        <v>474</v>
      </c>
      <c r="S24" s="158" t="s">
        <v>475</v>
      </c>
      <c r="T24" s="159" t="s">
        <v>331</v>
      </c>
      <c r="U24" s="228"/>
      <c r="V24" s="228"/>
      <c r="W24" s="229"/>
      <c r="X24" s="163"/>
      <c r="Y24" s="162"/>
      <c r="Z24" s="162"/>
      <c r="AA24" s="162" t="s">
        <v>362</v>
      </c>
      <c r="AB24" s="164"/>
      <c r="AC24" s="164"/>
      <c r="AD24" s="164"/>
      <c r="AE24" s="164"/>
    </row>
    <row r="25" ht="11.25" hidden="1" customHeight="1">
      <c r="A25" s="165" t="str">
        <f>'1. Справочник'!B26</f>
        <v>Светлана</v>
      </c>
      <c r="B25" s="166">
        <f t="shared" si="1"/>
        <v>24</v>
      </c>
      <c r="C25" s="181" t="str">
        <f>'1. Справочник'!C25</f>
        <v>BV A 144 (0708)</v>
      </c>
      <c r="D25" s="168" t="str">
        <f>'1. Справочник'!F25</f>
        <v>1+1</v>
      </c>
      <c r="E25" s="231" t="s">
        <v>321</v>
      </c>
      <c r="F25" s="232"/>
      <c r="G25" s="204" t="s">
        <v>476</v>
      </c>
      <c r="H25" s="180" t="s">
        <v>477</v>
      </c>
      <c r="I25" s="233"/>
      <c r="J25" s="202" t="s">
        <v>478</v>
      </c>
      <c r="K25" s="206"/>
      <c r="L25" s="175"/>
      <c r="M25" s="207">
        <v>6.011384782E9</v>
      </c>
      <c r="N25" s="94" t="s">
        <v>479</v>
      </c>
      <c r="O25" s="234">
        <v>4.22288011E8</v>
      </c>
      <c r="P25" s="235">
        <v>33.0</v>
      </c>
      <c r="Q25" s="235"/>
      <c r="R25" s="158" t="s">
        <v>480</v>
      </c>
      <c r="S25" s="158" t="s">
        <v>481</v>
      </c>
      <c r="T25" s="159" t="s">
        <v>331</v>
      </c>
      <c r="U25" s="228"/>
      <c r="V25" s="228"/>
      <c r="W25" s="229"/>
      <c r="X25" s="163"/>
      <c r="Y25" s="162"/>
      <c r="Z25" s="162"/>
      <c r="AA25" s="162" t="s">
        <v>362</v>
      </c>
      <c r="AB25" s="164"/>
      <c r="AC25" s="164"/>
      <c r="AD25" s="164"/>
      <c r="AE25" s="164"/>
    </row>
    <row r="26" ht="11.25" hidden="1" customHeight="1">
      <c r="A26" s="165" t="str">
        <f>'1. Справочник'!B27</f>
        <v>Светлана</v>
      </c>
      <c r="B26" s="166">
        <f t="shared" si="1"/>
        <v>25</v>
      </c>
      <c r="C26" s="181" t="str">
        <f>'1. Справочник'!C26</f>
        <v>BV A 145 (0710)</v>
      </c>
      <c r="D26" s="168" t="str">
        <f>'1. Справочник'!F26</f>
        <v>1+1</v>
      </c>
      <c r="E26" s="231" t="s">
        <v>321</v>
      </c>
      <c r="F26" s="232"/>
      <c r="G26" s="204" t="s">
        <v>482</v>
      </c>
      <c r="H26" s="180" t="s">
        <v>483</v>
      </c>
      <c r="I26" s="233"/>
      <c r="J26" s="202" t="s">
        <v>484</v>
      </c>
      <c r="K26" s="206"/>
      <c r="L26" s="175"/>
      <c r="M26" s="207">
        <v>6.011385142E9</v>
      </c>
      <c r="N26" s="177"/>
      <c r="O26" s="234">
        <v>4.22452474E8</v>
      </c>
      <c r="P26" s="235">
        <v>33.0</v>
      </c>
      <c r="Q26" s="235"/>
      <c r="R26" s="158" t="s">
        <v>485</v>
      </c>
      <c r="S26" s="158" t="s">
        <v>486</v>
      </c>
      <c r="T26" s="159" t="s">
        <v>331</v>
      </c>
      <c r="U26" s="228"/>
      <c r="V26" s="228"/>
      <c r="W26" s="229"/>
      <c r="X26" s="163"/>
      <c r="Y26" s="162"/>
      <c r="Z26" s="162"/>
      <c r="AA26" s="162" t="s">
        <v>362</v>
      </c>
      <c r="AB26" s="164"/>
      <c r="AC26" s="164"/>
      <c r="AD26" s="164"/>
      <c r="AE26" s="164"/>
    </row>
    <row r="27" ht="11.25" hidden="1" customHeight="1">
      <c r="A27" s="165" t="str">
        <f>'1. Справочник'!B28</f>
        <v>Светлана</v>
      </c>
      <c r="B27" s="166">
        <f t="shared" si="1"/>
        <v>26</v>
      </c>
      <c r="C27" s="181" t="str">
        <f>'1. Справочник'!C27</f>
        <v>BV A 147 (0714)</v>
      </c>
      <c r="D27" s="168" t="str">
        <f>'1. Справочник'!F27</f>
        <v>1+1</v>
      </c>
      <c r="E27" s="231" t="s">
        <v>321</v>
      </c>
      <c r="F27" s="232"/>
      <c r="G27" s="204" t="s">
        <v>487</v>
      </c>
      <c r="H27" s="171" t="s">
        <v>488</v>
      </c>
      <c r="I27" s="233"/>
      <c r="J27" s="202" t="s">
        <v>489</v>
      </c>
      <c r="K27" s="206"/>
      <c r="L27" s="175"/>
      <c r="M27" s="207">
        <v>6.011384741E9</v>
      </c>
      <c r="N27" s="177" t="s">
        <v>490</v>
      </c>
      <c r="O27" s="234">
        <v>4.22911036E8</v>
      </c>
      <c r="P27" s="235">
        <v>40.0</v>
      </c>
      <c r="Q27" s="235"/>
      <c r="R27" s="158" t="s">
        <v>491</v>
      </c>
      <c r="S27" s="158" t="s">
        <v>492</v>
      </c>
      <c r="T27" s="158" t="s">
        <v>391</v>
      </c>
      <c r="U27" s="228"/>
      <c r="V27" s="228"/>
      <c r="W27" s="229"/>
      <c r="X27" s="163"/>
      <c r="Y27" s="162"/>
      <c r="Z27" s="162"/>
      <c r="AA27" s="162" t="s">
        <v>362</v>
      </c>
      <c r="AB27" s="164"/>
      <c r="AC27" s="164"/>
      <c r="AD27" s="164"/>
      <c r="AE27" s="164"/>
    </row>
    <row r="28" ht="11.25" hidden="1" customHeight="1">
      <c r="A28" s="165" t="str">
        <f>'1. Справочник'!B29</f>
        <v>Светлана</v>
      </c>
      <c r="B28" s="166">
        <f t="shared" si="1"/>
        <v>27</v>
      </c>
      <c r="C28" s="181" t="str">
        <f>'1. Справочник'!C28</f>
        <v>BV A 164 (0804)</v>
      </c>
      <c r="D28" s="168" t="str">
        <f>'1. Справочник'!F28</f>
        <v>1+1</v>
      </c>
      <c r="E28" s="231" t="s">
        <v>321</v>
      </c>
      <c r="F28" s="232"/>
      <c r="G28" s="204" t="s">
        <v>493</v>
      </c>
      <c r="H28" s="180" t="s">
        <v>494</v>
      </c>
      <c r="I28" s="233"/>
      <c r="J28" s="202" t="s">
        <v>495</v>
      </c>
      <c r="K28" s="206"/>
      <c r="L28" s="175"/>
      <c r="M28" s="207">
        <v>6.011385082E9</v>
      </c>
      <c r="N28" s="177" t="s">
        <v>496</v>
      </c>
      <c r="O28" s="234">
        <v>4.22242569E8</v>
      </c>
      <c r="P28" s="235">
        <v>40.0</v>
      </c>
      <c r="Q28" s="235"/>
      <c r="R28" s="158"/>
      <c r="S28" s="158"/>
      <c r="T28" s="158"/>
      <c r="U28" s="228"/>
      <c r="V28" s="228"/>
      <c r="W28" s="229"/>
      <c r="X28" s="163"/>
      <c r="Y28" s="162"/>
      <c r="Z28" s="162"/>
      <c r="AA28" s="162" t="s">
        <v>362</v>
      </c>
      <c r="AB28" s="164"/>
      <c r="AC28" s="164"/>
      <c r="AD28" s="164"/>
      <c r="AE28" s="164"/>
    </row>
    <row r="29" ht="11.25" hidden="1" customHeight="1">
      <c r="A29" s="165" t="str">
        <f>'1. Справочник'!B31</f>
        <v>Светлана</v>
      </c>
      <c r="B29" s="166">
        <f t="shared" si="1"/>
        <v>28</v>
      </c>
      <c r="C29" s="181" t="str">
        <f>'1. Справочник'!C29</f>
        <v>BV A 225 (1106)</v>
      </c>
      <c r="D29" s="168" t="str">
        <f>'1. Справочник'!F29</f>
        <v>1+1</v>
      </c>
      <c r="E29" s="231" t="s">
        <v>321</v>
      </c>
      <c r="F29" s="232"/>
      <c r="G29" s="204" t="s">
        <v>497</v>
      </c>
      <c r="H29" s="180" t="s">
        <v>498</v>
      </c>
      <c r="I29" s="233"/>
      <c r="J29" s="202" t="s">
        <v>499</v>
      </c>
      <c r="K29" s="206"/>
      <c r="L29" s="175"/>
      <c r="M29" s="207">
        <v>6.01138482E9</v>
      </c>
      <c r="N29" s="177" t="s">
        <v>500</v>
      </c>
      <c r="O29" s="94">
        <v>4.2263891E8</v>
      </c>
      <c r="P29" s="235">
        <v>33.0</v>
      </c>
      <c r="Q29" s="235"/>
      <c r="R29" s="158"/>
      <c r="S29" s="158"/>
      <c r="T29" s="158"/>
      <c r="U29" s="228"/>
      <c r="V29" s="228"/>
      <c r="W29" s="229"/>
      <c r="X29" s="163"/>
      <c r="Y29" s="162"/>
      <c r="Z29" s="162"/>
      <c r="AA29" s="162" t="s">
        <v>362</v>
      </c>
      <c r="AB29" s="164"/>
      <c r="AC29" s="164"/>
      <c r="AD29" s="164"/>
      <c r="AE29" s="164"/>
    </row>
    <row r="30" ht="11.25" hidden="1" customHeight="1">
      <c r="A30" s="165" t="str">
        <f>'1. Справочник'!B32</f>
        <v>Светлана</v>
      </c>
      <c r="B30" s="166">
        <f t="shared" si="1"/>
        <v>29</v>
      </c>
      <c r="C30" s="181" t="str">
        <f>'1. Справочник'!C30</f>
        <v>BV A 210 (1014)</v>
      </c>
      <c r="D30" s="168" t="s">
        <v>27</v>
      </c>
      <c r="E30" s="231" t="s">
        <v>321</v>
      </c>
      <c r="F30" s="232"/>
      <c r="G30" s="204" t="s">
        <v>501</v>
      </c>
      <c r="H30" s="180" t="s">
        <v>502</v>
      </c>
      <c r="I30" s="233"/>
      <c r="J30" s="202" t="s">
        <v>503</v>
      </c>
      <c r="K30" s="206"/>
      <c r="L30" s="175"/>
      <c r="M30" s="207">
        <v>6.011385172E9</v>
      </c>
      <c r="N30" s="177" t="s">
        <v>504</v>
      </c>
      <c r="O30" s="234">
        <v>4.22203124E8</v>
      </c>
      <c r="P30" s="235">
        <v>33.0</v>
      </c>
      <c r="Q30" s="235"/>
      <c r="R30" s="158" t="s">
        <v>474</v>
      </c>
      <c r="S30" s="158" t="s">
        <v>475</v>
      </c>
      <c r="T30" s="159" t="s">
        <v>331</v>
      </c>
      <c r="U30" s="228"/>
      <c r="V30" s="228"/>
      <c r="W30" s="229"/>
      <c r="X30" s="163"/>
      <c r="Y30" s="162"/>
      <c r="Z30" s="162"/>
      <c r="AA30" s="164"/>
      <c r="AB30" s="164"/>
      <c r="AC30" s="164"/>
      <c r="AD30" s="164"/>
      <c r="AE30" s="164"/>
    </row>
    <row r="31" ht="11.25" hidden="1" customHeight="1">
      <c r="A31" s="165" t="str">
        <f>'1. Справочник'!B32</f>
        <v>Светлана</v>
      </c>
      <c r="B31" s="166">
        <f t="shared" si="1"/>
        <v>30</v>
      </c>
      <c r="C31" s="181" t="str">
        <f>'1. Справочник'!C31</f>
        <v>BV C 137 (0707)</v>
      </c>
      <c r="D31" s="168" t="str">
        <f>'1. Справочник'!F31</f>
        <v>Студия</v>
      </c>
      <c r="E31" s="231" t="s">
        <v>321</v>
      </c>
      <c r="F31" s="232"/>
      <c r="G31" s="204" t="s">
        <v>505</v>
      </c>
      <c r="H31" s="180" t="s">
        <v>506</v>
      </c>
      <c r="I31" s="233"/>
      <c r="J31" s="202" t="s">
        <v>507</v>
      </c>
      <c r="K31" s="206"/>
      <c r="L31" s="175"/>
      <c r="M31" s="207">
        <v>6.011432891E9</v>
      </c>
      <c r="N31" s="177" t="s">
        <v>508</v>
      </c>
      <c r="O31" s="234">
        <v>4.22954682E8</v>
      </c>
      <c r="P31" s="235">
        <v>33.0</v>
      </c>
      <c r="Q31" s="235"/>
      <c r="R31" s="158" t="s">
        <v>474</v>
      </c>
      <c r="S31" s="158" t="s">
        <v>475</v>
      </c>
      <c r="T31" s="159" t="s">
        <v>331</v>
      </c>
      <c r="U31" s="228"/>
      <c r="V31" s="228"/>
      <c r="W31" s="229"/>
      <c r="X31" s="163"/>
      <c r="Y31" s="162"/>
      <c r="Z31" s="162"/>
      <c r="AA31" s="164" t="s">
        <v>370</v>
      </c>
      <c r="AB31" s="164"/>
      <c r="AC31" s="164"/>
      <c r="AD31" s="164"/>
      <c r="AE31" s="164"/>
    </row>
    <row r="32" ht="11.25" hidden="1" customHeight="1">
      <c r="A32" s="165" t="str">
        <f>'1. Справочник'!B32</f>
        <v>Светлана</v>
      </c>
      <c r="B32" s="166">
        <f t="shared" si="1"/>
        <v>31</v>
      </c>
      <c r="C32" s="181" t="str">
        <f>'1. Справочник'!C32</f>
        <v>BV C 0505</v>
      </c>
      <c r="D32" s="168" t="s">
        <v>30</v>
      </c>
      <c r="E32" s="231" t="s">
        <v>321</v>
      </c>
      <c r="F32" s="185" t="s">
        <v>509</v>
      </c>
      <c r="G32" s="204" t="s">
        <v>510</v>
      </c>
      <c r="H32" s="180" t="s">
        <v>511</v>
      </c>
      <c r="I32" s="205"/>
      <c r="J32" s="202" t="s">
        <v>512</v>
      </c>
      <c r="K32" s="206"/>
      <c r="L32" s="175"/>
      <c r="M32" s="251">
        <v>6.011372062E9</v>
      </c>
      <c r="N32" s="177" t="s">
        <v>513</v>
      </c>
      <c r="O32" s="234">
        <v>4.22988423E8</v>
      </c>
      <c r="P32" s="235">
        <v>33.0</v>
      </c>
      <c r="Q32" s="252"/>
      <c r="R32" s="158" t="s">
        <v>514</v>
      </c>
      <c r="S32" s="158" t="s">
        <v>515</v>
      </c>
      <c r="T32" s="187" t="s">
        <v>437</v>
      </c>
      <c r="U32" s="228"/>
      <c r="V32" s="228"/>
      <c r="W32" s="229"/>
      <c r="X32" s="163"/>
      <c r="Y32" s="163"/>
      <c r="Z32" s="163"/>
      <c r="AA32" s="179"/>
      <c r="AB32" s="179"/>
      <c r="AC32" s="164"/>
      <c r="AD32" s="164"/>
      <c r="AE32" s="164"/>
    </row>
    <row r="33" ht="11.25" hidden="1" customHeight="1">
      <c r="A33" s="165" t="str">
        <f>'1. Справочник'!B33</f>
        <v>Светлана</v>
      </c>
      <c r="B33" s="166">
        <f t="shared" si="1"/>
        <v>32</v>
      </c>
      <c r="C33" s="181" t="str">
        <f>'1. Справочник'!C33</f>
        <v>MC A 708</v>
      </c>
      <c r="D33" s="168" t="s">
        <v>30</v>
      </c>
      <c r="E33" s="231" t="s">
        <v>321</v>
      </c>
      <c r="F33" s="185" t="s">
        <v>516</v>
      </c>
      <c r="G33" s="204" t="s">
        <v>517</v>
      </c>
      <c r="H33" s="180" t="s">
        <v>98</v>
      </c>
      <c r="I33" s="205"/>
      <c r="J33" s="253"/>
      <c r="K33" s="206"/>
      <c r="L33" s="175"/>
      <c r="M33" s="251"/>
      <c r="N33" s="177"/>
      <c r="O33" s="234"/>
      <c r="P33" s="235"/>
      <c r="Q33" s="252"/>
      <c r="R33" s="158"/>
      <c r="S33" s="158"/>
      <c r="T33" s="158"/>
      <c r="U33" s="228"/>
      <c r="V33" s="228"/>
      <c r="W33" s="229"/>
      <c r="X33" s="163"/>
      <c r="Y33" s="163"/>
      <c r="Z33" s="163"/>
      <c r="AA33" s="179"/>
      <c r="AB33" s="179"/>
      <c r="AC33" s="164"/>
      <c r="AD33" s="164"/>
      <c r="AE33" s="164"/>
    </row>
    <row r="34" ht="11.25" customHeight="1">
      <c r="A34" s="165" t="str">
        <f>'1. Справочник'!B69</f>
        <v>Дарья</v>
      </c>
      <c r="B34" s="166">
        <f t="shared" si="1"/>
        <v>33</v>
      </c>
      <c r="C34" s="181" t="str">
        <f>'1. Справочник'!C69</f>
        <v>Пиросмани 181</v>
      </c>
      <c r="D34" s="254" t="str">
        <f>'1. Справочник'!F69</f>
        <v>1+2</v>
      </c>
      <c r="E34" s="255" t="s">
        <v>518</v>
      </c>
      <c r="F34" s="182"/>
      <c r="G34" s="204" t="s">
        <v>519</v>
      </c>
      <c r="H34" s="180" t="s">
        <v>520</v>
      </c>
      <c r="I34" s="205"/>
      <c r="J34" s="253"/>
      <c r="K34" s="256" t="s">
        <v>521</v>
      </c>
      <c r="L34" s="175">
        <v>1.114390195E9</v>
      </c>
      <c r="M34" s="207">
        <v>6.010839262E9</v>
      </c>
      <c r="N34" s="177" t="s">
        <v>522</v>
      </c>
      <c r="O34" s="247">
        <v>9.1433115E7</v>
      </c>
      <c r="P34" s="248"/>
      <c r="Q34" s="257" t="s">
        <v>523</v>
      </c>
      <c r="R34" s="158" t="s">
        <v>524</v>
      </c>
      <c r="S34" s="158" t="s">
        <v>525</v>
      </c>
      <c r="T34" s="158" t="s">
        <v>391</v>
      </c>
      <c r="U34" s="258"/>
      <c r="V34" s="258"/>
      <c r="W34" s="259" t="s">
        <v>408</v>
      </c>
      <c r="X34" s="163"/>
      <c r="Y34" s="163"/>
      <c r="Z34" s="163"/>
      <c r="AA34" s="179">
        <v>2573.79</v>
      </c>
      <c r="AB34" s="179">
        <v>2573.79</v>
      </c>
      <c r="AC34" s="164"/>
      <c r="AD34" s="164"/>
      <c r="AE34" s="164"/>
    </row>
    <row r="35" ht="11.25" customHeight="1">
      <c r="A35" s="165" t="str">
        <f>'1. Справочник'!B70</f>
        <v>Юлия</v>
      </c>
      <c r="B35" s="166">
        <f t="shared" si="1"/>
        <v>34</v>
      </c>
      <c r="C35" s="181" t="str">
        <f>'1. Справочник'!C70</f>
        <v>Pollo 2-2</v>
      </c>
      <c r="D35" s="168" t="str">
        <f>'1. Справочник'!F70</f>
        <v>Дом</v>
      </c>
      <c r="E35" s="147" t="s">
        <v>321</v>
      </c>
      <c r="F35" s="182"/>
      <c r="G35" s="183" t="s">
        <v>526</v>
      </c>
      <c r="H35" s="260" t="s">
        <v>187</v>
      </c>
      <c r="I35" s="261"/>
      <c r="J35" s="262" t="s">
        <v>527</v>
      </c>
      <c r="K35" s="186"/>
      <c r="L35" s="263" t="s">
        <v>528</v>
      </c>
      <c r="M35" s="176">
        <v>6.011482811E9</v>
      </c>
      <c r="N35" s="177" t="s">
        <v>529</v>
      </c>
      <c r="O35" s="157">
        <v>4.22793459E8</v>
      </c>
      <c r="P35" s="157">
        <v>59.0</v>
      </c>
      <c r="Q35" s="157"/>
      <c r="R35" s="264" t="s">
        <v>530</v>
      </c>
      <c r="S35" s="226" t="s">
        <v>531</v>
      </c>
      <c r="T35" s="227" t="s">
        <v>331</v>
      </c>
      <c r="U35" s="210"/>
      <c r="V35" s="210"/>
      <c r="W35" s="211"/>
      <c r="X35" s="163"/>
      <c r="Y35" s="163"/>
      <c r="Z35" s="163"/>
      <c r="AA35" s="164">
        <v>2333.0</v>
      </c>
      <c r="AB35" s="164"/>
      <c r="AC35" s="164"/>
      <c r="AD35" s="164"/>
      <c r="AE35" s="164"/>
    </row>
    <row r="36" ht="11.25" customHeight="1">
      <c r="A36" s="165" t="str">
        <f>'1. Справочник'!B71</f>
        <v>Юлия</v>
      </c>
      <c r="B36" s="166">
        <f t="shared" si="1"/>
        <v>35</v>
      </c>
      <c r="C36" s="181" t="str">
        <f>'1. Справочник'!C71</f>
        <v>Pollo 3-5</v>
      </c>
      <c r="D36" s="168" t="str">
        <f>'1. Справочник'!F71</f>
        <v>Дом</v>
      </c>
      <c r="E36" s="147" t="s">
        <v>321</v>
      </c>
      <c r="F36" s="182"/>
      <c r="G36" s="183" t="s">
        <v>532</v>
      </c>
      <c r="H36" s="265"/>
      <c r="I36" s="261"/>
      <c r="J36" s="266"/>
      <c r="K36" s="186"/>
      <c r="L36" s="263" t="s">
        <v>533</v>
      </c>
      <c r="M36" s="176">
        <v>6.0114828E9</v>
      </c>
      <c r="N36" s="177" t="s">
        <v>534</v>
      </c>
      <c r="O36" s="157">
        <v>4.22524555E8</v>
      </c>
      <c r="P36" s="157">
        <v>91.0</v>
      </c>
      <c r="Q36" s="157"/>
      <c r="R36" s="236"/>
      <c r="S36" s="236"/>
      <c r="T36" s="236"/>
      <c r="U36" s="236"/>
      <c r="V36" s="236"/>
      <c r="W36" s="236"/>
      <c r="X36" s="163"/>
      <c r="Y36" s="163"/>
      <c r="Z36" s="163"/>
      <c r="AA36" s="164"/>
      <c r="AB36" s="164"/>
      <c r="AC36" s="164"/>
      <c r="AD36" s="164"/>
      <c r="AE36" s="164"/>
    </row>
    <row r="37" ht="11.25" customHeight="1">
      <c r="A37" s="267" t="str">
        <f>'1. Справочник'!B72</f>
        <v>Юлия</v>
      </c>
      <c r="B37" s="166">
        <f t="shared" si="1"/>
        <v>36</v>
      </c>
      <c r="C37" s="268" t="str">
        <f>'1. Справочник'!C72</f>
        <v>Polo 4-12</v>
      </c>
      <c r="D37" s="269" t="str">
        <f>'1. Справочник'!F72</f>
        <v>Дом</v>
      </c>
      <c r="E37" s="203" t="s">
        <v>321</v>
      </c>
      <c r="F37" s="270"/>
      <c r="G37" s="271" t="s">
        <v>535</v>
      </c>
      <c r="H37" s="272"/>
      <c r="I37" s="273"/>
      <c r="J37" s="274" t="s">
        <v>536</v>
      </c>
      <c r="K37" s="275"/>
      <c r="L37" s="276" t="s">
        <v>537</v>
      </c>
      <c r="M37" s="277">
        <v>6.011482991E9</v>
      </c>
      <c r="N37" s="278" t="s">
        <v>538</v>
      </c>
      <c r="O37" s="157">
        <v>4.22431356E8</v>
      </c>
      <c r="P37" s="157">
        <v>99.0</v>
      </c>
      <c r="Q37" s="157"/>
      <c r="R37" s="249"/>
      <c r="S37" s="249"/>
      <c r="T37" s="249"/>
      <c r="U37" s="249"/>
      <c r="V37" s="249"/>
      <c r="W37" s="249"/>
      <c r="X37" s="163"/>
      <c r="Y37" s="163"/>
      <c r="Z37" s="163"/>
      <c r="AA37" s="164"/>
      <c r="AB37" s="164"/>
      <c r="AC37" s="164"/>
      <c r="AD37" s="164"/>
      <c r="AE37" s="164"/>
    </row>
    <row r="38" ht="11.25" customHeight="1">
      <c r="A38" s="279"/>
      <c r="B38" s="166">
        <f t="shared" si="1"/>
        <v>37</v>
      </c>
      <c r="C38" s="280" t="str">
        <f>'1. Справочник'!C34</f>
        <v>С 1125</v>
      </c>
      <c r="D38" s="281" t="str">
        <f>'1. Справочник'!F34</f>
        <v>Студия</v>
      </c>
      <c r="E38" s="282" t="s">
        <v>321</v>
      </c>
      <c r="F38" s="283" t="s">
        <v>539</v>
      </c>
      <c r="G38" s="284" t="s">
        <v>540</v>
      </c>
      <c r="H38" s="285" t="s">
        <v>541</v>
      </c>
      <c r="I38" s="151" t="s">
        <v>542</v>
      </c>
      <c r="J38" s="152" t="s">
        <v>543</v>
      </c>
      <c r="K38" s="286" t="s">
        <v>544</v>
      </c>
      <c r="L38" s="287" t="s">
        <v>327</v>
      </c>
      <c r="M38" s="288"/>
      <c r="N38" s="156" t="s">
        <v>545</v>
      </c>
      <c r="O38" s="289"/>
      <c r="P38" s="289"/>
      <c r="Q38" s="289"/>
      <c r="R38" s="195" t="s">
        <v>370</v>
      </c>
      <c r="S38" s="158"/>
      <c r="T38" s="158"/>
      <c r="U38" s="198" t="s">
        <v>370</v>
      </c>
      <c r="V38" s="198" t="s">
        <v>370</v>
      </c>
      <c r="W38" s="188" t="s">
        <v>370</v>
      </c>
      <c r="X38" s="188" t="s">
        <v>370</v>
      </c>
      <c r="Y38" s="188" t="s">
        <v>370</v>
      </c>
      <c r="Z38" s="188" t="s">
        <v>370</v>
      </c>
      <c r="AA38" s="188" t="s">
        <v>370</v>
      </c>
      <c r="AB38" s="164"/>
      <c r="AC38" s="164"/>
      <c r="AD38" s="164"/>
      <c r="AE38" s="164"/>
    </row>
    <row r="39" ht="11.25" customHeight="1">
      <c r="A39" s="290"/>
      <c r="B39" s="166">
        <f t="shared" si="1"/>
        <v>38</v>
      </c>
      <c r="C39" s="291" t="str">
        <f>'1. Справочник'!C35</f>
        <v>С 1443</v>
      </c>
      <c r="D39" s="254" t="str">
        <f>'1. Справочник'!F35</f>
        <v>1+1</v>
      </c>
      <c r="E39" s="147" t="s">
        <v>321</v>
      </c>
      <c r="F39" s="292" t="s">
        <v>539</v>
      </c>
      <c r="G39" s="293" t="s">
        <v>546</v>
      </c>
      <c r="H39" s="171" t="s">
        <v>547</v>
      </c>
      <c r="I39" s="172" t="s">
        <v>542</v>
      </c>
      <c r="J39" s="173" t="s">
        <v>548</v>
      </c>
      <c r="K39" s="256" t="s">
        <v>549</v>
      </c>
      <c r="L39" s="294" t="s">
        <v>327</v>
      </c>
      <c r="M39" s="295"/>
      <c r="N39" s="177" t="s">
        <v>550</v>
      </c>
      <c r="O39" s="289"/>
      <c r="P39" s="289"/>
      <c r="Q39" s="289"/>
      <c r="R39" s="195" t="s">
        <v>370</v>
      </c>
      <c r="S39" s="158"/>
      <c r="T39" s="158"/>
      <c r="U39" s="198" t="s">
        <v>370</v>
      </c>
      <c r="V39" s="198" t="s">
        <v>370</v>
      </c>
      <c r="W39" s="188" t="s">
        <v>370</v>
      </c>
      <c r="X39" s="188" t="s">
        <v>370</v>
      </c>
      <c r="Y39" s="188" t="s">
        <v>370</v>
      </c>
      <c r="Z39" s="188" t="s">
        <v>370</v>
      </c>
      <c r="AA39" s="188" t="s">
        <v>370</v>
      </c>
      <c r="AB39" s="164"/>
      <c r="AC39" s="164"/>
      <c r="AD39" s="164"/>
      <c r="AE39" s="164"/>
    </row>
    <row r="40" ht="11.25" customHeight="1">
      <c r="A40" s="290"/>
      <c r="B40" s="166">
        <f t="shared" si="1"/>
        <v>39</v>
      </c>
      <c r="C40" s="291" t="str">
        <f>'1. Справочник'!C36</f>
        <v>C 4245</v>
      </c>
      <c r="D40" s="254" t="str">
        <f>'1. Справочник'!F36</f>
        <v>1+1</v>
      </c>
      <c r="E40" s="147" t="s">
        <v>321</v>
      </c>
      <c r="F40" s="296" t="s">
        <v>551</v>
      </c>
      <c r="G40" s="204" t="s">
        <v>552</v>
      </c>
      <c r="H40" s="180" t="s">
        <v>553</v>
      </c>
      <c r="I40" s="172" t="s">
        <v>542</v>
      </c>
      <c r="J40" s="297" t="s">
        <v>554</v>
      </c>
      <c r="K40" s="197"/>
      <c r="L40" s="294" t="s">
        <v>327</v>
      </c>
      <c r="M40" s="295"/>
      <c r="N40" s="177" t="s">
        <v>555</v>
      </c>
      <c r="O40" s="289"/>
      <c r="P40" s="289"/>
      <c r="Q40" s="289"/>
      <c r="R40" s="195" t="s">
        <v>370</v>
      </c>
      <c r="S40" s="158"/>
      <c r="T40" s="158"/>
      <c r="U40" s="198" t="s">
        <v>370</v>
      </c>
      <c r="V40" s="198" t="s">
        <v>370</v>
      </c>
      <c r="W40" s="188" t="s">
        <v>370</v>
      </c>
      <c r="X40" s="188" t="s">
        <v>370</v>
      </c>
      <c r="Y40" s="188" t="s">
        <v>370</v>
      </c>
      <c r="Z40" s="188" t="s">
        <v>370</v>
      </c>
      <c r="AA40" s="188" t="s">
        <v>370</v>
      </c>
      <c r="AB40" s="164"/>
      <c r="AC40" s="164"/>
      <c r="AD40" s="164"/>
      <c r="AE40" s="164"/>
    </row>
    <row r="41" ht="11.25" customHeight="1">
      <c r="A41" s="290"/>
      <c r="B41" s="166">
        <f t="shared" si="1"/>
        <v>40</v>
      </c>
      <c r="C41" s="291" t="str">
        <f>'1. Справочник'!C37</f>
        <v>А 4049</v>
      </c>
      <c r="D41" s="254" t="str">
        <f>'1. Справочник'!F37</f>
        <v>Студия</v>
      </c>
      <c r="E41" s="147" t="s">
        <v>321</v>
      </c>
      <c r="F41" s="296" t="s">
        <v>551</v>
      </c>
      <c r="G41" s="204" t="s">
        <v>556</v>
      </c>
      <c r="H41" s="180" t="s">
        <v>557</v>
      </c>
      <c r="I41" s="298" t="s">
        <v>542</v>
      </c>
      <c r="J41" s="173" t="s">
        <v>558</v>
      </c>
      <c r="K41" s="256" t="s">
        <v>559</v>
      </c>
      <c r="L41" s="294" t="s">
        <v>327</v>
      </c>
      <c r="M41" s="295"/>
      <c r="N41" s="177" t="s">
        <v>560</v>
      </c>
      <c r="O41" s="289"/>
      <c r="P41" s="289"/>
      <c r="Q41" s="289"/>
      <c r="R41" s="158" t="s">
        <v>561</v>
      </c>
      <c r="S41" s="158" t="s">
        <v>562</v>
      </c>
      <c r="T41" s="158" t="s">
        <v>391</v>
      </c>
      <c r="U41" s="198" t="s">
        <v>370</v>
      </c>
      <c r="V41" s="198" t="s">
        <v>370</v>
      </c>
      <c r="W41" s="161"/>
      <c r="X41" s="188" t="s">
        <v>370</v>
      </c>
      <c r="Y41" s="188" t="s">
        <v>370</v>
      </c>
      <c r="Z41" s="188" t="s">
        <v>370</v>
      </c>
      <c r="AA41" s="188" t="s">
        <v>370</v>
      </c>
      <c r="AB41" s="164"/>
      <c r="AC41" s="164"/>
      <c r="AD41" s="164"/>
      <c r="AE41" s="164"/>
    </row>
    <row r="42" ht="11.25" customHeight="1">
      <c r="A42" s="299"/>
      <c r="B42" s="166">
        <f t="shared" si="1"/>
        <v>41</v>
      </c>
      <c r="C42" s="300" t="str">
        <f>'1. Справочник'!C39</f>
        <v>С 2756</v>
      </c>
      <c r="D42" s="301" t="str">
        <f>'1. Справочник'!F39</f>
        <v>Студия</v>
      </c>
      <c r="E42" s="302" t="s">
        <v>563</v>
      </c>
      <c r="F42" s="303"/>
      <c r="G42" s="304" t="s">
        <v>564</v>
      </c>
      <c r="H42" s="305" t="s">
        <v>565</v>
      </c>
      <c r="I42" s="306" t="s">
        <v>542</v>
      </c>
      <c r="J42" s="307" t="s">
        <v>566</v>
      </c>
      <c r="K42" s="197"/>
      <c r="L42" s="308" t="s">
        <v>327</v>
      </c>
      <c r="M42" s="309"/>
      <c r="N42" s="278" t="s">
        <v>567</v>
      </c>
      <c r="O42" s="289"/>
      <c r="P42" s="289"/>
      <c r="Q42" s="289"/>
      <c r="R42" s="195" t="s">
        <v>568</v>
      </c>
      <c r="S42" s="158"/>
      <c r="T42" s="158"/>
      <c r="U42" s="160"/>
      <c r="V42" s="160"/>
      <c r="W42" s="188" t="s">
        <v>370</v>
      </c>
      <c r="X42" s="188" t="s">
        <v>370</v>
      </c>
      <c r="Y42" s="188" t="s">
        <v>370</v>
      </c>
      <c r="Z42" s="188" t="s">
        <v>370</v>
      </c>
      <c r="AA42" s="310" t="s">
        <v>569</v>
      </c>
      <c r="AB42" s="164"/>
      <c r="AC42" s="164"/>
      <c r="AD42" s="164"/>
      <c r="AE42" s="164"/>
    </row>
    <row r="43" ht="11.25" customHeight="1">
      <c r="A43" s="290"/>
      <c r="B43" s="166">
        <f t="shared" si="1"/>
        <v>42</v>
      </c>
      <c r="C43" s="291" t="str">
        <f>'1. Справочник'!C40</f>
        <v>D 1321</v>
      </c>
      <c r="D43" s="254" t="str">
        <f>'1. Справочник'!F40</f>
        <v>Студия</v>
      </c>
      <c r="E43" s="147" t="s">
        <v>321</v>
      </c>
      <c r="F43" s="296" t="s">
        <v>551</v>
      </c>
      <c r="G43" s="204" t="s">
        <v>570</v>
      </c>
      <c r="H43" s="180" t="s">
        <v>571</v>
      </c>
      <c r="I43" s="172" t="s">
        <v>542</v>
      </c>
      <c r="J43" s="173" t="s">
        <v>572</v>
      </c>
      <c r="K43" s="256" t="s">
        <v>573</v>
      </c>
      <c r="L43" s="294" t="s">
        <v>327</v>
      </c>
      <c r="M43" s="295"/>
      <c r="N43" s="177" t="s">
        <v>574</v>
      </c>
      <c r="O43" s="289"/>
      <c r="P43" s="289"/>
      <c r="Q43" s="289"/>
      <c r="R43" s="158" t="s">
        <v>575</v>
      </c>
      <c r="S43" s="158" t="s">
        <v>576</v>
      </c>
      <c r="T43" s="158" t="s">
        <v>391</v>
      </c>
      <c r="U43" s="160"/>
      <c r="V43" s="160"/>
      <c r="W43" s="161"/>
      <c r="X43" s="163"/>
      <c r="Y43" s="163"/>
      <c r="Z43" s="162" t="s">
        <v>332</v>
      </c>
      <c r="AA43" s="162" t="s">
        <v>332</v>
      </c>
      <c r="AB43" s="164"/>
      <c r="AC43" s="164"/>
      <c r="AD43" s="164"/>
      <c r="AE43" s="164"/>
    </row>
    <row r="44" ht="11.25" customHeight="1">
      <c r="A44" s="290"/>
      <c r="B44" s="166">
        <f t="shared" si="1"/>
        <v>43</v>
      </c>
      <c r="C44" s="291" t="str">
        <f>'1. Справочник'!C41</f>
        <v>D2 1625</v>
      </c>
      <c r="D44" s="254" t="str">
        <f>'1. Справочник'!F41</f>
        <v>1+1</v>
      </c>
      <c r="E44" s="147" t="s">
        <v>321</v>
      </c>
      <c r="F44" s="296" t="s">
        <v>551</v>
      </c>
      <c r="G44" s="204" t="s">
        <v>577</v>
      </c>
      <c r="H44" s="180" t="s">
        <v>578</v>
      </c>
      <c r="I44" s="172" t="s">
        <v>542</v>
      </c>
      <c r="J44" s="173" t="s">
        <v>579</v>
      </c>
      <c r="K44" s="256" t="s">
        <v>580</v>
      </c>
      <c r="L44" s="294" t="s">
        <v>327</v>
      </c>
      <c r="M44" s="295"/>
      <c r="N44" s="177" t="s">
        <v>581</v>
      </c>
      <c r="O44" s="289"/>
      <c r="P44" s="289"/>
      <c r="Q44" s="289"/>
      <c r="R44" s="195">
        <v>7.9103631404E10</v>
      </c>
      <c r="S44" s="158" t="s">
        <v>582</v>
      </c>
      <c r="T44" s="159" t="s">
        <v>583</v>
      </c>
      <c r="U44" s="160"/>
      <c r="V44" s="160"/>
      <c r="W44" s="161"/>
      <c r="X44" s="161"/>
      <c r="Y44" s="163"/>
      <c r="Z44" s="311" t="s">
        <v>569</v>
      </c>
      <c r="AA44" s="311" t="s">
        <v>569</v>
      </c>
      <c r="AB44" s="164"/>
      <c r="AC44" s="164"/>
      <c r="AD44" s="164"/>
      <c r="AE44" s="164"/>
    </row>
    <row r="45" ht="11.25" customHeight="1">
      <c r="A45" s="290"/>
      <c r="B45" s="166">
        <f t="shared" si="1"/>
        <v>44</v>
      </c>
      <c r="C45" s="291" t="str">
        <f>'1. Справочник'!C42</f>
        <v>D2 3216</v>
      </c>
      <c r="D45" s="254" t="str">
        <f>'1. Справочник'!F42</f>
        <v>1+1</v>
      </c>
      <c r="E45" s="147" t="s">
        <v>321</v>
      </c>
      <c r="F45" s="296" t="s">
        <v>551</v>
      </c>
      <c r="G45" s="204" t="s">
        <v>584</v>
      </c>
      <c r="H45" s="180" t="s">
        <v>585</v>
      </c>
      <c r="I45" s="172" t="s">
        <v>542</v>
      </c>
      <c r="J45" s="173" t="s">
        <v>586</v>
      </c>
      <c r="K45" s="197"/>
      <c r="L45" s="294" t="s">
        <v>327</v>
      </c>
      <c r="M45" s="295"/>
      <c r="N45" s="177"/>
      <c r="O45" s="289"/>
      <c r="P45" s="289"/>
      <c r="Q45" s="289"/>
      <c r="R45" s="158" t="s">
        <v>587</v>
      </c>
      <c r="S45" s="158" t="s">
        <v>588</v>
      </c>
      <c r="T45" s="312" t="s">
        <v>437</v>
      </c>
      <c r="U45" s="160"/>
      <c r="V45" s="160"/>
      <c r="W45" s="161"/>
      <c r="X45" s="163"/>
      <c r="Y45" s="163"/>
      <c r="Z45" s="163"/>
      <c r="AA45" s="179">
        <v>971.06</v>
      </c>
      <c r="AB45" s="179">
        <v>971.06</v>
      </c>
      <c r="AC45" s="164"/>
      <c r="AD45" s="164"/>
      <c r="AE45" s="164"/>
    </row>
    <row r="46" ht="11.25" customHeight="1">
      <c r="A46" s="290"/>
      <c r="B46" s="166">
        <f t="shared" si="1"/>
        <v>45</v>
      </c>
      <c r="C46" s="313" t="str">
        <f>'1. Справочник'!C43</f>
        <v>D1 3902</v>
      </c>
      <c r="D46" s="254" t="str">
        <f>'1. Справочник'!F43</f>
        <v>1+1</v>
      </c>
      <c r="E46" s="147" t="s">
        <v>321</v>
      </c>
      <c r="F46" s="296" t="s">
        <v>589</v>
      </c>
      <c r="G46" s="204" t="s">
        <v>590</v>
      </c>
      <c r="H46" s="314" t="s">
        <v>591</v>
      </c>
      <c r="I46" s="172" t="s">
        <v>542</v>
      </c>
      <c r="J46" s="173" t="s">
        <v>592</v>
      </c>
      <c r="K46" s="197"/>
      <c r="L46" s="294" t="s">
        <v>327</v>
      </c>
      <c r="M46" s="295"/>
      <c r="N46" s="177" t="s">
        <v>574</v>
      </c>
      <c r="O46" s="289"/>
      <c r="P46" s="289"/>
      <c r="Q46" s="289"/>
      <c r="R46" s="158" t="s">
        <v>593</v>
      </c>
      <c r="S46" s="158" t="s">
        <v>594</v>
      </c>
      <c r="T46" s="158" t="s">
        <v>391</v>
      </c>
      <c r="U46" s="160"/>
      <c r="V46" s="198" t="s">
        <v>332</v>
      </c>
      <c r="W46" s="161"/>
      <c r="X46" s="163"/>
      <c r="Y46" s="163"/>
      <c r="Z46" s="163"/>
      <c r="AA46" s="315" t="s">
        <v>595</v>
      </c>
      <c r="AC46" s="164"/>
      <c r="AD46" s="164"/>
      <c r="AE46" s="164"/>
    </row>
    <row r="47" ht="11.25" customHeight="1">
      <c r="A47" s="290"/>
      <c r="B47" s="166">
        <f t="shared" si="1"/>
        <v>46</v>
      </c>
      <c r="C47" s="291" t="s">
        <v>596</v>
      </c>
      <c r="D47" s="254" t="s">
        <v>30</v>
      </c>
      <c r="E47" s="147"/>
      <c r="F47" s="316"/>
      <c r="G47" s="317"/>
      <c r="H47" s="318"/>
      <c r="I47" s="172"/>
      <c r="J47" s="173"/>
      <c r="K47" s="197"/>
      <c r="L47" s="294" t="s">
        <v>327</v>
      </c>
      <c r="M47" s="295"/>
      <c r="N47" s="177"/>
      <c r="O47" s="289"/>
      <c r="P47" s="289"/>
      <c r="Q47" s="289"/>
      <c r="R47" s="158" t="s">
        <v>597</v>
      </c>
      <c r="S47" s="158" t="s">
        <v>598</v>
      </c>
      <c r="T47" s="158" t="s">
        <v>391</v>
      </c>
      <c r="U47" s="178"/>
      <c r="V47" s="160"/>
      <c r="W47" s="161"/>
      <c r="X47" s="163"/>
      <c r="Y47" s="163"/>
      <c r="Z47" s="163"/>
      <c r="AA47" s="164"/>
      <c r="AB47" s="179">
        <v>473.5</v>
      </c>
      <c r="AC47" s="164"/>
      <c r="AD47" s="164"/>
      <c r="AE47" s="164"/>
    </row>
    <row r="48" ht="11.25" customHeight="1">
      <c r="A48" s="290"/>
      <c r="B48" s="166">
        <f t="shared" si="1"/>
        <v>47</v>
      </c>
      <c r="C48" s="291" t="str">
        <f>'1. Справочник'!C44</f>
        <v>D2 503</v>
      </c>
      <c r="D48" s="254" t="str">
        <f>'1. Справочник'!F44</f>
        <v>1+1</v>
      </c>
      <c r="E48" s="147" t="s">
        <v>321</v>
      </c>
      <c r="F48" s="296" t="s">
        <v>599</v>
      </c>
      <c r="G48" s="204" t="s">
        <v>600</v>
      </c>
      <c r="H48" s="314" t="s">
        <v>601</v>
      </c>
      <c r="I48" s="172" t="s">
        <v>542</v>
      </c>
      <c r="J48" s="173" t="s">
        <v>602</v>
      </c>
      <c r="K48" s="197"/>
      <c r="L48" s="294" t="s">
        <v>327</v>
      </c>
      <c r="M48" s="295"/>
      <c r="N48" s="177"/>
      <c r="O48" s="289"/>
      <c r="P48" s="289"/>
      <c r="Q48" s="289"/>
      <c r="R48" s="158" t="s">
        <v>603</v>
      </c>
      <c r="S48" s="158" t="s">
        <v>604</v>
      </c>
      <c r="T48" s="312" t="s">
        <v>437</v>
      </c>
      <c r="U48" s="178"/>
      <c r="V48" s="160"/>
      <c r="W48" s="161"/>
      <c r="X48" s="163"/>
      <c r="Y48" s="162" t="s">
        <v>332</v>
      </c>
      <c r="Z48" s="163"/>
      <c r="AA48" s="164"/>
      <c r="AB48" s="179">
        <v>878.72</v>
      </c>
      <c r="AC48" s="164"/>
      <c r="AD48" s="164"/>
      <c r="AE48" s="164"/>
    </row>
    <row r="49" ht="15.0" customHeight="1">
      <c r="A49" s="319" t="s">
        <v>123</v>
      </c>
      <c r="B49" s="166">
        <f t="shared" si="1"/>
        <v>48</v>
      </c>
      <c r="C49" s="320" t="str">
        <f>'1. Справочник'!C45</f>
        <v>CM 1604</v>
      </c>
      <c r="D49" s="281" t="str">
        <f>'1. Справочник'!F45</f>
        <v>1+1</v>
      </c>
      <c r="E49" s="282" t="s">
        <v>321</v>
      </c>
      <c r="F49" s="283" t="s">
        <v>551</v>
      </c>
      <c r="G49" s="284" t="s">
        <v>605</v>
      </c>
      <c r="H49" s="285" t="s">
        <v>126</v>
      </c>
      <c r="I49" s="321" t="s">
        <v>441</v>
      </c>
      <c r="J49" s="152" t="s">
        <v>606</v>
      </c>
      <c r="K49" s="322" t="s">
        <v>607</v>
      </c>
      <c r="L49" s="287" t="s">
        <v>327</v>
      </c>
      <c r="M49" s="323">
        <v>6.011026852E9</v>
      </c>
      <c r="N49" s="156" t="s">
        <v>608</v>
      </c>
      <c r="O49" s="324">
        <v>11604.0</v>
      </c>
      <c r="P49" s="324" t="s">
        <v>609</v>
      </c>
      <c r="Q49" s="324"/>
      <c r="R49" s="264" t="s">
        <v>370</v>
      </c>
      <c r="S49" s="158"/>
      <c r="T49" s="158"/>
      <c r="U49" s="178"/>
      <c r="V49" s="198" t="s">
        <v>370</v>
      </c>
      <c r="W49" s="188" t="s">
        <v>370</v>
      </c>
      <c r="X49" s="188" t="s">
        <v>370</v>
      </c>
      <c r="Y49" s="188" t="s">
        <v>370</v>
      </c>
      <c r="Z49" s="188" t="s">
        <v>370</v>
      </c>
      <c r="AA49" s="188" t="s">
        <v>370</v>
      </c>
      <c r="AB49" s="164"/>
      <c r="AC49" s="164"/>
      <c r="AD49" s="164"/>
      <c r="AE49" s="164"/>
    </row>
    <row r="50" ht="15.0" customHeight="1">
      <c r="A50" s="319" t="s">
        <v>123</v>
      </c>
      <c r="B50" s="166">
        <f t="shared" si="1"/>
        <v>49</v>
      </c>
      <c r="C50" s="325" t="str">
        <f>'1. Справочник'!C46</f>
        <v>CM 1606</v>
      </c>
      <c r="D50" s="254" t="str">
        <f>'1. Справочник'!F46</f>
        <v>Студия</v>
      </c>
      <c r="E50" s="147" t="s">
        <v>321</v>
      </c>
      <c r="F50" s="292" t="s">
        <v>551</v>
      </c>
      <c r="G50" s="326" t="s">
        <v>610</v>
      </c>
      <c r="H50" s="180" t="s">
        <v>128</v>
      </c>
      <c r="I50" s="321" t="s">
        <v>441</v>
      </c>
      <c r="J50" s="173" t="s">
        <v>611</v>
      </c>
      <c r="K50" s="197"/>
      <c r="L50" s="294" t="s">
        <v>327</v>
      </c>
      <c r="M50" s="207">
        <v>6.011026871E9</v>
      </c>
      <c r="N50" s="177" t="s">
        <v>612</v>
      </c>
      <c r="O50" s="324">
        <v>11606.0</v>
      </c>
      <c r="P50" s="324" t="s">
        <v>609</v>
      </c>
      <c r="Q50" s="324"/>
      <c r="R50" s="249"/>
      <c r="S50" s="158"/>
      <c r="T50" s="158"/>
      <c r="U50" s="178"/>
      <c r="V50" s="198" t="s">
        <v>370</v>
      </c>
      <c r="W50" s="188" t="s">
        <v>370</v>
      </c>
      <c r="X50" s="188" t="s">
        <v>370</v>
      </c>
      <c r="Y50" s="188" t="s">
        <v>370</v>
      </c>
      <c r="Z50" s="188" t="s">
        <v>370</v>
      </c>
      <c r="AA50" s="188" t="s">
        <v>370</v>
      </c>
      <c r="AB50" s="164"/>
      <c r="AC50" s="164"/>
      <c r="AD50" s="164"/>
      <c r="AE50" s="164"/>
    </row>
    <row r="51" ht="15.0" customHeight="1">
      <c r="A51" s="319" t="s">
        <v>123</v>
      </c>
      <c r="B51" s="166">
        <f t="shared" si="1"/>
        <v>50</v>
      </c>
      <c r="C51" s="325" t="str">
        <f>'1. Справочник'!C47</f>
        <v>CM 1931</v>
      </c>
      <c r="D51" s="254" t="str">
        <f>'1. Справочник'!F47</f>
        <v>Студия</v>
      </c>
      <c r="E51" s="203" t="s">
        <v>321</v>
      </c>
      <c r="F51" s="296" t="s">
        <v>551</v>
      </c>
      <c r="G51" s="327" t="s">
        <v>613</v>
      </c>
      <c r="H51" s="180" t="s">
        <v>614</v>
      </c>
      <c r="I51" s="321" t="s">
        <v>441</v>
      </c>
      <c r="J51" s="173" t="s">
        <v>615</v>
      </c>
      <c r="K51" s="256" t="s">
        <v>616</v>
      </c>
      <c r="L51" s="294" t="s">
        <v>327</v>
      </c>
      <c r="M51" s="207">
        <v>6.011025671E9</v>
      </c>
      <c r="N51" s="177" t="s">
        <v>617</v>
      </c>
      <c r="O51" s="324">
        <v>11931.0</v>
      </c>
      <c r="P51" s="324" t="s">
        <v>609</v>
      </c>
      <c r="Q51" s="324"/>
      <c r="R51" s="158" t="s">
        <v>618</v>
      </c>
      <c r="S51" s="158" t="s">
        <v>619</v>
      </c>
      <c r="T51" s="158" t="s">
        <v>391</v>
      </c>
      <c r="U51" s="160"/>
      <c r="V51" s="160"/>
      <c r="W51" s="161"/>
      <c r="X51" s="163"/>
      <c r="Y51" s="162" t="s">
        <v>332</v>
      </c>
      <c r="Z51" s="162" t="s">
        <v>620</v>
      </c>
      <c r="AA51" s="188" t="s">
        <v>370</v>
      </c>
      <c r="AB51" s="164"/>
      <c r="AC51" s="164"/>
      <c r="AD51" s="164"/>
      <c r="AE51" s="164"/>
    </row>
    <row r="52" ht="15.0" customHeight="1">
      <c r="A52" s="319" t="s">
        <v>123</v>
      </c>
      <c r="B52" s="166">
        <f t="shared" si="1"/>
        <v>51</v>
      </c>
      <c r="C52" s="325" t="str">
        <f>'1. Справочник'!C48</f>
        <v>CM 1304</v>
      </c>
      <c r="D52" s="254" t="s">
        <v>27</v>
      </c>
      <c r="E52" s="203" t="s">
        <v>321</v>
      </c>
      <c r="F52" s="296" t="s">
        <v>621</v>
      </c>
      <c r="G52" s="328" t="s">
        <v>622</v>
      </c>
      <c r="H52" s="171" t="s">
        <v>623</v>
      </c>
      <c r="I52" s="321"/>
      <c r="J52" s="202" t="s">
        <v>624</v>
      </c>
      <c r="K52" s="197"/>
      <c r="L52" s="175" t="s">
        <v>327</v>
      </c>
      <c r="M52" s="207" t="s">
        <v>327</v>
      </c>
      <c r="N52" s="177" t="s">
        <v>327</v>
      </c>
      <c r="O52" s="329">
        <v>11304.0</v>
      </c>
      <c r="P52" s="324" t="s">
        <v>609</v>
      </c>
      <c r="Q52" s="324"/>
      <c r="R52" s="158" t="s">
        <v>625</v>
      </c>
      <c r="S52" s="158" t="s">
        <v>626</v>
      </c>
      <c r="T52" s="312" t="s">
        <v>437</v>
      </c>
      <c r="U52" s="160"/>
      <c r="V52" s="160"/>
      <c r="W52" s="161"/>
      <c r="X52" s="330"/>
      <c r="Y52" s="162" t="s">
        <v>332</v>
      </c>
      <c r="Z52" s="163"/>
      <c r="AA52" s="164"/>
      <c r="AB52" s="179">
        <v>1084.0</v>
      </c>
      <c r="AC52" s="164"/>
      <c r="AD52" s="164"/>
      <c r="AE52" s="164"/>
    </row>
    <row r="53" ht="15.0" customHeight="1">
      <c r="A53" s="319" t="s">
        <v>123</v>
      </c>
      <c r="B53" s="166">
        <f t="shared" si="1"/>
        <v>52</v>
      </c>
      <c r="C53" s="325" t="str">
        <f>'1. Справочник'!C49</f>
        <v>CM 1327</v>
      </c>
      <c r="D53" s="254" t="s">
        <v>27</v>
      </c>
      <c r="E53" s="203" t="s">
        <v>321</v>
      </c>
      <c r="F53" s="296" t="s">
        <v>627</v>
      </c>
      <c r="G53" s="328" t="s">
        <v>628</v>
      </c>
      <c r="H53" s="171" t="s">
        <v>629</v>
      </c>
      <c r="I53" s="321"/>
      <c r="J53" s="202" t="s">
        <v>630</v>
      </c>
      <c r="K53" s="197"/>
      <c r="L53" s="175" t="s">
        <v>327</v>
      </c>
      <c r="M53" s="207">
        <v>6.01101855E9</v>
      </c>
      <c r="N53" s="177" t="s">
        <v>631</v>
      </c>
      <c r="O53" s="329">
        <v>11327.0</v>
      </c>
      <c r="P53" s="329" t="s">
        <v>609</v>
      </c>
      <c r="Q53" s="329"/>
      <c r="R53" s="158" t="s">
        <v>632</v>
      </c>
      <c r="S53" s="158"/>
      <c r="T53" s="159" t="s">
        <v>331</v>
      </c>
      <c r="U53" s="160"/>
      <c r="V53" s="160"/>
      <c r="W53" s="161"/>
      <c r="X53" s="330"/>
      <c r="Y53" s="163"/>
      <c r="Z53" s="162" t="s">
        <v>332</v>
      </c>
      <c r="AA53" s="162" t="s">
        <v>332</v>
      </c>
      <c r="AB53" s="164"/>
      <c r="AC53" s="164"/>
      <c r="AD53" s="164"/>
      <c r="AE53" s="164"/>
    </row>
    <row r="54" ht="15.0" customHeight="1">
      <c r="A54" s="319" t="s">
        <v>146</v>
      </c>
      <c r="B54" s="166">
        <f t="shared" si="1"/>
        <v>53</v>
      </c>
      <c r="C54" s="325" t="str">
        <f>'1. Справочник'!C57</f>
        <v>PT2604</v>
      </c>
      <c r="D54" s="254" t="str">
        <f>'1. Справочник'!F57</f>
        <v>Студия</v>
      </c>
      <c r="E54" s="147" t="s">
        <v>321</v>
      </c>
      <c r="F54" s="296" t="s">
        <v>551</v>
      </c>
      <c r="G54" s="328" t="s">
        <v>633</v>
      </c>
      <c r="H54" s="171" t="s">
        <v>634</v>
      </c>
      <c r="I54" s="321" t="s">
        <v>441</v>
      </c>
      <c r="J54" s="202" t="s">
        <v>635</v>
      </c>
      <c r="K54" s="197" t="s">
        <v>441</v>
      </c>
      <c r="L54" s="175" t="s">
        <v>327</v>
      </c>
      <c r="M54" s="207">
        <v>6.011359631E9</v>
      </c>
      <c r="N54" s="177" t="s">
        <v>636</v>
      </c>
      <c r="O54" s="329">
        <v>3.08003451E8</v>
      </c>
      <c r="P54" s="329"/>
      <c r="Q54" s="329"/>
      <c r="R54" s="226" t="s">
        <v>637</v>
      </c>
      <c r="S54" s="226" t="s">
        <v>638</v>
      </c>
      <c r="T54" s="331" t="s">
        <v>437</v>
      </c>
      <c r="U54" s="210"/>
      <c r="V54" s="210"/>
      <c r="W54" s="211"/>
      <c r="X54" s="330" t="s">
        <v>408</v>
      </c>
      <c r="Y54" s="163"/>
      <c r="Z54" s="163"/>
      <c r="AA54" s="164"/>
      <c r="AB54" s="164"/>
      <c r="AC54" s="164"/>
      <c r="AD54" s="164"/>
      <c r="AE54" s="164"/>
    </row>
    <row r="55" ht="15.0" customHeight="1">
      <c r="A55" s="319" t="s">
        <v>146</v>
      </c>
      <c r="B55" s="166">
        <f t="shared" si="1"/>
        <v>54</v>
      </c>
      <c r="C55" s="325" t="str">
        <f>'1. Справочник'!C58</f>
        <v>PT2704</v>
      </c>
      <c r="D55" s="254" t="str">
        <f>'1. Справочник'!F58</f>
        <v>Студия</v>
      </c>
      <c r="E55" s="147" t="s">
        <v>321</v>
      </c>
      <c r="F55" s="296" t="s">
        <v>551</v>
      </c>
      <c r="G55" s="327" t="s">
        <v>639</v>
      </c>
      <c r="H55" s="171" t="s">
        <v>640</v>
      </c>
      <c r="I55" s="321" t="s">
        <v>441</v>
      </c>
      <c r="J55" s="332" t="s">
        <v>641</v>
      </c>
      <c r="K55" s="197"/>
      <c r="L55" s="175" t="s">
        <v>327</v>
      </c>
      <c r="M55" s="207">
        <v>6.01135965E9</v>
      </c>
      <c r="N55" s="177" t="s">
        <v>642</v>
      </c>
      <c r="O55" s="329">
        <v>3.08003321E8</v>
      </c>
      <c r="P55" s="329"/>
      <c r="Q55" s="329"/>
      <c r="R55" s="249"/>
      <c r="S55" s="249"/>
      <c r="T55" s="249"/>
      <c r="U55" s="249"/>
      <c r="V55" s="249"/>
      <c r="W55" s="249"/>
      <c r="X55" s="330" t="s">
        <v>408</v>
      </c>
      <c r="Y55" s="163"/>
      <c r="Z55" s="163"/>
      <c r="AA55" s="164"/>
      <c r="AB55" s="179">
        <v>2980.0</v>
      </c>
      <c r="AC55" s="164"/>
      <c r="AD55" s="164"/>
      <c r="AE55" s="164"/>
    </row>
    <row r="56" ht="15.0" hidden="1" customHeight="1">
      <c r="A56" s="319" t="s">
        <v>146</v>
      </c>
      <c r="B56" s="166">
        <f t="shared" si="1"/>
        <v>55</v>
      </c>
      <c r="C56" s="325" t="str">
        <f>'1. Справочник'!C59</f>
        <v>PT3604</v>
      </c>
      <c r="D56" s="168" t="s">
        <v>30</v>
      </c>
      <c r="E56" s="147" t="s">
        <v>321</v>
      </c>
      <c r="F56" s="296" t="s">
        <v>643</v>
      </c>
      <c r="G56" s="333" t="s">
        <v>644</v>
      </c>
      <c r="H56" s="334"/>
      <c r="I56" s="321"/>
      <c r="J56" s="253"/>
      <c r="K56" s="186"/>
      <c r="L56" s="175"/>
      <c r="M56" s="184">
        <v>6.011606752E9</v>
      </c>
      <c r="N56" s="335" t="s">
        <v>645</v>
      </c>
      <c r="O56" s="336"/>
      <c r="P56" s="336"/>
      <c r="Q56" s="336"/>
      <c r="R56" s="158"/>
      <c r="S56" s="158"/>
      <c r="T56" s="312"/>
      <c r="U56" s="160"/>
      <c r="V56" s="160"/>
      <c r="W56" s="161"/>
      <c r="X56" s="163"/>
      <c r="Y56" s="163"/>
      <c r="Z56" s="162" t="s">
        <v>362</v>
      </c>
      <c r="AA56" s="164"/>
      <c r="AB56" s="164"/>
      <c r="AC56" s="164"/>
      <c r="AD56" s="164"/>
      <c r="AE56" s="164"/>
    </row>
    <row r="57" ht="15.0" customHeight="1">
      <c r="A57" s="319" t="s">
        <v>146</v>
      </c>
      <c r="B57" s="166">
        <f t="shared" si="1"/>
        <v>56</v>
      </c>
      <c r="C57" s="337" t="str">
        <f>'1. Справочник'!C63</f>
        <v>MZ 718</v>
      </c>
      <c r="D57" s="338" t="str">
        <f>'1. Справочник'!F63</f>
        <v>Студия</v>
      </c>
      <c r="E57" s="147" t="s">
        <v>321</v>
      </c>
      <c r="F57" s="339" t="s">
        <v>551</v>
      </c>
      <c r="G57" s="340" t="s">
        <v>646</v>
      </c>
      <c r="H57" s="341" t="s">
        <v>647</v>
      </c>
      <c r="I57" s="321" t="s">
        <v>441</v>
      </c>
      <c r="J57" s="342" t="s">
        <v>648</v>
      </c>
      <c r="K57" s="343"/>
      <c r="L57" s="344" t="s">
        <v>327</v>
      </c>
      <c r="M57" s="345">
        <v>6.011471272E9</v>
      </c>
      <c r="N57" s="346" t="s">
        <v>649</v>
      </c>
      <c r="O57" s="336">
        <v>3.06940056E8</v>
      </c>
      <c r="P57" s="336"/>
      <c r="Q57" s="336"/>
      <c r="R57" s="226" t="s">
        <v>650</v>
      </c>
      <c r="S57" s="226" t="s">
        <v>651</v>
      </c>
      <c r="T57" s="331" t="s">
        <v>437</v>
      </c>
      <c r="U57" s="210"/>
      <c r="V57" s="210"/>
      <c r="W57" s="211"/>
      <c r="X57" s="163"/>
      <c r="Y57" s="163"/>
      <c r="Z57" s="163"/>
      <c r="AA57" s="188" t="s">
        <v>370</v>
      </c>
      <c r="AB57" s="164"/>
      <c r="AC57" s="164"/>
      <c r="AD57" s="164"/>
      <c r="AE57" s="164"/>
    </row>
    <row r="58" ht="15.0" customHeight="1">
      <c r="A58" s="319" t="s">
        <v>146</v>
      </c>
      <c r="B58" s="166">
        <f t="shared" si="1"/>
        <v>57</v>
      </c>
      <c r="C58" s="325" t="str">
        <f>'1. Справочник'!C64</f>
        <v>MZ 913</v>
      </c>
      <c r="D58" s="168" t="str">
        <f>'1. Справочник'!F64</f>
        <v>Студия</v>
      </c>
      <c r="E58" s="147" t="s">
        <v>321</v>
      </c>
      <c r="F58" s="296" t="s">
        <v>551</v>
      </c>
      <c r="G58" s="333" t="s">
        <v>652</v>
      </c>
      <c r="H58" s="194" t="s">
        <v>653</v>
      </c>
      <c r="I58" s="347" t="s">
        <v>441</v>
      </c>
      <c r="J58" s="202" t="s">
        <v>648</v>
      </c>
      <c r="K58" s="186"/>
      <c r="L58" s="175" t="s">
        <v>327</v>
      </c>
      <c r="M58" s="184">
        <v>6.01147128E9</v>
      </c>
      <c r="N58" s="335" t="s">
        <v>654</v>
      </c>
      <c r="O58" s="336">
        <v>3.06940085E8</v>
      </c>
      <c r="P58" s="336"/>
      <c r="Q58" s="336"/>
      <c r="R58" s="249"/>
      <c r="S58" s="249"/>
      <c r="T58" s="249"/>
      <c r="U58" s="249"/>
      <c r="V58" s="249"/>
      <c r="W58" s="249"/>
      <c r="X58" s="163"/>
      <c r="Y58" s="163"/>
      <c r="Z58" s="163"/>
      <c r="AA58" s="188" t="s">
        <v>370</v>
      </c>
      <c r="AB58" s="164"/>
      <c r="AC58" s="164"/>
      <c r="AD58" s="164"/>
      <c r="AE58" s="164"/>
    </row>
    <row r="59" ht="15.0" customHeight="1">
      <c r="A59" s="319" t="s">
        <v>146</v>
      </c>
      <c r="B59" s="166">
        <f t="shared" si="1"/>
        <v>58</v>
      </c>
      <c r="C59" s="325" t="str">
        <f>'1. Справочник'!C65</f>
        <v>MZ 1408</v>
      </c>
      <c r="D59" s="168" t="str">
        <f>'1. Справочник'!F65</f>
        <v>1+1</v>
      </c>
      <c r="E59" s="147" t="s">
        <v>321</v>
      </c>
      <c r="F59" s="348" t="s">
        <v>655</v>
      </c>
      <c r="G59" s="349" t="s">
        <v>656</v>
      </c>
      <c r="H59" s="350" t="s">
        <v>657</v>
      </c>
      <c r="I59" s="347" t="s">
        <v>441</v>
      </c>
      <c r="J59" s="351" t="s">
        <v>658</v>
      </c>
      <c r="K59" s="352"/>
      <c r="L59" s="263" t="s">
        <v>327</v>
      </c>
      <c r="M59" s="353">
        <v>6.011442532E9</v>
      </c>
      <c r="N59" s="354" t="s">
        <v>659</v>
      </c>
      <c r="O59" s="355">
        <v>3.06316828E8</v>
      </c>
      <c r="P59" s="355"/>
      <c r="Q59" s="355"/>
      <c r="R59" s="158" t="s">
        <v>660</v>
      </c>
      <c r="S59" s="158" t="s">
        <v>661</v>
      </c>
      <c r="T59" s="312" t="s">
        <v>437</v>
      </c>
      <c r="U59" s="178"/>
      <c r="V59" s="210"/>
      <c r="W59" s="211"/>
      <c r="X59" s="163" t="s">
        <v>408</v>
      </c>
      <c r="Y59" s="163"/>
      <c r="Z59" s="162" t="s">
        <v>362</v>
      </c>
      <c r="AA59" s="311" t="s">
        <v>569</v>
      </c>
      <c r="AB59" s="164" t="s">
        <v>569</v>
      </c>
      <c r="AC59" s="164"/>
      <c r="AD59" s="164"/>
      <c r="AE59" s="164"/>
    </row>
    <row r="60" ht="15.0" customHeight="1">
      <c r="A60" s="319" t="s">
        <v>146</v>
      </c>
      <c r="B60" s="166">
        <f t="shared" si="1"/>
        <v>59</v>
      </c>
      <c r="C60" s="325" t="str">
        <f>'1. Справочник'!C66</f>
        <v>MZ А 1113</v>
      </c>
      <c r="D60" s="168" t="str">
        <f>'1. Справочник'!F66</f>
        <v>1+1</v>
      </c>
      <c r="E60" s="147" t="s">
        <v>321</v>
      </c>
      <c r="F60" s="348" t="s">
        <v>662</v>
      </c>
      <c r="G60" s="349" t="s">
        <v>663</v>
      </c>
      <c r="H60" s="350" t="s">
        <v>664</v>
      </c>
      <c r="I60" s="347"/>
      <c r="J60" s="351" t="s">
        <v>665</v>
      </c>
      <c r="K60" s="352"/>
      <c r="L60" s="263" t="s">
        <v>327</v>
      </c>
      <c r="M60" s="353">
        <v>6.011463851E9</v>
      </c>
      <c r="N60" s="354" t="s">
        <v>666</v>
      </c>
      <c r="O60" s="355">
        <v>3.06244928E8</v>
      </c>
      <c r="P60" s="355">
        <v>45.0</v>
      </c>
      <c r="Q60" s="355"/>
      <c r="R60" s="158" t="s">
        <v>667</v>
      </c>
      <c r="S60" s="158" t="s">
        <v>668</v>
      </c>
      <c r="T60" s="312" t="s">
        <v>669</v>
      </c>
      <c r="U60" s="178"/>
      <c r="V60" s="249"/>
      <c r="W60" s="249"/>
      <c r="X60" s="163"/>
      <c r="Y60" s="162" t="s">
        <v>362</v>
      </c>
      <c r="Z60" s="162" t="s">
        <v>362</v>
      </c>
      <c r="AA60" s="164"/>
      <c r="AB60" s="179">
        <v>214.37</v>
      </c>
      <c r="AC60" s="164"/>
      <c r="AD60" s="164"/>
      <c r="AE60" s="164"/>
    </row>
    <row r="61" ht="15.0" customHeight="1">
      <c r="A61" s="319" t="s">
        <v>146</v>
      </c>
      <c r="B61" s="166">
        <f t="shared" si="1"/>
        <v>60</v>
      </c>
      <c r="C61" s="325" t="str">
        <f>'1. Справочник'!C67</f>
        <v>MZ C 511</v>
      </c>
      <c r="D61" s="168" t="s">
        <v>30</v>
      </c>
      <c r="E61" s="147" t="s">
        <v>321</v>
      </c>
      <c r="F61" s="356" t="s">
        <v>670</v>
      </c>
      <c r="G61" s="349" t="s">
        <v>671</v>
      </c>
      <c r="H61" s="314" t="s">
        <v>672</v>
      </c>
      <c r="I61" s="347"/>
      <c r="J61" s="351" t="s">
        <v>673</v>
      </c>
      <c r="K61" s="352"/>
      <c r="L61" s="263"/>
      <c r="M61" s="357">
        <v>6.011588872E9</v>
      </c>
      <c r="N61" s="358" t="s">
        <v>674</v>
      </c>
      <c r="O61" s="329">
        <v>3.09007254E8</v>
      </c>
      <c r="P61" s="329">
        <v>37.0</v>
      </c>
      <c r="Q61" s="329"/>
      <c r="R61" s="158" t="s">
        <v>675</v>
      </c>
      <c r="S61" s="159" t="s">
        <v>676</v>
      </c>
      <c r="T61" s="312" t="s">
        <v>437</v>
      </c>
      <c r="U61" s="178"/>
      <c r="V61" s="198"/>
      <c r="W61" s="359"/>
      <c r="X61" s="360"/>
      <c r="Y61" s="163"/>
      <c r="Z61" s="162" t="s">
        <v>362</v>
      </c>
      <c r="AA61" s="162" t="s">
        <v>362</v>
      </c>
      <c r="AB61" s="164"/>
      <c r="AC61" s="164"/>
      <c r="AD61" s="164"/>
      <c r="AE61" s="164"/>
    </row>
    <row r="62" ht="15.0" customHeight="1">
      <c r="A62" s="319" t="s">
        <v>123</v>
      </c>
      <c r="B62" s="166">
        <f t="shared" si="1"/>
        <v>61</v>
      </c>
      <c r="C62" s="325" t="str">
        <f>'1. Справочник'!C60</f>
        <v>NW 2-5</v>
      </c>
      <c r="D62" s="168" t="str">
        <f>'1. Справочник'!F60</f>
        <v>1+1</v>
      </c>
      <c r="E62" s="147" t="s">
        <v>321</v>
      </c>
      <c r="F62" s="348" t="s">
        <v>551</v>
      </c>
      <c r="G62" s="349" t="s">
        <v>677</v>
      </c>
      <c r="H62" s="314" t="s">
        <v>678</v>
      </c>
      <c r="I62" s="361" t="s">
        <v>679</v>
      </c>
      <c r="J62" s="362"/>
      <c r="K62" s="352"/>
      <c r="L62" s="263" t="s">
        <v>680</v>
      </c>
      <c r="M62" s="357">
        <v>6.011592412E9</v>
      </c>
      <c r="N62" s="358" t="s">
        <v>681</v>
      </c>
      <c r="O62" s="329">
        <v>3.08312967E8</v>
      </c>
      <c r="P62" s="329">
        <v>36.0</v>
      </c>
      <c r="Q62" s="329"/>
      <c r="R62" s="264" t="s">
        <v>682</v>
      </c>
      <c r="S62" s="264" t="s">
        <v>683</v>
      </c>
      <c r="T62" s="158"/>
      <c r="U62" s="178"/>
      <c r="V62" s="198" t="s">
        <v>332</v>
      </c>
      <c r="W62" s="359">
        <v>2392.7</v>
      </c>
      <c r="X62" s="161"/>
      <c r="Y62" s="163" t="s">
        <v>333</v>
      </c>
      <c r="Z62" s="163" t="s">
        <v>333</v>
      </c>
      <c r="AA62" s="163" t="s">
        <v>333</v>
      </c>
      <c r="AB62" s="164"/>
      <c r="AC62" s="164"/>
      <c r="AD62" s="164"/>
      <c r="AE62" s="164"/>
    </row>
    <row r="63" ht="15.0" hidden="1" customHeight="1">
      <c r="A63" s="319" t="s">
        <v>123</v>
      </c>
      <c r="B63" s="166">
        <f t="shared" si="1"/>
        <v>62</v>
      </c>
      <c r="C63" s="325" t="str">
        <f>'1. Справочник'!C136</f>
        <v>NW 4-9</v>
      </c>
      <c r="D63" s="168" t="str">
        <f>'1. Справочник'!F136</f>
        <v>Студия</v>
      </c>
      <c r="E63" s="147" t="s">
        <v>321</v>
      </c>
      <c r="F63" s="348" t="s">
        <v>551</v>
      </c>
      <c r="G63" s="349" t="s">
        <v>684</v>
      </c>
      <c r="H63" s="350" t="s">
        <v>685</v>
      </c>
      <c r="I63" s="361" t="s">
        <v>686</v>
      </c>
      <c r="J63" s="351" t="s">
        <v>687</v>
      </c>
      <c r="K63" s="352" t="s">
        <v>327</v>
      </c>
      <c r="L63" s="263" t="s">
        <v>688</v>
      </c>
      <c r="M63" s="357">
        <v>6.01135797E9</v>
      </c>
      <c r="N63" s="358" t="s">
        <v>689</v>
      </c>
      <c r="O63" s="329">
        <v>3.08310377E8</v>
      </c>
      <c r="P63" s="329">
        <v>36.0</v>
      </c>
      <c r="Q63" s="329"/>
      <c r="R63" s="363"/>
      <c r="S63" s="363"/>
      <c r="T63" s="158"/>
      <c r="U63" s="178"/>
      <c r="V63" s="198" t="s">
        <v>332</v>
      </c>
      <c r="W63" s="359"/>
      <c r="X63" s="161"/>
      <c r="Y63" s="163" t="s">
        <v>333</v>
      </c>
      <c r="Z63" s="190" t="s">
        <v>370</v>
      </c>
      <c r="AA63" s="162" t="s">
        <v>362</v>
      </c>
      <c r="AB63" s="164"/>
      <c r="AC63" s="164"/>
      <c r="AD63" s="164"/>
      <c r="AE63" s="164"/>
    </row>
    <row r="64" ht="15.0" hidden="1" customHeight="1">
      <c r="A64" s="319" t="s">
        <v>123</v>
      </c>
      <c r="B64" s="166">
        <f t="shared" si="1"/>
        <v>63</v>
      </c>
      <c r="C64" s="325" t="str">
        <f>'1. Справочник'!C137</f>
        <v>NW 4-10</v>
      </c>
      <c r="D64" s="168" t="str">
        <f>'1. Справочник'!F137</f>
        <v>Студия</v>
      </c>
      <c r="E64" s="147" t="s">
        <v>321</v>
      </c>
      <c r="F64" s="348" t="s">
        <v>551</v>
      </c>
      <c r="G64" s="349" t="s">
        <v>690</v>
      </c>
      <c r="H64" s="350" t="s">
        <v>691</v>
      </c>
      <c r="I64" s="361" t="s">
        <v>686</v>
      </c>
      <c r="J64" s="351" t="s">
        <v>692</v>
      </c>
      <c r="K64" s="352" t="s">
        <v>327</v>
      </c>
      <c r="L64" s="263" t="s">
        <v>693</v>
      </c>
      <c r="M64" s="357">
        <v>6.011358161E9</v>
      </c>
      <c r="N64" s="358" t="s">
        <v>694</v>
      </c>
      <c r="O64" s="329">
        <v>3.08310337E8</v>
      </c>
      <c r="P64" s="329">
        <v>36.0</v>
      </c>
      <c r="Q64" s="329"/>
      <c r="R64" s="364"/>
      <c r="S64" s="364"/>
      <c r="T64" s="158"/>
      <c r="U64" s="178"/>
      <c r="V64" s="198" t="s">
        <v>332</v>
      </c>
      <c r="W64" s="359"/>
      <c r="X64" s="161"/>
      <c r="Y64" s="163" t="s">
        <v>333</v>
      </c>
      <c r="Z64" s="190" t="s">
        <v>370</v>
      </c>
      <c r="AA64" s="162" t="s">
        <v>362</v>
      </c>
      <c r="AB64" s="164"/>
      <c r="AC64" s="164"/>
      <c r="AD64" s="164"/>
      <c r="AE64" s="164"/>
    </row>
    <row r="65" ht="15.0" hidden="1" customHeight="1">
      <c r="A65" s="319" t="s">
        <v>123</v>
      </c>
      <c r="B65" s="166">
        <f t="shared" si="1"/>
        <v>64</v>
      </c>
      <c r="C65" s="325" t="str">
        <f>'1. Справочник'!C138</f>
        <v>NW 10-6</v>
      </c>
      <c r="D65" s="168" t="str">
        <f>'1. Справочник'!F138</f>
        <v>Студия</v>
      </c>
      <c r="E65" s="147" t="s">
        <v>321</v>
      </c>
      <c r="F65" s="348" t="s">
        <v>551</v>
      </c>
      <c r="G65" s="349" t="s">
        <v>695</v>
      </c>
      <c r="H65" s="350" t="s">
        <v>696</v>
      </c>
      <c r="I65" s="361" t="s">
        <v>686</v>
      </c>
      <c r="J65" s="351" t="s">
        <v>697</v>
      </c>
      <c r="K65" s="352" t="s">
        <v>327</v>
      </c>
      <c r="L65" s="263" t="s">
        <v>698</v>
      </c>
      <c r="M65" s="357">
        <v>6.011355892E9</v>
      </c>
      <c r="N65" s="358" t="s">
        <v>699</v>
      </c>
      <c r="O65" s="329">
        <v>3.08310244E8</v>
      </c>
      <c r="P65" s="329">
        <v>36.0</v>
      </c>
      <c r="Q65" s="329"/>
      <c r="R65" s="158" t="s">
        <v>700</v>
      </c>
      <c r="S65" s="159" t="s">
        <v>683</v>
      </c>
      <c r="T65" s="158"/>
      <c r="U65" s="178"/>
      <c r="V65" s="160"/>
      <c r="W65" s="161"/>
      <c r="X65" s="161"/>
      <c r="Y65" s="163" t="s">
        <v>333</v>
      </c>
      <c r="Z65" s="190" t="s">
        <v>370</v>
      </c>
      <c r="AA65" s="162" t="s">
        <v>362</v>
      </c>
      <c r="AB65" s="164"/>
      <c r="AC65" s="164"/>
      <c r="AD65" s="164"/>
      <c r="AE65" s="164"/>
    </row>
    <row r="66" ht="15.0" customHeight="1">
      <c r="A66" s="319" t="s">
        <v>123</v>
      </c>
      <c r="B66" s="166">
        <f t="shared" si="1"/>
        <v>65</v>
      </c>
      <c r="C66" s="325" t="str">
        <f>'1. Справочник'!C61</f>
        <v>NW 3-7</v>
      </c>
      <c r="D66" s="168" t="s">
        <v>30</v>
      </c>
      <c r="E66" s="147" t="s">
        <v>321</v>
      </c>
      <c r="F66" s="348" t="s">
        <v>701</v>
      </c>
      <c r="G66" s="349" t="s">
        <v>702</v>
      </c>
      <c r="H66" s="365" t="s">
        <v>703</v>
      </c>
      <c r="I66" s="361" t="s">
        <v>686</v>
      </c>
      <c r="J66" s="366" t="s">
        <v>704</v>
      </c>
      <c r="K66" s="352" t="s">
        <v>327</v>
      </c>
      <c r="L66" s="367" t="s">
        <v>705</v>
      </c>
      <c r="M66" s="357">
        <v>6.011357782E9</v>
      </c>
      <c r="N66" s="358" t="s">
        <v>706</v>
      </c>
      <c r="O66" s="368">
        <v>3.0844433E8</v>
      </c>
      <c r="P66" s="368">
        <v>36.0</v>
      </c>
      <c r="Q66" s="368"/>
      <c r="R66" s="195">
        <v>3.71519025E8</v>
      </c>
      <c r="S66" s="195" t="s">
        <v>683</v>
      </c>
      <c r="T66" s="159" t="s">
        <v>707</v>
      </c>
      <c r="U66" s="178"/>
      <c r="V66" s="198" t="s">
        <v>332</v>
      </c>
      <c r="W66" s="161"/>
      <c r="X66" s="161"/>
      <c r="Y66" s="163" t="s">
        <v>333</v>
      </c>
      <c r="Z66" s="163" t="s">
        <v>333</v>
      </c>
      <c r="AA66" s="163" t="s">
        <v>333</v>
      </c>
      <c r="AB66" s="164"/>
      <c r="AC66" s="164"/>
      <c r="AD66" s="164"/>
      <c r="AE66" s="164"/>
    </row>
    <row r="67" ht="15.0" customHeight="1">
      <c r="A67" s="319" t="s">
        <v>123</v>
      </c>
      <c r="B67" s="166">
        <f t="shared" si="1"/>
        <v>66</v>
      </c>
      <c r="C67" s="325" t="str">
        <f>'1. Справочник'!C62</f>
        <v>NA 3-16</v>
      </c>
      <c r="D67" s="168" t="s">
        <v>30</v>
      </c>
      <c r="E67" s="147" t="s">
        <v>563</v>
      </c>
      <c r="F67" s="348" t="s">
        <v>708</v>
      </c>
      <c r="G67" s="349" t="s">
        <v>709</v>
      </c>
      <c r="H67" s="369"/>
      <c r="I67" s="347"/>
      <c r="J67" s="370"/>
      <c r="K67" s="371"/>
      <c r="L67" s="263" t="s">
        <v>710</v>
      </c>
      <c r="M67" s="176">
        <v>6.01130319E9</v>
      </c>
      <c r="N67" s="177" t="s">
        <v>711</v>
      </c>
      <c r="O67" s="329">
        <v>3.09152032E8</v>
      </c>
      <c r="P67" s="329">
        <v>37.0</v>
      </c>
      <c r="Q67" s="329"/>
      <c r="R67" s="187" t="s">
        <v>712</v>
      </c>
      <c r="S67" s="158" t="s">
        <v>713</v>
      </c>
      <c r="T67" s="158" t="s">
        <v>391</v>
      </c>
      <c r="U67" s="160"/>
      <c r="V67" s="160"/>
      <c r="W67" s="161"/>
      <c r="X67" s="163"/>
      <c r="Y67" s="162" t="s">
        <v>332</v>
      </c>
      <c r="Z67" s="163"/>
      <c r="AA67" s="164"/>
      <c r="AB67" s="179">
        <v>837.0</v>
      </c>
      <c r="AC67" s="164"/>
      <c r="AD67" s="164"/>
      <c r="AE67" s="164"/>
    </row>
    <row r="68" ht="15.0" customHeight="1">
      <c r="A68" s="319" t="s">
        <v>123</v>
      </c>
      <c r="B68" s="166">
        <f t="shared" si="1"/>
        <v>67</v>
      </c>
      <c r="C68" s="325" t="str">
        <f>'1. Справочник'!C50</f>
        <v>Int 2905</v>
      </c>
      <c r="D68" s="372" t="str">
        <f>'1. Справочник'!F50</f>
        <v>1+1</v>
      </c>
      <c r="E68" s="147" t="s">
        <v>563</v>
      </c>
      <c r="F68" s="348" t="s">
        <v>714</v>
      </c>
      <c r="G68" s="327" t="s">
        <v>715</v>
      </c>
      <c r="H68" s="369" t="s">
        <v>137</v>
      </c>
      <c r="I68" s="347" t="s">
        <v>441</v>
      </c>
      <c r="J68" s="370" t="s">
        <v>716</v>
      </c>
      <c r="K68" s="373" t="s">
        <v>717</v>
      </c>
      <c r="L68" s="263" t="s">
        <v>718</v>
      </c>
      <c r="M68" s="207">
        <v>6.011209751E9</v>
      </c>
      <c r="N68" s="177" t="s">
        <v>719</v>
      </c>
      <c r="O68" s="329">
        <v>3.02824611E8</v>
      </c>
      <c r="P68" s="329"/>
      <c r="Q68" s="329"/>
      <c r="R68" s="187" t="s">
        <v>720</v>
      </c>
      <c r="S68" s="158" t="s">
        <v>721</v>
      </c>
      <c r="T68" s="159" t="s">
        <v>331</v>
      </c>
      <c r="U68" s="160"/>
      <c r="V68" s="160"/>
      <c r="W68" s="161"/>
      <c r="X68" s="163"/>
      <c r="Y68" s="311" t="s">
        <v>370</v>
      </c>
      <c r="Z68" s="162" t="s">
        <v>370</v>
      </c>
      <c r="AA68" s="179">
        <v>440.06</v>
      </c>
      <c r="AB68" s="164"/>
      <c r="AC68" s="164"/>
      <c r="AD68" s="164"/>
      <c r="AE68" s="164"/>
    </row>
    <row r="69" ht="15.0" customHeight="1">
      <c r="A69" s="319" t="s">
        <v>123</v>
      </c>
      <c r="B69" s="166">
        <f t="shared" si="1"/>
        <v>68</v>
      </c>
      <c r="C69" s="325" t="str">
        <f>'1. Справочник'!C51</f>
        <v>Int 2612</v>
      </c>
      <c r="D69" s="254" t="s">
        <v>27</v>
      </c>
      <c r="E69" s="147" t="s">
        <v>321</v>
      </c>
      <c r="F69" s="348" t="s">
        <v>722</v>
      </c>
      <c r="G69" s="327" t="s">
        <v>723</v>
      </c>
      <c r="H69" s="374" t="s">
        <v>724</v>
      </c>
      <c r="I69" s="347" t="s">
        <v>441</v>
      </c>
      <c r="J69" s="351" t="s">
        <v>725</v>
      </c>
      <c r="K69" s="197" t="s">
        <v>441</v>
      </c>
      <c r="L69" s="375">
        <v>2.116817982E9</v>
      </c>
      <c r="M69" s="376">
        <v>6.011542702E9</v>
      </c>
      <c r="N69" s="377" t="s">
        <v>726</v>
      </c>
      <c r="O69" s="368">
        <v>3.08217116E8</v>
      </c>
      <c r="P69" s="329">
        <v>42.0</v>
      </c>
      <c r="Q69" s="329"/>
      <c r="R69" s="187" t="s">
        <v>727</v>
      </c>
      <c r="S69" s="158" t="s">
        <v>728</v>
      </c>
      <c r="T69" s="312" t="s">
        <v>437</v>
      </c>
      <c r="U69" s="178"/>
      <c r="V69" s="160"/>
      <c r="W69" s="161"/>
      <c r="X69" s="163"/>
      <c r="Y69" s="163"/>
      <c r="Z69" s="163"/>
      <c r="AA69" s="164"/>
      <c r="AB69" s="179">
        <v>978.0</v>
      </c>
      <c r="AC69" s="164"/>
      <c r="AD69" s="164"/>
      <c r="AE69" s="164"/>
    </row>
    <row r="70" ht="15.0" customHeight="1">
      <c r="A70" s="319" t="s">
        <v>123</v>
      </c>
      <c r="B70" s="166">
        <f t="shared" si="1"/>
        <v>69</v>
      </c>
      <c r="C70" s="378" t="str">
        <f>'1. Справочник'!C52</f>
        <v>Шар 2505</v>
      </c>
      <c r="D70" s="379" t="str">
        <f>'1. Справочник'!F52</f>
        <v>Студия</v>
      </c>
      <c r="E70" s="147" t="s">
        <v>321</v>
      </c>
      <c r="F70" s="380"/>
      <c r="G70" s="381" t="s">
        <v>729</v>
      </c>
      <c r="H70" s="382" t="s">
        <v>142</v>
      </c>
      <c r="I70" s="347" t="s">
        <v>441</v>
      </c>
      <c r="J70" s="383" t="s">
        <v>730</v>
      </c>
      <c r="K70" s="384" t="s">
        <v>731</v>
      </c>
      <c r="L70" s="385" t="s">
        <v>327</v>
      </c>
      <c r="M70" s="386">
        <v>6.011270272E9</v>
      </c>
      <c r="N70" s="387" t="s">
        <v>732</v>
      </c>
      <c r="O70" s="329">
        <v>4.22560058E8</v>
      </c>
      <c r="R70" s="158" t="s">
        <v>733</v>
      </c>
      <c r="S70" s="158" t="s">
        <v>734</v>
      </c>
      <c r="T70" s="159" t="s">
        <v>331</v>
      </c>
      <c r="U70" s="178"/>
      <c r="V70" s="160"/>
      <c r="W70" s="161"/>
      <c r="X70" s="163"/>
      <c r="Y70" s="163"/>
      <c r="Z70" s="163"/>
      <c r="AA70" s="179">
        <v>267.96</v>
      </c>
      <c r="AB70" s="164"/>
      <c r="AC70" s="164"/>
      <c r="AD70" s="164"/>
      <c r="AE70" s="164"/>
    </row>
    <row r="71" ht="15.0" hidden="1" customHeight="1">
      <c r="A71" s="319" t="s">
        <v>123</v>
      </c>
      <c r="B71" s="166">
        <f t="shared" si="1"/>
        <v>70</v>
      </c>
      <c r="C71" s="388" t="str">
        <f>'1. Справочник'!C53</f>
        <v>Шар 2708</v>
      </c>
      <c r="D71" s="379" t="str">
        <f>'1. Справочник'!F53</f>
        <v>1+1</v>
      </c>
      <c r="E71" s="203" t="s">
        <v>321</v>
      </c>
      <c r="F71" s="389"/>
      <c r="G71" s="390"/>
      <c r="H71" s="391"/>
      <c r="I71" s="347"/>
      <c r="J71" s="392"/>
      <c r="K71" s="393"/>
      <c r="L71" s="175"/>
      <c r="M71" s="207">
        <v>6.011634281E9</v>
      </c>
      <c r="N71" s="177" t="s">
        <v>735</v>
      </c>
      <c r="O71" s="329">
        <v>4.22731113E8</v>
      </c>
      <c r="R71" s="158"/>
      <c r="S71" s="158"/>
      <c r="T71" s="159"/>
      <c r="U71" s="178"/>
      <c r="V71" s="160"/>
      <c r="W71" s="161"/>
      <c r="X71" s="163"/>
      <c r="Y71" s="163"/>
      <c r="Z71" s="163"/>
      <c r="AA71" s="179"/>
      <c r="AB71" s="164"/>
      <c r="AC71" s="164"/>
      <c r="AD71" s="164"/>
      <c r="AE71" s="164"/>
    </row>
    <row r="72" ht="15.0" hidden="1" customHeight="1">
      <c r="A72" s="319" t="s">
        <v>123</v>
      </c>
      <c r="B72" s="166">
        <f t="shared" si="1"/>
        <v>71</v>
      </c>
      <c r="C72" s="378" t="str">
        <f>'1. Справочник'!C54</f>
        <v>Багратиони</v>
      </c>
      <c r="D72" s="372" t="s">
        <v>33</v>
      </c>
      <c r="E72" s="203" t="s">
        <v>518</v>
      </c>
      <c r="F72" s="348" t="s">
        <v>736</v>
      </c>
      <c r="G72" s="327" t="s">
        <v>737</v>
      </c>
      <c r="H72" s="394" t="s">
        <v>738</v>
      </c>
      <c r="I72" s="395"/>
      <c r="J72" s="373" t="s">
        <v>739</v>
      </c>
      <c r="K72" s="396"/>
      <c r="L72" s="397"/>
      <c r="M72" s="398">
        <v>6.01156203E9</v>
      </c>
      <c r="N72" s="358" t="s">
        <v>740</v>
      </c>
      <c r="O72" s="324">
        <v>3.09317791E8</v>
      </c>
      <c r="P72" s="399">
        <v>37.0</v>
      </c>
      <c r="Q72" s="399">
        <v>7.5503626E7</v>
      </c>
      <c r="R72" s="158"/>
      <c r="S72" s="158"/>
      <c r="T72" s="159"/>
      <c r="U72" s="160"/>
      <c r="V72" s="160"/>
      <c r="W72" s="161"/>
      <c r="X72" s="163"/>
      <c r="Y72" s="163"/>
      <c r="Z72" s="162" t="s">
        <v>362</v>
      </c>
      <c r="AA72" s="164" t="s">
        <v>332</v>
      </c>
      <c r="AB72" s="164"/>
      <c r="AC72" s="164"/>
      <c r="AD72" s="164"/>
      <c r="AE72" s="164"/>
    </row>
    <row r="73" ht="15.0" customHeight="1">
      <c r="A73" s="319" t="s">
        <v>146</v>
      </c>
      <c r="B73" s="166">
        <f t="shared" si="1"/>
        <v>72</v>
      </c>
      <c r="C73" s="378" t="str">
        <f>'1. Справочник'!C55</f>
        <v>Думбадзе</v>
      </c>
      <c r="D73" s="372" t="s">
        <v>27</v>
      </c>
      <c r="E73" s="203" t="s">
        <v>518</v>
      </c>
      <c r="F73" s="348" t="s">
        <v>741</v>
      </c>
      <c r="G73" s="327" t="s">
        <v>742</v>
      </c>
      <c r="H73" s="400" t="s">
        <v>743</v>
      </c>
      <c r="I73" s="401" t="s">
        <v>744</v>
      </c>
      <c r="J73" s="393"/>
      <c r="K73" s="396"/>
      <c r="L73" s="397"/>
      <c r="M73" s="398"/>
      <c r="N73" s="358"/>
      <c r="O73" s="324">
        <v>3.09160851E8</v>
      </c>
      <c r="P73" s="399">
        <v>36.0</v>
      </c>
      <c r="Q73" s="399"/>
      <c r="R73" s="158" t="s">
        <v>745</v>
      </c>
      <c r="S73" s="158" t="s">
        <v>746</v>
      </c>
      <c r="T73" s="158" t="s">
        <v>391</v>
      </c>
      <c r="U73" s="160"/>
      <c r="V73" s="160"/>
      <c r="W73" s="161"/>
      <c r="X73" s="163"/>
      <c r="Y73" s="163"/>
      <c r="Z73" s="163"/>
      <c r="AA73" s="164"/>
      <c r="AB73" s="179">
        <v>1358.83</v>
      </c>
      <c r="AC73" s="164"/>
      <c r="AD73" s="164"/>
      <c r="AE73" s="164"/>
    </row>
    <row r="74" ht="15.0" customHeight="1">
      <c r="A74" s="319" t="s">
        <v>146</v>
      </c>
      <c r="B74" s="166">
        <f t="shared" si="1"/>
        <v>73</v>
      </c>
      <c r="C74" s="378" t="str">
        <f>'1. Справочник'!C56</f>
        <v>26 мая 52 - 813</v>
      </c>
      <c r="D74" s="372" t="s">
        <v>27</v>
      </c>
      <c r="E74" s="203"/>
      <c r="F74" s="348" t="s">
        <v>747</v>
      </c>
      <c r="G74" s="390"/>
      <c r="H74" s="400" t="s">
        <v>151</v>
      </c>
      <c r="I74" s="395"/>
      <c r="J74" s="393"/>
      <c r="K74" s="396"/>
      <c r="L74" s="397"/>
      <c r="M74" s="398"/>
      <c r="N74" s="358"/>
      <c r="O74" s="324">
        <v>3.09922369E8</v>
      </c>
      <c r="P74" s="399">
        <v>34.0</v>
      </c>
      <c r="Q74" s="399"/>
      <c r="R74" s="158"/>
      <c r="S74" s="158"/>
      <c r="T74" s="159"/>
      <c r="U74" s="160"/>
      <c r="V74" s="160"/>
      <c r="W74" s="161"/>
      <c r="X74" s="163"/>
      <c r="Y74" s="163"/>
      <c r="Z74" s="163"/>
      <c r="AA74" s="164" t="s">
        <v>362</v>
      </c>
      <c r="AB74" s="164"/>
      <c r="AC74" s="164"/>
      <c r="AD74" s="164"/>
      <c r="AE74" s="164"/>
    </row>
    <row r="75" ht="15.0" customHeight="1">
      <c r="A75" s="402" t="s">
        <v>123</v>
      </c>
      <c r="B75" s="166">
        <f t="shared" si="1"/>
        <v>74</v>
      </c>
      <c r="C75" s="403" t="str">
        <f>'1. Справочник'!C74</f>
        <v>шартава 16/18</v>
      </c>
      <c r="D75" s="404" t="str">
        <f>'1. Справочник'!F74</f>
        <v>Студия</v>
      </c>
      <c r="E75" s="302" t="s">
        <v>563</v>
      </c>
      <c r="F75" s="405" t="s">
        <v>551</v>
      </c>
      <c r="G75" s="406"/>
      <c r="H75" s="407"/>
      <c r="I75" s="393"/>
      <c r="J75" s="408"/>
      <c r="K75" s="409"/>
      <c r="L75" s="410">
        <v>2.117710931E9</v>
      </c>
      <c r="M75" s="411">
        <v>6.011407402E9</v>
      </c>
      <c r="N75" s="412" t="s">
        <v>748</v>
      </c>
      <c r="O75" s="324">
        <v>3.07943576E8</v>
      </c>
      <c r="P75" s="324" t="s">
        <v>327</v>
      </c>
      <c r="Q75" s="324"/>
      <c r="R75" s="158" t="s">
        <v>749</v>
      </c>
      <c r="S75" s="158" t="s">
        <v>750</v>
      </c>
      <c r="T75" s="159" t="s">
        <v>331</v>
      </c>
      <c r="U75" s="160"/>
      <c r="V75" s="160"/>
      <c r="W75" s="161"/>
      <c r="X75" s="163"/>
      <c r="Y75" s="163"/>
      <c r="Z75" s="163"/>
      <c r="AA75" s="164"/>
      <c r="AB75" s="179">
        <v>728.0</v>
      </c>
      <c r="AC75" s="164"/>
      <c r="AD75" s="164"/>
      <c r="AE75" s="164"/>
    </row>
    <row r="76" ht="11.25" customHeight="1">
      <c r="A76" s="413" t="str">
        <f>'1. Справочник'!B78</f>
        <v/>
      </c>
      <c r="B76" s="166">
        <f t="shared" si="1"/>
        <v>75</v>
      </c>
      <c r="C76" s="414" t="str">
        <f>'1. Справочник'!C75</f>
        <v>DL 11-1112</v>
      </c>
      <c r="D76" s="254" t="str">
        <f>'1. Справочник'!F75</f>
        <v>Студия</v>
      </c>
      <c r="E76" s="255" t="s">
        <v>321</v>
      </c>
      <c r="F76" s="292" t="s">
        <v>551</v>
      </c>
      <c r="G76" s="293" t="s">
        <v>751</v>
      </c>
      <c r="H76" s="415" t="s">
        <v>752</v>
      </c>
      <c r="I76" s="172" t="s">
        <v>753</v>
      </c>
      <c r="J76" s="173" t="s">
        <v>754</v>
      </c>
      <c r="K76" s="197" t="s">
        <v>441</v>
      </c>
      <c r="L76" s="416" t="s">
        <v>327</v>
      </c>
      <c r="M76" s="416"/>
      <c r="N76" s="417"/>
      <c r="O76" s="368">
        <v>293602.0</v>
      </c>
      <c r="P76" s="368">
        <v>40.0</v>
      </c>
      <c r="Q76" s="368"/>
      <c r="R76" s="158" t="s">
        <v>755</v>
      </c>
      <c r="S76" s="158" t="s">
        <v>756</v>
      </c>
      <c r="T76" s="159" t="s">
        <v>331</v>
      </c>
      <c r="U76" s="418"/>
      <c r="V76" s="160"/>
      <c r="W76" s="161"/>
      <c r="X76" s="163"/>
      <c r="Y76" s="162"/>
      <c r="Z76" s="162"/>
      <c r="AA76" s="164"/>
      <c r="AB76" s="164"/>
      <c r="AC76" s="164"/>
      <c r="AD76" s="164"/>
      <c r="AE76" s="164"/>
    </row>
    <row r="77" ht="11.25" customHeight="1">
      <c r="A77" s="413" t="str">
        <f>'1. Справочник'!B79</f>
        <v/>
      </c>
      <c r="B77" s="166">
        <f t="shared" si="1"/>
        <v>76</v>
      </c>
      <c r="C77" s="414" t="str">
        <f>'1. Справочник'!C76</f>
        <v>DL 11-1305</v>
      </c>
      <c r="D77" s="254" t="str">
        <f>'1. Справочник'!F76</f>
        <v>1+1</v>
      </c>
      <c r="E77" s="147" t="s">
        <v>321</v>
      </c>
      <c r="F77" s="292" t="s">
        <v>551</v>
      </c>
      <c r="G77" s="293" t="s">
        <v>757</v>
      </c>
      <c r="H77" s="415" t="s">
        <v>758</v>
      </c>
      <c r="I77" s="250" t="s">
        <v>753</v>
      </c>
      <c r="J77" s="173" t="s">
        <v>759</v>
      </c>
      <c r="K77" s="197" t="s">
        <v>441</v>
      </c>
      <c r="L77" s="416" t="s">
        <v>327</v>
      </c>
      <c r="M77" s="416"/>
      <c r="N77" s="417"/>
      <c r="O77" s="368">
        <v>293621.0</v>
      </c>
      <c r="P77" s="368">
        <v>40.0</v>
      </c>
      <c r="Q77" s="368"/>
      <c r="R77" s="195" t="s">
        <v>370</v>
      </c>
      <c r="S77" s="158"/>
      <c r="T77" s="158"/>
      <c r="U77" s="198" t="s">
        <v>370</v>
      </c>
      <c r="V77" s="198" t="s">
        <v>370</v>
      </c>
      <c r="W77" s="188" t="s">
        <v>370</v>
      </c>
      <c r="X77" s="162" t="s">
        <v>370</v>
      </c>
      <c r="Y77" s="162" t="s">
        <v>370</v>
      </c>
      <c r="Z77" s="162" t="s">
        <v>370</v>
      </c>
      <c r="AA77" s="164"/>
      <c r="AB77" s="164"/>
      <c r="AC77" s="164"/>
      <c r="AD77" s="164"/>
      <c r="AE77" s="164"/>
    </row>
    <row r="78" ht="11.25" customHeight="1">
      <c r="A78" s="413" t="str">
        <f>'1. Справочник'!B80</f>
        <v/>
      </c>
      <c r="B78" s="166">
        <f t="shared" si="1"/>
        <v>77</v>
      </c>
      <c r="C78" s="419" t="str">
        <f>'1. Справочник'!C77</f>
        <v>DL 14-516</v>
      </c>
      <c r="D78" s="254" t="str">
        <f>'1. Справочник'!F77</f>
        <v>1+1</v>
      </c>
      <c r="E78" s="147" t="s">
        <v>321</v>
      </c>
      <c r="F78" s="292" t="s">
        <v>551</v>
      </c>
      <c r="G78" s="293" t="s">
        <v>760</v>
      </c>
      <c r="H78" s="420" t="s">
        <v>761</v>
      </c>
      <c r="I78" s="250" t="s">
        <v>753</v>
      </c>
      <c r="J78" s="173" t="s">
        <v>762</v>
      </c>
      <c r="K78" s="197" t="s">
        <v>441</v>
      </c>
      <c r="L78" s="416" t="s">
        <v>327</v>
      </c>
      <c r="M78" s="416"/>
      <c r="N78" s="417"/>
      <c r="O78" s="368">
        <v>293934.0</v>
      </c>
      <c r="P78" s="368">
        <v>40.0</v>
      </c>
      <c r="Q78" s="368"/>
      <c r="R78" s="195" t="s">
        <v>763</v>
      </c>
      <c r="S78" s="158" t="s">
        <v>764</v>
      </c>
      <c r="T78" s="158"/>
      <c r="U78" s="160"/>
      <c r="V78" s="161" t="s">
        <v>765</v>
      </c>
      <c r="W78" s="161"/>
      <c r="X78" s="163" t="s">
        <v>408</v>
      </c>
      <c r="Y78" s="163" t="s">
        <v>408</v>
      </c>
      <c r="Z78" s="162"/>
      <c r="AA78" s="164"/>
      <c r="AB78" s="164"/>
      <c r="AC78" s="164"/>
      <c r="AD78" s="164"/>
      <c r="AE78" s="164"/>
    </row>
    <row r="79" ht="11.25" customHeight="1">
      <c r="A79" s="413" t="str">
        <f>'1. Справочник'!B81</f>
        <v/>
      </c>
      <c r="B79" s="166">
        <f t="shared" si="1"/>
        <v>78</v>
      </c>
      <c r="C79" s="419" t="str">
        <f>'1. Справочник'!C78</f>
        <v>DL 14-702</v>
      </c>
      <c r="D79" s="254" t="str">
        <f>'1. Справочник'!F78</f>
        <v>1+1</v>
      </c>
      <c r="E79" s="147" t="s">
        <v>321</v>
      </c>
      <c r="F79" s="292" t="s">
        <v>551</v>
      </c>
      <c r="G79" s="293" t="s">
        <v>766</v>
      </c>
      <c r="H79" s="420" t="s">
        <v>767</v>
      </c>
      <c r="I79" s="250" t="s">
        <v>753</v>
      </c>
      <c r="J79" s="173" t="s">
        <v>768</v>
      </c>
      <c r="K79" s="197" t="s">
        <v>441</v>
      </c>
      <c r="L79" s="416" t="s">
        <v>327</v>
      </c>
      <c r="M79" s="416"/>
      <c r="N79" s="417"/>
      <c r="O79" s="368">
        <v>293954.0</v>
      </c>
      <c r="P79" s="368">
        <v>40.0</v>
      </c>
      <c r="Q79" s="368"/>
      <c r="R79" s="158" t="s">
        <v>769</v>
      </c>
      <c r="S79" s="158" t="s">
        <v>770</v>
      </c>
      <c r="T79" s="312" t="s">
        <v>437</v>
      </c>
      <c r="U79" s="198" t="s">
        <v>370</v>
      </c>
      <c r="V79" s="160"/>
      <c r="W79" s="161"/>
      <c r="X79" s="162" t="s">
        <v>332</v>
      </c>
      <c r="Y79" s="162" t="s">
        <v>332</v>
      </c>
      <c r="Z79" s="162" t="s">
        <v>332</v>
      </c>
      <c r="AA79" s="164"/>
      <c r="AB79" s="164"/>
      <c r="AC79" s="164"/>
      <c r="AD79" s="164"/>
      <c r="AE79" s="164"/>
    </row>
    <row r="80" ht="11.25" customHeight="1">
      <c r="A80" s="413" t="str">
        <f>'1. Справочник'!B82</f>
        <v/>
      </c>
      <c r="B80" s="166">
        <f t="shared" si="1"/>
        <v>79</v>
      </c>
      <c r="C80" s="419" t="str">
        <f>'1. Справочник'!C79</f>
        <v>DL 14-1214</v>
      </c>
      <c r="D80" s="254" t="str">
        <f>'1. Справочник'!F79</f>
        <v>Студия</v>
      </c>
      <c r="E80" s="147" t="s">
        <v>321</v>
      </c>
      <c r="F80" s="292" t="s">
        <v>551</v>
      </c>
      <c r="G80" s="293" t="s">
        <v>771</v>
      </c>
      <c r="H80" s="420" t="s">
        <v>772</v>
      </c>
      <c r="I80" s="250" t="s">
        <v>753</v>
      </c>
      <c r="J80" s="421" t="s">
        <v>441</v>
      </c>
      <c r="K80" s="197" t="s">
        <v>441</v>
      </c>
      <c r="L80" s="416" t="s">
        <v>327</v>
      </c>
      <c r="M80" s="416"/>
      <c r="N80" s="417"/>
      <c r="O80" s="368">
        <v>293782.0</v>
      </c>
      <c r="P80" s="368">
        <v>40.0</v>
      </c>
      <c r="Q80" s="368"/>
      <c r="R80" s="158" t="s">
        <v>773</v>
      </c>
      <c r="S80" s="158" t="s">
        <v>774</v>
      </c>
      <c r="T80" s="159" t="s">
        <v>775</v>
      </c>
      <c r="U80" s="418"/>
      <c r="V80" s="160"/>
      <c r="W80" s="161"/>
      <c r="X80" s="163"/>
      <c r="Y80" s="162"/>
      <c r="Z80" s="162"/>
      <c r="AA80" s="164"/>
      <c r="AB80" s="164"/>
      <c r="AC80" s="164"/>
      <c r="AD80" s="164"/>
      <c r="AE80" s="164"/>
    </row>
    <row r="81" ht="11.25" customHeight="1">
      <c r="A81" s="413" t="str">
        <f>'1. Справочник'!B83</f>
        <v/>
      </c>
      <c r="B81" s="166">
        <f t="shared" si="1"/>
        <v>80</v>
      </c>
      <c r="C81" s="419" t="str">
        <f>'1. Справочник'!C80</f>
        <v>14-411</v>
      </c>
      <c r="D81" s="254" t="str">
        <f>'1. Справочник'!F80</f>
        <v>Студия/твин</v>
      </c>
      <c r="E81" s="147" t="s">
        <v>321</v>
      </c>
      <c r="F81" s="296" t="s">
        <v>551</v>
      </c>
      <c r="G81" s="204" t="s">
        <v>776</v>
      </c>
      <c r="H81" s="415" t="s">
        <v>777</v>
      </c>
      <c r="I81" s="250" t="s">
        <v>753</v>
      </c>
      <c r="J81" s="421" t="s">
        <v>441</v>
      </c>
      <c r="K81" s="197" t="s">
        <v>441</v>
      </c>
      <c r="L81" s="416" t="s">
        <v>327</v>
      </c>
      <c r="M81" s="416"/>
      <c r="N81" s="417"/>
      <c r="O81" s="368">
        <v>293910.0</v>
      </c>
      <c r="P81" s="368">
        <v>40.0</v>
      </c>
      <c r="Q81" s="368"/>
      <c r="R81" s="158" t="s">
        <v>778</v>
      </c>
      <c r="S81" s="159">
        <v>2.0208925E7</v>
      </c>
      <c r="T81" s="159" t="s">
        <v>707</v>
      </c>
      <c r="U81" s="160"/>
      <c r="V81" s="160"/>
      <c r="W81" s="161"/>
      <c r="X81" s="163"/>
      <c r="Y81" s="162"/>
      <c r="Z81" s="162"/>
      <c r="AA81" s="164"/>
      <c r="AB81" s="164"/>
      <c r="AC81" s="164"/>
      <c r="AD81" s="164"/>
      <c r="AE81" s="164"/>
    </row>
    <row r="82" ht="11.25" customHeight="1">
      <c r="A82" s="413" t="str">
        <f>'1. Справочник'!B85</f>
        <v/>
      </c>
      <c r="B82" s="166">
        <f t="shared" si="1"/>
        <v>81</v>
      </c>
      <c r="C82" s="422" t="str">
        <f>'1. Справочник'!C81</f>
        <v>DL 4-09</v>
      </c>
      <c r="D82" s="254" t="str">
        <f>'1. Справочник'!F81</f>
        <v>Студия</v>
      </c>
      <c r="E82" s="147" t="s">
        <v>321</v>
      </c>
      <c r="F82" s="292" t="s">
        <v>551</v>
      </c>
      <c r="G82" s="293" t="s">
        <v>779</v>
      </c>
      <c r="H82" s="420" t="s">
        <v>780</v>
      </c>
      <c r="I82" s="250" t="s">
        <v>753</v>
      </c>
      <c r="J82" s="173" t="s">
        <v>781</v>
      </c>
      <c r="K82" s="197" t="s">
        <v>441</v>
      </c>
      <c r="L82" s="416" t="s">
        <v>327</v>
      </c>
      <c r="M82" s="416"/>
      <c r="N82" s="417"/>
      <c r="O82" s="368">
        <v>293403.0</v>
      </c>
      <c r="P82" s="368">
        <v>40.0</v>
      </c>
      <c r="Q82" s="368"/>
      <c r="R82" s="195" t="s">
        <v>782</v>
      </c>
      <c r="S82" s="158" t="s">
        <v>783</v>
      </c>
      <c r="T82" s="158"/>
      <c r="U82" s="198" t="s">
        <v>370</v>
      </c>
      <c r="V82" s="160"/>
      <c r="W82" s="161"/>
      <c r="X82" s="311" t="s">
        <v>370</v>
      </c>
      <c r="Y82" s="311" t="s">
        <v>370</v>
      </c>
      <c r="Z82" s="190" t="s">
        <v>370</v>
      </c>
      <c r="AA82" s="164"/>
      <c r="AB82" s="164"/>
      <c r="AC82" s="164"/>
      <c r="AD82" s="164"/>
      <c r="AE82" s="164"/>
    </row>
    <row r="83" ht="11.25" customHeight="1">
      <c r="A83" s="413" t="str">
        <f>'1. Справочник'!B87</f>
        <v/>
      </c>
      <c r="B83" s="166">
        <f t="shared" si="1"/>
        <v>82</v>
      </c>
      <c r="C83" s="419" t="str">
        <f>'1. Справочник'!C82</f>
        <v>DL14-518</v>
      </c>
      <c r="D83" s="254" t="str">
        <f>'1. Справочник'!F82</f>
        <v>Студия</v>
      </c>
      <c r="E83" s="147" t="s">
        <v>321</v>
      </c>
      <c r="F83" s="296" t="s">
        <v>551</v>
      </c>
      <c r="G83" s="204" t="s">
        <v>784</v>
      </c>
      <c r="H83" s="420" t="s">
        <v>785</v>
      </c>
      <c r="I83" s="250" t="s">
        <v>753</v>
      </c>
      <c r="J83" s="421" t="s">
        <v>441</v>
      </c>
      <c r="K83" s="197" t="s">
        <v>441</v>
      </c>
      <c r="L83" s="423" t="s">
        <v>327</v>
      </c>
      <c r="M83" s="416"/>
      <c r="N83" s="417"/>
      <c r="O83" s="368">
        <v>239937.0</v>
      </c>
      <c r="P83" s="368">
        <v>40.0</v>
      </c>
      <c r="Q83" s="368"/>
      <c r="R83" s="158" t="s">
        <v>786</v>
      </c>
      <c r="S83" s="158" t="s">
        <v>787</v>
      </c>
      <c r="T83" s="312" t="s">
        <v>437</v>
      </c>
      <c r="U83" s="160"/>
      <c r="V83" s="160"/>
      <c r="W83" s="161"/>
      <c r="X83" s="163"/>
      <c r="Y83" s="162"/>
      <c r="Z83" s="162"/>
      <c r="AA83" s="164"/>
      <c r="AB83" s="164"/>
      <c r="AC83" s="164"/>
      <c r="AD83" s="164"/>
      <c r="AE83" s="164"/>
    </row>
    <row r="84" ht="11.25" customHeight="1">
      <c r="A84" s="413" t="str">
        <f>'1. Справочник'!B84</f>
        <v/>
      </c>
      <c r="B84" s="166">
        <f t="shared" si="1"/>
        <v>83</v>
      </c>
      <c r="C84" s="419" t="str">
        <f>'1. Справочник'!C83</f>
        <v>DL14-1405</v>
      </c>
      <c r="D84" s="254" t="str">
        <f>'1. Справочник'!F83</f>
        <v>1+1</v>
      </c>
      <c r="E84" s="147" t="s">
        <v>321</v>
      </c>
      <c r="F84" s="292" t="s">
        <v>551</v>
      </c>
      <c r="G84" s="293" t="s">
        <v>788</v>
      </c>
      <c r="H84" s="415" t="s">
        <v>789</v>
      </c>
      <c r="I84" s="250" t="s">
        <v>753</v>
      </c>
      <c r="J84" s="421" t="s">
        <v>441</v>
      </c>
      <c r="K84" s="197" t="s">
        <v>441</v>
      </c>
      <c r="L84" s="416" t="s">
        <v>327</v>
      </c>
      <c r="M84" s="416"/>
      <c r="N84" s="417"/>
      <c r="O84" s="368">
        <v>293802.0</v>
      </c>
      <c r="P84" s="368">
        <v>40.0</v>
      </c>
      <c r="Q84" s="368"/>
      <c r="R84" s="195" t="s">
        <v>370</v>
      </c>
      <c r="S84" s="158"/>
      <c r="T84" s="158"/>
      <c r="U84" s="160"/>
      <c r="V84" s="160"/>
      <c r="W84" s="188" t="s">
        <v>370</v>
      </c>
      <c r="X84" s="188" t="s">
        <v>370</v>
      </c>
      <c r="Y84" s="162"/>
      <c r="Z84" s="190" t="s">
        <v>370</v>
      </c>
      <c r="AA84" s="311" t="s">
        <v>333</v>
      </c>
      <c r="AB84" s="164"/>
      <c r="AC84" s="164"/>
      <c r="AD84" s="164"/>
      <c r="AE84" s="164"/>
    </row>
    <row r="85" ht="11.25" customHeight="1">
      <c r="A85" s="413" t="str">
        <f>'1. Справочник'!B98</f>
        <v>Светлана</v>
      </c>
      <c r="B85" s="166">
        <f t="shared" si="1"/>
        <v>84</v>
      </c>
      <c r="C85" s="419" t="str">
        <f>'1. Справочник'!C87</f>
        <v>DL14-305</v>
      </c>
      <c r="D85" s="254" t="str">
        <f>'1. Справочник'!F87</f>
        <v>Студия</v>
      </c>
      <c r="E85" s="147" t="s">
        <v>321</v>
      </c>
      <c r="F85" s="292" t="s">
        <v>551</v>
      </c>
      <c r="G85" s="424" t="s">
        <v>790</v>
      </c>
      <c r="H85" s="425" t="s">
        <v>791</v>
      </c>
      <c r="I85" s="250" t="s">
        <v>753</v>
      </c>
      <c r="J85" s="421" t="s">
        <v>441</v>
      </c>
      <c r="K85" s="197" t="s">
        <v>441</v>
      </c>
      <c r="L85" s="416" t="s">
        <v>327</v>
      </c>
      <c r="M85" s="416"/>
      <c r="N85" s="417"/>
      <c r="O85" s="368">
        <v>293888.0</v>
      </c>
      <c r="P85" s="368">
        <v>40.0</v>
      </c>
      <c r="Q85" s="368"/>
      <c r="R85" s="158" t="s">
        <v>792</v>
      </c>
      <c r="S85" s="158" t="s">
        <v>793</v>
      </c>
      <c r="T85" s="158" t="s">
        <v>391</v>
      </c>
      <c r="U85" s="160"/>
      <c r="V85" s="160"/>
      <c r="W85" s="161"/>
      <c r="X85" s="163"/>
      <c r="Y85" s="162"/>
      <c r="Z85" s="162"/>
      <c r="AA85" s="164"/>
      <c r="AB85" s="164"/>
      <c r="AC85" s="164"/>
      <c r="AD85" s="164"/>
      <c r="AE85" s="164"/>
    </row>
    <row r="86" ht="11.25" customHeight="1">
      <c r="A86" s="413" t="str">
        <f>'1. Справочник'!B141</f>
        <v/>
      </c>
      <c r="B86" s="166">
        <f t="shared" si="1"/>
        <v>85</v>
      </c>
      <c r="C86" s="419" t="str">
        <f>'1. Справочник'!C84</f>
        <v>DL 14-505</v>
      </c>
      <c r="D86" s="254" t="str">
        <f>'1. Справочник'!F84</f>
        <v>Студия/твин</v>
      </c>
      <c r="E86" s="147" t="s">
        <v>321</v>
      </c>
      <c r="F86" s="292" t="s">
        <v>551</v>
      </c>
      <c r="G86" s="424" t="s">
        <v>790</v>
      </c>
      <c r="H86" s="415" t="s">
        <v>794</v>
      </c>
      <c r="I86" s="250" t="s">
        <v>753</v>
      </c>
      <c r="J86" s="332" t="s">
        <v>795</v>
      </c>
      <c r="K86" s="197" t="s">
        <v>441</v>
      </c>
      <c r="L86" s="416" t="s">
        <v>327</v>
      </c>
      <c r="M86" s="416"/>
      <c r="N86" s="417"/>
      <c r="O86" s="368">
        <v>293922.0</v>
      </c>
      <c r="P86" s="368">
        <v>40.0</v>
      </c>
      <c r="Q86" s="368"/>
      <c r="R86" s="195"/>
      <c r="S86" s="158"/>
      <c r="T86" s="158"/>
      <c r="U86" s="160"/>
      <c r="V86" s="160"/>
      <c r="W86" s="161"/>
      <c r="X86" s="161"/>
      <c r="Y86" s="162"/>
      <c r="Z86" s="162"/>
      <c r="AA86" s="164"/>
      <c r="AB86" s="164"/>
      <c r="AC86" s="164"/>
      <c r="AD86" s="164"/>
      <c r="AE86" s="164"/>
    </row>
    <row r="87" ht="11.25" customHeight="1">
      <c r="A87" s="413" t="str">
        <f>'1. Справочник'!B141</f>
        <v/>
      </c>
      <c r="B87" s="166">
        <f t="shared" si="1"/>
        <v>86</v>
      </c>
      <c r="C87" s="419" t="s">
        <v>233</v>
      </c>
      <c r="D87" s="254" t="s">
        <v>30</v>
      </c>
      <c r="E87" s="147" t="s">
        <v>321</v>
      </c>
      <c r="F87" s="292" t="s">
        <v>796</v>
      </c>
      <c r="G87" s="191" t="s">
        <v>797</v>
      </c>
      <c r="H87" s="426" t="s">
        <v>798</v>
      </c>
      <c r="I87" s="205" t="s">
        <v>799</v>
      </c>
      <c r="J87" s="421"/>
      <c r="K87" s="197"/>
      <c r="L87" s="416"/>
      <c r="M87" s="427"/>
      <c r="N87" s="417"/>
      <c r="O87" s="368">
        <v>293923.0</v>
      </c>
      <c r="P87" s="368">
        <v>40.0</v>
      </c>
      <c r="Q87" s="368"/>
      <c r="R87" s="158" t="s">
        <v>800</v>
      </c>
      <c r="S87" s="158" t="s">
        <v>801</v>
      </c>
      <c r="T87" s="158" t="s">
        <v>802</v>
      </c>
      <c r="U87" s="160"/>
      <c r="V87" s="160"/>
      <c r="W87" s="161"/>
      <c r="X87" s="163"/>
      <c r="Y87" s="162"/>
      <c r="Z87" s="162"/>
      <c r="AA87" s="164"/>
      <c r="AB87" s="164"/>
      <c r="AC87" s="164"/>
      <c r="AD87" s="164"/>
      <c r="AE87" s="164"/>
    </row>
    <row r="88" ht="11.25" customHeight="1">
      <c r="A88" s="413" t="str">
        <f>'1. Справочник'!B143</f>
        <v/>
      </c>
      <c r="B88" s="166">
        <f t="shared" si="1"/>
        <v>87</v>
      </c>
      <c r="C88" s="419" t="str">
        <f>'1. Справочник'!C86</f>
        <v>DL 14-1710</v>
      </c>
      <c r="D88" s="254" t="str">
        <f>'1. Справочник'!F86</f>
        <v>Студия</v>
      </c>
      <c r="E88" s="147" t="s">
        <v>321</v>
      </c>
      <c r="F88" s="292"/>
      <c r="G88" s="191" t="s">
        <v>803</v>
      </c>
      <c r="H88" s="426" t="s">
        <v>804</v>
      </c>
      <c r="I88" s="250" t="s">
        <v>753</v>
      </c>
      <c r="J88" s="421" t="s">
        <v>441</v>
      </c>
      <c r="K88" s="197" t="s">
        <v>441</v>
      </c>
      <c r="L88" s="416" t="s">
        <v>327</v>
      </c>
      <c r="M88" s="427"/>
      <c r="N88" s="417"/>
      <c r="O88" s="368">
        <v>293888.0</v>
      </c>
      <c r="P88" s="368">
        <v>40.0</v>
      </c>
      <c r="Q88" s="368"/>
      <c r="R88" s="158" t="s">
        <v>805</v>
      </c>
      <c r="S88" s="158" t="s">
        <v>806</v>
      </c>
      <c r="T88" s="159" t="s">
        <v>331</v>
      </c>
      <c r="U88" s="428"/>
      <c r="V88" s="160"/>
      <c r="W88" s="161"/>
      <c r="X88" s="163"/>
      <c r="Y88" s="162"/>
      <c r="Z88" s="162"/>
      <c r="AA88" s="164"/>
      <c r="AB88" s="164"/>
      <c r="AC88" s="164"/>
      <c r="AD88" s="164"/>
      <c r="AE88" s="164"/>
    </row>
    <row r="89" ht="11.25" customHeight="1">
      <c r="A89" s="413" t="str">
        <f>'1. Справочник'!B145</f>
        <v/>
      </c>
      <c r="B89" s="166">
        <f t="shared" si="1"/>
        <v>88</v>
      </c>
      <c r="C89" s="419" t="str">
        <f>'1. Справочник'!C88</f>
        <v>DL14-501-502</v>
      </c>
      <c r="D89" s="254" t="str">
        <f>'1. Справочник'!F88</f>
        <v>1+1</v>
      </c>
      <c r="E89" s="147" t="s">
        <v>321</v>
      </c>
      <c r="F89" s="292"/>
      <c r="G89" s="191" t="s">
        <v>790</v>
      </c>
      <c r="H89" s="426" t="s">
        <v>807</v>
      </c>
      <c r="I89" s="250" t="s">
        <v>753</v>
      </c>
      <c r="J89" s="421" t="s">
        <v>441</v>
      </c>
      <c r="K89" s="197" t="s">
        <v>441</v>
      </c>
      <c r="L89" s="416" t="s">
        <v>327</v>
      </c>
      <c r="M89" s="427"/>
      <c r="N89" s="417"/>
      <c r="O89" s="368">
        <v>293918.0</v>
      </c>
      <c r="P89" s="368">
        <v>40.0</v>
      </c>
      <c r="Q89" s="368"/>
      <c r="R89" s="158" t="s">
        <v>808</v>
      </c>
      <c r="S89" s="158" t="s">
        <v>809</v>
      </c>
      <c r="T89" s="158" t="s">
        <v>391</v>
      </c>
      <c r="U89" s="160"/>
      <c r="V89" s="160"/>
      <c r="W89" s="161"/>
      <c r="X89" s="163" t="s">
        <v>408</v>
      </c>
      <c r="Y89" s="162"/>
      <c r="Z89" s="162"/>
      <c r="AA89" s="164"/>
      <c r="AB89" s="164"/>
      <c r="AC89" s="164"/>
      <c r="AD89" s="164"/>
      <c r="AE89" s="164"/>
    </row>
    <row r="90" ht="11.25" customHeight="1">
      <c r="A90" s="413" t="str">
        <f>'1. Справочник'!B99</f>
        <v>Светлана</v>
      </c>
      <c r="B90" s="166">
        <f t="shared" si="1"/>
        <v>89</v>
      </c>
      <c r="C90" s="419" t="str">
        <f>'1. Справочник'!C89</f>
        <v>DL7-16</v>
      </c>
      <c r="D90" s="254" t="s">
        <v>30</v>
      </c>
      <c r="E90" s="203" t="s">
        <v>321</v>
      </c>
      <c r="F90" s="292" t="s">
        <v>810</v>
      </c>
      <c r="G90" s="191" t="s">
        <v>790</v>
      </c>
      <c r="H90" s="415" t="s">
        <v>811</v>
      </c>
      <c r="I90" s="250" t="s">
        <v>753</v>
      </c>
      <c r="J90" s="332" t="s">
        <v>812</v>
      </c>
      <c r="K90" s="197" t="s">
        <v>441</v>
      </c>
      <c r="L90" s="416" t="s">
        <v>327</v>
      </c>
      <c r="M90" s="427"/>
      <c r="N90" s="417"/>
      <c r="O90" s="368">
        <v>293484.0</v>
      </c>
      <c r="P90" s="368">
        <v>40.0</v>
      </c>
      <c r="Q90" s="368"/>
      <c r="R90" s="195" t="s">
        <v>813</v>
      </c>
      <c r="S90" s="159" t="s">
        <v>683</v>
      </c>
      <c r="T90" s="158"/>
      <c r="U90" s="418"/>
      <c r="V90" s="160"/>
      <c r="W90" s="161"/>
      <c r="X90" s="161"/>
      <c r="Y90" s="162"/>
      <c r="Z90" s="311" t="s">
        <v>333</v>
      </c>
      <c r="AA90" s="311" t="s">
        <v>333</v>
      </c>
      <c r="AB90" s="164"/>
      <c r="AC90" s="164" t="s">
        <v>333</v>
      </c>
      <c r="AD90" s="164"/>
      <c r="AE90" s="164"/>
    </row>
    <row r="91" ht="11.25" customHeight="1">
      <c r="A91" s="413" t="str">
        <f>'1. Справочник'!B147</f>
        <v/>
      </c>
      <c r="B91" s="166">
        <f t="shared" si="1"/>
        <v>90</v>
      </c>
      <c r="C91" s="429" t="s">
        <v>226</v>
      </c>
      <c r="D91" s="254" t="s">
        <v>30</v>
      </c>
      <c r="E91" s="203" t="s">
        <v>321</v>
      </c>
      <c r="F91" s="169" t="s">
        <v>814</v>
      </c>
      <c r="G91" s="191" t="s">
        <v>815</v>
      </c>
      <c r="H91" s="430"/>
      <c r="I91" s="205" t="s">
        <v>816</v>
      </c>
      <c r="J91" s="421"/>
      <c r="K91" s="197"/>
      <c r="L91" s="416"/>
      <c r="M91" s="427"/>
      <c r="N91" s="417"/>
      <c r="O91" s="368"/>
      <c r="P91" s="368"/>
      <c r="Q91" s="368"/>
      <c r="R91" s="158"/>
      <c r="S91" s="158"/>
      <c r="T91" s="159"/>
      <c r="U91" s="418"/>
      <c r="V91" s="160"/>
      <c r="W91" s="188" t="s">
        <v>817</v>
      </c>
      <c r="X91" s="163" t="s">
        <v>408</v>
      </c>
      <c r="Y91" s="162"/>
      <c r="Z91" s="162"/>
      <c r="AA91" s="164"/>
      <c r="AB91" s="164"/>
      <c r="AC91" s="164"/>
      <c r="AD91" s="164"/>
      <c r="AE91" s="164"/>
    </row>
    <row r="92" ht="11.25" customHeight="1">
      <c r="A92" s="413" t="str">
        <f>'1. Справочник'!B147</f>
        <v/>
      </c>
      <c r="B92" s="166">
        <f t="shared" si="1"/>
        <v>91</v>
      </c>
      <c r="C92" s="429" t="str">
        <f>'1. Справочник'!C90</f>
        <v>DL 13-206</v>
      </c>
      <c r="D92" s="254" t="str">
        <f>'1. Справочник'!F90</f>
        <v>Студия на 4х</v>
      </c>
      <c r="E92" s="203" t="s">
        <v>321</v>
      </c>
      <c r="F92" s="169"/>
      <c r="G92" s="191" t="s">
        <v>818</v>
      </c>
      <c r="H92" s="415" t="s">
        <v>225</v>
      </c>
      <c r="I92" s="205" t="s">
        <v>819</v>
      </c>
      <c r="J92" s="421"/>
      <c r="K92" s="197"/>
      <c r="L92" s="416"/>
      <c r="M92" s="427"/>
      <c r="N92" s="417"/>
      <c r="O92" s="368"/>
      <c r="P92" s="368"/>
      <c r="Q92" s="368"/>
      <c r="R92" s="158" t="s">
        <v>820</v>
      </c>
      <c r="S92" s="158" t="s">
        <v>821</v>
      </c>
      <c r="T92" s="159" t="s">
        <v>822</v>
      </c>
      <c r="U92" s="418"/>
      <c r="V92" s="160"/>
      <c r="W92" s="161"/>
      <c r="X92" s="163" t="s">
        <v>408</v>
      </c>
      <c r="Y92" s="162"/>
      <c r="Z92" s="162"/>
      <c r="AA92" s="164"/>
      <c r="AB92" s="164"/>
      <c r="AC92" s="164"/>
      <c r="AD92" s="164"/>
      <c r="AE92" s="164"/>
    </row>
    <row r="93" ht="11.25" customHeight="1">
      <c r="A93" s="413" t="str">
        <f>'1. Справочник'!B148</f>
        <v/>
      </c>
      <c r="B93" s="166">
        <f t="shared" si="1"/>
        <v>92</v>
      </c>
      <c r="C93" s="429" t="str">
        <f>'1. Справочник'!C92</f>
        <v>DL 13-709</v>
      </c>
      <c r="D93" s="254" t="str">
        <f>'1. Справочник'!F92</f>
        <v>Студия на 4х</v>
      </c>
      <c r="E93" s="203" t="s">
        <v>321</v>
      </c>
      <c r="F93" s="169"/>
      <c r="G93" s="191" t="s">
        <v>823</v>
      </c>
      <c r="H93" s="415" t="s">
        <v>824</v>
      </c>
      <c r="I93" s="205" t="s">
        <v>825</v>
      </c>
      <c r="J93" s="421"/>
      <c r="K93" s="197"/>
      <c r="L93" s="416"/>
      <c r="M93" s="427"/>
      <c r="N93" s="417"/>
      <c r="O93" s="368"/>
      <c r="P93" s="368"/>
      <c r="Q93" s="368"/>
      <c r="R93" s="158"/>
      <c r="S93" s="158"/>
      <c r="T93" s="158" t="s">
        <v>407</v>
      </c>
      <c r="U93" s="418"/>
      <c r="V93" s="160"/>
      <c r="W93" s="161"/>
      <c r="X93" s="163" t="s">
        <v>408</v>
      </c>
      <c r="Y93" s="162"/>
      <c r="Z93" s="162"/>
      <c r="AA93" s="164"/>
      <c r="AB93" s="164"/>
      <c r="AC93" s="164"/>
      <c r="AD93" s="164"/>
      <c r="AE93" s="164"/>
    </row>
    <row r="94" ht="11.25" customHeight="1">
      <c r="A94" s="413" t="str">
        <f>'1. Справочник'!B149</f>
        <v/>
      </c>
      <c r="B94" s="166">
        <f t="shared" si="1"/>
        <v>93</v>
      </c>
      <c r="C94" s="429" t="str">
        <f>'1. Справочник'!C93</f>
        <v>DL 13-703</v>
      </c>
      <c r="D94" s="254" t="str">
        <f>'1. Справочник'!F93</f>
        <v>1+1</v>
      </c>
      <c r="E94" s="203" t="s">
        <v>321</v>
      </c>
      <c r="F94" s="169" t="s">
        <v>826</v>
      </c>
      <c r="G94" s="191" t="s">
        <v>827</v>
      </c>
      <c r="H94" s="415" t="s">
        <v>828</v>
      </c>
      <c r="I94" s="205" t="s">
        <v>829</v>
      </c>
      <c r="J94" s="421"/>
      <c r="K94" s="197"/>
      <c r="L94" s="416"/>
      <c r="M94" s="427"/>
      <c r="N94" s="417"/>
      <c r="O94" s="368"/>
      <c r="P94" s="368"/>
      <c r="Q94" s="368"/>
      <c r="R94" s="158"/>
      <c r="S94" s="158"/>
      <c r="T94" s="158"/>
      <c r="U94" s="418"/>
      <c r="V94" s="198" t="s">
        <v>370</v>
      </c>
      <c r="W94" s="188" t="s">
        <v>370</v>
      </c>
      <c r="X94" s="163" t="s">
        <v>408</v>
      </c>
      <c r="Y94" s="162"/>
      <c r="Z94" s="162"/>
      <c r="AA94" s="164"/>
      <c r="AB94" s="164"/>
      <c r="AC94" s="164"/>
      <c r="AD94" s="164"/>
      <c r="AE94" s="164"/>
    </row>
    <row r="95" ht="16.5" customHeight="1">
      <c r="A95" s="413" t="str">
        <f>'1. Справочник'!B150</f>
        <v/>
      </c>
      <c r="B95" s="166">
        <f t="shared" si="1"/>
        <v>94</v>
      </c>
      <c r="C95" s="429" t="str">
        <f>'1. Справочник'!C94</f>
        <v>DL 13-1006</v>
      </c>
      <c r="D95" s="254" t="str">
        <f>'1. Справочник'!F94</f>
        <v>1+1</v>
      </c>
      <c r="E95" s="203" t="s">
        <v>321</v>
      </c>
      <c r="F95" s="169" t="s">
        <v>830</v>
      </c>
      <c r="G95" s="431" t="s">
        <v>831</v>
      </c>
      <c r="H95" s="2"/>
      <c r="I95" s="205" t="s">
        <v>832</v>
      </c>
      <c r="J95" s="421"/>
      <c r="K95" s="197"/>
      <c r="L95" s="416"/>
      <c r="M95" s="427"/>
      <c r="N95" s="417"/>
      <c r="O95" s="368"/>
      <c r="P95" s="368"/>
      <c r="Q95" s="368"/>
      <c r="R95" s="158" t="s">
        <v>833</v>
      </c>
      <c r="S95" s="158" t="s">
        <v>834</v>
      </c>
      <c r="T95" s="312" t="s">
        <v>835</v>
      </c>
      <c r="U95" s="432"/>
      <c r="V95" s="432"/>
      <c r="W95" s="161"/>
      <c r="X95" s="163"/>
      <c r="Y95" s="162"/>
      <c r="Z95" s="162"/>
      <c r="AA95" s="164"/>
      <c r="AB95" s="164"/>
      <c r="AC95" s="164"/>
      <c r="AD95" s="164"/>
      <c r="AE95" s="164"/>
    </row>
    <row r="96" ht="16.5" customHeight="1">
      <c r="A96" s="413" t="str">
        <f>'1. Справочник'!B100</f>
        <v>Светлана</v>
      </c>
      <c r="B96" s="166">
        <f t="shared" si="1"/>
        <v>95</v>
      </c>
      <c r="C96" s="429" t="str">
        <f>'1. Справочник'!C95</f>
        <v>DL 13-1106</v>
      </c>
      <c r="D96" s="254" t="str">
        <f>'1. Справочник'!F94</f>
        <v>1+1</v>
      </c>
      <c r="E96" s="203" t="s">
        <v>321</v>
      </c>
      <c r="F96" s="169" t="s">
        <v>836</v>
      </c>
      <c r="G96" s="431" t="s">
        <v>837</v>
      </c>
      <c r="H96" s="2"/>
      <c r="I96" s="205" t="s">
        <v>832</v>
      </c>
      <c r="J96" s="421"/>
      <c r="K96" s="197"/>
      <c r="L96" s="416"/>
      <c r="M96" s="427"/>
      <c r="N96" s="417"/>
      <c r="O96" s="368"/>
      <c r="P96" s="368"/>
      <c r="Q96" s="368"/>
      <c r="R96" s="158"/>
      <c r="S96" s="158"/>
      <c r="T96" s="312"/>
      <c r="U96" s="432"/>
      <c r="V96" s="432"/>
      <c r="W96" s="188"/>
      <c r="X96" s="162" t="s">
        <v>332</v>
      </c>
      <c r="Y96" s="162" t="s">
        <v>332</v>
      </c>
      <c r="Z96" s="162"/>
      <c r="AA96" s="164"/>
      <c r="AB96" s="164"/>
      <c r="AC96" s="164"/>
      <c r="AD96" s="164"/>
      <c r="AE96" s="164"/>
    </row>
    <row r="97" ht="11.25" customHeight="1">
      <c r="A97" s="433" t="str">
        <f>'1. Справочник'!B140</f>
        <v/>
      </c>
      <c r="B97" s="166">
        <f t="shared" si="1"/>
        <v>96</v>
      </c>
      <c r="C97" s="434" t="str">
        <f>'1. Справочник'!C140</f>
        <v>TGA1</v>
      </c>
      <c r="D97" s="146" t="str">
        <f>'1. Справочник'!F140</f>
        <v>1+2</v>
      </c>
      <c r="E97" s="282" t="s">
        <v>321</v>
      </c>
      <c r="F97" s="435" t="s">
        <v>838</v>
      </c>
      <c r="G97" s="436" t="s">
        <v>839</v>
      </c>
      <c r="H97" s="437" t="s">
        <v>840</v>
      </c>
      <c r="I97" s="438" t="s">
        <v>841</v>
      </c>
      <c r="J97" s="439" t="s">
        <v>842</v>
      </c>
      <c r="K97" s="371" t="s">
        <v>441</v>
      </c>
      <c r="L97" s="154">
        <v>2.116441487E9</v>
      </c>
      <c r="M97" s="155">
        <v>6.11036178E9</v>
      </c>
      <c r="N97" s="440" t="s">
        <v>843</v>
      </c>
      <c r="O97" s="441">
        <v>4.22196093E8</v>
      </c>
      <c r="P97" s="441">
        <v>42.0</v>
      </c>
      <c r="Q97" s="441"/>
      <c r="R97" s="264" t="s">
        <v>407</v>
      </c>
      <c r="S97" s="442"/>
      <c r="T97" s="443"/>
      <c r="U97" s="179"/>
      <c r="V97" s="179"/>
      <c r="W97" s="163"/>
      <c r="X97" s="163"/>
      <c r="Y97" s="163"/>
      <c r="Z97" s="163" t="s">
        <v>844</v>
      </c>
      <c r="AA97" s="164"/>
      <c r="AB97" s="164"/>
      <c r="AC97" s="164"/>
      <c r="AD97" s="164"/>
      <c r="AE97" s="164"/>
    </row>
    <row r="98" ht="11.25" hidden="1" customHeight="1">
      <c r="A98" s="165" t="str">
        <f>'1. Справочник'!B96</f>
        <v/>
      </c>
      <c r="B98" s="166">
        <f t="shared" si="1"/>
        <v>97</v>
      </c>
      <c r="C98" s="444" t="str">
        <f>'1. Справочник'!C98</f>
        <v>TGA2</v>
      </c>
      <c r="D98" s="168" t="str">
        <f>'1. Справочник'!F98</f>
        <v>1+1</v>
      </c>
      <c r="E98" s="147" t="s">
        <v>321</v>
      </c>
      <c r="F98" s="182"/>
      <c r="G98" s="333" t="s">
        <v>839</v>
      </c>
      <c r="H98" s="194" t="s">
        <v>845</v>
      </c>
      <c r="I98" s="250" t="s">
        <v>841</v>
      </c>
      <c r="J98" s="202" t="s">
        <v>846</v>
      </c>
      <c r="K98" s="371" t="s">
        <v>441</v>
      </c>
      <c r="L98" s="175">
        <v>2.116441498E9</v>
      </c>
      <c r="M98" s="176">
        <v>6.110363032E9</v>
      </c>
      <c r="N98" s="445" t="s">
        <v>847</v>
      </c>
      <c r="O98" s="441">
        <v>4.22410189E8</v>
      </c>
      <c r="P98" s="441">
        <v>42.0</v>
      </c>
      <c r="Q98" s="441"/>
      <c r="R98" s="236"/>
      <c r="S98" s="236"/>
      <c r="T98" s="443"/>
      <c r="U98" s="179"/>
      <c r="V98" s="179"/>
      <c r="W98" s="163"/>
      <c r="X98" s="163"/>
      <c r="Y98" s="163"/>
      <c r="Z98" s="163"/>
      <c r="AA98" s="164"/>
      <c r="AB98" s="164"/>
      <c r="AC98" s="164"/>
      <c r="AD98" s="164"/>
      <c r="AE98" s="164"/>
    </row>
    <row r="99" ht="11.25" hidden="1" customHeight="1">
      <c r="A99" s="413" t="str">
        <f>'1. Справочник'!B141</f>
        <v/>
      </c>
      <c r="B99" s="166">
        <f t="shared" si="1"/>
        <v>98</v>
      </c>
      <c r="C99" s="444" t="str">
        <f>'1. Справочник'!C141</f>
        <v>TGA3</v>
      </c>
      <c r="D99" s="168" t="str">
        <f>'1. Справочник'!F141</f>
        <v>Студия</v>
      </c>
      <c r="E99" s="147" t="s">
        <v>321</v>
      </c>
      <c r="F99" s="182"/>
      <c r="G99" s="333" t="s">
        <v>839</v>
      </c>
      <c r="H99" s="194" t="s">
        <v>848</v>
      </c>
      <c r="I99" s="250" t="s">
        <v>841</v>
      </c>
      <c r="J99" s="202" t="s">
        <v>849</v>
      </c>
      <c r="K99" s="371" t="s">
        <v>441</v>
      </c>
      <c r="L99" s="175">
        <v>2.116441502E9</v>
      </c>
      <c r="M99" s="176">
        <v>6.110363122E9</v>
      </c>
      <c r="N99" s="445" t="s">
        <v>850</v>
      </c>
      <c r="O99" s="441">
        <v>4.22881705E8</v>
      </c>
      <c r="P99" s="441">
        <v>51.0</v>
      </c>
      <c r="Q99" s="441"/>
      <c r="R99" s="236"/>
      <c r="S99" s="236"/>
      <c r="T99" s="443"/>
      <c r="U99" s="179"/>
      <c r="V99" s="179"/>
      <c r="W99" s="163"/>
      <c r="X99" s="163"/>
      <c r="Y99" s="163"/>
      <c r="Z99" s="163"/>
      <c r="AA99" s="164"/>
      <c r="AB99" s="164"/>
      <c r="AC99" s="164"/>
      <c r="AD99" s="164"/>
      <c r="AE99" s="164"/>
    </row>
    <row r="100" ht="11.25" hidden="1" customHeight="1">
      <c r="A100" s="413" t="str">
        <f>'1. Справочник'!B142</f>
        <v/>
      </c>
      <c r="B100" s="166">
        <f t="shared" si="1"/>
        <v>99</v>
      </c>
      <c r="C100" s="444" t="str">
        <f>'1. Справочник'!C142</f>
        <v>TGA4</v>
      </c>
      <c r="D100" s="168" t="str">
        <f>'1. Справочник'!F142</f>
        <v>1+1</v>
      </c>
      <c r="E100" s="147" t="s">
        <v>321</v>
      </c>
      <c r="F100" s="182"/>
      <c r="G100" s="333" t="s">
        <v>839</v>
      </c>
      <c r="H100" s="194" t="s">
        <v>851</v>
      </c>
      <c r="I100" s="250" t="s">
        <v>841</v>
      </c>
      <c r="J100" s="202" t="s">
        <v>846</v>
      </c>
      <c r="K100" s="371" t="s">
        <v>441</v>
      </c>
      <c r="L100" s="175">
        <v>2.116441513E9</v>
      </c>
      <c r="M100" s="176">
        <v>6.11036304E9</v>
      </c>
      <c r="N100" s="445" t="s">
        <v>852</v>
      </c>
      <c r="O100" s="441">
        <v>4.22740287E8</v>
      </c>
      <c r="P100" s="441">
        <v>42.0</v>
      </c>
      <c r="Q100" s="441"/>
      <c r="R100" s="236"/>
      <c r="S100" s="236"/>
      <c r="T100" s="443"/>
      <c r="U100" s="179"/>
      <c r="V100" s="179"/>
      <c r="W100" s="163"/>
      <c r="X100" s="163"/>
      <c r="Y100" s="163"/>
      <c r="Z100" s="163"/>
      <c r="AA100" s="164"/>
      <c r="AB100" s="164"/>
      <c r="AC100" s="164"/>
      <c r="AD100" s="164"/>
      <c r="AE100" s="164"/>
    </row>
    <row r="101" ht="11.25" hidden="1" customHeight="1">
      <c r="A101" s="413" t="str">
        <f>'1. Справочник'!B143</f>
        <v/>
      </c>
      <c r="B101" s="166">
        <f t="shared" si="1"/>
        <v>100</v>
      </c>
      <c r="C101" s="444" t="str">
        <f>'1. Справочник'!C143</f>
        <v>TGA5</v>
      </c>
      <c r="D101" s="168" t="str">
        <f>'1. Справочник'!F143</f>
        <v>Студия</v>
      </c>
      <c r="E101" s="147" t="s">
        <v>321</v>
      </c>
      <c r="F101" s="182"/>
      <c r="G101" s="333" t="s">
        <v>839</v>
      </c>
      <c r="H101" s="194" t="s">
        <v>853</v>
      </c>
      <c r="I101" s="250" t="s">
        <v>841</v>
      </c>
      <c r="J101" s="202" t="s">
        <v>849</v>
      </c>
      <c r="K101" s="371" t="s">
        <v>441</v>
      </c>
      <c r="L101" s="175">
        <v>2.116441524E9</v>
      </c>
      <c r="M101" s="176">
        <v>6.1103631E9</v>
      </c>
      <c r="N101" s="445" t="s">
        <v>854</v>
      </c>
      <c r="O101" s="441">
        <v>4.22939148E8</v>
      </c>
      <c r="P101" s="441">
        <v>42.0</v>
      </c>
      <c r="Q101" s="441"/>
      <c r="R101" s="236"/>
      <c r="S101" s="236"/>
      <c r="T101" s="443"/>
      <c r="U101" s="179"/>
      <c r="V101" s="179"/>
      <c r="W101" s="163"/>
      <c r="X101" s="163"/>
      <c r="Y101" s="163"/>
      <c r="Z101" s="163"/>
      <c r="AA101" s="164"/>
      <c r="AB101" s="164"/>
      <c r="AC101" s="164"/>
      <c r="AD101" s="164"/>
      <c r="AE101" s="164"/>
    </row>
    <row r="102" ht="11.25" hidden="1" customHeight="1">
      <c r="A102" s="413" t="str">
        <f>'1. Справочник'!B144</f>
        <v/>
      </c>
      <c r="B102" s="166">
        <f t="shared" si="1"/>
        <v>101</v>
      </c>
      <c r="C102" s="444" t="str">
        <f>'1. Справочник'!C144</f>
        <v>TGA6</v>
      </c>
      <c r="D102" s="168" t="str">
        <f>'1. Справочник'!F144</f>
        <v>Студия</v>
      </c>
      <c r="E102" s="147" t="s">
        <v>321</v>
      </c>
      <c r="F102" s="182"/>
      <c r="G102" s="333" t="s">
        <v>839</v>
      </c>
      <c r="H102" s="194" t="s">
        <v>855</v>
      </c>
      <c r="I102" s="250" t="s">
        <v>841</v>
      </c>
      <c r="J102" s="202" t="s">
        <v>849</v>
      </c>
      <c r="K102" s="371" t="s">
        <v>441</v>
      </c>
      <c r="L102" s="175">
        <v>2.116441535E9</v>
      </c>
      <c r="M102" s="176">
        <v>6.11036301E9</v>
      </c>
      <c r="N102" s="445" t="s">
        <v>856</v>
      </c>
      <c r="O102" s="441">
        <v>4.22474071E8</v>
      </c>
      <c r="P102" s="441">
        <v>42.0</v>
      </c>
      <c r="Q102" s="441"/>
      <c r="R102" s="236"/>
      <c r="S102" s="236"/>
      <c r="T102" s="443"/>
      <c r="U102" s="179"/>
      <c r="V102" s="179"/>
      <c r="W102" s="163"/>
      <c r="X102" s="163"/>
      <c r="Y102" s="163"/>
      <c r="Z102" s="163"/>
      <c r="AA102" s="164"/>
      <c r="AB102" s="164"/>
      <c r="AC102" s="164"/>
      <c r="AD102" s="164"/>
      <c r="AE102" s="164"/>
    </row>
    <row r="103" ht="11.25" hidden="1" customHeight="1">
      <c r="A103" s="413" t="str">
        <f>'1. Справочник'!B145</f>
        <v/>
      </c>
      <c r="B103" s="166">
        <f t="shared" si="1"/>
        <v>102</v>
      </c>
      <c r="C103" s="444" t="str">
        <f>'1. Справочник'!C145</f>
        <v>TGA7</v>
      </c>
      <c r="D103" s="168" t="str">
        <f>'1. Справочник'!F145</f>
        <v>1+1</v>
      </c>
      <c r="E103" s="147" t="s">
        <v>321</v>
      </c>
      <c r="F103" s="182"/>
      <c r="G103" s="333" t="s">
        <v>839</v>
      </c>
      <c r="H103" s="194" t="s">
        <v>857</v>
      </c>
      <c r="I103" s="250" t="s">
        <v>841</v>
      </c>
      <c r="J103" s="202" t="s">
        <v>858</v>
      </c>
      <c r="K103" s="371" t="s">
        <v>441</v>
      </c>
      <c r="L103" s="175">
        <v>2.116441546E9</v>
      </c>
      <c r="M103" s="176">
        <v>6.110363081E9</v>
      </c>
      <c r="N103" s="445" t="s">
        <v>859</v>
      </c>
      <c r="O103" s="441">
        <v>4.22367309E8</v>
      </c>
      <c r="P103" s="441">
        <v>42.0</v>
      </c>
      <c r="Q103" s="441"/>
      <c r="R103" s="236"/>
      <c r="S103" s="236"/>
      <c r="T103" s="443"/>
      <c r="U103" s="179"/>
      <c r="V103" s="179"/>
      <c r="W103" s="163"/>
      <c r="X103" s="163"/>
      <c r="Y103" s="163"/>
      <c r="Z103" s="163"/>
      <c r="AA103" s="164"/>
      <c r="AB103" s="164"/>
      <c r="AC103" s="164"/>
      <c r="AD103" s="164"/>
      <c r="AE103" s="164"/>
    </row>
    <row r="104" ht="11.25" hidden="1" customHeight="1">
      <c r="A104" s="413" t="str">
        <f>'1. Справочник'!B146</f>
        <v/>
      </c>
      <c r="B104" s="166">
        <f t="shared" si="1"/>
        <v>103</v>
      </c>
      <c r="C104" s="444" t="str">
        <f>'1. Справочник'!C146</f>
        <v>TGA8</v>
      </c>
      <c r="D104" s="168" t="str">
        <f>'1. Справочник'!F146</f>
        <v>Студия</v>
      </c>
      <c r="E104" s="147" t="s">
        <v>321</v>
      </c>
      <c r="F104" s="182"/>
      <c r="G104" s="333" t="s">
        <v>839</v>
      </c>
      <c r="H104" s="194" t="s">
        <v>860</v>
      </c>
      <c r="I104" s="250" t="s">
        <v>841</v>
      </c>
      <c r="J104" s="202" t="s">
        <v>861</v>
      </c>
      <c r="K104" s="371" t="s">
        <v>441</v>
      </c>
      <c r="L104" s="175">
        <v>2.116441557E9</v>
      </c>
      <c r="M104" s="176">
        <v>6.110363002E9</v>
      </c>
      <c r="N104" s="445" t="s">
        <v>862</v>
      </c>
      <c r="O104" s="441">
        <v>4.22660277E8</v>
      </c>
      <c r="P104" s="441">
        <v>42.0</v>
      </c>
      <c r="Q104" s="441"/>
      <c r="R104" s="236"/>
      <c r="S104" s="236"/>
      <c r="T104" s="443"/>
      <c r="U104" s="179"/>
      <c r="V104" s="179"/>
      <c r="W104" s="163"/>
      <c r="X104" s="163"/>
      <c r="Y104" s="163"/>
      <c r="Z104" s="163"/>
      <c r="AA104" s="164"/>
      <c r="AB104" s="164"/>
      <c r="AC104" s="164"/>
      <c r="AD104" s="164"/>
      <c r="AE104" s="164"/>
    </row>
    <row r="105" ht="11.25" hidden="1" customHeight="1">
      <c r="A105" s="413" t="str">
        <f>'1. Справочник'!B99</f>
        <v>Светлана</v>
      </c>
      <c r="B105" s="166">
        <f t="shared" si="1"/>
        <v>104</v>
      </c>
      <c r="C105" s="444" t="str">
        <f>'1. Справочник'!C99</f>
        <v>TGA9</v>
      </c>
      <c r="D105" s="168" t="str">
        <f>'1. Справочник'!F99</f>
        <v>1+1</v>
      </c>
      <c r="E105" s="147" t="s">
        <v>321</v>
      </c>
      <c r="F105" s="182"/>
      <c r="G105" s="333" t="s">
        <v>839</v>
      </c>
      <c r="H105" s="194" t="s">
        <v>863</v>
      </c>
      <c r="I105" s="250" t="s">
        <v>841</v>
      </c>
      <c r="J105" s="202" t="s">
        <v>858</v>
      </c>
      <c r="K105" s="371" t="s">
        <v>441</v>
      </c>
      <c r="L105" s="175">
        <v>2.116441568E9</v>
      </c>
      <c r="M105" s="176">
        <v>6.11036298E9</v>
      </c>
      <c r="N105" s="445" t="s">
        <v>864</v>
      </c>
      <c r="O105" s="441">
        <v>4.22325794E8</v>
      </c>
      <c r="P105" s="441">
        <v>42.0</v>
      </c>
      <c r="Q105" s="441"/>
      <c r="R105" s="236"/>
      <c r="S105" s="236"/>
      <c r="T105" s="443"/>
      <c r="U105" s="179"/>
      <c r="V105" s="179"/>
      <c r="W105" s="163"/>
      <c r="X105" s="163"/>
      <c r="Y105" s="163"/>
      <c r="Z105" s="163"/>
      <c r="AA105" s="164"/>
      <c r="AB105" s="164"/>
      <c r="AC105" s="164"/>
      <c r="AD105" s="164"/>
      <c r="AE105" s="164"/>
    </row>
    <row r="106" ht="11.25" hidden="1" customHeight="1">
      <c r="A106" s="413" t="str">
        <f>'1. Справочник'!B147</f>
        <v/>
      </c>
      <c r="B106" s="166">
        <f t="shared" si="1"/>
        <v>105</v>
      </c>
      <c r="C106" s="444" t="str">
        <f>'1. Справочник'!C147</f>
        <v>TGA10</v>
      </c>
      <c r="D106" s="168" t="str">
        <f>'1. Справочник'!F147</f>
        <v>1+2</v>
      </c>
      <c r="E106" s="147" t="s">
        <v>321</v>
      </c>
      <c r="F106" s="182"/>
      <c r="G106" s="446" t="s">
        <v>790</v>
      </c>
      <c r="H106" s="194" t="s">
        <v>865</v>
      </c>
      <c r="I106" s="250" t="s">
        <v>841</v>
      </c>
      <c r="J106" s="202" t="s">
        <v>866</v>
      </c>
      <c r="K106" s="371" t="s">
        <v>441</v>
      </c>
      <c r="L106" s="175">
        <v>2.116441637E9</v>
      </c>
      <c r="M106" s="447">
        <v>6.110362972E9</v>
      </c>
      <c r="N106" s="445" t="s">
        <v>867</v>
      </c>
      <c r="O106" s="448">
        <v>4.22444717E8</v>
      </c>
      <c r="P106" s="448">
        <v>42.0</v>
      </c>
      <c r="Q106" s="448"/>
      <c r="R106" s="236"/>
      <c r="S106" s="236"/>
      <c r="T106" s="443"/>
      <c r="U106" s="179"/>
      <c r="V106" s="179"/>
      <c r="W106" s="163"/>
      <c r="X106" s="163"/>
      <c r="Y106" s="163"/>
      <c r="Z106" s="163"/>
      <c r="AA106" s="164"/>
      <c r="AB106" s="164"/>
      <c r="AC106" s="164"/>
      <c r="AD106" s="164"/>
      <c r="AE106" s="164"/>
    </row>
    <row r="107" ht="11.25" hidden="1" customHeight="1">
      <c r="A107" s="413" t="str">
        <f>'1. Справочник'!B148</f>
        <v/>
      </c>
      <c r="B107" s="166">
        <f t="shared" si="1"/>
        <v>106</v>
      </c>
      <c r="C107" s="444" t="str">
        <f>'1. Справочник'!C148</f>
        <v>TGB1</v>
      </c>
      <c r="D107" s="168" t="str">
        <f>'1. Справочник'!F148</f>
        <v>1+1</v>
      </c>
      <c r="E107" s="147" t="s">
        <v>321</v>
      </c>
      <c r="F107" s="449" t="s">
        <v>838</v>
      </c>
      <c r="G107" s="333" t="s">
        <v>839</v>
      </c>
      <c r="H107" s="194" t="s">
        <v>868</v>
      </c>
      <c r="I107" s="250" t="s">
        <v>841</v>
      </c>
      <c r="J107" s="202" t="s">
        <v>869</v>
      </c>
      <c r="K107" s="371" t="s">
        <v>441</v>
      </c>
      <c r="L107" s="175">
        <v>2.116576549E9</v>
      </c>
      <c r="M107" s="176">
        <v>6.110363021E9</v>
      </c>
      <c r="N107" s="445" t="s">
        <v>870</v>
      </c>
      <c r="O107" s="441">
        <v>4.22433459E8</v>
      </c>
      <c r="P107" s="441">
        <v>33.0</v>
      </c>
      <c r="Q107" s="441"/>
      <c r="R107" s="236"/>
      <c r="S107" s="236"/>
      <c r="T107" s="443"/>
      <c r="U107" s="179"/>
      <c r="V107" s="179"/>
      <c r="W107" s="163"/>
      <c r="X107" s="163"/>
      <c r="Y107" s="163"/>
      <c r="Z107" s="163"/>
      <c r="AA107" s="164"/>
      <c r="AB107" s="164"/>
      <c r="AC107" s="164"/>
      <c r="AD107" s="164"/>
      <c r="AE107" s="164"/>
    </row>
    <row r="108" ht="11.25" hidden="1" customHeight="1">
      <c r="A108" s="413" t="str">
        <f>'1. Справочник'!B149</f>
        <v/>
      </c>
      <c r="B108" s="166">
        <f t="shared" si="1"/>
        <v>107</v>
      </c>
      <c r="C108" s="444" t="str">
        <f>'1. Справочник'!C149</f>
        <v>TGB2</v>
      </c>
      <c r="D108" s="168" t="str">
        <f>'1. Справочник'!F149</f>
        <v>Студия</v>
      </c>
      <c r="E108" s="147" t="s">
        <v>321</v>
      </c>
      <c r="F108" s="182"/>
      <c r="G108" s="333" t="s">
        <v>839</v>
      </c>
      <c r="H108" s="194" t="s">
        <v>871</v>
      </c>
      <c r="I108" s="250" t="s">
        <v>841</v>
      </c>
      <c r="J108" s="202" t="s">
        <v>872</v>
      </c>
      <c r="K108" s="371" t="s">
        <v>441</v>
      </c>
      <c r="L108" s="175">
        <v>2.11657655E9</v>
      </c>
      <c r="M108" s="176">
        <v>6.110362961E9</v>
      </c>
      <c r="N108" s="445" t="s">
        <v>873</v>
      </c>
      <c r="O108" s="441">
        <v>4.226691E8</v>
      </c>
      <c r="P108" s="441">
        <v>38.0</v>
      </c>
      <c r="Q108" s="441"/>
      <c r="R108" s="236"/>
      <c r="S108" s="236"/>
      <c r="T108" s="443"/>
      <c r="U108" s="179"/>
      <c r="V108" s="179"/>
      <c r="W108" s="163"/>
      <c r="X108" s="163"/>
      <c r="Y108" s="163"/>
      <c r="Z108" s="163"/>
      <c r="AA108" s="164"/>
      <c r="AB108" s="164"/>
      <c r="AC108" s="164"/>
      <c r="AD108" s="164"/>
      <c r="AE108" s="164"/>
    </row>
    <row r="109" ht="11.25" hidden="1" customHeight="1">
      <c r="A109" s="413" t="str">
        <f>'1. Справочник'!B100</f>
        <v>Светлана</v>
      </c>
      <c r="B109" s="166">
        <f t="shared" si="1"/>
        <v>108</v>
      </c>
      <c r="C109" s="444" t="str">
        <f>'1. Справочник'!C100</f>
        <v>TGB3</v>
      </c>
      <c r="D109" s="168" t="str">
        <f>'1. Справочник'!F100</f>
        <v>Студия</v>
      </c>
      <c r="E109" s="147" t="s">
        <v>321</v>
      </c>
      <c r="F109" s="182"/>
      <c r="G109" s="333" t="s">
        <v>839</v>
      </c>
      <c r="H109" s="194" t="s">
        <v>874</v>
      </c>
      <c r="I109" s="250" t="s">
        <v>841</v>
      </c>
      <c r="J109" s="202" t="s">
        <v>872</v>
      </c>
      <c r="K109" s="371" t="s">
        <v>441</v>
      </c>
      <c r="L109" s="175">
        <v>2.116576561E9</v>
      </c>
      <c r="M109" s="176">
        <v>6.11036295E9</v>
      </c>
      <c r="N109" s="445" t="s">
        <v>875</v>
      </c>
      <c r="O109" s="441">
        <v>4.22752735E8</v>
      </c>
      <c r="P109" s="441">
        <v>33.0</v>
      </c>
      <c r="Q109" s="441"/>
      <c r="R109" s="236"/>
      <c r="S109" s="236"/>
      <c r="T109" s="443"/>
      <c r="U109" s="179"/>
      <c r="V109" s="179"/>
      <c r="W109" s="163"/>
      <c r="X109" s="163"/>
      <c r="Y109" s="163"/>
      <c r="Z109" s="163"/>
      <c r="AA109" s="164"/>
      <c r="AB109" s="164"/>
      <c r="AC109" s="164"/>
      <c r="AD109" s="164"/>
      <c r="AE109" s="164"/>
    </row>
    <row r="110" ht="11.25" hidden="1" customHeight="1">
      <c r="A110" s="413" t="str">
        <f>'1. Справочник'!B150</f>
        <v/>
      </c>
      <c r="B110" s="166">
        <f t="shared" si="1"/>
        <v>109</v>
      </c>
      <c r="C110" s="444" t="str">
        <f>'1. Справочник'!C150</f>
        <v>TGB4</v>
      </c>
      <c r="D110" s="168" t="str">
        <f>'1. Справочник'!F150</f>
        <v>Студия</v>
      </c>
      <c r="E110" s="147" t="s">
        <v>321</v>
      </c>
      <c r="F110" s="182"/>
      <c r="G110" s="333" t="s">
        <v>839</v>
      </c>
      <c r="H110" s="450" t="s">
        <v>876</v>
      </c>
      <c r="I110" s="250" t="s">
        <v>841</v>
      </c>
      <c r="J110" s="202" t="s">
        <v>877</v>
      </c>
      <c r="K110" s="371" t="s">
        <v>441</v>
      </c>
      <c r="L110" s="175">
        <v>2.116576572E9</v>
      </c>
      <c r="M110" s="176">
        <v>6.110362942E9</v>
      </c>
      <c r="N110" s="445" t="s">
        <v>878</v>
      </c>
      <c r="O110" s="441">
        <v>4.22320003E8</v>
      </c>
      <c r="P110" s="441">
        <v>33.0</v>
      </c>
      <c r="Q110" s="441"/>
      <c r="R110" s="236"/>
      <c r="S110" s="236"/>
      <c r="T110" s="443"/>
      <c r="U110" s="179"/>
      <c r="V110" s="179"/>
      <c r="W110" s="163"/>
      <c r="X110" s="163"/>
      <c r="Y110" s="163"/>
      <c r="Z110" s="163"/>
      <c r="AA110" s="164"/>
      <c r="AB110" s="164"/>
      <c r="AC110" s="164"/>
      <c r="AD110" s="164"/>
      <c r="AE110" s="164"/>
    </row>
    <row r="111" ht="11.25" hidden="1" customHeight="1">
      <c r="A111" s="413" t="str">
        <f>'1. Справочник'!B151</f>
        <v/>
      </c>
      <c r="B111" s="166">
        <f t="shared" si="1"/>
        <v>110</v>
      </c>
      <c r="C111" s="444" t="str">
        <f>'1. Справочник'!C151</f>
        <v>TGB5</v>
      </c>
      <c r="D111" s="168" t="str">
        <f>'1. Справочник'!F151</f>
        <v>1+1</v>
      </c>
      <c r="E111" s="147" t="s">
        <v>321</v>
      </c>
      <c r="F111" s="182"/>
      <c r="G111" s="333" t="s">
        <v>839</v>
      </c>
      <c r="H111" s="194" t="s">
        <v>879</v>
      </c>
      <c r="I111" s="250" t="s">
        <v>841</v>
      </c>
      <c r="J111" s="202" t="s">
        <v>880</v>
      </c>
      <c r="K111" s="371" t="s">
        <v>441</v>
      </c>
      <c r="L111" s="175">
        <v>2.116576583E9</v>
      </c>
      <c r="M111" s="176">
        <v>6.110362931E9</v>
      </c>
      <c r="N111" s="445" t="s">
        <v>881</v>
      </c>
      <c r="O111" s="441">
        <v>4.22281971E8</v>
      </c>
      <c r="P111" s="441">
        <v>33.0</v>
      </c>
      <c r="Q111" s="441"/>
      <c r="R111" s="236"/>
      <c r="S111" s="236"/>
      <c r="T111" s="443"/>
      <c r="U111" s="179"/>
      <c r="V111" s="179"/>
      <c r="W111" s="163"/>
      <c r="X111" s="163"/>
      <c r="Y111" s="163"/>
      <c r="Z111" s="163"/>
      <c r="AA111" s="164"/>
      <c r="AB111" s="164"/>
      <c r="AC111" s="164"/>
      <c r="AD111" s="164"/>
      <c r="AE111" s="164"/>
    </row>
    <row r="112" ht="11.25" hidden="1" customHeight="1">
      <c r="A112" s="413" t="str">
        <f>'1. Справочник'!B152</f>
        <v/>
      </c>
      <c r="B112" s="166">
        <f t="shared" si="1"/>
        <v>111</v>
      </c>
      <c r="C112" s="444" t="str">
        <f>'1. Справочник'!C152</f>
        <v>TGB6</v>
      </c>
      <c r="D112" s="168" t="str">
        <f>'1. Справочник'!F152</f>
        <v>1+1</v>
      </c>
      <c r="E112" s="147" t="s">
        <v>321</v>
      </c>
      <c r="F112" s="182"/>
      <c r="G112" s="333" t="s">
        <v>839</v>
      </c>
      <c r="H112" s="194" t="s">
        <v>882</v>
      </c>
      <c r="I112" s="250" t="s">
        <v>841</v>
      </c>
      <c r="J112" s="202" t="s">
        <v>883</v>
      </c>
      <c r="K112" s="371" t="s">
        <v>441</v>
      </c>
      <c r="L112" s="175">
        <v>2.116576594E9</v>
      </c>
      <c r="M112" s="447">
        <v>6.11036313E9</v>
      </c>
      <c r="N112" s="445" t="s">
        <v>884</v>
      </c>
      <c r="O112" s="441">
        <v>4.22169558E8</v>
      </c>
      <c r="P112" s="441">
        <v>33.0</v>
      </c>
      <c r="Q112" s="441"/>
      <c r="R112" s="236"/>
      <c r="S112" s="236"/>
      <c r="T112" s="443"/>
      <c r="U112" s="179"/>
      <c r="V112" s="179"/>
      <c r="W112" s="163"/>
      <c r="X112" s="163"/>
      <c r="Y112" s="163"/>
      <c r="Z112" s="163"/>
      <c r="AA112" s="164"/>
      <c r="AB112" s="164"/>
      <c r="AC112" s="164"/>
      <c r="AD112" s="164"/>
      <c r="AE112" s="164"/>
    </row>
    <row r="113" ht="11.25" hidden="1" customHeight="1">
      <c r="A113" s="413" t="str">
        <f>'1. Справочник'!B153</f>
        <v/>
      </c>
      <c r="B113" s="166">
        <f t="shared" si="1"/>
        <v>112</v>
      </c>
      <c r="C113" s="444" t="str">
        <f>'1. Справочник'!C153</f>
        <v>TGB7</v>
      </c>
      <c r="D113" s="168" t="str">
        <f>'1. Справочник'!F153</f>
        <v>1+1</v>
      </c>
      <c r="E113" s="147" t="s">
        <v>321</v>
      </c>
      <c r="F113" s="182"/>
      <c r="G113" s="333" t="s">
        <v>839</v>
      </c>
      <c r="H113" s="194" t="s">
        <v>885</v>
      </c>
      <c r="I113" s="250" t="s">
        <v>841</v>
      </c>
      <c r="J113" s="202" t="s">
        <v>883</v>
      </c>
      <c r="K113" s="371" t="s">
        <v>441</v>
      </c>
      <c r="L113" s="175">
        <v>2.116576607E9</v>
      </c>
      <c r="M113" s="176">
        <v>6.110363111E9</v>
      </c>
      <c r="N113" s="445" t="s">
        <v>886</v>
      </c>
      <c r="O113" s="441">
        <v>4.22196288E8</v>
      </c>
      <c r="P113" s="441">
        <v>33.0</v>
      </c>
      <c r="Q113" s="441"/>
      <c r="R113" s="236"/>
      <c r="S113" s="236"/>
      <c r="T113" s="443"/>
      <c r="U113" s="179"/>
      <c r="V113" s="179"/>
      <c r="W113" s="163"/>
      <c r="X113" s="163"/>
      <c r="Y113" s="163"/>
      <c r="Z113" s="163"/>
      <c r="AA113" s="164"/>
      <c r="AB113" s="164"/>
      <c r="AC113" s="164"/>
      <c r="AD113" s="164"/>
      <c r="AE113" s="164"/>
    </row>
    <row r="114" ht="11.25" hidden="1" customHeight="1">
      <c r="A114" s="413" t="str">
        <f>'1. Справочник'!B154</f>
        <v/>
      </c>
      <c r="B114" s="166">
        <f t="shared" si="1"/>
        <v>113</v>
      </c>
      <c r="C114" s="444" t="str">
        <f>'1. Справочник'!C154</f>
        <v>TGB8</v>
      </c>
      <c r="D114" s="168" t="str">
        <f>'1. Справочник'!F154</f>
        <v>1+1</v>
      </c>
      <c r="E114" s="147" t="s">
        <v>321</v>
      </c>
      <c r="F114" s="182"/>
      <c r="G114" s="333" t="s">
        <v>839</v>
      </c>
      <c r="H114" s="194" t="s">
        <v>887</v>
      </c>
      <c r="I114" s="250" t="s">
        <v>841</v>
      </c>
      <c r="J114" s="202" t="s">
        <v>846</v>
      </c>
      <c r="K114" s="371" t="s">
        <v>441</v>
      </c>
      <c r="L114" s="175">
        <v>2.116576618E9</v>
      </c>
      <c r="M114" s="176">
        <v>6.110363092E9</v>
      </c>
      <c r="N114" s="445" t="s">
        <v>888</v>
      </c>
      <c r="O114" s="441">
        <v>4.22278289E8</v>
      </c>
      <c r="P114" s="441">
        <v>33.0</v>
      </c>
      <c r="Q114" s="441"/>
      <c r="R114" s="236"/>
      <c r="S114" s="236"/>
      <c r="T114" s="443"/>
      <c r="U114" s="179"/>
      <c r="V114" s="179"/>
      <c r="W114" s="163"/>
      <c r="X114" s="163"/>
      <c r="Y114" s="163"/>
      <c r="Z114" s="163"/>
      <c r="AA114" s="164"/>
      <c r="AB114" s="164"/>
      <c r="AC114" s="164"/>
      <c r="AD114" s="164"/>
      <c r="AE114" s="164"/>
    </row>
    <row r="115" ht="11.25" hidden="1" customHeight="1">
      <c r="A115" s="413" t="str">
        <f>'1. Справочник'!B155</f>
        <v/>
      </c>
      <c r="B115" s="166">
        <f t="shared" si="1"/>
        <v>114</v>
      </c>
      <c r="C115" s="444" t="str">
        <f>'1. Справочник'!C155</f>
        <v>TGB9</v>
      </c>
      <c r="D115" s="168" t="s">
        <v>30</v>
      </c>
      <c r="E115" s="147" t="s">
        <v>321</v>
      </c>
      <c r="F115" s="182"/>
      <c r="G115" s="333" t="s">
        <v>839</v>
      </c>
      <c r="H115" s="194" t="s">
        <v>889</v>
      </c>
      <c r="I115" s="250" t="s">
        <v>841</v>
      </c>
      <c r="J115" s="202" t="s">
        <v>890</v>
      </c>
      <c r="K115" s="371" t="s">
        <v>441</v>
      </c>
      <c r="L115" s="175">
        <v>2.116576629E9</v>
      </c>
      <c r="M115" s="447">
        <v>6.11036307E9</v>
      </c>
      <c r="N115" s="445" t="s">
        <v>891</v>
      </c>
      <c r="O115" s="441">
        <v>4.22929242E8</v>
      </c>
      <c r="P115" s="441">
        <v>33.0</v>
      </c>
      <c r="Q115" s="441"/>
      <c r="R115" s="236"/>
      <c r="S115" s="236"/>
      <c r="T115" s="443"/>
      <c r="U115" s="179"/>
      <c r="V115" s="179"/>
      <c r="W115" s="163"/>
      <c r="X115" s="163"/>
      <c r="Y115" s="163"/>
      <c r="Z115" s="163"/>
      <c r="AA115" s="164"/>
      <c r="AB115" s="164"/>
      <c r="AC115" s="164"/>
      <c r="AD115" s="164"/>
      <c r="AE115" s="164"/>
    </row>
    <row r="116" ht="11.25" hidden="1" customHeight="1">
      <c r="A116" s="413" t="str">
        <f>'1. Справочник'!B156</f>
        <v/>
      </c>
      <c r="B116" s="166">
        <f t="shared" si="1"/>
        <v>115</v>
      </c>
      <c r="C116" s="444" t="str">
        <f>'1. Справочник'!C156</f>
        <v>TGB10</v>
      </c>
      <c r="D116" s="168" t="s">
        <v>30</v>
      </c>
      <c r="E116" s="147" t="s">
        <v>321</v>
      </c>
      <c r="F116" s="182"/>
      <c r="G116" s="333" t="s">
        <v>839</v>
      </c>
      <c r="H116" s="194" t="s">
        <v>892</v>
      </c>
      <c r="I116" s="250" t="s">
        <v>841</v>
      </c>
      <c r="J116" s="202" t="s">
        <v>890</v>
      </c>
      <c r="K116" s="371" t="s">
        <v>441</v>
      </c>
      <c r="L116" s="175">
        <v>2.11657663E9</v>
      </c>
      <c r="M116" s="176">
        <v>6.110363062E9</v>
      </c>
      <c r="N116" s="445" t="s">
        <v>893</v>
      </c>
      <c r="O116" s="441">
        <v>4.22720411E8</v>
      </c>
      <c r="P116" s="441">
        <v>33.0</v>
      </c>
      <c r="Q116" s="441"/>
      <c r="R116" s="236"/>
      <c r="S116" s="236"/>
      <c r="T116" s="443"/>
      <c r="U116" s="179"/>
      <c r="V116" s="179"/>
      <c r="W116" s="163"/>
      <c r="X116" s="163"/>
      <c r="Y116" s="163"/>
      <c r="Z116" s="163"/>
      <c r="AA116" s="164"/>
      <c r="AB116" s="164"/>
      <c r="AC116" s="164"/>
      <c r="AD116" s="164"/>
      <c r="AE116" s="164"/>
    </row>
    <row r="117" ht="11.25" hidden="1" customHeight="1">
      <c r="A117" s="451" t="str">
        <f>'1. Справочник'!B157</f>
        <v/>
      </c>
      <c r="B117" s="166">
        <f t="shared" si="1"/>
        <v>116</v>
      </c>
      <c r="C117" s="452" t="str">
        <f>'1. Справочник'!C157</f>
        <v>TGB11</v>
      </c>
      <c r="D117" s="269" t="s">
        <v>33</v>
      </c>
      <c r="E117" s="302" t="s">
        <v>321</v>
      </c>
      <c r="F117" s="453"/>
      <c r="G117" s="454" t="s">
        <v>839</v>
      </c>
      <c r="H117" s="455" t="s">
        <v>894</v>
      </c>
      <c r="I117" s="456" t="s">
        <v>895</v>
      </c>
      <c r="J117" s="456" t="s">
        <v>896</v>
      </c>
      <c r="K117" s="371" t="s">
        <v>441</v>
      </c>
      <c r="L117" s="457">
        <v>2.116576641E9</v>
      </c>
      <c r="M117" s="458">
        <v>6.110362991E9</v>
      </c>
      <c r="N117" s="459" t="s">
        <v>897</v>
      </c>
      <c r="O117" s="460">
        <v>4.22920502E8</v>
      </c>
      <c r="P117" s="460">
        <v>40.0</v>
      </c>
      <c r="Q117" s="460"/>
      <c r="R117" s="249"/>
      <c r="S117" s="249"/>
      <c r="T117" s="443"/>
      <c r="U117" s="179"/>
      <c r="V117" s="179"/>
      <c r="W117" s="163"/>
      <c r="X117" s="163"/>
      <c r="Y117" s="163"/>
      <c r="Z117" s="163"/>
      <c r="AA117" s="164"/>
      <c r="AB117" s="164"/>
      <c r="AC117" s="164"/>
      <c r="AD117" s="164"/>
      <c r="AE117" s="164"/>
    </row>
    <row r="118" ht="11.25" customHeight="1">
      <c r="A118" s="461"/>
      <c r="B118" s="166">
        <f t="shared" si="1"/>
        <v>117</v>
      </c>
      <c r="C118" s="452" t="str">
        <f>'1. Справочник'!C73</f>
        <v>Вилла Ева</v>
      </c>
      <c r="D118" s="168" t="s">
        <v>185</v>
      </c>
      <c r="E118" s="302"/>
      <c r="F118" s="182"/>
      <c r="G118" s="462" t="s">
        <v>898</v>
      </c>
      <c r="H118" s="180" t="s">
        <v>899</v>
      </c>
      <c r="I118" s="463" t="s">
        <v>900</v>
      </c>
      <c r="J118" s="464"/>
      <c r="K118" s="94"/>
      <c r="L118" s="423"/>
      <c r="M118" s="427"/>
      <c r="N118" s="416"/>
      <c r="O118" s="465"/>
      <c r="P118" s="465"/>
      <c r="Q118" s="465"/>
      <c r="R118" s="466"/>
      <c r="S118" s="467"/>
      <c r="T118" s="468"/>
      <c r="U118" s="164"/>
      <c r="V118" s="164"/>
      <c r="W118" s="162"/>
      <c r="X118" s="162"/>
      <c r="Y118" s="162"/>
      <c r="Z118" s="162"/>
      <c r="AA118" s="164"/>
      <c r="AB118" s="164"/>
      <c r="AC118" s="164"/>
      <c r="AD118" s="164"/>
      <c r="AE118" s="164"/>
    </row>
    <row r="119" ht="11.25" customHeight="1">
      <c r="A119" s="451" t="str">
        <f>'1. Справочник'!B97</f>
        <v>Светлана</v>
      </c>
      <c r="B119" s="166">
        <f t="shared" si="1"/>
        <v>118</v>
      </c>
      <c r="C119" s="452" t="str">
        <f>'1. Справочник'!C97</f>
        <v>TGB195</v>
      </c>
      <c r="D119" s="254" t="s">
        <v>27</v>
      </c>
      <c r="E119" s="302" t="s">
        <v>321</v>
      </c>
      <c r="F119" s="316"/>
      <c r="G119" s="373" t="s">
        <v>901</v>
      </c>
      <c r="H119" s="180"/>
      <c r="I119" s="463"/>
      <c r="J119" s="464"/>
      <c r="K119" s="469"/>
      <c r="L119" s="375">
        <v>2.116579553E9</v>
      </c>
      <c r="M119" s="376">
        <v>6.110365522E9</v>
      </c>
      <c r="N119" s="376"/>
      <c r="O119" s="470">
        <v>4.22732514E8</v>
      </c>
      <c r="P119" s="471">
        <v>34.0</v>
      </c>
      <c r="Q119" s="471"/>
      <c r="R119" s="195" t="s">
        <v>370</v>
      </c>
      <c r="S119" s="467"/>
      <c r="T119" s="468"/>
      <c r="U119" s="164"/>
      <c r="V119" s="164"/>
      <c r="W119" s="162" t="s">
        <v>370</v>
      </c>
      <c r="X119" s="162" t="s">
        <v>370</v>
      </c>
      <c r="Y119" s="162" t="s">
        <v>370</v>
      </c>
      <c r="Z119" s="162" t="s">
        <v>370</v>
      </c>
      <c r="AA119" s="162" t="s">
        <v>370</v>
      </c>
      <c r="AB119" s="164"/>
      <c r="AC119" s="164"/>
      <c r="AD119" s="164"/>
      <c r="AE119" s="164"/>
    </row>
    <row r="120" ht="15.75" customHeight="1">
      <c r="A120" s="164"/>
      <c r="B120" s="166"/>
      <c r="C120" s="429"/>
      <c r="D120" s="472"/>
      <c r="E120" s="473"/>
      <c r="F120" s="474"/>
      <c r="G120" s="164"/>
      <c r="H120" s="2"/>
      <c r="O120" s="475"/>
      <c r="P120" s="475"/>
      <c r="Q120" s="475"/>
      <c r="R120" s="476"/>
      <c r="S120" s="467"/>
      <c r="T120" s="468"/>
      <c r="U120" s="164"/>
      <c r="V120" s="164"/>
      <c r="W120" s="162"/>
      <c r="X120" s="162"/>
      <c r="Y120" s="162"/>
      <c r="Z120" s="162"/>
      <c r="AA120" s="164"/>
      <c r="AB120" s="164"/>
      <c r="AC120" s="164"/>
      <c r="AD120" s="164"/>
      <c r="AE120" s="164"/>
    </row>
    <row r="121" ht="15.75" customHeight="1">
      <c r="A121" s="164"/>
      <c r="B121" s="477"/>
      <c r="C121" s="478"/>
      <c r="D121" s="479"/>
      <c r="E121" s="473"/>
      <c r="F121" s="474"/>
      <c r="G121" s="164"/>
      <c r="H121" s="2"/>
      <c r="O121" s="475"/>
      <c r="P121" s="475"/>
      <c r="Q121" s="475"/>
      <c r="R121" s="476"/>
      <c r="S121" s="467"/>
      <c r="T121" s="468"/>
      <c r="U121" s="164"/>
      <c r="V121" s="164"/>
      <c r="W121" s="162"/>
      <c r="X121" s="162"/>
      <c r="Y121" s="162"/>
      <c r="Z121" s="162"/>
      <c r="AA121" s="164"/>
      <c r="AB121" s="164"/>
      <c r="AC121" s="164"/>
      <c r="AD121" s="164"/>
      <c r="AE121" s="164"/>
    </row>
    <row r="122" ht="15.75" customHeight="1">
      <c r="A122" s="164"/>
      <c r="B122" s="477"/>
      <c r="C122" s="478"/>
      <c r="D122" s="472"/>
      <c r="E122" s="473"/>
      <c r="F122" s="474"/>
      <c r="G122" s="164"/>
      <c r="H122" s="2"/>
      <c r="O122" s="475"/>
      <c r="P122" s="475"/>
      <c r="Q122" s="475"/>
      <c r="R122" s="476"/>
      <c r="S122" s="467"/>
      <c r="T122" s="468"/>
      <c r="U122" s="164"/>
      <c r="V122" s="164"/>
      <c r="W122" s="162"/>
      <c r="X122" s="162"/>
      <c r="Y122" s="162"/>
      <c r="Z122" s="162"/>
      <c r="AA122" s="164"/>
      <c r="AB122" s="164"/>
      <c r="AC122" s="164"/>
      <c r="AD122" s="164"/>
      <c r="AE122" s="164"/>
    </row>
    <row r="123" ht="15.75" customHeight="1">
      <c r="A123" s="164"/>
      <c r="B123" s="477"/>
      <c r="C123" s="478"/>
      <c r="D123" s="472"/>
      <c r="E123" s="473"/>
      <c r="F123" s="474"/>
      <c r="G123" s="164"/>
      <c r="H123" s="2"/>
      <c r="O123" s="475"/>
      <c r="P123" s="475"/>
      <c r="Q123" s="475"/>
      <c r="R123" s="476"/>
      <c r="S123" s="467"/>
      <c r="T123" s="468"/>
      <c r="U123" s="164"/>
      <c r="V123" s="164"/>
      <c r="W123" s="162"/>
      <c r="X123" s="162"/>
      <c r="Y123" s="162"/>
      <c r="Z123" s="162"/>
      <c r="AA123" s="164"/>
      <c r="AB123" s="164"/>
      <c r="AC123" s="164"/>
      <c r="AD123" s="164"/>
      <c r="AE123" s="164"/>
    </row>
    <row r="124" ht="15.75" customHeight="1">
      <c r="A124" s="164"/>
      <c r="B124" s="477"/>
      <c r="C124" s="478"/>
      <c r="D124" s="472"/>
      <c r="E124" s="473"/>
      <c r="F124" s="474"/>
      <c r="G124" s="164"/>
      <c r="H124" s="2"/>
      <c r="O124" s="475"/>
      <c r="P124" s="475"/>
      <c r="Q124" s="475"/>
      <c r="R124" s="476"/>
      <c r="S124" s="467"/>
      <c r="T124" s="468"/>
      <c r="U124" s="164"/>
      <c r="V124" s="164"/>
      <c r="W124" s="162"/>
      <c r="X124" s="162"/>
      <c r="Y124" s="162"/>
      <c r="Z124" s="162"/>
      <c r="AA124" s="164"/>
      <c r="AB124" s="164"/>
      <c r="AC124" s="164"/>
      <c r="AD124" s="164"/>
      <c r="AE124" s="164"/>
    </row>
    <row r="125" ht="15.75" customHeight="1">
      <c r="A125" s="164"/>
      <c r="B125" s="477"/>
      <c r="C125" s="478"/>
      <c r="D125" s="472"/>
      <c r="E125" s="473"/>
      <c r="F125" s="474"/>
      <c r="G125" s="164"/>
      <c r="H125" s="2"/>
      <c r="O125" s="475"/>
      <c r="P125" s="475"/>
      <c r="Q125" s="475"/>
      <c r="R125" s="476"/>
      <c r="S125" s="467"/>
      <c r="T125" s="468"/>
      <c r="U125" s="164"/>
      <c r="V125" s="164"/>
      <c r="W125" s="162"/>
      <c r="X125" s="162"/>
      <c r="Y125" s="162"/>
      <c r="Z125" s="162"/>
      <c r="AA125" s="164"/>
      <c r="AB125" s="164"/>
      <c r="AC125" s="164"/>
      <c r="AD125" s="164"/>
      <c r="AE125" s="164"/>
    </row>
    <row r="126" ht="15.75" customHeight="1">
      <c r="A126" s="164"/>
      <c r="B126" s="477"/>
      <c r="C126" s="478"/>
      <c r="D126" s="472"/>
      <c r="E126" s="473"/>
      <c r="F126" s="474"/>
      <c r="G126" s="164"/>
      <c r="H126" s="2"/>
      <c r="O126" s="475"/>
      <c r="P126" s="475"/>
      <c r="Q126" s="475"/>
      <c r="R126" s="476"/>
      <c r="S126" s="467"/>
      <c r="T126" s="468"/>
      <c r="U126" s="164"/>
      <c r="V126" s="164"/>
      <c r="W126" s="162"/>
      <c r="X126" s="162"/>
      <c r="Y126" s="162"/>
      <c r="Z126" s="162"/>
      <c r="AA126" s="164"/>
      <c r="AB126" s="164"/>
      <c r="AC126" s="164"/>
      <c r="AD126" s="164"/>
      <c r="AE126" s="164"/>
    </row>
    <row r="127" ht="15.75" customHeight="1">
      <c r="A127" s="164"/>
      <c r="B127" s="477"/>
      <c r="C127" s="478"/>
      <c r="D127" s="472"/>
      <c r="E127" s="473"/>
      <c r="F127" s="474"/>
      <c r="G127" s="164"/>
      <c r="H127" s="2"/>
      <c r="O127" s="475"/>
      <c r="P127" s="475"/>
      <c r="Q127" s="475"/>
      <c r="R127" s="476"/>
      <c r="S127" s="467"/>
      <c r="T127" s="468"/>
      <c r="U127" s="164"/>
      <c r="V127" s="164"/>
      <c r="W127" s="162"/>
      <c r="X127" s="162"/>
      <c r="Y127" s="162"/>
      <c r="Z127" s="162"/>
      <c r="AA127" s="164"/>
      <c r="AB127" s="164"/>
      <c r="AC127" s="164"/>
      <c r="AD127" s="164"/>
      <c r="AE127" s="164"/>
    </row>
    <row r="128" ht="15.75" customHeight="1">
      <c r="A128" s="164"/>
      <c r="B128" s="477"/>
      <c r="C128" s="478"/>
      <c r="D128" s="472"/>
      <c r="E128" s="473"/>
      <c r="F128" s="474"/>
      <c r="G128" s="164"/>
      <c r="H128" s="2"/>
      <c r="O128" s="475"/>
      <c r="P128" s="475"/>
      <c r="Q128" s="475"/>
      <c r="R128" s="476"/>
      <c r="S128" s="467"/>
      <c r="T128" s="468"/>
      <c r="U128" s="164"/>
      <c r="V128" s="164"/>
      <c r="W128" s="162"/>
      <c r="X128" s="162"/>
      <c r="Y128" s="162"/>
      <c r="Z128" s="162"/>
      <c r="AA128" s="164"/>
      <c r="AB128" s="164"/>
      <c r="AC128" s="164"/>
      <c r="AD128" s="164"/>
      <c r="AE128" s="164"/>
    </row>
    <row r="129" ht="15.75" customHeight="1">
      <c r="A129" s="164"/>
      <c r="B129" s="477"/>
      <c r="C129" s="478"/>
      <c r="D129" s="472"/>
      <c r="E129" s="473"/>
      <c r="F129" s="474"/>
      <c r="G129" s="164"/>
      <c r="H129" s="2"/>
      <c r="O129" s="475"/>
      <c r="P129" s="475"/>
      <c r="Q129" s="475"/>
      <c r="R129" s="476"/>
      <c r="S129" s="467"/>
      <c r="T129" s="468"/>
      <c r="U129" s="164"/>
      <c r="V129" s="164"/>
      <c r="W129" s="162"/>
      <c r="X129" s="162"/>
      <c r="Y129" s="162"/>
      <c r="Z129" s="162"/>
      <c r="AA129" s="164"/>
      <c r="AB129" s="164"/>
      <c r="AC129" s="164"/>
      <c r="AD129" s="164"/>
      <c r="AE129" s="164"/>
    </row>
    <row r="130" ht="15.75" customHeight="1">
      <c r="A130" s="164"/>
      <c r="B130" s="477"/>
      <c r="C130" s="478"/>
      <c r="D130" s="472"/>
      <c r="E130" s="473"/>
      <c r="F130" s="474"/>
      <c r="G130" s="164"/>
      <c r="H130" s="2"/>
      <c r="O130" s="475"/>
      <c r="P130" s="475"/>
      <c r="Q130" s="475"/>
      <c r="R130" s="476"/>
      <c r="S130" s="467"/>
      <c r="T130" s="468"/>
      <c r="U130" s="164"/>
      <c r="V130" s="164"/>
      <c r="W130" s="162"/>
      <c r="X130" s="162"/>
      <c r="Y130" s="162"/>
      <c r="Z130" s="162"/>
      <c r="AA130" s="164"/>
      <c r="AB130" s="164"/>
      <c r="AC130" s="164"/>
      <c r="AD130" s="164"/>
      <c r="AE130" s="164"/>
    </row>
    <row r="131" ht="15.75" customHeight="1">
      <c r="A131" s="164"/>
      <c r="B131" s="477"/>
      <c r="C131" s="478"/>
      <c r="D131" s="472"/>
      <c r="E131" s="473"/>
      <c r="F131" s="474"/>
      <c r="G131" s="164"/>
      <c r="H131" s="2"/>
      <c r="O131" s="475"/>
      <c r="P131" s="475"/>
      <c r="Q131" s="475"/>
      <c r="R131" s="476"/>
      <c r="S131" s="467"/>
      <c r="T131" s="468"/>
      <c r="U131" s="164"/>
      <c r="V131" s="164"/>
      <c r="W131" s="162"/>
      <c r="X131" s="162"/>
      <c r="Y131" s="162"/>
      <c r="Z131" s="162"/>
      <c r="AA131" s="164"/>
      <c r="AB131" s="164"/>
      <c r="AC131" s="164"/>
      <c r="AD131" s="164"/>
      <c r="AE131" s="164"/>
    </row>
    <row r="132" ht="15.75" customHeight="1">
      <c r="A132" s="164"/>
      <c r="B132" s="477"/>
      <c r="C132" s="478"/>
      <c r="D132" s="472"/>
      <c r="E132" s="473"/>
      <c r="F132" s="474"/>
      <c r="G132" s="164"/>
      <c r="H132" s="2"/>
      <c r="O132" s="475"/>
      <c r="P132" s="475"/>
      <c r="Q132" s="475"/>
      <c r="R132" s="476"/>
      <c r="S132" s="467"/>
      <c r="T132" s="468"/>
      <c r="U132" s="164"/>
      <c r="V132" s="164"/>
      <c r="W132" s="162"/>
      <c r="X132" s="162"/>
      <c r="Y132" s="162"/>
      <c r="Z132" s="162"/>
      <c r="AA132" s="164"/>
      <c r="AB132" s="164"/>
      <c r="AC132" s="164"/>
      <c r="AD132" s="164"/>
      <c r="AE132" s="164"/>
    </row>
    <row r="133" ht="15.75" customHeight="1">
      <c r="A133" s="164"/>
      <c r="B133" s="477"/>
      <c r="C133" s="478"/>
      <c r="D133" s="472"/>
      <c r="E133" s="473"/>
      <c r="F133" s="474"/>
      <c r="G133" s="164"/>
      <c r="H133" s="2"/>
      <c r="O133" s="475"/>
      <c r="P133" s="475"/>
      <c r="Q133" s="475"/>
      <c r="R133" s="476"/>
      <c r="S133" s="467"/>
      <c r="T133" s="468"/>
      <c r="U133" s="164"/>
      <c r="V133" s="164"/>
      <c r="W133" s="162"/>
      <c r="X133" s="162"/>
      <c r="Y133" s="162"/>
      <c r="Z133" s="162"/>
      <c r="AA133" s="164"/>
      <c r="AB133" s="164"/>
      <c r="AC133" s="164"/>
      <c r="AD133" s="164"/>
      <c r="AE133" s="164"/>
    </row>
    <row r="134" ht="15.75" customHeight="1">
      <c r="A134" s="164"/>
      <c r="B134" s="477"/>
      <c r="C134" s="478"/>
      <c r="D134" s="472"/>
      <c r="E134" s="473"/>
      <c r="F134" s="474"/>
      <c r="G134" s="164"/>
      <c r="H134" s="2"/>
      <c r="O134" s="475"/>
      <c r="P134" s="475"/>
      <c r="Q134" s="475"/>
      <c r="R134" s="476"/>
      <c r="S134" s="467"/>
      <c r="T134" s="468"/>
      <c r="U134" s="164"/>
      <c r="V134" s="164"/>
      <c r="W134" s="162"/>
      <c r="X134" s="162"/>
      <c r="Y134" s="162"/>
      <c r="Z134" s="162"/>
      <c r="AA134" s="164"/>
      <c r="AB134" s="164"/>
      <c r="AC134" s="164"/>
      <c r="AD134" s="164"/>
      <c r="AE134" s="164"/>
    </row>
    <row r="135" ht="15.75" customHeight="1">
      <c r="A135" s="164"/>
      <c r="B135" s="477"/>
      <c r="C135" s="478"/>
      <c r="D135" s="472"/>
      <c r="E135" s="473"/>
      <c r="F135" s="474"/>
      <c r="G135" s="164"/>
      <c r="H135" s="2"/>
      <c r="O135" s="475"/>
      <c r="P135" s="475"/>
      <c r="Q135" s="475"/>
      <c r="R135" s="476"/>
      <c r="S135" s="467"/>
      <c r="T135" s="468"/>
      <c r="U135" s="164"/>
      <c r="V135" s="164"/>
      <c r="W135" s="162"/>
      <c r="X135" s="162"/>
      <c r="Y135" s="162"/>
      <c r="Z135" s="162"/>
      <c r="AA135" s="164"/>
      <c r="AB135" s="164"/>
      <c r="AC135" s="164"/>
      <c r="AD135" s="164"/>
      <c r="AE135" s="164"/>
    </row>
    <row r="136" ht="15.75" customHeight="1">
      <c r="A136" s="164"/>
      <c r="B136" s="477"/>
      <c r="C136" s="478"/>
      <c r="D136" s="472"/>
      <c r="E136" s="473"/>
      <c r="F136" s="474"/>
      <c r="G136" s="164"/>
      <c r="H136" s="2"/>
      <c r="O136" s="475"/>
      <c r="P136" s="475"/>
      <c r="Q136" s="475"/>
      <c r="R136" s="476"/>
      <c r="S136" s="467"/>
      <c r="T136" s="468"/>
      <c r="U136" s="164"/>
      <c r="V136" s="164"/>
      <c r="W136" s="162"/>
      <c r="X136" s="162"/>
      <c r="Y136" s="162"/>
      <c r="Z136" s="162"/>
      <c r="AA136" s="164"/>
      <c r="AB136" s="164"/>
      <c r="AC136" s="164"/>
      <c r="AD136" s="164"/>
      <c r="AE136" s="164"/>
    </row>
    <row r="137" ht="15.75" customHeight="1">
      <c r="A137" s="164"/>
      <c r="B137" s="477"/>
      <c r="C137" s="478"/>
      <c r="D137" s="472"/>
      <c r="E137" s="473"/>
      <c r="F137" s="474"/>
      <c r="G137" s="164"/>
      <c r="H137" s="2"/>
      <c r="O137" s="475"/>
      <c r="P137" s="475"/>
      <c r="Q137" s="475"/>
      <c r="R137" s="476"/>
      <c r="S137" s="467"/>
      <c r="T137" s="468"/>
      <c r="U137" s="164"/>
      <c r="V137" s="164"/>
      <c r="W137" s="162"/>
      <c r="X137" s="162"/>
      <c r="Y137" s="162"/>
      <c r="Z137" s="162"/>
      <c r="AA137" s="164"/>
      <c r="AB137" s="164"/>
      <c r="AC137" s="164"/>
      <c r="AD137" s="164"/>
      <c r="AE137" s="164"/>
    </row>
    <row r="138" ht="15.75" customHeight="1">
      <c r="A138" s="164"/>
      <c r="B138" s="477"/>
      <c r="C138" s="478"/>
      <c r="D138" s="472"/>
      <c r="E138" s="473"/>
      <c r="F138" s="474"/>
      <c r="G138" s="164"/>
      <c r="H138" s="2"/>
      <c r="O138" s="475"/>
      <c r="P138" s="475"/>
      <c r="Q138" s="475"/>
      <c r="R138" s="476"/>
      <c r="S138" s="467"/>
      <c r="T138" s="468"/>
      <c r="U138" s="164"/>
      <c r="V138" s="164"/>
      <c r="W138" s="162"/>
      <c r="X138" s="162"/>
      <c r="Y138" s="162"/>
      <c r="Z138" s="162"/>
      <c r="AA138" s="164"/>
      <c r="AB138" s="164"/>
      <c r="AC138" s="164"/>
      <c r="AD138" s="164"/>
      <c r="AE138" s="164"/>
    </row>
    <row r="139" ht="15.75" customHeight="1">
      <c r="A139" s="164"/>
      <c r="B139" s="477"/>
      <c r="C139" s="478"/>
      <c r="D139" s="472"/>
      <c r="E139" s="473"/>
      <c r="F139" s="474"/>
      <c r="G139" s="164"/>
      <c r="H139" s="2"/>
      <c r="O139" s="475"/>
      <c r="P139" s="475"/>
      <c r="Q139" s="475"/>
      <c r="R139" s="476"/>
      <c r="S139" s="467"/>
      <c r="T139" s="468"/>
      <c r="U139" s="164"/>
      <c r="V139" s="164"/>
      <c r="W139" s="162"/>
      <c r="X139" s="162"/>
      <c r="Y139" s="162"/>
      <c r="Z139" s="162"/>
      <c r="AA139" s="164"/>
      <c r="AB139" s="164"/>
      <c r="AC139" s="164"/>
      <c r="AD139" s="164"/>
      <c r="AE139" s="164"/>
    </row>
    <row r="140" ht="15.75" customHeight="1">
      <c r="A140" s="164"/>
      <c r="B140" s="477"/>
      <c r="C140" s="478"/>
      <c r="D140" s="472"/>
      <c r="E140" s="473"/>
      <c r="F140" s="474"/>
      <c r="G140" s="164"/>
      <c r="H140" s="2"/>
      <c r="O140" s="475"/>
      <c r="P140" s="475"/>
      <c r="Q140" s="475"/>
      <c r="R140" s="476"/>
      <c r="S140" s="467"/>
      <c r="T140" s="468"/>
      <c r="U140" s="164"/>
      <c r="V140" s="164"/>
      <c r="W140" s="162"/>
      <c r="X140" s="162"/>
      <c r="Y140" s="162"/>
      <c r="Z140" s="162"/>
      <c r="AA140" s="164"/>
      <c r="AB140" s="164"/>
      <c r="AC140" s="164"/>
      <c r="AD140" s="164"/>
      <c r="AE140" s="164"/>
    </row>
    <row r="141" ht="15.75" customHeight="1">
      <c r="A141" s="164"/>
      <c r="B141" s="477"/>
      <c r="C141" s="478"/>
      <c r="D141" s="472"/>
      <c r="E141" s="473"/>
      <c r="F141" s="474"/>
      <c r="G141" s="164"/>
      <c r="H141" s="2"/>
      <c r="O141" s="475"/>
      <c r="P141" s="475"/>
      <c r="Q141" s="475"/>
      <c r="R141" s="476"/>
      <c r="S141" s="467"/>
      <c r="T141" s="468"/>
      <c r="U141" s="164"/>
      <c r="V141" s="164"/>
      <c r="W141" s="162"/>
      <c r="X141" s="162"/>
      <c r="Y141" s="162"/>
      <c r="Z141" s="162"/>
      <c r="AA141" s="164"/>
      <c r="AB141" s="164"/>
      <c r="AC141" s="164"/>
      <c r="AD141" s="164"/>
      <c r="AE141" s="164"/>
    </row>
    <row r="142" ht="15.75" customHeight="1">
      <c r="A142" s="164"/>
      <c r="B142" s="477"/>
      <c r="C142" s="478"/>
      <c r="D142" s="472"/>
      <c r="E142" s="473"/>
      <c r="F142" s="474"/>
      <c r="G142" s="164"/>
      <c r="H142" s="2"/>
      <c r="O142" s="475"/>
      <c r="P142" s="475"/>
      <c r="Q142" s="475"/>
      <c r="R142" s="476"/>
      <c r="S142" s="467"/>
      <c r="T142" s="468"/>
      <c r="U142" s="164"/>
      <c r="V142" s="164"/>
      <c r="W142" s="162"/>
      <c r="X142" s="162"/>
      <c r="Y142" s="162"/>
      <c r="Z142" s="162"/>
      <c r="AA142" s="164"/>
      <c r="AB142" s="164"/>
      <c r="AC142" s="164"/>
      <c r="AD142" s="164"/>
      <c r="AE142" s="164"/>
    </row>
    <row r="143" ht="15.75" customHeight="1">
      <c r="A143" s="164"/>
      <c r="B143" s="477"/>
      <c r="C143" s="478"/>
      <c r="D143" s="472"/>
      <c r="E143" s="473"/>
      <c r="F143" s="474"/>
      <c r="G143" s="164"/>
      <c r="H143" s="2"/>
      <c r="O143" s="475"/>
      <c r="P143" s="475"/>
      <c r="Q143" s="475"/>
      <c r="R143" s="476"/>
      <c r="S143" s="467"/>
      <c r="T143" s="468"/>
      <c r="U143" s="164"/>
      <c r="V143" s="164"/>
      <c r="W143" s="162"/>
      <c r="X143" s="162"/>
      <c r="Y143" s="162"/>
      <c r="Z143" s="162"/>
      <c r="AA143" s="164"/>
      <c r="AB143" s="164"/>
      <c r="AC143" s="164"/>
      <c r="AD143" s="164"/>
      <c r="AE143" s="164"/>
    </row>
    <row r="144" ht="15.75" customHeight="1">
      <c r="A144" s="164"/>
      <c r="B144" s="477"/>
      <c r="C144" s="478"/>
      <c r="D144" s="472"/>
      <c r="E144" s="473"/>
      <c r="F144" s="474"/>
      <c r="G144" s="164"/>
      <c r="H144" s="2"/>
      <c r="O144" s="475"/>
      <c r="P144" s="475"/>
      <c r="Q144" s="475"/>
      <c r="R144" s="476"/>
      <c r="S144" s="467"/>
      <c r="T144" s="468"/>
      <c r="U144" s="164"/>
      <c r="V144" s="164"/>
      <c r="W144" s="162"/>
      <c r="X144" s="162"/>
      <c r="Y144" s="162"/>
      <c r="Z144" s="162"/>
      <c r="AA144" s="164"/>
      <c r="AB144" s="164"/>
      <c r="AC144" s="164"/>
      <c r="AD144" s="164"/>
      <c r="AE144" s="164"/>
    </row>
    <row r="145" ht="15.75" customHeight="1">
      <c r="A145" s="164"/>
      <c r="B145" s="477"/>
      <c r="C145" s="478"/>
      <c r="D145" s="472"/>
      <c r="E145" s="473"/>
      <c r="F145" s="474"/>
      <c r="G145" s="164"/>
      <c r="H145" s="2"/>
      <c r="O145" s="475"/>
      <c r="P145" s="475"/>
      <c r="Q145" s="475"/>
      <c r="R145" s="476"/>
      <c r="S145" s="467"/>
      <c r="T145" s="468"/>
      <c r="U145" s="164"/>
      <c r="V145" s="164"/>
      <c r="W145" s="162"/>
      <c r="X145" s="162"/>
      <c r="Y145" s="162"/>
      <c r="Z145" s="162"/>
      <c r="AA145" s="164"/>
      <c r="AB145" s="164"/>
      <c r="AC145" s="164"/>
      <c r="AD145" s="164"/>
      <c r="AE145" s="164"/>
    </row>
    <row r="146" ht="15.75" customHeight="1">
      <c r="A146" s="164"/>
      <c r="B146" s="477"/>
      <c r="C146" s="478"/>
      <c r="D146" s="472"/>
      <c r="E146" s="473"/>
      <c r="F146" s="474"/>
      <c r="G146" s="164"/>
      <c r="H146" s="2"/>
      <c r="O146" s="475"/>
      <c r="P146" s="475"/>
      <c r="Q146" s="475"/>
      <c r="R146" s="476"/>
      <c r="S146" s="467"/>
      <c r="T146" s="468"/>
      <c r="U146" s="164"/>
      <c r="V146" s="164"/>
      <c r="W146" s="162"/>
      <c r="X146" s="162"/>
      <c r="Y146" s="162"/>
      <c r="Z146" s="162"/>
      <c r="AA146" s="164"/>
      <c r="AB146" s="164"/>
      <c r="AC146" s="164"/>
      <c r="AD146" s="164"/>
      <c r="AE146" s="164"/>
    </row>
    <row r="147" ht="15.75" customHeight="1">
      <c r="A147" s="164"/>
      <c r="B147" s="477"/>
      <c r="C147" s="478"/>
      <c r="D147" s="472"/>
      <c r="E147" s="473"/>
      <c r="F147" s="474"/>
      <c r="G147" s="164"/>
      <c r="H147" s="2"/>
      <c r="O147" s="475"/>
      <c r="P147" s="475"/>
      <c r="Q147" s="475"/>
      <c r="R147" s="476"/>
      <c r="S147" s="467"/>
      <c r="T147" s="468"/>
      <c r="U147" s="164"/>
      <c r="V147" s="164"/>
      <c r="W147" s="162"/>
      <c r="X147" s="162"/>
      <c r="Y147" s="162"/>
      <c r="Z147" s="162"/>
      <c r="AA147" s="164"/>
      <c r="AB147" s="164"/>
      <c r="AC147" s="164"/>
      <c r="AD147" s="164"/>
      <c r="AE147" s="164"/>
    </row>
    <row r="148" ht="15.75" customHeight="1">
      <c r="A148" s="164"/>
      <c r="B148" s="477"/>
      <c r="C148" s="478"/>
      <c r="D148" s="472"/>
      <c r="E148" s="473"/>
      <c r="F148" s="474"/>
      <c r="G148" s="164"/>
      <c r="H148" s="2"/>
      <c r="O148" s="475"/>
      <c r="P148" s="475"/>
      <c r="Q148" s="475"/>
      <c r="R148" s="476"/>
      <c r="S148" s="467"/>
      <c r="T148" s="468"/>
      <c r="U148" s="164"/>
      <c r="V148" s="164"/>
      <c r="W148" s="162"/>
      <c r="X148" s="162"/>
      <c r="Y148" s="162"/>
      <c r="Z148" s="162"/>
      <c r="AA148" s="164"/>
      <c r="AB148" s="164"/>
      <c r="AC148" s="164"/>
      <c r="AD148" s="164"/>
      <c r="AE148" s="164"/>
    </row>
    <row r="149" ht="15.75" customHeight="1">
      <c r="A149" s="164"/>
      <c r="B149" s="477"/>
      <c r="C149" s="478"/>
      <c r="D149" s="472"/>
      <c r="E149" s="473"/>
      <c r="F149" s="474"/>
      <c r="G149" s="164"/>
      <c r="H149" s="2"/>
      <c r="O149" s="475"/>
      <c r="P149" s="475"/>
      <c r="Q149" s="475"/>
      <c r="R149" s="476"/>
      <c r="S149" s="467"/>
      <c r="T149" s="468"/>
      <c r="U149" s="164"/>
      <c r="V149" s="164"/>
      <c r="W149" s="162"/>
      <c r="X149" s="162"/>
      <c r="Y149" s="162"/>
      <c r="Z149" s="162"/>
      <c r="AA149" s="164"/>
      <c r="AB149" s="164"/>
      <c r="AC149" s="164"/>
      <c r="AD149" s="164"/>
      <c r="AE149" s="164"/>
    </row>
    <row r="150" ht="15.75" customHeight="1">
      <c r="A150" s="164"/>
      <c r="B150" s="477"/>
      <c r="C150" s="478"/>
      <c r="D150" s="472"/>
      <c r="E150" s="473"/>
      <c r="F150" s="474"/>
      <c r="G150" s="164"/>
      <c r="H150" s="2"/>
      <c r="O150" s="475"/>
      <c r="P150" s="475"/>
      <c r="Q150" s="475"/>
      <c r="R150" s="476"/>
      <c r="S150" s="467"/>
      <c r="T150" s="468"/>
      <c r="U150" s="164"/>
      <c r="V150" s="164"/>
      <c r="W150" s="162"/>
      <c r="X150" s="162"/>
      <c r="Y150" s="162"/>
      <c r="Z150" s="162"/>
      <c r="AA150" s="164"/>
      <c r="AB150" s="164"/>
      <c r="AC150" s="164"/>
      <c r="AD150" s="164"/>
      <c r="AE150" s="164"/>
    </row>
    <row r="151" ht="15.75" customHeight="1">
      <c r="A151" s="164"/>
      <c r="B151" s="477"/>
      <c r="C151" s="478"/>
      <c r="D151" s="472"/>
      <c r="E151" s="473"/>
      <c r="F151" s="474"/>
      <c r="G151" s="164"/>
      <c r="H151" s="2"/>
      <c r="O151" s="475"/>
      <c r="P151" s="475"/>
      <c r="Q151" s="475"/>
      <c r="R151" s="476"/>
      <c r="S151" s="467"/>
      <c r="T151" s="468"/>
      <c r="U151" s="164"/>
      <c r="V151" s="164"/>
      <c r="W151" s="162"/>
      <c r="X151" s="162"/>
      <c r="Y151" s="162"/>
      <c r="Z151" s="162"/>
      <c r="AA151" s="164"/>
      <c r="AB151" s="164"/>
      <c r="AC151" s="164"/>
      <c r="AD151" s="164"/>
      <c r="AE151" s="164"/>
    </row>
    <row r="152" ht="15.75" customHeight="1">
      <c r="A152" s="164"/>
      <c r="B152" s="477"/>
      <c r="C152" s="478"/>
      <c r="D152" s="472"/>
      <c r="E152" s="473"/>
      <c r="F152" s="474"/>
      <c r="G152" s="164"/>
      <c r="H152" s="2"/>
      <c r="O152" s="475"/>
      <c r="P152" s="475"/>
      <c r="Q152" s="475"/>
      <c r="R152" s="476"/>
      <c r="S152" s="467"/>
      <c r="T152" s="468"/>
      <c r="U152" s="164"/>
      <c r="V152" s="164"/>
      <c r="W152" s="162"/>
      <c r="X152" s="162"/>
      <c r="Y152" s="162"/>
      <c r="Z152" s="162"/>
      <c r="AA152" s="164"/>
      <c r="AB152" s="164"/>
      <c r="AC152" s="164"/>
      <c r="AD152" s="164"/>
      <c r="AE152" s="164"/>
    </row>
    <row r="153" ht="15.75" customHeight="1">
      <c r="A153" s="164"/>
      <c r="B153" s="477"/>
      <c r="C153" s="478"/>
      <c r="D153" s="472"/>
      <c r="E153" s="473"/>
      <c r="F153" s="474"/>
      <c r="G153" s="164"/>
      <c r="H153" s="2"/>
      <c r="O153" s="475"/>
      <c r="P153" s="475"/>
      <c r="Q153" s="475"/>
      <c r="R153" s="476"/>
      <c r="S153" s="467"/>
      <c r="T153" s="468"/>
      <c r="U153" s="164"/>
      <c r="V153" s="164"/>
      <c r="W153" s="162"/>
      <c r="X153" s="162"/>
      <c r="Y153" s="162"/>
      <c r="Z153" s="162"/>
      <c r="AA153" s="164"/>
      <c r="AB153" s="164"/>
      <c r="AC153" s="164"/>
      <c r="AD153" s="164"/>
      <c r="AE153" s="164"/>
    </row>
    <row r="154" ht="15.75" customHeight="1">
      <c r="A154" s="164"/>
      <c r="B154" s="477"/>
      <c r="C154" s="478"/>
      <c r="D154" s="472"/>
      <c r="E154" s="473"/>
      <c r="F154" s="474"/>
      <c r="G154" s="164"/>
      <c r="H154" s="2"/>
      <c r="O154" s="475"/>
      <c r="P154" s="475"/>
      <c r="Q154" s="475"/>
      <c r="R154" s="476"/>
      <c r="S154" s="467"/>
      <c r="T154" s="468"/>
      <c r="U154" s="164"/>
      <c r="V154" s="164"/>
      <c r="W154" s="162"/>
      <c r="X154" s="162"/>
      <c r="Y154" s="162"/>
      <c r="Z154" s="162"/>
      <c r="AA154" s="164"/>
      <c r="AB154" s="164"/>
      <c r="AC154" s="164"/>
      <c r="AD154" s="164"/>
      <c r="AE154" s="164"/>
    </row>
    <row r="155" ht="15.75" customHeight="1">
      <c r="A155" s="164"/>
      <c r="B155" s="477"/>
      <c r="C155" s="478"/>
      <c r="D155" s="472"/>
      <c r="E155" s="473"/>
      <c r="F155" s="474"/>
      <c r="G155" s="164"/>
      <c r="H155" s="2"/>
      <c r="O155" s="475"/>
      <c r="P155" s="475"/>
      <c r="Q155" s="475"/>
      <c r="R155" s="476"/>
      <c r="S155" s="467"/>
      <c r="T155" s="468"/>
      <c r="U155" s="164"/>
      <c r="V155" s="164"/>
      <c r="W155" s="162"/>
      <c r="X155" s="162"/>
      <c r="Y155" s="162"/>
      <c r="Z155" s="162"/>
      <c r="AA155" s="164"/>
      <c r="AB155" s="164"/>
      <c r="AC155" s="164"/>
      <c r="AD155" s="164"/>
      <c r="AE155" s="164"/>
    </row>
    <row r="156" ht="15.75" customHeight="1">
      <c r="A156" s="164"/>
      <c r="B156" s="477"/>
      <c r="C156" s="478"/>
      <c r="D156" s="472"/>
      <c r="E156" s="473"/>
      <c r="F156" s="474"/>
      <c r="G156" s="164"/>
      <c r="H156" s="2"/>
      <c r="O156" s="475"/>
      <c r="P156" s="475"/>
      <c r="Q156" s="475"/>
      <c r="R156" s="476"/>
      <c r="S156" s="467"/>
      <c r="T156" s="468"/>
      <c r="U156" s="164"/>
      <c r="V156" s="164"/>
      <c r="W156" s="162"/>
      <c r="X156" s="162"/>
      <c r="Y156" s="162"/>
      <c r="Z156" s="162"/>
      <c r="AA156" s="164"/>
      <c r="AB156" s="164"/>
      <c r="AC156" s="164"/>
      <c r="AD156" s="164"/>
      <c r="AE156" s="164"/>
    </row>
    <row r="157" ht="15.75" customHeight="1">
      <c r="A157" s="164"/>
      <c r="B157" s="477"/>
      <c r="C157" s="478"/>
      <c r="D157" s="472"/>
      <c r="E157" s="473"/>
      <c r="F157" s="474"/>
      <c r="G157" s="164"/>
      <c r="H157" s="2"/>
      <c r="O157" s="475"/>
      <c r="P157" s="475"/>
      <c r="Q157" s="475"/>
      <c r="R157" s="476"/>
      <c r="S157" s="467"/>
      <c r="T157" s="468"/>
      <c r="U157" s="164"/>
      <c r="V157" s="164"/>
      <c r="W157" s="162"/>
      <c r="X157" s="162"/>
      <c r="Y157" s="162"/>
      <c r="Z157" s="162"/>
      <c r="AA157" s="164"/>
      <c r="AB157" s="164"/>
      <c r="AC157" s="164"/>
      <c r="AD157" s="164"/>
      <c r="AE157" s="164"/>
    </row>
    <row r="158" ht="15.75" customHeight="1">
      <c r="A158" s="164"/>
      <c r="B158" s="477"/>
      <c r="C158" s="478"/>
      <c r="D158" s="472"/>
      <c r="E158" s="473"/>
      <c r="F158" s="474"/>
      <c r="G158" s="164"/>
      <c r="H158" s="2"/>
      <c r="O158" s="475"/>
      <c r="P158" s="475"/>
      <c r="Q158" s="475"/>
      <c r="R158" s="476"/>
      <c r="S158" s="467"/>
      <c r="T158" s="468"/>
      <c r="U158" s="164"/>
      <c r="V158" s="164"/>
      <c r="W158" s="162"/>
      <c r="X158" s="162"/>
      <c r="Y158" s="162"/>
      <c r="Z158" s="162"/>
      <c r="AA158" s="164"/>
      <c r="AB158" s="164"/>
      <c r="AC158" s="164"/>
      <c r="AD158" s="164"/>
      <c r="AE158" s="164"/>
    </row>
    <row r="159" ht="15.75" customHeight="1">
      <c r="A159" s="164"/>
      <c r="B159" s="477"/>
      <c r="C159" s="478"/>
      <c r="D159" s="472"/>
      <c r="E159" s="473"/>
      <c r="F159" s="474"/>
      <c r="G159" s="164"/>
      <c r="H159" s="2"/>
      <c r="O159" s="475"/>
      <c r="P159" s="475"/>
      <c r="Q159" s="475"/>
      <c r="R159" s="476"/>
      <c r="S159" s="467"/>
      <c r="T159" s="468"/>
      <c r="U159" s="164"/>
      <c r="V159" s="164"/>
      <c r="W159" s="162"/>
      <c r="X159" s="162"/>
      <c r="Y159" s="162"/>
      <c r="Z159" s="162"/>
      <c r="AA159" s="164"/>
      <c r="AB159" s="164"/>
      <c r="AC159" s="164"/>
      <c r="AD159" s="164"/>
      <c r="AE159" s="164"/>
    </row>
    <row r="160" ht="15.75" customHeight="1">
      <c r="A160" s="164"/>
      <c r="B160" s="477"/>
      <c r="C160" s="478"/>
      <c r="D160" s="472"/>
      <c r="E160" s="473"/>
      <c r="F160" s="474"/>
      <c r="G160" s="164"/>
      <c r="H160" s="2"/>
      <c r="O160" s="475"/>
      <c r="P160" s="475"/>
      <c r="Q160" s="475"/>
      <c r="R160" s="476"/>
      <c r="S160" s="467"/>
      <c r="T160" s="468"/>
      <c r="U160" s="164"/>
      <c r="V160" s="164"/>
      <c r="W160" s="162"/>
      <c r="X160" s="162"/>
      <c r="Y160" s="162"/>
      <c r="Z160" s="162"/>
      <c r="AA160" s="164"/>
      <c r="AB160" s="164"/>
      <c r="AC160" s="164"/>
      <c r="AD160" s="164"/>
      <c r="AE160" s="164"/>
    </row>
    <row r="161" ht="15.75" customHeight="1">
      <c r="A161" s="164"/>
      <c r="B161" s="477"/>
      <c r="C161" s="478"/>
      <c r="D161" s="472"/>
      <c r="E161" s="473"/>
      <c r="F161" s="474"/>
      <c r="G161" s="164"/>
      <c r="H161" s="2"/>
      <c r="O161" s="475"/>
      <c r="P161" s="475"/>
      <c r="Q161" s="475"/>
      <c r="R161" s="476"/>
      <c r="S161" s="467"/>
      <c r="T161" s="468"/>
      <c r="U161" s="164"/>
      <c r="V161" s="164"/>
      <c r="W161" s="162"/>
      <c r="X161" s="162"/>
      <c r="Y161" s="162"/>
      <c r="Z161" s="162"/>
      <c r="AA161" s="164"/>
      <c r="AB161" s="164"/>
      <c r="AC161" s="164"/>
      <c r="AD161" s="164"/>
      <c r="AE161" s="164"/>
    </row>
    <row r="162" ht="15.75" customHeight="1">
      <c r="A162" s="164"/>
      <c r="B162" s="477"/>
      <c r="C162" s="478"/>
      <c r="D162" s="472"/>
      <c r="E162" s="473"/>
      <c r="F162" s="474"/>
      <c r="G162" s="164"/>
      <c r="H162" s="2"/>
      <c r="O162" s="475"/>
      <c r="P162" s="475"/>
      <c r="Q162" s="475"/>
      <c r="R162" s="476"/>
      <c r="S162" s="467"/>
      <c r="T162" s="468"/>
      <c r="U162" s="164"/>
      <c r="V162" s="164"/>
      <c r="W162" s="162"/>
      <c r="X162" s="162"/>
      <c r="Y162" s="162"/>
      <c r="Z162" s="162"/>
      <c r="AA162" s="164"/>
      <c r="AB162" s="164"/>
      <c r="AC162" s="164"/>
      <c r="AD162" s="164"/>
      <c r="AE162" s="164"/>
    </row>
    <row r="163" ht="15.75" customHeight="1">
      <c r="A163" s="164"/>
      <c r="B163" s="477"/>
      <c r="C163" s="478"/>
      <c r="D163" s="472"/>
      <c r="E163" s="473"/>
      <c r="F163" s="474"/>
      <c r="G163" s="164"/>
      <c r="H163" s="2"/>
      <c r="O163" s="475"/>
      <c r="P163" s="475"/>
      <c r="Q163" s="475"/>
      <c r="R163" s="476"/>
      <c r="S163" s="467"/>
      <c r="T163" s="468"/>
      <c r="U163" s="164"/>
      <c r="V163" s="164"/>
      <c r="W163" s="162"/>
      <c r="X163" s="162"/>
      <c r="Y163" s="162"/>
      <c r="Z163" s="162"/>
      <c r="AA163" s="164"/>
      <c r="AB163" s="164"/>
      <c r="AC163" s="164"/>
      <c r="AD163" s="164"/>
      <c r="AE163" s="164"/>
    </row>
    <row r="164" ht="15.75" customHeight="1">
      <c r="A164" s="164"/>
      <c r="B164" s="477"/>
      <c r="C164" s="478"/>
      <c r="D164" s="472"/>
      <c r="E164" s="473"/>
      <c r="F164" s="474"/>
      <c r="G164" s="164"/>
      <c r="H164" s="2"/>
      <c r="O164" s="475"/>
      <c r="P164" s="475"/>
      <c r="Q164" s="475"/>
      <c r="R164" s="476"/>
      <c r="S164" s="467"/>
      <c r="T164" s="468"/>
      <c r="U164" s="164"/>
      <c r="V164" s="164"/>
      <c r="W164" s="162"/>
      <c r="X164" s="162"/>
      <c r="Y164" s="162"/>
      <c r="Z164" s="162"/>
      <c r="AA164" s="164"/>
      <c r="AB164" s="164"/>
      <c r="AC164" s="164"/>
      <c r="AD164" s="164"/>
      <c r="AE164" s="164"/>
    </row>
    <row r="165" ht="15.75" customHeight="1">
      <c r="A165" s="164"/>
      <c r="B165" s="477"/>
      <c r="C165" s="478"/>
      <c r="D165" s="472"/>
      <c r="E165" s="473"/>
      <c r="F165" s="474"/>
      <c r="G165" s="164"/>
      <c r="H165" s="2"/>
      <c r="O165" s="475"/>
      <c r="P165" s="475"/>
      <c r="Q165" s="475"/>
      <c r="R165" s="476"/>
      <c r="S165" s="467"/>
      <c r="T165" s="468"/>
      <c r="U165" s="164"/>
      <c r="V165" s="164"/>
      <c r="W165" s="162"/>
      <c r="X165" s="162"/>
      <c r="Y165" s="162"/>
      <c r="Z165" s="162"/>
      <c r="AA165" s="164"/>
      <c r="AB165" s="164"/>
      <c r="AC165" s="164"/>
      <c r="AD165" s="164"/>
      <c r="AE165" s="164"/>
    </row>
    <row r="166" ht="15.75" customHeight="1">
      <c r="A166" s="164"/>
      <c r="B166" s="477"/>
      <c r="C166" s="478"/>
      <c r="D166" s="472"/>
      <c r="E166" s="473"/>
      <c r="F166" s="474"/>
      <c r="G166" s="164"/>
      <c r="H166" s="2"/>
      <c r="O166" s="475"/>
      <c r="P166" s="475"/>
      <c r="Q166" s="475"/>
      <c r="R166" s="476"/>
      <c r="S166" s="467"/>
      <c r="T166" s="468"/>
      <c r="U166" s="164"/>
      <c r="V166" s="164"/>
      <c r="W166" s="162"/>
      <c r="X166" s="162"/>
      <c r="Y166" s="162"/>
      <c r="Z166" s="162"/>
      <c r="AA166" s="164"/>
      <c r="AB166" s="164"/>
      <c r="AC166" s="164"/>
      <c r="AD166" s="164"/>
      <c r="AE166" s="164"/>
    </row>
    <row r="167" ht="15.75" customHeight="1">
      <c r="A167" s="164"/>
      <c r="B167" s="477"/>
      <c r="C167" s="478"/>
      <c r="D167" s="472"/>
      <c r="E167" s="473"/>
      <c r="F167" s="474"/>
      <c r="G167" s="164"/>
      <c r="H167" s="2"/>
      <c r="O167" s="475"/>
      <c r="P167" s="475"/>
      <c r="Q167" s="475"/>
      <c r="R167" s="476"/>
      <c r="S167" s="467"/>
      <c r="T167" s="468"/>
      <c r="U167" s="164"/>
      <c r="V167" s="164"/>
      <c r="W167" s="162"/>
      <c r="X167" s="162"/>
      <c r="Y167" s="162"/>
      <c r="Z167" s="162"/>
      <c r="AA167" s="164"/>
      <c r="AB167" s="164"/>
      <c r="AC167" s="164"/>
      <c r="AD167" s="164"/>
      <c r="AE167" s="164"/>
    </row>
    <row r="168" ht="15.75" customHeight="1">
      <c r="A168" s="164"/>
      <c r="B168" s="477"/>
      <c r="C168" s="478"/>
      <c r="D168" s="472"/>
      <c r="E168" s="473"/>
      <c r="F168" s="474"/>
      <c r="G168" s="164"/>
      <c r="H168" s="2"/>
      <c r="O168" s="475"/>
      <c r="P168" s="475"/>
      <c r="Q168" s="475"/>
      <c r="R168" s="476"/>
      <c r="S168" s="467"/>
      <c r="T168" s="468"/>
      <c r="U168" s="164"/>
      <c r="V168" s="164"/>
      <c r="W168" s="162"/>
      <c r="X168" s="162"/>
      <c r="Y168" s="162"/>
      <c r="Z168" s="162"/>
      <c r="AA168" s="164"/>
      <c r="AB168" s="164"/>
      <c r="AC168" s="164"/>
      <c r="AD168" s="164"/>
      <c r="AE168" s="164"/>
    </row>
    <row r="169" ht="15.75" customHeight="1">
      <c r="A169" s="164"/>
      <c r="B169" s="477"/>
      <c r="C169" s="478"/>
      <c r="D169" s="472"/>
      <c r="E169" s="473"/>
      <c r="F169" s="474"/>
      <c r="G169" s="164"/>
      <c r="H169" s="2"/>
      <c r="O169" s="475"/>
      <c r="P169" s="475"/>
      <c r="Q169" s="475"/>
      <c r="R169" s="476"/>
      <c r="S169" s="467"/>
      <c r="T169" s="468"/>
      <c r="U169" s="164"/>
      <c r="V169" s="164"/>
      <c r="W169" s="162"/>
      <c r="X169" s="162"/>
      <c r="Y169" s="162"/>
      <c r="Z169" s="162"/>
      <c r="AA169" s="164"/>
      <c r="AB169" s="164"/>
      <c r="AC169" s="164"/>
      <c r="AD169" s="164"/>
      <c r="AE169" s="164"/>
    </row>
    <row r="170" ht="15.75" customHeight="1">
      <c r="A170" s="164"/>
      <c r="B170" s="477"/>
      <c r="C170" s="478"/>
      <c r="D170" s="472"/>
      <c r="E170" s="473"/>
      <c r="F170" s="474"/>
      <c r="G170" s="164"/>
      <c r="H170" s="2"/>
      <c r="O170" s="475"/>
      <c r="P170" s="475"/>
      <c r="Q170" s="475"/>
      <c r="R170" s="476"/>
      <c r="S170" s="467"/>
      <c r="T170" s="468"/>
      <c r="U170" s="164"/>
      <c r="V170" s="164"/>
      <c r="W170" s="162"/>
      <c r="X170" s="162"/>
      <c r="Y170" s="162"/>
      <c r="Z170" s="162"/>
      <c r="AA170" s="164"/>
      <c r="AB170" s="164"/>
      <c r="AC170" s="164"/>
      <c r="AD170" s="164"/>
      <c r="AE170" s="164"/>
    </row>
    <row r="171" ht="15.75" customHeight="1">
      <c r="A171" s="164"/>
      <c r="B171" s="477"/>
      <c r="C171" s="478"/>
      <c r="D171" s="472"/>
      <c r="E171" s="473"/>
      <c r="F171" s="474"/>
      <c r="G171" s="164"/>
      <c r="H171" s="2"/>
      <c r="O171" s="475"/>
      <c r="P171" s="475"/>
      <c r="Q171" s="475"/>
      <c r="R171" s="476"/>
      <c r="S171" s="467"/>
      <c r="T171" s="468"/>
      <c r="U171" s="164"/>
      <c r="V171" s="164"/>
      <c r="W171" s="162"/>
      <c r="X171" s="162"/>
      <c r="Y171" s="162"/>
      <c r="Z171" s="162"/>
      <c r="AA171" s="164"/>
      <c r="AB171" s="164"/>
      <c r="AC171" s="164"/>
      <c r="AD171" s="164"/>
      <c r="AE171" s="164"/>
    </row>
    <row r="172" ht="15.75" customHeight="1">
      <c r="A172" s="164"/>
      <c r="B172" s="477"/>
      <c r="C172" s="478"/>
      <c r="D172" s="472"/>
      <c r="E172" s="473"/>
      <c r="F172" s="474"/>
      <c r="G172" s="164"/>
      <c r="H172" s="2"/>
      <c r="O172" s="475"/>
      <c r="P172" s="475"/>
      <c r="Q172" s="475"/>
      <c r="R172" s="476"/>
      <c r="S172" s="467"/>
      <c r="T172" s="468"/>
      <c r="U172" s="164"/>
      <c r="V172" s="164"/>
      <c r="W172" s="162"/>
      <c r="X172" s="162"/>
      <c r="Y172" s="162"/>
      <c r="Z172" s="162"/>
      <c r="AA172" s="164"/>
      <c r="AB172" s="164"/>
      <c r="AC172" s="164"/>
      <c r="AD172" s="164"/>
      <c r="AE172" s="164"/>
    </row>
    <row r="173" ht="15.75" customHeight="1">
      <c r="A173" s="164"/>
      <c r="B173" s="477"/>
      <c r="C173" s="478"/>
      <c r="D173" s="472"/>
      <c r="E173" s="473"/>
      <c r="F173" s="474"/>
      <c r="G173" s="164"/>
      <c r="H173" s="2"/>
      <c r="O173" s="475"/>
      <c r="P173" s="475"/>
      <c r="Q173" s="475"/>
      <c r="R173" s="476"/>
      <c r="S173" s="467"/>
      <c r="T173" s="468"/>
      <c r="U173" s="164"/>
      <c r="V173" s="164"/>
      <c r="W173" s="162"/>
      <c r="X173" s="162"/>
      <c r="Y173" s="162"/>
      <c r="Z173" s="162"/>
      <c r="AA173" s="164"/>
      <c r="AB173" s="164"/>
      <c r="AC173" s="164"/>
      <c r="AD173" s="164"/>
      <c r="AE173" s="164"/>
    </row>
    <row r="174" ht="15.75" customHeight="1">
      <c r="A174" s="164"/>
      <c r="B174" s="477"/>
      <c r="C174" s="478"/>
      <c r="D174" s="472"/>
      <c r="E174" s="473"/>
      <c r="F174" s="474"/>
      <c r="G174" s="164"/>
      <c r="H174" s="2"/>
      <c r="O174" s="475"/>
      <c r="P174" s="475"/>
      <c r="Q174" s="475"/>
      <c r="R174" s="476"/>
      <c r="S174" s="467"/>
      <c r="T174" s="468"/>
      <c r="U174" s="164"/>
      <c r="V174" s="164"/>
      <c r="W174" s="162"/>
      <c r="X174" s="162"/>
      <c r="Y174" s="162"/>
      <c r="Z174" s="162"/>
      <c r="AA174" s="164"/>
      <c r="AB174" s="164"/>
      <c r="AC174" s="164"/>
      <c r="AD174" s="164"/>
      <c r="AE174" s="164"/>
    </row>
    <row r="175" ht="15.75" customHeight="1">
      <c r="A175" s="164"/>
      <c r="B175" s="477"/>
      <c r="C175" s="478"/>
      <c r="D175" s="472"/>
      <c r="E175" s="473"/>
      <c r="F175" s="474"/>
      <c r="G175" s="164"/>
      <c r="H175" s="2"/>
      <c r="O175" s="475"/>
      <c r="P175" s="475"/>
      <c r="Q175" s="475"/>
      <c r="R175" s="476"/>
      <c r="S175" s="467"/>
      <c r="T175" s="468"/>
      <c r="U175" s="164"/>
      <c r="V175" s="164"/>
      <c r="W175" s="162"/>
      <c r="X175" s="162"/>
      <c r="Y175" s="162"/>
      <c r="Z175" s="162"/>
      <c r="AA175" s="164"/>
      <c r="AB175" s="164"/>
      <c r="AC175" s="164"/>
      <c r="AD175" s="164"/>
      <c r="AE175" s="164"/>
    </row>
    <row r="176" ht="15.75" customHeight="1">
      <c r="A176" s="164"/>
      <c r="B176" s="477"/>
      <c r="C176" s="478"/>
      <c r="D176" s="472"/>
      <c r="E176" s="473"/>
      <c r="F176" s="474"/>
      <c r="G176" s="164"/>
      <c r="H176" s="2"/>
      <c r="O176" s="475"/>
      <c r="P176" s="475"/>
      <c r="Q176" s="475"/>
      <c r="R176" s="476"/>
      <c r="S176" s="467"/>
      <c r="T176" s="468"/>
      <c r="U176" s="164"/>
      <c r="V176" s="164"/>
      <c r="W176" s="162"/>
      <c r="X176" s="162"/>
      <c r="Y176" s="162"/>
      <c r="Z176" s="162"/>
      <c r="AA176" s="164"/>
      <c r="AB176" s="164"/>
      <c r="AC176" s="164"/>
      <c r="AD176" s="164"/>
      <c r="AE176" s="164"/>
    </row>
    <row r="177" ht="15.75" customHeight="1">
      <c r="A177" s="164"/>
      <c r="B177" s="477"/>
      <c r="C177" s="478"/>
      <c r="D177" s="472"/>
      <c r="E177" s="473"/>
      <c r="F177" s="474"/>
      <c r="G177" s="164"/>
      <c r="H177" s="2"/>
      <c r="O177" s="475"/>
      <c r="P177" s="475"/>
      <c r="Q177" s="475"/>
      <c r="R177" s="476"/>
      <c r="S177" s="467"/>
      <c r="T177" s="468"/>
      <c r="U177" s="164"/>
      <c r="V177" s="164"/>
      <c r="W177" s="162"/>
      <c r="X177" s="162"/>
      <c r="Y177" s="162"/>
      <c r="Z177" s="162"/>
      <c r="AA177" s="164"/>
      <c r="AB177" s="164"/>
      <c r="AC177" s="164"/>
      <c r="AD177" s="164"/>
      <c r="AE177" s="164"/>
    </row>
    <row r="178" ht="15.75" customHeight="1">
      <c r="A178" s="164"/>
      <c r="B178" s="477"/>
      <c r="C178" s="478"/>
      <c r="D178" s="472"/>
      <c r="E178" s="473"/>
      <c r="F178" s="474"/>
      <c r="G178" s="164"/>
      <c r="H178" s="2"/>
      <c r="O178" s="475"/>
      <c r="P178" s="475"/>
      <c r="Q178" s="475"/>
      <c r="R178" s="476"/>
      <c r="S178" s="467"/>
      <c r="T178" s="468"/>
      <c r="U178" s="164"/>
      <c r="V178" s="164"/>
      <c r="W178" s="162"/>
      <c r="X178" s="162"/>
      <c r="Y178" s="162"/>
      <c r="Z178" s="162"/>
      <c r="AA178" s="164"/>
      <c r="AB178" s="164"/>
      <c r="AC178" s="164"/>
      <c r="AD178" s="164"/>
      <c r="AE178" s="164"/>
    </row>
    <row r="179" ht="15.75" customHeight="1">
      <c r="A179" s="164"/>
      <c r="B179" s="477"/>
      <c r="C179" s="478"/>
      <c r="D179" s="472"/>
      <c r="E179" s="473"/>
      <c r="F179" s="474"/>
      <c r="G179" s="164"/>
      <c r="H179" s="2"/>
      <c r="O179" s="475"/>
      <c r="P179" s="475"/>
      <c r="Q179" s="475"/>
      <c r="R179" s="476"/>
      <c r="S179" s="467"/>
      <c r="T179" s="468"/>
      <c r="U179" s="164"/>
      <c r="V179" s="164"/>
      <c r="W179" s="162"/>
      <c r="X179" s="162"/>
      <c r="Y179" s="162"/>
      <c r="Z179" s="162"/>
      <c r="AA179" s="164"/>
      <c r="AB179" s="164"/>
      <c r="AC179" s="164"/>
      <c r="AD179" s="164"/>
      <c r="AE179" s="164"/>
    </row>
    <row r="180" ht="15.75" customHeight="1">
      <c r="A180" s="164"/>
      <c r="B180" s="477"/>
      <c r="C180" s="478"/>
      <c r="D180" s="472"/>
      <c r="E180" s="473"/>
      <c r="F180" s="474"/>
      <c r="G180" s="164"/>
      <c r="H180" s="2"/>
      <c r="O180" s="475"/>
      <c r="P180" s="475"/>
      <c r="Q180" s="475"/>
      <c r="R180" s="476"/>
      <c r="S180" s="467"/>
      <c r="T180" s="468"/>
      <c r="U180" s="164"/>
      <c r="V180" s="164"/>
      <c r="W180" s="162"/>
      <c r="X180" s="162"/>
      <c r="Y180" s="162"/>
      <c r="Z180" s="162"/>
      <c r="AA180" s="164"/>
      <c r="AB180" s="164"/>
      <c r="AC180" s="164"/>
      <c r="AD180" s="164"/>
      <c r="AE180" s="164"/>
    </row>
    <row r="181" ht="15.75" customHeight="1">
      <c r="A181" s="164"/>
      <c r="B181" s="477"/>
      <c r="C181" s="478"/>
      <c r="D181" s="472"/>
      <c r="E181" s="473"/>
      <c r="F181" s="474"/>
      <c r="G181" s="164"/>
      <c r="H181" s="2"/>
      <c r="O181" s="475"/>
      <c r="P181" s="475"/>
      <c r="Q181" s="475"/>
      <c r="R181" s="476"/>
      <c r="S181" s="467"/>
      <c r="T181" s="468"/>
      <c r="U181" s="164"/>
      <c r="V181" s="164"/>
      <c r="W181" s="162"/>
      <c r="X181" s="162"/>
      <c r="Y181" s="162"/>
      <c r="Z181" s="162"/>
      <c r="AA181" s="164"/>
      <c r="AB181" s="164"/>
      <c r="AC181" s="164"/>
      <c r="AD181" s="164"/>
      <c r="AE181" s="164"/>
    </row>
    <row r="182" ht="15.75" customHeight="1">
      <c r="A182" s="164"/>
      <c r="B182" s="477"/>
      <c r="C182" s="478"/>
      <c r="D182" s="472"/>
      <c r="E182" s="473"/>
      <c r="F182" s="474"/>
      <c r="G182" s="164"/>
      <c r="H182" s="2"/>
      <c r="O182" s="475"/>
      <c r="P182" s="475"/>
      <c r="Q182" s="475"/>
      <c r="R182" s="476"/>
      <c r="S182" s="467"/>
      <c r="T182" s="468"/>
      <c r="U182" s="164"/>
      <c r="V182" s="164"/>
      <c r="W182" s="162"/>
      <c r="X182" s="162"/>
      <c r="Y182" s="162"/>
      <c r="Z182" s="162"/>
      <c r="AA182" s="164"/>
      <c r="AB182" s="164"/>
      <c r="AC182" s="164"/>
      <c r="AD182" s="164"/>
      <c r="AE182" s="164"/>
    </row>
    <row r="183" ht="15.75" customHeight="1">
      <c r="A183" s="164"/>
      <c r="B183" s="477"/>
      <c r="C183" s="478"/>
      <c r="D183" s="472"/>
      <c r="E183" s="473"/>
      <c r="F183" s="474"/>
      <c r="G183" s="164"/>
      <c r="H183" s="2"/>
      <c r="O183" s="475"/>
      <c r="P183" s="475"/>
      <c r="Q183" s="475"/>
      <c r="R183" s="476"/>
      <c r="S183" s="467"/>
      <c r="T183" s="468"/>
      <c r="U183" s="164"/>
      <c r="V183" s="164"/>
      <c r="W183" s="162"/>
      <c r="X183" s="162"/>
      <c r="Y183" s="162"/>
      <c r="Z183" s="162"/>
      <c r="AA183" s="164"/>
      <c r="AB183" s="164"/>
      <c r="AC183" s="164"/>
      <c r="AD183" s="164"/>
      <c r="AE183" s="164"/>
    </row>
    <row r="184" ht="15.75" customHeight="1">
      <c r="A184" s="164"/>
      <c r="B184" s="477"/>
      <c r="C184" s="478"/>
      <c r="D184" s="472"/>
      <c r="E184" s="473"/>
      <c r="F184" s="474"/>
      <c r="G184" s="164"/>
      <c r="H184" s="2"/>
      <c r="O184" s="475"/>
      <c r="P184" s="475"/>
      <c r="Q184" s="475"/>
      <c r="R184" s="476"/>
      <c r="S184" s="467"/>
      <c r="T184" s="468"/>
      <c r="U184" s="164"/>
      <c r="V184" s="164"/>
      <c r="W184" s="162"/>
      <c r="X184" s="162"/>
      <c r="Y184" s="162"/>
      <c r="Z184" s="162"/>
      <c r="AA184" s="164"/>
      <c r="AB184" s="164"/>
      <c r="AC184" s="164"/>
      <c r="AD184" s="164"/>
      <c r="AE184" s="164"/>
    </row>
    <row r="185" ht="15.75" customHeight="1">
      <c r="A185" s="164"/>
      <c r="B185" s="477"/>
      <c r="C185" s="478"/>
      <c r="D185" s="472"/>
      <c r="E185" s="473"/>
      <c r="F185" s="474"/>
      <c r="G185" s="164"/>
      <c r="H185" s="2"/>
      <c r="O185" s="475"/>
      <c r="P185" s="475"/>
      <c r="Q185" s="475"/>
      <c r="R185" s="476"/>
      <c r="S185" s="467"/>
      <c r="T185" s="468"/>
      <c r="U185" s="164"/>
      <c r="V185" s="164"/>
      <c r="W185" s="162"/>
      <c r="X185" s="162"/>
      <c r="Y185" s="162"/>
      <c r="Z185" s="162"/>
      <c r="AA185" s="164"/>
      <c r="AB185" s="164"/>
      <c r="AC185" s="164"/>
      <c r="AD185" s="164"/>
      <c r="AE185" s="164"/>
    </row>
    <row r="186" ht="15.75" customHeight="1">
      <c r="A186" s="164"/>
      <c r="B186" s="477"/>
      <c r="C186" s="478"/>
      <c r="D186" s="472"/>
      <c r="E186" s="473"/>
      <c r="F186" s="474"/>
      <c r="G186" s="164"/>
      <c r="H186" s="2"/>
      <c r="O186" s="475"/>
      <c r="P186" s="475"/>
      <c r="Q186" s="475"/>
      <c r="R186" s="476"/>
      <c r="S186" s="467"/>
      <c r="T186" s="468"/>
      <c r="U186" s="164"/>
      <c r="V186" s="164"/>
      <c r="W186" s="162"/>
      <c r="X186" s="162"/>
      <c r="Y186" s="162"/>
      <c r="Z186" s="162"/>
      <c r="AA186" s="164"/>
      <c r="AB186" s="164"/>
      <c r="AC186" s="164"/>
      <c r="AD186" s="164"/>
      <c r="AE186" s="164"/>
    </row>
    <row r="187" ht="15.75" customHeight="1">
      <c r="A187" s="164"/>
      <c r="B187" s="477"/>
      <c r="C187" s="478"/>
      <c r="D187" s="472"/>
      <c r="E187" s="473"/>
      <c r="F187" s="474"/>
      <c r="G187" s="164"/>
      <c r="H187" s="2"/>
      <c r="O187" s="475"/>
      <c r="P187" s="475"/>
      <c r="Q187" s="475"/>
      <c r="R187" s="476"/>
      <c r="S187" s="467"/>
      <c r="T187" s="468"/>
      <c r="U187" s="164"/>
      <c r="V187" s="164"/>
      <c r="W187" s="162"/>
      <c r="X187" s="162"/>
      <c r="Y187" s="162"/>
      <c r="Z187" s="162"/>
      <c r="AA187" s="164"/>
      <c r="AB187" s="164"/>
      <c r="AC187" s="164"/>
      <c r="AD187" s="164"/>
      <c r="AE187" s="164"/>
    </row>
    <row r="188" ht="15.75" customHeight="1">
      <c r="A188" s="164"/>
      <c r="B188" s="477"/>
      <c r="C188" s="478"/>
      <c r="D188" s="472"/>
      <c r="E188" s="473"/>
      <c r="F188" s="474"/>
      <c r="G188" s="164"/>
      <c r="H188" s="2"/>
      <c r="O188" s="475"/>
      <c r="P188" s="475"/>
      <c r="Q188" s="475"/>
      <c r="R188" s="476"/>
      <c r="S188" s="467"/>
      <c r="T188" s="468"/>
      <c r="U188" s="164"/>
      <c r="V188" s="164"/>
      <c r="W188" s="162"/>
      <c r="X188" s="162"/>
      <c r="Y188" s="162"/>
      <c r="Z188" s="162"/>
      <c r="AA188" s="164"/>
      <c r="AB188" s="164"/>
      <c r="AC188" s="164"/>
      <c r="AD188" s="164"/>
      <c r="AE188" s="164"/>
    </row>
    <row r="189" ht="15.75" customHeight="1">
      <c r="A189" s="164"/>
      <c r="B189" s="477"/>
      <c r="C189" s="478"/>
      <c r="D189" s="472"/>
      <c r="E189" s="473"/>
      <c r="F189" s="474"/>
      <c r="G189" s="164"/>
      <c r="H189" s="2"/>
      <c r="O189" s="475"/>
      <c r="P189" s="475"/>
      <c r="Q189" s="475"/>
      <c r="R189" s="476"/>
      <c r="S189" s="467"/>
      <c r="T189" s="468"/>
      <c r="U189" s="164"/>
      <c r="V189" s="164"/>
      <c r="W189" s="162"/>
      <c r="X189" s="162"/>
      <c r="Y189" s="162"/>
      <c r="Z189" s="162"/>
      <c r="AA189" s="164"/>
      <c r="AB189" s="164"/>
      <c r="AC189" s="164"/>
      <c r="AD189" s="164"/>
      <c r="AE189" s="164"/>
    </row>
    <row r="190" ht="15.75" customHeight="1">
      <c r="A190" s="164"/>
      <c r="B190" s="477"/>
      <c r="C190" s="478"/>
      <c r="D190" s="472"/>
      <c r="E190" s="473"/>
      <c r="F190" s="474"/>
      <c r="G190" s="164"/>
      <c r="H190" s="2"/>
      <c r="O190" s="475"/>
      <c r="P190" s="475"/>
      <c r="Q190" s="475"/>
      <c r="R190" s="476"/>
      <c r="S190" s="467"/>
      <c r="T190" s="468"/>
      <c r="U190" s="164"/>
      <c r="V190" s="164"/>
      <c r="W190" s="162"/>
      <c r="X190" s="162"/>
      <c r="Y190" s="162"/>
      <c r="Z190" s="162"/>
      <c r="AA190" s="164"/>
      <c r="AB190" s="164"/>
      <c r="AC190" s="164"/>
      <c r="AD190" s="164"/>
      <c r="AE190" s="164"/>
    </row>
    <row r="191" ht="15.75" customHeight="1">
      <c r="A191" s="164"/>
      <c r="B191" s="477"/>
      <c r="C191" s="478"/>
      <c r="D191" s="472"/>
      <c r="E191" s="473"/>
      <c r="F191" s="474"/>
      <c r="G191" s="164"/>
      <c r="H191" s="2"/>
      <c r="O191" s="475"/>
      <c r="P191" s="475"/>
      <c r="Q191" s="475"/>
      <c r="R191" s="476"/>
      <c r="S191" s="467"/>
      <c r="T191" s="468"/>
      <c r="U191" s="164"/>
      <c r="V191" s="164"/>
      <c r="W191" s="162"/>
      <c r="X191" s="162"/>
      <c r="Y191" s="162"/>
      <c r="Z191" s="162"/>
      <c r="AA191" s="164"/>
      <c r="AB191" s="164"/>
      <c r="AC191" s="164"/>
      <c r="AD191" s="164"/>
      <c r="AE191" s="164"/>
    </row>
    <row r="192" ht="15.75" customHeight="1">
      <c r="A192" s="164"/>
      <c r="B192" s="477"/>
      <c r="C192" s="478"/>
      <c r="D192" s="472"/>
      <c r="E192" s="473"/>
      <c r="F192" s="474"/>
      <c r="G192" s="164"/>
      <c r="H192" s="2"/>
      <c r="O192" s="475"/>
      <c r="P192" s="475"/>
      <c r="Q192" s="475"/>
      <c r="R192" s="476"/>
      <c r="S192" s="467"/>
      <c r="T192" s="468"/>
      <c r="U192" s="164"/>
      <c r="V192" s="164"/>
      <c r="W192" s="162"/>
      <c r="X192" s="162"/>
      <c r="Y192" s="162"/>
      <c r="Z192" s="162"/>
      <c r="AA192" s="164"/>
      <c r="AB192" s="164"/>
      <c r="AC192" s="164"/>
      <c r="AD192" s="164"/>
      <c r="AE192" s="164"/>
    </row>
    <row r="193" ht="15.75" customHeight="1">
      <c r="A193" s="164"/>
      <c r="B193" s="477"/>
      <c r="C193" s="478"/>
      <c r="D193" s="472"/>
      <c r="E193" s="473"/>
      <c r="F193" s="474"/>
      <c r="G193" s="164"/>
      <c r="H193" s="2"/>
      <c r="O193" s="475"/>
      <c r="P193" s="475"/>
      <c r="Q193" s="475"/>
      <c r="R193" s="476"/>
      <c r="S193" s="467"/>
      <c r="T193" s="468"/>
      <c r="U193" s="164"/>
      <c r="V193" s="164"/>
      <c r="W193" s="162"/>
      <c r="X193" s="162"/>
      <c r="Y193" s="162"/>
      <c r="Z193" s="162"/>
      <c r="AA193" s="164"/>
      <c r="AB193" s="164"/>
      <c r="AC193" s="164"/>
      <c r="AD193" s="164"/>
      <c r="AE193" s="164"/>
    </row>
    <row r="194" ht="15.75" customHeight="1">
      <c r="A194" s="164"/>
      <c r="B194" s="477"/>
      <c r="C194" s="478"/>
      <c r="D194" s="472"/>
      <c r="E194" s="473"/>
      <c r="F194" s="474"/>
      <c r="G194" s="164"/>
      <c r="H194" s="2"/>
      <c r="O194" s="475"/>
      <c r="P194" s="475"/>
      <c r="Q194" s="475"/>
      <c r="R194" s="476"/>
      <c r="S194" s="467"/>
      <c r="T194" s="468"/>
      <c r="U194" s="164"/>
      <c r="V194" s="164"/>
      <c r="W194" s="162"/>
      <c r="X194" s="162"/>
      <c r="Y194" s="162"/>
      <c r="Z194" s="162"/>
      <c r="AA194" s="164"/>
      <c r="AB194" s="164"/>
      <c r="AC194" s="164"/>
      <c r="AD194" s="164"/>
      <c r="AE194" s="164"/>
    </row>
    <row r="195" ht="15.75" customHeight="1">
      <c r="A195" s="164"/>
      <c r="B195" s="477"/>
      <c r="C195" s="478"/>
      <c r="D195" s="472"/>
      <c r="E195" s="473"/>
      <c r="F195" s="474"/>
      <c r="G195" s="164"/>
      <c r="H195" s="2"/>
      <c r="O195" s="475"/>
      <c r="P195" s="475"/>
      <c r="Q195" s="475"/>
      <c r="R195" s="476"/>
      <c r="S195" s="467"/>
      <c r="T195" s="468"/>
      <c r="U195" s="164"/>
      <c r="V195" s="164"/>
      <c r="W195" s="162"/>
      <c r="X195" s="162"/>
      <c r="Y195" s="162"/>
      <c r="Z195" s="162"/>
      <c r="AA195" s="164"/>
      <c r="AB195" s="164"/>
      <c r="AC195" s="164"/>
      <c r="AD195" s="164"/>
      <c r="AE195" s="164"/>
    </row>
    <row r="196" ht="15.75" customHeight="1">
      <c r="A196" s="164"/>
      <c r="B196" s="477"/>
      <c r="C196" s="478"/>
      <c r="D196" s="472"/>
      <c r="E196" s="473"/>
      <c r="F196" s="474"/>
      <c r="G196" s="164"/>
      <c r="H196" s="2"/>
      <c r="O196" s="475"/>
      <c r="P196" s="475"/>
      <c r="Q196" s="475"/>
      <c r="R196" s="476"/>
      <c r="S196" s="467"/>
      <c r="T196" s="468"/>
      <c r="U196" s="164"/>
      <c r="V196" s="164"/>
      <c r="W196" s="162"/>
      <c r="X196" s="162"/>
      <c r="Y196" s="162"/>
      <c r="Z196" s="162"/>
      <c r="AA196" s="164"/>
      <c r="AB196" s="164"/>
      <c r="AC196" s="164"/>
      <c r="AD196" s="164"/>
      <c r="AE196" s="164"/>
    </row>
    <row r="197" ht="15.75" customHeight="1">
      <c r="A197" s="164"/>
      <c r="B197" s="477"/>
      <c r="C197" s="478"/>
      <c r="D197" s="472"/>
      <c r="E197" s="473"/>
      <c r="F197" s="474"/>
      <c r="G197" s="164"/>
      <c r="H197" s="2"/>
      <c r="O197" s="475"/>
      <c r="P197" s="475"/>
      <c r="Q197" s="475"/>
      <c r="R197" s="476"/>
      <c r="S197" s="467"/>
      <c r="T197" s="468"/>
      <c r="U197" s="164"/>
      <c r="V197" s="164"/>
      <c r="W197" s="162"/>
      <c r="X197" s="162"/>
      <c r="Y197" s="162"/>
      <c r="Z197" s="162"/>
      <c r="AA197" s="164"/>
      <c r="AB197" s="164"/>
      <c r="AC197" s="164"/>
      <c r="AD197" s="164"/>
      <c r="AE197" s="164"/>
    </row>
    <row r="198" ht="15.75" customHeight="1">
      <c r="A198" s="164"/>
      <c r="B198" s="477"/>
      <c r="C198" s="478"/>
      <c r="D198" s="472"/>
      <c r="E198" s="473"/>
      <c r="F198" s="474"/>
      <c r="G198" s="164"/>
      <c r="H198" s="2"/>
      <c r="O198" s="475"/>
      <c r="P198" s="475"/>
      <c r="Q198" s="475"/>
      <c r="R198" s="476"/>
      <c r="S198" s="467"/>
      <c r="T198" s="468"/>
      <c r="U198" s="164"/>
      <c r="V198" s="164"/>
      <c r="W198" s="162"/>
      <c r="X198" s="162"/>
      <c r="Y198" s="162"/>
      <c r="Z198" s="162"/>
      <c r="AA198" s="164"/>
      <c r="AB198" s="164"/>
      <c r="AC198" s="164"/>
      <c r="AD198" s="164"/>
      <c r="AE198" s="164"/>
    </row>
    <row r="199" ht="15.75" customHeight="1">
      <c r="A199" s="164"/>
      <c r="B199" s="477"/>
      <c r="C199" s="478"/>
      <c r="D199" s="472"/>
      <c r="E199" s="473"/>
      <c r="F199" s="474"/>
      <c r="G199" s="164"/>
      <c r="H199" s="2"/>
      <c r="O199" s="475"/>
      <c r="P199" s="475"/>
      <c r="Q199" s="475"/>
      <c r="R199" s="476"/>
      <c r="S199" s="467"/>
      <c r="T199" s="468"/>
      <c r="U199" s="164"/>
      <c r="V199" s="164"/>
      <c r="W199" s="162"/>
      <c r="X199" s="162"/>
      <c r="Y199" s="162"/>
      <c r="Z199" s="162"/>
      <c r="AA199" s="164"/>
      <c r="AB199" s="164"/>
      <c r="AC199" s="164"/>
      <c r="AD199" s="164"/>
      <c r="AE199" s="164"/>
    </row>
    <row r="200" ht="15.75" customHeight="1">
      <c r="A200" s="164"/>
      <c r="B200" s="477"/>
      <c r="C200" s="478"/>
      <c r="D200" s="472"/>
      <c r="E200" s="473"/>
      <c r="F200" s="474"/>
      <c r="G200" s="164"/>
      <c r="H200" s="2"/>
      <c r="O200" s="475"/>
      <c r="P200" s="475"/>
      <c r="Q200" s="475"/>
      <c r="R200" s="476"/>
      <c r="S200" s="467"/>
      <c r="T200" s="468"/>
      <c r="U200" s="164"/>
      <c r="V200" s="164"/>
      <c r="W200" s="162"/>
      <c r="X200" s="162"/>
      <c r="Y200" s="162"/>
      <c r="Z200" s="162"/>
      <c r="AA200" s="164"/>
      <c r="AB200" s="164"/>
      <c r="AC200" s="164"/>
      <c r="AD200" s="164"/>
      <c r="AE200" s="164"/>
    </row>
    <row r="201" ht="15.75" customHeight="1">
      <c r="A201" s="164"/>
      <c r="B201" s="477"/>
      <c r="C201" s="478"/>
      <c r="D201" s="472"/>
      <c r="E201" s="473"/>
      <c r="F201" s="474"/>
      <c r="G201" s="164"/>
      <c r="H201" s="2"/>
      <c r="O201" s="475"/>
      <c r="P201" s="475"/>
      <c r="Q201" s="475"/>
      <c r="R201" s="476"/>
      <c r="S201" s="467"/>
      <c r="T201" s="468"/>
      <c r="U201" s="164"/>
      <c r="V201" s="164"/>
      <c r="W201" s="162"/>
      <c r="X201" s="162"/>
      <c r="Y201" s="162"/>
      <c r="Z201" s="162"/>
      <c r="AA201" s="164"/>
      <c r="AB201" s="164"/>
      <c r="AC201" s="164"/>
      <c r="AD201" s="164"/>
      <c r="AE201" s="164"/>
    </row>
    <row r="202" ht="15.75" customHeight="1">
      <c r="A202" s="164"/>
      <c r="B202" s="477"/>
      <c r="C202" s="478"/>
      <c r="D202" s="472"/>
      <c r="E202" s="473"/>
      <c r="F202" s="474"/>
      <c r="G202" s="164"/>
      <c r="H202" s="2"/>
      <c r="O202" s="475"/>
      <c r="P202" s="475"/>
      <c r="Q202" s="475"/>
      <c r="R202" s="476"/>
      <c r="S202" s="467"/>
      <c r="T202" s="468"/>
      <c r="U202" s="164"/>
      <c r="V202" s="164"/>
      <c r="W202" s="162"/>
      <c r="X202" s="162"/>
      <c r="Y202" s="162"/>
      <c r="Z202" s="162"/>
      <c r="AA202" s="164"/>
      <c r="AB202" s="164"/>
      <c r="AC202" s="164"/>
      <c r="AD202" s="164"/>
      <c r="AE202" s="164"/>
    </row>
    <row r="203" ht="15.75" customHeight="1">
      <c r="A203" s="164"/>
      <c r="B203" s="477"/>
      <c r="C203" s="478"/>
      <c r="D203" s="472"/>
      <c r="E203" s="473"/>
      <c r="F203" s="474"/>
      <c r="G203" s="164"/>
      <c r="H203" s="2"/>
      <c r="O203" s="475"/>
      <c r="P203" s="475"/>
      <c r="Q203" s="475"/>
      <c r="R203" s="476"/>
      <c r="S203" s="467"/>
      <c r="T203" s="468"/>
      <c r="U203" s="164"/>
      <c r="V203" s="164"/>
      <c r="W203" s="162"/>
      <c r="X203" s="162"/>
      <c r="Y203" s="162"/>
      <c r="Z203" s="162"/>
      <c r="AA203" s="164"/>
      <c r="AB203" s="164"/>
      <c r="AC203" s="164"/>
      <c r="AD203" s="164"/>
      <c r="AE203" s="164"/>
    </row>
    <row r="204" ht="15.75" customHeight="1">
      <c r="A204" s="164"/>
      <c r="B204" s="477"/>
      <c r="C204" s="478"/>
      <c r="D204" s="472"/>
      <c r="E204" s="473"/>
      <c r="F204" s="474"/>
      <c r="G204" s="164"/>
      <c r="H204" s="2"/>
      <c r="O204" s="475"/>
      <c r="P204" s="475"/>
      <c r="Q204" s="475"/>
      <c r="R204" s="476"/>
      <c r="S204" s="467"/>
      <c r="T204" s="468"/>
      <c r="U204" s="164"/>
      <c r="V204" s="164"/>
      <c r="W204" s="162"/>
      <c r="X204" s="162"/>
      <c r="Y204" s="162"/>
      <c r="Z204" s="162"/>
      <c r="AA204" s="164"/>
      <c r="AB204" s="164"/>
      <c r="AC204" s="164"/>
      <c r="AD204" s="164"/>
      <c r="AE204" s="164"/>
    </row>
    <row r="205" ht="15.75" customHeight="1">
      <c r="A205" s="164"/>
      <c r="B205" s="477"/>
      <c r="C205" s="478"/>
      <c r="D205" s="472"/>
      <c r="E205" s="473"/>
      <c r="F205" s="474"/>
      <c r="G205" s="164"/>
      <c r="H205" s="2"/>
      <c r="O205" s="475"/>
      <c r="P205" s="475"/>
      <c r="Q205" s="475"/>
      <c r="R205" s="476"/>
      <c r="S205" s="467"/>
      <c r="T205" s="468"/>
      <c r="U205" s="164"/>
      <c r="V205" s="164"/>
      <c r="W205" s="162"/>
      <c r="X205" s="162"/>
      <c r="Y205" s="162"/>
      <c r="Z205" s="162"/>
      <c r="AA205" s="164"/>
      <c r="AB205" s="164"/>
      <c r="AC205" s="164"/>
      <c r="AD205" s="164"/>
      <c r="AE205" s="164"/>
    </row>
    <row r="206" ht="15.75" customHeight="1">
      <c r="A206" s="164"/>
      <c r="B206" s="477"/>
      <c r="C206" s="478"/>
      <c r="D206" s="472"/>
      <c r="E206" s="473"/>
      <c r="F206" s="474"/>
      <c r="G206" s="164"/>
      <c r="H206" s="2"/>
      <c r="O206" s="475"/>
      <c r="P206" s="475"/>
      <c r="Q206" s="475"/>
      <c r="R206" s="476"/>
      <c r="S206" s="467"/>
      <c r="T206" s="468"/>
      <c r="U206" s="164"/>
      <c r="V206" s="164"/>
      <c r="W206" s="162"/>
      <c r="X206" s="162"/>
      <c r="Y206" s="162"/>
      <c r="Z206" s="162"/>
      <c r="AA206" s="164"/>
      <c r="AB206" s="164"/>
      <c r="AC206" s="164"/>
      <c r="AD206" s="164"/>
      <c r="AE206" s="164"/>
    </row>
    <row r="207" ht="15.75" customHeight="1">
      <c r="A207" s="164"/>
      <c r="B207" s="477"/>
      <c r="C207" s="478"/>
      <c r="D207" s="472"/>
      <c r="E207" s="473"/>
      <c r="F207" s="474"/>
      <c r="G207" s="164"/>
      <c r="H207" s="2"/>
      <c r="O207" s="475"/>
      <c r="P207" s="475"/>
      <c r="Q207" s="475"/>
      <c r="R207" s="476"/>
      <c r="S207" s="467"/>
      <c r="T207" s="468"/>
      <c r="U207" s="164"/>
      <c r="V207" s="164"/>
      <c r="W207" s="162"/>
      <c r="X207" s="162"/>
      <c r="Y207" s="162"/>
      <c r="Z207" s="162"/>
      <c r="AA207" s="164"/>
      <c r="AB207" s="164"/>
      <c r="AC207" s="164"/>
      <c r="AD207" s="164"/>
      <c r="AE207" s="164"/>
    </row>
    <row r="208" ht="15.75" customHeight="1">
      <c r="A208" s="164"/>
      <c r="B208" s="477"/>
      <c r="C208" s="478"/>
      <c r="D208" s="472"/>
      <c r="E208" s="473"/>
      <c r="F208" s="474"/>
      <c r="G208" s="164"/>
      <c r="H208" s="2"/>
      <c r="O208" s="475"/>
      <c r="P208" s="475"/>
      <c r="Q208" s="475"/>
      <c r="R208" s="476"/>
      <c r="S208" s="467"/>
      <c r="T208" s="468"/>
      <c r="U208" s="164"/>
      <c r="V208" s="164"/>
      <c r="W208" s="162"/>
      <c r="X208" s="162"/>
      <c r="Y208" s="162"/>
      <c r="Z208" s="162"/>
      <c r="AA208" s="164"/>
      <c r="AB208" s="164"/>
      <c r="AC208" s="164"/>
      <c r="AD208" s="164"/>
      <c r="AE208" s="164"/>
    </row>
    <row r="209" ht="15.75" customHeight="1">
      <c r="A209" s="164"/>
      <c r="B209" s="477"/>
      <c r="C209" s="478"/>
      <c r="D209" s="472"/>
      <c r="E209" s="473"/>
      <c r="F209" s="474"/>
      <c r="G209" s="164"/>
      <c r="H209" s="2"/>
      <c r="O209" s="475"/>
      <c r="P209" s="475"/>
      <c r="Q209" s="475"/>
      <c r="R209" s="476"/>
      <c r="S209" s="467"/>
      <c r="T209" s="468"/>
      <c r="U209" s="164"/>
      <c r="V209" s="164"/>
      <c r="W209" s="162"/>
      <c r="X209" s="162"/>
      <c r="Y209" s="162"/>
      <c r="Z209" s="162"/>
      <c r="AA209" s="164"/>
      <c r="AB209" s="164"/>
      <c r="AC209" s="164"/>
      <c r="AD209" s="164"/>
      <c r="AE209" s="164"/>
    </row>
    <row r="210" ht="15.75" customHeight="1">
      <c r="A210" s="164"/>
      <c r="B210" s="477"/>
      <c r="C210" s="478"/>
      <c r="D210" s="472"/>
      <c r="E210" s="473"/>
      <c r="F210" s="474"/>
      <c r="G210" s="164"/>
      <c r="H210" s="2"/>
      <c r="O210" s="475"/>
      <c r="P210" s="475"/>
      <c r="Q210" s="475"/>
      <c r="R210" s="476"/>
      <c r="S210" s="467"/>
      <c r="T210" s="468"/>
      <c r="U210" s="164"/>
      <c r="V210" s="164"/>
      <c r="W210" s="162"/>
      <c r="X210" s="162"/>
      <c r="Y210" s="162"/>
      <c r="Z210" s="162"/>
      <c r="AA210" s="164"/>
      <c r="AB210" s="164"/>
      <c r="AC210" s="164"/>
      <c r="AD210" s="164"/>
      <c r="AE210" s="164"/>
    </row>
    <row r="211" ht="15.75" customHeight="1">
      <c r="A211" s="164"/>
      <c r="B211" s="477"/>
      <c r="C211" s="478"/>
      <c r="D211" s="472"/>
      <c r="E211" s="473"/>
      <c r="F211" s="474"/>
      <c r="G211" s="164"/>
      <c r="H211" s="2"/>
      <c r="O211" s="475"/>
      <c r="P211" s="475"/>
      <c r="Q211" s="475"/>
      <c r="R211" s="476"/>
      <c r="S211" s="467"/>
      <c r="T211" s="468"/>
      <c r="U211" s="164"/>
      <c r="V211" s="164"/>
      <c r="W211" s="162"/>
      <c r="X211" s="162"/>
      <c r="Y211" s="162"/>
      <c r="Z211" s="162"/>
      <c r="AA211" s="164"/>
      <c r="AB211" s="164"/>
      <c r="AC211" s="164"/>
      <c r="AD211" s="164"/>
      <c r="AE211" s="164"/>
    </row>
    <row r="212" ht="15.75" customHeight="1">
      <c r="A212" s="164"/>
      <c r="B212" s="477"/>
      <c r="C212" s="478"/>
      <c r="D212" s="472"/>
      <c r="E212" s="473"/>
      <c r="F212" s="474"/>
      <c r="G212" s="164"/>
      <c r="H212" s="2"/>
      <c r="O212" s="475"/>
      <c r="P212" s="475"/>
      <c r="Q212" s="475"/>
      <c r="R212" s="476"/>
      <c r="S212" s="467"/>
      <c r="T212" s="468"/>
      <c r="U212" s="164"/>
      <c r="V212" s="164"/>
      <c r="W212" s="162"/>
      <c r="X212" s="162"/>
      <c r="Y212" s="162"/>
      <c r="Z212" s="162"/>
      <c r="AA212" s="164"/>
      <c r="AB212" s="164"/>
      <c r="AC212" s="164"/>
      <c r="AD212" s="164"/>
      <c r="AE212" s="164"/>
    </row>
    <row r="213" ht="15.75" customHeight="1">
      <c r="A213" s="164"/>
      <c r="B213" s="477"/>
      <c r="C213" s="478"/>
      <c r="D213" s="472"/>
      <c r="E213" s="473"/>
      <c r="F213" s="474"/>
      <c r="G213" s="164"/>
      <c r="H213" s="2"/>
      <c r="O213" s="475"/>
      <c r="P213" s="475"/>
      <c r="Q213" s="475"/>
      <c r="R213" s="476"/>
      <c r="S213" s="467"/>
      <c r="T213" s="468"/>
      <c r="U213" s="164"/>
      <c r="V213" s="164"/>
      <c r="W213" s="162"/>
      <c r="X213" s="162"/>
      <c r="Y213" s="162"/>
      <c r="Z213" s="162"/>
      <c r="AA213" s="164"/>
      <c r="AB213" s="164"/>
      <c r="AC213" s="164"/>
      <c r="AD213" s="164"/>
      <c r="AE213" s="164"/>
    </row>
    <row r="214" ht="15.75" customHeight="1">
      <c r="A214" s="164"/>
      <c r="B214" s="477"/>
      <c r="C214" s="478"/>
      <c r="D214" s="472"/>
      <c r="E214" s="473"/>
      <c r="F214" s="474"/>
      <c r="G214" s="164"/>
      <c r="H214" s="2"/>
      <c r="O214" s="475"/>
      <c r="P214" s="475"/>
      <c r="Q214" s="475"/>
      <c r="R214" s="476"/>
      <c r="S214" s="467"/>
      <c r="T214" s="468"/>
      <c r="U214" s="164"/>
      <c r="V214" s="164"/>
      <c r="W214" s="162"/>
      <c r="X214" s="162"/>
      <c r="Y214" s="162"/>
      <c r="Z214" s="162"/>
      <c r="AA214" s="164"/>
      <c r="AB214" s="164"/>
      <c r="AC214" s="164"/>
      <c r="AD214" s="164"/>
      <c r="AE214" s="164"/>
    </row>
    <row r="215" ht="15.75" customHeight="1">
      <c r="A215" s="164"/>
      <c r="B215" s="477"/>
      <c r="C215" s="478"/>
      <c r="D215" s="472"/>
      <c r="E215" s="473"/>
      <c r="F215" s="474"/>
      <c r="G215" s="164"/>
      <c r="H215" s="2"/>
      <c r="O215" s="475"/>
      <c r="P215" s="475"/>
      <c r="Q215" s="475"/>
      <c r="R215" s="476"/>
      <c r="S215" s="467"/>
      <c r="T215" s="468"/>
      <c r="U215" s="164"/>
      <c r="V215" s="164"/>
      <c r="W215" s="162"/>
      <c r="X215" s="162"/>
      <c r="Y215" s="162"/>
      <c r="Z215" s="162"/>
      <c r="AA215" s="164"/>
      <c r="AB215" s="164"/>
      <c r="AC215" s="164"/>
      <c r="AD215" s="164"/>
      <c r="AE215" s="164"/>
    </row>
    <row r="216" ht="15.75" customHeight="1">
      <c r="A216" s="164"/>
      <c r="B216" s="477"/>
      <c r="C216" s="478"/>
      <c r="D216" s="472"/>
      <c r="E216" s="473"/>
      <c r="F216" s="474"/>
      <c r="G216" s="164"/>
      <c r="H216" s="2"/>
      <c r="O216" s="475"/>
      <c r="P216" s="475"/>
      <c r="Q216" s="475"/>
      <c r="R216" s="476"/>
      <c r="S216" s="467"/>
      <c r="T216" s="468"/>
      <c r="U216" s="164"/>
      <c r="V216" s="164"/>
      <c r="W216" s="162"/>
      <c r="X216" s="162"/>
      <c r="Y216" s="162"/>
      <c r="Z216" s="162"/>
      <c r="AA216" s="164"/>
      <c r="AB216" s="164"/>
      <c r="AC216" s="164"/>
      <c r="AD216" s="164"/>
      <c r="AE216" s="164"/>
    </row>
    <row r="217" ht="15.75" customHeight="1">
      <c r="A217" s="164"/>
      <c r="B217" s="477"/>
      <c r="C217" s="478"/>
      <c r="D217" s="472"/>
      <c r="E217" s="473"/>
      <c r="F217" s="474"/>
      <c r="G217" s="164"/>
      <c r="H217" s="2"/>
      <c r="O217" s="475"/>
      <c r="P217" s="475"/>
      <c r="Q217" s="475"/>
      <c r="R217" s="476"/>
      <c r="S217" s="467"/>
      <c r="T217" s="468"/>
      <c r="U217" s="164"/>
      <c r="V217" s="164"/>
      <c r="W217" s="162"/>
      <c r="X217" s="162"/>
      <c r="Y217" s="162"/>
      <c r="Z217" s="162"/>
      <c r="AA217" s="164"/>
      <c r="AB217" s="164"/>
      <c r="AC217" s="164"/>
      <c r="AD217" s="164"/>
      <c r="AE217" s="164"/>
    </row>
    <row r="218" ht="15.75" customHeight="1">
      <c r="A218" s="164"/>
      <c r="B218" s="477"/>
      <c r="C218" s="478"/>
      <c r="D218" s="472"/>
      <c r="E218" s="473"/>
      <c r="F218" s="474"/>
      <c r="G218" s="164"/>
      <c r="H218" s="2"/>
      <c r="O218" s="475"/>
      <c r="P218" s="475"/>
      <c r="Q218" s="475"/>
      <c r="R218" s="476"/>
      <c r="S218" s="467"/>
      <c r="T218" s="468"/>
      <c r="U218" s="164"/>
      <c r="V218" s="164"/>
      <c r="W218" s="162"/>
      <c r="X218" s="162"/>
      <c r="Y218" s="162"/>
      <c r="Z218" s="162"/>
      <c r="AA218" s="164"/>
      <c r="AB218" s="164"/>
      <c r="AC218" s="164"/>
      <c r="AD218" s="164"/>
      <c r="AE218" s="164"/>
    </row>
    <row r="219" ht="15.75" customHeight="1">
      <c r="A219" s="164"/>
      <c r="B219" s="477"/>
      <c r="C219" s="478"/>
      <c r="D219" s="472"/>
      <c r="E219" s="473"/>
      <c r="F219" s="474"/>
      <c r="G219" s="164"/>
      <c r="H219" s="2"/>
      <c r="O219" s="475"/>
      <c r="P219" s="475"/>
      <c r="Q219" s="475"/>
      <c r="R219" s="476"/>
      <c r="S219" s="467"/>
      <c r="T219" s="468"/>
      <c r="U219" s="164"/>
      <c r="V219" s="164"/>
      <c r="W219" s="162"/>
      <c r="X219" s="162"/>
      <c r="Y219" s="162"/>
      <c r="Z219" s="162"/>
      <c r="AA219" s="164"/>
      <c r="AB219" s="164"/>
      <c r="AC219" s="164"/>
      <c r="AD219" s="164"/>
      <c r="AE219" s="164"/>
    </row>
    <row r="220" ht="15.75" customHeight="1">
      <c r="A220" s="164"/>
      <c r="B220" s="477"/>
      <c r="C220" s="478"/>
      <c r="D220" s="472"/>
      <c r="E220" s="473"/>
      <c r="F220" s="474"/>
      <c r="G220" s="164"/>
      <c r="H220" s="2"/>
      <c r="O220" s="475"/>
      <c r="P220" s="475"/>
      <c r="Q220" s="475"/>
      <c r="R220" s="476"/>
      <c r="S220" s="467"/>
      <c r="T220" s="468"/>
      <c r="U220" s="164"/>
      <c r="V220" s="164"/>
      <c r="W220" s="162"/>
      <c r="X220" s="162"/>
      <c r="Y220" s="162"/>
      <c r="Z220" s="162"/>
      <c r="AA220" s="164"/>
      <c r="AB220" s="164"/>
      <c r="AC220" s="164"/>
      <c r="AD220" s="164"/>
      <c r="AE220" s="164"/>
    </row>
    <row r="221" ht="15.75" customHeight="1">
      <c r="A221" s="164"/>
      <c r="B221" s="477"/>
      <c r="C221" s="478"/>
      <c r="D221" s="472"/>
      <c r="E221" s="473"/>
      <c r="F221" s="474"/>
      <c r="G221" s="164"/>
      <c r="H221" s="2"/>
      <c r="O221" s="475"/>
      <c r="P221" s="475"/>
      <c r="Q221" s="475"/>
      <c r="R221" s="476"/>
      <c r="S221" s="467"/>
      <c r="T221" s="468"/>
      <c r="U221" s="164"/>
      <c r="V221" s="164"/>
      <c r="W221" s="162"/>
      <c r="X221" s="162"/>
      <c r="Y221" s="162"/>
      <c r="Z221" s="162"/>
      <c r="AA221" s="164"/>
      <c r="AB221" s="164"/>
      <c r="AC221" s="164"/>
      <c r="AD221" s="164"/>
      <c r="AE221" s="164"/>
    </row>
    <row r="222" ht="15.75" customHeight="1">
      <c r="A222" s="164"/>
      <c r="B222" s="477"/>
      <c r="C222" s="478"/>
      <c r="D222" s="472"/>
      <c r="E222" s="473"/>
      <c r="F222" s="474"/>
      <c r="G222" s="164"/>
      <c r="H222" s="2"/>
      <c r="O222" s="475"/>
      <c r="P222" s="475"/>
      <c r="Q222" s="475"/>
      <c r="R222" s="476"/>
      <c r="S222" s="467"/>
      <c r="T222" s="468"/>
      <c r="U222" s="164"/>
      <c r="V222" s="164"/>
      <c r="W222" s="162"/>
      <c r="X222" s="162"/>
      <c r="Y222" s="162"/>
      <c r="Z222" s="162"/>
      <c r="AA222" s="164"/>
      <c r="AB222" s="164"/>
      <c r="AC222" s="164"/>
      <c r="AD222" s="164"/>
      <c r="AE222" s="164"/>
    </row>
    <row r="223" ht="15.75" customHeight="1">
      <c r="A223" s="164"/>
      <c r="B223" s="477"/>
      <c r="C223" s="478"/>
      <c r="D223" s="472"/>
      <c r="E223" s="473"/>
      <c r="F223" s="474"/>
      <c r="G223" s="164"/>
      <c r="H223" s="2"/>
      <c r="O223" s="475"/>
      <c r="P223" s="475"/>
      <c r="Q223" s="475"/>
      <c r="R223" s="476"/>
      <c r="S223" s="467"/>
      <c r="T223" s="468"/>
      <c r="U223" s="164"/>
      <c r="V223" s="164"/>
      <c r="W223" s="162"/>
      <c r="X223" s="162"/>
      <c r="Y223" s="162"/>
      <c r="Z223" s="162"/>
      <c r="AA223" s="164"/>
      <c r="AB223" s="164"/>
      <c r="AC223" s="164"/>
      <c r="AD223" s="164"/>
      <c r="AE223" s="164"/>
    </row>
    <row r="224" ht="15.75" customHeight="1">
      <c r="A224" s="164"/>
      <c r="B224" s="477"/>
      <c r="C224" s="478"/>
      <c r="D224" s="472"/>
      <c r="E224" s="473"/>
      <c r="F224" s="474"/>
      <c r="G224" s="164"/>
      <c r="H224" s="2"/>
      <c r="O224" s="475"/>
      <c r="P224" s="475"/>
      <c r="Q224" s="475"/>
      <c r="R224" s="476"/>
      <c r="S224" s="467"/>
      <c r="T224" s="468"/>
      <c r="U224" s="164"/>
      <c r="V224" s="164"/>
      <c r="W224" s="162"/>
      <c r="X224" s="162"/>
      <c r="Y224" s="162"/>
      <c r="Z224" s="162"/>
      <c r="AA224" s="164"/>
      <c r="AB224" s="164"/>
      <c r="AC224" s="164"/>
      <c r="AD224" s="164"/>
      <c r="AE224" s="164"/>
    </row>
    <row r="225" ht="15.75" customHeight="1">
      <c r="A225" s="164"/>
      <c r="B225" s="477"/>
      <c r="C225" s="478"/>
      <c r="D225" s="472"/>
      <c r="E225" s="473"/>
      <c r="F225" s="474"/>
      <c r="G225" s="164"/>
      <c r="H225" s="2"/>
      <c r="O225" s="475"/>
      <c r="P225" s="475"/>
      <c r="Q225" s="475"/>
      <c r="R225" s="476"/>
      <c r="S225" s="467"/>
      <c r="T225" s="468"/>
      <c r="U225" s="164"/>
      <c r="V225" s="164"/>
      <c r="W225" s="162"/>
      <c r="X225" s="162"/>
      <c r="Y225" s="162"/>
      <c r="Z225" s="162"/>
      <c r="AA225" s="164"/>
      <c r="AB225" s="164"/>
      <c r="AC225" s="164"/>
      <c r="AD225" s="164"/>
      <c r="AE225" s="164"/>
    </row>
    <row r="226" ht="15.75" customHeight="1">
      <c r="A226" s="164"/>
      <c r="B226" s="477"/>
      <c r="C226" s="478"/>
      <c r="D226" s="472"/>
      <c r="E226" s="473"/>
      <c r="F226" s="474"/>
      <c r="G226" s="164"/>
      <c r="H226" s="2"/>
      <c r="O226" s="475"/>
      <c r="P226" s="475"/>
      <c r="Q226" s="475"/>
      <c r="R226" s="476"/>
      <c r="S226" s="467"/>
      <c r="T226" s="468"/>
      <c r="U226" s="164"/>
      <c r="V226" s="164"/>
      <c r="W226" s="162"/>
      <c r="X226" s="162"/>
      <c r="Y226" s="162"/>
      <c r="Z226" s="162"/>
      <c r="AA226" s="164"/>
      <c r="AB226" s="164"/>
      <c r="AC226" s="164"/>
      <c r="AD226" s="164"/>
      <c r="AE226" s="164"/>
    </row>
    <row r="227" ht="15.75" customHeight="1">
      <c r="A227" s="164"/>
      <c r="B227" s="477"/>
      <c r="C227" s="478"/>
      <c r="D227" s="472"/>
      <c r="E227" s="473"/>
      <c r="F227" s="474"/>
      <c r="G227" s="164"/>
      <c r="H227" s="2"/>
      <c r="O227" s="475"/>
      <c r="P227" s="475"/>
      <c r="Q227" s="475"/>
      <c r="R227" s="476"/>
      <c r="S227" s="467"/>
      <c r="T227" s="468"/>
      <c r="U227" s="164"/>
      <c r="V227" s="164"/>
      <c r="W227" s="162"/>
      <c r="X227" s="162"/>
      <c r="Y227" s="162"/>
      <c r="Z227" s="162"/>
      <c r="AA227" s="164"/>
      <c r="AB227" s="164"/>
      <c r="AC227" s="164"/>
      <c r="AD227" s="164"/>
      <c r="AE227" s="164"/>
    </row>
    <row r="228" ht="15.75" customHeight="1">
      <c r="A228" s="164"/>
      <c r="B228" s="477"/>
      <c r="C228" s="478"/>
      <c r="D228" s="472"/>
      <c r="E228" s="473"/>
      <c r="F228" s="474"/>
      <c r="G228" s="164"/>
      <c r="H228" s="2"/>
      <c r="O228" s="475"/>
      <c r="P228" s="475"/>
      <c r="Q228" s="475"/>
      <c r="R228" s="476"/>
      <c r="S228" s="467"/>
      <c r="T228" s="468"/>
      <c r="U228" s="164"/>
      <c r="V228" s="164"/>
      <c r="W228" s="162"/>
      <c r="X228" s="162"/>
      <c r="Y228" s="162"/>
      <c r="Z228" s="162"/>
      <c r="AA228" s="164"/>
      <c r="AB228" s="164"/>
      <c r="AC228" s="164"/>
      <c r="AD228" s="164"/>
      <c r="AE228" s="164"/>
    </row>
    <row r="229" ht="15.75" customHeight="1">
      <c r="A229" s="164"/>
      <c r="B229" s="477"/>
      <c r="C229" s="478"/>
      <c r="D229" s="472"/>
      <c r="E229" s="473"/>
      <c r="F229" s="474"/>
      <c r="G229" s="164"/>
      <c r="H229" s="2"/>
      <c r="O229" s="475"/>
      <c r="P229" s="475"/>
      <c r="Q229" s="475"/>
      <c r="R229" s="476"/>
      <c r="S229" s="467"/>
      <c r="T229" s="468"/>
      <c r="U229" s="164"/>
      <c r="V229" s="164"/>
      <c r="W229" s="162"/>
      <c r="X229" s="162"/>
      <c r="Y229" s="162"/>
      <c r="Z229" s="162"/>
      <c r="AA229" s="164"/>
      <c r="AB229" s="164"/>
      <c r="AC229" s="164"/>
      <c r="AD229" s="164"/>
      <c r="AE229" s="164"/>
    </row>
    <row r="230" ht="15.75" customHeight="1">
      <c r="A230" s="164"/>
      <c r="B230" s="477"/>
      <c r="C230" s="478"/>
      <c r="D230" s="472"/>
      <c r="E230" s="473"/>
      <c r="F230" s="474"/>
      <c r="G230" s="164"/>
      <c r="H230" s="2"/>
      <c r="O230" s="475"/>
      <c r="P230" s="475"/>
      <c r="Q230" s="475"/>
      <c r="R230" s="476"/>
      <c r="S230" s="467"/>
      <c r="T230" s="468"/>
      <c r="U230" s="164"/>
      <c r="V230" s="164"/>
      <c r="W230" s="162"/>
      <c r="X230" s="162"/>
      <c r="Y230" s="162"/>
      <c r="Z230" s="162"/>
      <c r="AA230" s="164"/>
      <c r="AB230" s="164"/>
      <c r="AC230" s="164"/>
      <c r="AD230" s="164"/>
      <c r="AE230" s="164"/>
    </row>
    <row r="231" ht="15.75" customHeight="1">
      <c r="A231" s="164"/>
      <c r="B231" s="477"/>
      <c r="C231" s="478"/>
      <c r="D231" s="472"/>
      <c r="E231" s="473"/>
      <c r="F231" s="474"/>
      <c r="G231" s="164"/>
      <c r="H231" s="2"/>
      <c r="O231" s="475"/>
      <c r="P231" s="475"/>
      <c r="Q231" s="475"/>
      <c r="R231" s="476"/>
      <c r="S231" s="467"/>
      <c r="T231" s="468"/>
      <c r="U231" s="164"/>
      <c r="V231" s="164"/>
      <c r="W231" s="162"/>
      <c r="X231" s="162"/>
      <c r="Y231" s="162"/>
      <c r="Z231" s="162"/>
      <c r="AA231" s="164"/>
      <c r="AB231" s="164"/>
      <c r="AC231" s="164"/>
      <c r="AD231" s="164"/>
      <c r="AE231" s="164"/>
    </row>
    <row r="232" ht="15.75" customHeight="1">
      <c r="A232" s="164"/>
      <c r="B232" s="477"/>
      <c r="C232" s="478"/>
      <c r="D232" s="472"/>
      <c r="E232" s="473"/>
      <c r="F232" s="474"/>
      <c r="G232" s="164"/>
      <c r="H232" s="2"/>
      <c r="O232" s="475"/>
      <c r="P232" s="475"/>
      <c r="Q232" s="475"/>
      <c r="R232" s="476"/>
      <c r="S232" s="467"/>
      <c r="T232" s="468"/>
      <c r="U232" s="164"/>
      <c r="V232" s="164"/>
      <c r="W232" s="162"/>
      <c r="X232" s="162"/>
      <c r="Y232" s="162"/>
      <c r="Z232" s="162"/>
      <c r="AA232" s="164"/>
      <c r="AB232" s="164"/>
      <c r="AC232" s="164"/>
      <c r="AD232" s="164"/>
      <c r="AE232" s="164"/>
    </row>
    <row r="233" ht="15.75" customHeight="1">
      <c r="A233" s="164"/>
      <c r="B233" s="477"/>
      <c r="C233" s="478"/>
      <c r="D233" s="472"/>
      <c r="E233" s="473"/>
      <c r="F233" s="474"/>
      <c r="G233" s="164"/>
      <c r="H233" s="2"/>
      <c r="O233" s="475"/>
      <c r="P233" s="475"/>
      <c r="Q233" s="475"/>
      <c r="R233" s="476"/>
      <c r="S233" s="467"/>
      <c r="T233" s="468"/>
      <c r="U233" s="164"/>
      <c r="V233" s="164"/>
      <c r="W233" s="162"/>
      <c r="X233" s="162"/>
      <c r="Y233" s="162"/>
      <c r="Z233" s="162"/>
      <c r="AA233" s="164"/>
      <c r="AB233" s="164"/>
      <c r="AC233" s="164"/>
      <c r="AD233" s="164"/>
      <c r="AE233" s="164"/>
    </row>
    <row r="234" ht="15.75" customHeight="1">
      <c r="A234" s="164"/>
      <c r="B234" s="477"/>
      <c r="C234" s="478"/>
      <c r="D234" s="472"/>
      <c r="E234" s="473"/>
      <c r="F234" s="474"/>
      <c r="G234" s="164"/>
      <c r="H234" s="2"/>
      <c r="O234" s="475"/>
      <c r="P234" s="475"/>
      <c r="Q234" s="475"/>
      <c r="R234" s="476"/>
      <c r="S234" s="467"/>
      <c r="T234" s="468"/>
      <c r="U234" s="164"/>
      <c r="V234" s="164"/>
      <c r="W234" s="162"/>
      <c r="X234" s="162"/>
      <c r="Y234" s="162"/>
      <c r="Z234" s="162"/>
      <c r="AA234" s="164"/>
      <c r="AB234" s="164"/>
      <c r="AC234" s="164"/>
      <c r="AD234" s="164"/>
      <c r="AE234" s="164"/>
    </row>
    <row r="235" ht="15.75" customHeight="1">
      <c r="A235" s="164"/>
      <c r="B235" s="477"/>
      <c r="C235" s="478"/>
      <c r="D235" s="472"/>
      <c r="E235" s="473"/>
      <c r="F235" s="474"/>
      <c r="G235" s="164"/>
      <c r="H235" s="2"/>
      <c r="O235" s="475"/>
      <c r="P235" s="475"/>
      <c r="Q235" s="475"/>
      <c r="R235" s="476"/>
      <c r="S235" s="467"/>
      <c r="T235" s="468"/>
      <c r="U235" s="164"/>
      <c r="V235" s="164"/>
      <c r="W235" s="162"/>
      <c r="X235" s="162"/>
      <c r="Y235" s="162"/>
      <c r="Z235" s="162"/>
      <c r="AA235" s="164"/>
      <c r="AB235" s="164"/>
      <c r="AC235" s="164"/>
      <c r="AD235" s="164"/>
      <c r="AE235" s="164"/>
    </row>
    <row r="236" ht="15.75" customHeight="1">
      <c r="A236" s="164"/>
      <c r="B236" s="477"/>
      <c r="C236" s="478"/>
      <c r="D236" s="472"/>
      <c r="E236" s="473"/>
      <c r="F236" s="474"/>
      <c r="G236" s="164"/>
      <c r="H236" s="2"/>
      <c r="O236" s="475"/>
      <c r="P236" s="475"/>
      <c r="Q236" s="475"/>
      <c r="R236" s="476"/>
      <c r="S236" s="467"/>
      <c r="T236" s="468"/>
      <c r="U236" s="164"/>
      <c r="V236" s="164"/>
      <c r="W236" s="162"/>
      <c r="X236" s="162"/>
      <c r="Y236" s="162"/>
      <c r="Z236" s="162"/>
      <c r="AA236" s="164"/>
      <c r="AB236" s="164"/>
      <c r="AC236" s="164"/>
      <c r="AD236" s="164"/>
      <c r="AE236" s="164"/>
    </row>
    <row r="237" ht="15.75" customHeight="1">
      <c r="A237" s="164"/>
      <c r="B237" s="477"/>
      <c r="C237" s="478"/>
      <c r="D237" s="472"/>
      <c r="E237" s="473"/>
      <c r="F237" s="474"/>
      <c r="G237" s="164"/>
      <c r="H237" s="2"/>
      <c r="O237" s="475"/>
      <c r="P237" s="475"/>
      <c r="Q237" s="475"/>
      <c r="R237" s="476"/>
      <c r="S237" s="467"/>
      <c r="T237" s="468"/>
      <c r="U237" s="164"/>
      <c r="V237" s="164"/>
      <c r="W237" s="162"/>
      <c r="X237" s="162"/>
      <c r="Y237" s="162"/>
      <c r="Z237" s="162"/>
      <c r="AA237" s="164"/>
      <c r="AB237" s="164"/>
      <c r="AC237" s="164"/>
      <c r="AD237" s="164"/>
      <c r="AE237" s="164"/>
    </row>
    <row r="238" ht="15.75" customHeight="1">
      <c r="A238" s="164"/>
      <c r="B238" s="477"/>
      <c r="C238" s="478"/>
      <c r="D238" s="472"/>
      <c r="E238" s="473"/>
      <c r="F238" s="474"/>
      <c r="G238" s="164"/>
      <c r="H238" s="2"/>
      <c r="O238" s="475"/>
      <c r="P238" s="475"/>
      <c r="Q238" s="475"/>
      <c r="R238" s="476"/>
      <c r="S238" s="467"/>
      <c r="T238" s="468"/>
      <c r="U238" s="164"/>
      <c r="V238" s="164"/>
      <c r="W238" s="162"/>
      <c r="X238" s="162"/>
      <c r="Y238" s="162"/>
      <c r="Z238" s="162"/>
      <c r="AA238" s="164"/>
      <c r="AB238" s="164"/>
      <c r="AC238" s="164"/>
      <c r="AD238" s="164"/>
      <c r="AE238" s="164"/>
    </row>
    <row r="239" ht="15.75" customHeight="1">
      <c r="A239" s="164"/>
      <c r="B239" s="477"/>
      <c r="C239" s="478"/>
      <c r="D239" s="472"/>
      <c r="E239" s="473"/>
      <c r="F239" s="474"/>
      <c r="G239" s="164"/>
      <c r="H239" s="2"/>
      <c r="O239" s="475"/>
      <c r="P239" s="475"/>
      <c r="Q239" s="475"/>
      <c r="R239" s="476"/>
      <c r="S239" s="467"/>
      <c r="T239" s="468"/>
      <c r="U239" s="164"/>
      <c r="V239" s="164"/>
      <c r="W239" s="162"/>
      <c r="X239" s="162"/>
      <c r="Y239" s="162"/>
      <c r="Z239" s="162"/>
      <c r="AA239" s="164"/>
      <c r="AB239" s="164"/>
      <c r="AC239" s="164"/>
      <c r="AD239" s="164"/>
      <c r="AE239" s="164"/>
    </row>
    <row r="240" ht="15.75" customHeight="1">
      <c r="A240" s="164"/>
      <c r="B240" s="477"/>
      <c r="C240" s="478"/>
      <c r="D240" s="472"/>
      <c r="E240" s="473"/>
      <c r="F240" s="474"/>
      <c r="G240" s="164"/>
      <c r="H240" s="2"/>
      <c r="O240" s="475"/>
      <c r="P240" s="475"/>
      <c r="Q240" s="475"/>
      <c r="R240" s="476"/>
      <c r="S240" s="467"/>
      <c r="T240" s="468"/>
      <c r="U240" s="164"/>
      <c r="V240" s="164"/>
      <c r="W240" s="162"/>
      <c r="X240" s="162"/>
      <c r="Y240" s="162"/>
      <c r="Z240" s="162"/>
      <c r="AA240" s="164"/>
      <c r="AB240" s="164"/>
      <c r="AC240" s="164"/>
      <c r="AD240" s="164"/>
      <c r="AE240" s="164"/>
    </row>
    <row r="241" ht="15.75" customHeight="1">
      <c r="A241" s="164"/>
      <c r="B241" s="477"/>
      <c r="C241" s="478"/>
      <c r="D241" s="472"/>
      <c r="E241" s="473"/>
      <c r="F241" s="474"/>
      <c r="G241" s="164"/>
      <c r="H241" s="2"/>
      <c r="O241" s="475"/>
      <c r="P241" s="475"/>
      <c r="Q241" s="475"/>
      <c r="R241" s="476"/>
      <c r="S241" s="467"/>
      <c r="T241" s="468"/>
      <c r="U241" s="164"/>
      <c r="V241" s="164"/>
      <c r="W241" s="162"/>
      <c r="X241" s="162"/>
      <c r="Y241" s="162"/>
      <c r="Z241" s="162"/>
      <c r="AA241" s="164"/>
      <c r="AB241" s="164"/>
      <c r="AC241" s="164"/>
      <c r="AD241" s="164"/>
      <c r="AE241" s="164"/>
    </row>
    <row r="242" ht="15.75" customHeight="1">
      <c r="A242" s="164"/>
      <c r="B242" s="477"/>
      <c r="C242" s="478"/>
      <c r="D242" s="472"/>
      <c r="E242" s="473"/>
      <c r="F242" s="474"/>
      <c r="G242" s="164"/>
      <c r="H242" s="2"/>
      <c r="O242" s="475"/>
      <c r="P242" s="475"/>
      <c r="Q242" s="475"/>
      <c r="R242" s="476"/>
      <c r="S242" s="467"/>
      <c r="T242" s="468"/>
      <c r="U242" s="164"/>
      <c r="V242" s="164"/>
      <c r="W242" s="162"/>
      <c r="X242" s="162"/>
      <c r="Y242" s="162"/>
      <c r="Z242" s="162"/>
      <c r="AA242" s="164"/>
      <c r="AB242" s="164"/>
      <c r="AC242" s="164"/>
      <c r="AD242" s="164"/>
      <c r="AE242" s="164"/>
    </row>
    <row r="243" ht="15.75" customHeight="1">
      <c r="A243" s="164"/>
      <c r="B243" s="477"/>
      <c r="C243" s="478"/>
      <c r="D243" s="472"/>
      <c r="E243" s="473"/>
      <c r="F243" s="474"/>
      <c r="G243" s="164"/>
      <c r="H243" s="2"/>
      <c r="O243" s="475"/>
      <c r="P243" s="475"/>
      <c r="Q243" s="475"/>
      <c r="R243" s="476"/>
      <c r="S243" s="467"/>
      <c r="T243" s="468"/>
      <c r="U243" s="164"/>
      <c r="V243" s="164"/>
      <c r="W243" s="162"/>
      <c r="X243" s="162"/>
      <c r="Y243" s="162"/>
      <c r="Z243" s="162"/>
      <c r="AA243" s="164"/>
      <c r="AB243" s="164"/>
      <c r="AC243" s="164"/>
      <c r="AD243" s="164"/>
      <c r="AE243" s="164"/>
    </row>
    <row r="244" ht="15.75" customHeight="1">
      <c r="A244" s="164"/>
      <c r="B244" s="477"/>
      <c r="C244" s="478"/>
      <c r="D244" s="472"/>
      <c r="E244" s="473"/>
      <c r="F244" s="474"/>
      <c r="G244" s="164"/>
      <c r="H244" s="2"/>
      <c r="O244" s="475"/>
      <c r="P244" s="475"/>
      <c r="Q244" s="475"/>
      <c r="R244" s="476"/>
      <c r="S244" s="467"/>
      <c r="T244" s="468"/>
      <c r="U244" s="164"/>
      <c r="V244" s="164"/>
      <c r="W244" s="162"/>
      <c r="X244" s="162"/>
      <c r="Y244" s="162"/>
      <c r="Z244" s="162"/>
      <c r="AA244" s="164"/>
      <c r="AB244" s="164"/>
      <c r="AC244" s="164"/>
      <c r="AD244" s="164"/>
      <c r="AE244" s="164"/>
    </row>
    <row r="245" ht="15.75" customHeight="1">
      <c r="A245" s="164"/>
      <c r="B245" s="477"/>
      <c r="C245" s="478"/>
      <c r="D245" s="472"/>
      <c r="E245" s="473"/>
      <c r="F245" s="474"/>
      <c r="G245" s="164"/>
      <c r="H245" s="2"/>
      <c r="O245" s="475"/>
      <c r="P245" s="475"/>
      <c r="Q245" s="475"/>
      <c r="R245" s="476"/>
      <c r="S245" s="467"/>
      <c r="T245" s="468"/>
      <c r="U245" s="164"/>
      <c r="V245" s="164"/>
      <c r="W245" s="162"/>
      <c r="X245" s="162"/>
      <c r="Y245" s="162"/>
      <c r="Z245" s="162"/>
      <c r="AA245" s="164"/>
      <c r="AB245" s="164"/>
      <c r="AC245" s="164"/>
      <c r="AD245" s="164"/>
      <c r="AE245" s="164"/>
    </row>
    <row r="246" ht="15.75" customHeight="1">
      <c r="A246" s="164"/>
      <c r="B246" s="477"/>
      <c r="C246" s="478"/>
      <c r="D246" s="472"/>
      <c r="E246" s="473"/>
      <c r="F246" s="474"/>
      <c r="G246" s="164"/>
      <c r="H246" s="2"/>
      <c r="O246" s="475"/>
      <c r="P246" s="475"/>
      <c r="Q246" s="475"/>
      <c r="R246" s="476"/>
      <c r="S246" s="467"/>
      <c r="T246" s="468"/>
      <c r="U246" s="164"/>
      <c r="V246" s="164"/>
      <c r="W246" s="162"/>
      <c r="X246" s="162"/>
      <c r="Y246" s="162"/>
      <c r="Z246" s="162"/>
      <c r="AA246" s="164"/>
      <c r="AB246" s="164"/>
      <c r="AC246" s="164"/>
      <c r="AD246" s="164"/>
      <c r="AE246" s="164"/>
    </row>
    <row r="247" ht="15.75" customHeight="1">
      <c r="A247" s="164"/>
      <c r="B247" s="477"/>
      <c r="C247" s="478"/>
      <c r="D247" s="472"/>
      <c r="E247" s="473"/>
      <c r="F247" s="474"/>
      <c r="G247" s="164"/>
      <c r="H247" s="2"/>
      <c r="O247" s="475"/>
      <c r="P247" s="475"/>
      <c r="Q247" s="475"/>
      <c r="R247" s="476"/>
      <c r="S247" s="467"/>
      <c r="T247" s="468"/>
      <c r="U247" s="164"/>
      <c r="V247" s="164"/>
      <c r="W247" s="162"/>
      <c r="X247" s="162"/>
      <c r="Y247" s="162"/>
      <c r="Z247" s="162"/>
      <c r="AA247" s="164"/>
      <c r="AB247" s="164"/>
      <c r="AC247" s="164"/>
      <c r="AD247" s="164"/>
      <c r="AE247" s="164"/>
    </row>
    <row r="248" ht="15.75" customHeight="1">
      <c r="A248" s="164"/>
      <c r="B248" s="477"/>
      <c r="C248" s="478"/>
      <c r="D248" s="472"/>
      <c r="E248" s="473"/>
      <c r="F248" s="474"/>
      <c r="G248" s="164"/>
      <c r="H248" s="2"/>
      <c r="O248" s="475"/>
      <c r="P248" s="475"/>
      <c r="Q248" s="475"/>
      <c r="R248" s="476"/>
      <c r="S248" s="467"/>
      <c r="T248" s="468"/>
      <c r="U248" s="164"/>
      <c r="V248" s="164"/>
      <c r="W248" s="162"/>
      <c r="X248" s="162"/>
      <c r="Y248" s="162"/>
      <c r="Z248" s="162"/>
      <c r="AA248" s="164"/>
      <c r="AB248" s="164"/>
      <c r="AC248" s="164"/>
      <c r="AD248" s="164"/>
      <c r="AE248" s="164"/>
    </row>
    <row r="249" ht="15.75" customHeight="1">
      <c r="A249" s="164"/>
      <c r="B249" s="477"/>
      <c r="C249" s="478"/>
      <c r="D249" s="472"/>
      <c r="E249" s="473"/>
      <c r="F249" s="474"/>
      <c r="G249" s="164"/>
      <c r="H249" s="2"/>
      <c r="O249" s="475"/>
      <c r="P249" s="475"/>
      <c r="Q249" s="475"/>
      <c r="R249" s="476"/>
      <c r="S249" s="467"/>
      <c r="T249" s="468"/>
      <c r="U249" s="164"/>
      <c r="V249" s="164"/>
      <c r="W249" s="162"/>
      <c r="X249" s="162"/>
      <c r="Y249" s="162"/>
      <c r="Z249" s="162"/>
      <c r="AA249" s="164"/>
      <c r="AB249" s="164"/>
      <c r="AC249" s="164"/>
      <c r="AD249" s="164"/>
      <c r="AE249" s="164"/>
    </row>
    <row r="250" ht="15.75" customHeight="1">
      <c r="A250" s="164"/>
      <c r="B250" s="477"/>
      <c r="C250" s="478"/>
      <c r="D250" s="472"/>
      <c r="E250" s="473"/>
      <c r="F250" s="474"/>
      <c r="G250" s="164"/>
      <c r="H250" s="2"/>
      <c r="O250" s="475"/>
      <c r="P250" s="475"/>
      <c r="Q250" s="475"/>
      <c r="R250" s="476"/>
      <c r="S250" s="467"/>
      <c r="T250" s="468"/>
      <c r="U250" s="164"/>
      <c r="V250" s="164"/>
      <c r="W250" s="162"/>
      <c r="X250" s="162"/>
      <c r="Y250" s="162"/>
      <c r="Z250" s="162"/>
      <c r="AA250" s="164"/>
      <c r="AB250" s="164"/>
      <c r="AC250" s="164"/>
      <c r="AD250" s="164"/>
      <c r="AE250" s="164"/>
    </row>
    <row r="251" ht="15.75" customHeight="1">
      <c r="A251" s="164"/>
      <c r="B251" s="477"/>
      <c r="C251" s="478"/>
      <c r="D251" s="472"/>
      <c r="E251" s="473"/>
      <c r="F251" s="474"/>
      <c r="G251" s="164"/>
      <c r="H251" s="2"/>
      <c r="O251" s="475"/>
      <c r="P251" s="475"/>
      <c r="Q251" s="475"/>
      <c r="R251" s="476"/>
      <c r="S251" s="467"/>
      <c r="T251" s="468"/>
      <c r="U251" s="164"/>
      <c r="V251" s="164"/>
      <c r="W251" s="162"/>
      <c r="X251" s="162"/>
      <c r="Y251" s="162"/>
      <c r="Z251" s="162"/>
      <c r="AA251" s="164"/>
      <c r="AB251" s="164"/>
      <c r="AC251" s="164"/>
      <c r="AD251" s="164"/>
      <c r="AE251" s="164"/>
    </row>
    <row r="252" ht="15.75" customHeight="1">
      <c r="A252" s="164"/>
      <c r="B252" s="477"/>
      <c r="C252" s="478"/>
      <c r="D252" s="472"/>
      <c r="E252" s="473"/>
      <c r="F252" s="474"/>
      <c r="G252" s="164"/>
      <c r="H252" s="2"/>
      <c r="O252" s="475"/>
      <c r="P252" s="475"/>
      <c r="Q252" s="475"/>
      <c r="R252" s="476"/>
      <c r="S252" s="467"/>
      <c r="T252" s="468"/>
      <c r="U252" s="164"/>
      <c r="V252" s="164"/>
      <c r="W252" s="162"/>
      <c r="X252" s="162"/>
      <c r="Y252" s="162"/>
      <c r="Z252" s="162"/>
      <c r="AA252" s="164"/>
      <c r="AB252" s="164"/>
      <c r="AC252" s="164"/>
      <c r="AD252" s="164"/>
      <c r="AE252" s="164"/>
    </row>
    <row r="253" ht="15.75" customHeight="1">
      <c r="A253" s="164"/>
      <c r="B253" s="477"/>
      <c r="C253" s="478"/>
      <c r="D253" s="472"/>
      <c r="E253" s="473"/>
      <c r="F253" s="474"/>
      <c r="G253" s="164"/>
      <c r="H253" s="2"/>
      <c r="O253" s="475"/>
      <c r="P253" s="475"/>
      <c r="Q253" s="475"/>
      <c r="R253" s="476"/>
      <c r="S253" s="467"/>
      <c r="T253" s="468"/>
      <c r="U253" s="164"/>
      <c r="V253" s="164"/>
      <c r="W253" s="162"/>
      <c r="X253" s="162"/>
      <c r="Y253" s="162"/>
      <c r="Z253" s="162"/>
      <c r="AA253" s="164"/>
      <c r="AB253" s="164"/>
      <c r="AC253" s="164"/>
      <c r="AD253" s="164"/>
      <c r="AE253" s="164"/>
    </row>
    <row r="254" ht="15.75" customHeight="1">
      <c r="A254" s="164"/>
      <c r="B254" s="477"/>
      <c r="C254" s="478"/>
      <c r="D254" s="472"/>
      <c r="E254" s="473"/>
      <c r="F254" s="474"/>
      <c r="G254" s="164"/>
      <c r="H254" s="2"/>
      <c r="O254" s="475"/>
      <c r="P254" s="475"/>
      <c r="Q254" s="475"/>
      <c r="R254" s="476"/>
      <c r="S254" s="467"/>
      <c r="T254" s="468"/>
      <c r="U254" s="164"/>
      <c r="V254" s="164"/>
      <c r="W254" s="162"/>
      <c r="X254" s="162"/>
      <c r="Y254" s="162"/>
      <c r="Z254" s="162"/>
      <c r="AA254" s="164"/>
      <c r="AB254" s="164"/>
      <c r="AC254" s="164"/>
      <c r="AD254" s="164"/>
      <c r="AE254" s="164"/>
    </row>
    <row r="255" ht="15.75" customHeight="1">
      <c r="A255" s="164"/>
      <c r="B255" s="477"/>
      <c r="C255" s="478"/>
      <c r="D255" s="472"/>
      <c r="E255" s="473"/>
      <c r="F255" s="474"/>
      <c r="G255" s="164"/>
      <c r="H255" s="2"/>
      <c r="O255" s="475"/>
      <c r="P255" s="475"/>
      <c r="Q255" s="475"/>
      <c r="R255" s="476"/>
      <c r="S255" s="467"/>
      <c r="T255" s="468"/>
      <c r="U255" s="164"/>
      <c r="V255" s="164"/>
      <c r="W255" s="162"/>
      <c r="X255" s="162"/>
      <c r="Y255" s="162"/>
      <c r="Z255" s="162"/>
      <c r="AA255" s="164"/>
      <c r="AB255" s="164"/>
      <c r="AC255" s="164"/>
      <c r="AD255" s="164"/>
      <c r="AE255" s="164"/>
    </row>
    <row r="256" ht="15.75" customHeight="1">
      <c r="A256" s="164"/>
      <c r="B256" s="477"/>
      <c r="C256" s="478"/>
      <c r="D256" s="472"/>
      <c r="E256" s="473"/>
      <c r="F256" s="474"/>
      <c r="G256" s="164"/>
      <c r="H256" s="2"/>
      <c r="O256" s="475"/>
      <c r="P256" s="475"/>
      <c r="Q256" s="475"/>
      <c r="R256" s="476"/>
      <c r="S256" s="467"/>
      <c r="T256" s="468"/>
      <c r="U256" s="164"/>
      <c r="V256" s="164"/>
      <c r="W256" s="162"/>
      <c r="X256" s="162"/>
      <c r="Y256" s="162"/>
      <c r="Z256" s="162"/>
      <c r="AA256" s="164"/>
      <c r="AB256" s="164"/>
      <c r="AC256" s="164"/>
      <c r="AD256" s="164"/>
      <c r="AE256" s="164"/>
    </row>
    <row r="257" ht="15.75" customHeight="1">
      <c r="A257" s="164"/>
      <c r="B257" s="477"/>
      <c r="C257" s="478"/>
      <c r="D257" s="472"/>
      <c r="E257" s="473"/>
      <c r="F257" s="474"/>
      <c r="G257" s="164"/>
      <c r="H257" s="2"/>
      <c r="O257" s="475"/>
      <c r="P257" s="475"/>
      <c r="Q257" s="475"/>
      <c r="R257" s="476"/>
      <c r="S257" s="467"/>
      <c r="T257" s="468"/>
      <c r="U257" s="164"/>
      <c r="V257" s="164"/>
      <c r="W257" s="162"/>
      <c r="X257" s="162"/>
      <c r="Y257" s="162"/>
      <c r="Z257" s="162"/>
      <c r="AA257" s="164"/>
      <c r="AB257" s="164"/>
      <c r="AC257" s="164"/>
      <c r="AD257" s="164"/>
      <c r="AE257" s="164"/>
    </row>
    <row r="258" ht="15.75" customHeight="1">
      <c r="A258" s="164"/>
      <c r="B258" s="477"/>
      <c r="C258" s="478"/>
      <c r="D258" s="472"/>
      <c r="E258" s="473"/>
      <c r="F258" s="474"/>
      <c r="G258" s="164"/>
      <c r="H258" s="2"/>
      <c r="O258" s="475"/>
      <c r="P258" s="475"/>
      <c r="Q258" s="475"/>
      <c r="R258" s="476"/>
      <c r="S258" s="467"/>
      <c r="T258" s="468"/>
      <c r="U258" s="164"/>
      <c r="V258" s="164"/>
      <c r="W258" s="162"/>
      <c r="X258" s="162"/>
      <c r="Y258" s="162"/>
      <c r="Z258" s="162"/>
      <c r="AA258" s="164"/>
      <c r="AB258" s="164"/>
      <c r="AC258" s="164"/>
      <c r="AD258" s="164"/>
      <c r="AE258" s="164"/>
    </row>
    <row r="259" ht="15.75" customHeight="1">
      <c r="A259" s="164"/>
      <c r="B259" s="477"/>
      <c r="C259" s="478"/>
      <c r="D259" s="472"/>
      <c r="E259" s="473"/>
      <c r="F259" s="474"/>
      <c r="G259" s="164"/>
      <c r="H259" s="2"/>
      <c r="O259" s="475"/>
      <c r="P259" s="475"/>
      <c r="Q259" s="475"/>
      <c r="R259" s="476"/>
      <c r="S259" s="467"/>
      <c r="T259" s="468"/>
      <c r="U259" s="164"/>
      <c r="V259" s="164"/>
      <c r="W259" s="162"/>
      <c r="X259" s="162"/>
      <c r="Y259" s="162"/>
      <c r="Z259" s="162"/>
      <c r="AA259" s="164"/>
      <c r="AB259" s="164"/>
      <c r="AC259" s="164"/>
      <c r="AD259" s="164"/>
      <c r="AE259" s="164"/>
    </row>
    <row r="260" ht="15.75" customHeight="1">
      <c r="A260" s="164"/>
      <c r="B260" s="477"/>
      <c r="C260" s="478"/>
      <c r="D260" s="472"/>
      <c r="E260" s="473"/>
      <c r="F260" s="474"/>
      <c r="G260" s="164"/>
      <c r="H260" s="2"/>
      <c r="O260" s="475"/>
      <c r="P260" s="475"/>
      <c r="Q260" s="475"/>
      <c r="R260" s="476"/>
      <c r="S260" s="467"/>
      <c r="T260" s="468"/>
      <c r="U260" s="164"/>
      <c r="V260" s="164"/>
      <c r="W260" s="162"/>
      <c r="X260" s="162"/>
      <c r="Y260" s="162"/>
      <c r="Z260" s="162"/>
      <c r="AA260" s="164"/>
      <c r="AB260" s="164"/>
      <c r="AC260" s="164"/>
      <c r="AD260" s="164"/>
      <c r="AE260" s="164"/>
    </row>
    <row r="261" ht="15.75" customHeight="1">
      <c r="A261" s="164"/>
      <c r="B261" s="477"/>
      <c r="C261" s="478"/>
      <c r="D261" s="472"/>
      <c r="E261" s="473"/>
      <c r="F261" s="474"/>
      <c r="G261" s="164"/>
      <c r="H261" s="2"/>
      <c r="O261" s="475"/>
      <c r="P261" s="475"/>
      <c r="Q261" s="475"/>
      <c r="R261" s="476"/>
      <c r="S261" s="467"/>
      <c r="T261" s="468"/>
      <c r="U261" s="164"/>
      <c r="V261" s="164"/>
      <c r="W261" s="162"/>
      <c r="X261" s="162"/>
      <c r="Y261" s="162"/>
      <c r="Z261" s="162"/>
      <c r="AA261" s="164"/>
      <c r="AB261" s="164"/>
      <c r="AC261" s="164"/>
      <c r="AD261" s="164"/>
      <c r="AE261" s="164"/>
    </row>
    <row r="262" ht="15.75" customHeight="1">
      <c r="A262" s="164"/>
      <c r="B262" s="477"/>
      <c r="C262" s="478"/>
      <c r="D262" s="472"/>
      <c r="E262" s="473"/>
      <c r="F262" s="474"/>
      <c r="G262" s="164"/>
      <c r="H262" s="2"/>
      <c r="O262" s="475"/>
      <c r="P262" s="475"/>
      <c r="Q262" s="475"/>
      <c r="R262" s="476"/>
      <c r="S262" s="467"/>
      <c r="T262" s="468"/>
      <c r="U262" s="164"/>
      <c r="V262" s="164"/>
      <c r="W262" s="162"/>
      <c r="X262" s="162"/>
      <c r="Y262" s="162"/>
      <c r="Z262" s="162"/>
      <c r="AA262" s="164"/>
      <c r="AB262" s="164"/>
      <c r="AC262" s="164"/>
      <c r="AD262" s="164"/>
      <c r="AE262" s="164"/>
    </row>
    <row r="263" ht="15.75" customHeight="1">
      <c r="A263" s="164"/>
      <c r="B263" s="477"/>
      <c r="C263" s="478"/>
      <c r="D263" s="472"/>
      <c r="E263" s="473"/>
      <c r="F263" s="474"/>
      <c r="G263" s="164"/>
      <c r="H263" s="2"/>
      <c r="O263" s="475"/>
      <c r="P263" s="475"/>
      <c r="Q263" s="475"/>
      <c r="R263" s="476"/>
      <c r="S263" s="467"/>
      <c r="T263" s="468"/>
      <c r="U263" s="164"/>
      <c r="V263" s="164"/>
      <c r="W263" s="162"/>
      <c r="X263" s="162"/>
      <c r="Y263" s="162"/>
      <c r="Z263" s="162"/>
      <c r="AA263" s="164"/>
      <c r="AB263" s="164"/>
      <c r="AC263" s="164"/>
      <c r="AD263" s="164"/>
      <c r="AE263" s="164"/>
    </row>
    <row r="264" ht="15.75" customHeight="1">
      <c r="A264" s="164"/>
      <c r="B264" s="477"/>
      <c r="C264" s="478"/>
      <c r="D264" s="472"/>
      <c r="E264" s="473"/>
      <c r="F264" s="474"/>
      <c r="G264" s="164"/>
      <c r="H264" s="2"/>
      <c r="O264" s="475"/>
      <c r="P264" s="475"/>
      <c r="Q264" s="475"/>
      <c r="R264" s="476"/>
      <c r="S264" s="467"/>
      <c r="T264" s="468"/>
      <c r="U264" s="164"/>
      <c r="V264" s="164"/>
      <c r="W264" s="162"/>
      <c r="X264" s="162"/>
      <c r="Y264" s="162"/>
      <c r="Z264" s="162"/>
      <c r="AA264" s="164"/>
      <c r="AB264" s="164"/>
      <c r="AC264" s="164"/>
      <c r="AD264" s="164"/>
      <c r="AE264" s="164"/>
    </row>
    <row r="265" ht="15.75" customHeight="1">
      <c r="A265" s="164"/>
      <c r="B265" s="477"/>
      <c r="C265" s="478"/>
      <c r="D265" s="472"/>
      <c r="E265" s="473"/>
      <c r="F265" s="474"/>
      <c r="G265" s="164"/>
      <c r="H265" s="2"/>
      <c r="O265" s="475"/>
      <c r="P265" s="475"/>
      <c r="Q265" s="475"/>
      <c r="R265" s="476"/>
      <c r="S265" s="467"/>
      <c r="T265" s="468"/>
      <c r="U265" s="164"/>
      <c r="V265" s="164"/>
      <c r="W265" s="162"/>
      <c r="X265" s="162"/>
      <c r="Y265" s="162"/>
      <c r="Z265" s="162"/>
      <c r="AA265" s="164"/>
      <c r="AB265" s="164"/>
      <c r="AC265" s="164"/>
      <c r="AD265" s="164"/>
      <c r="AE265" s="164"/>
    </row>
    <row r="266" ht="15.75" customHeight="1">
      <c r="A266" s="164"/>
      <c r="B266" s="477"/>
      <c r="C266" s="478"/>
      <c r="D266" s="472"/>
      <c r="E266" s="473"/>
      <c r="F266" s="474"/>
      <c r="G266" s="164"/>
      <c r="H266" s="2"/>
      <c r="O266" s="475"/>
      <c r="P266" s="475"/>
      <c r="Q266" s="475"/>
      <c r="R266" s="476"/>
      <c r="S266" s="467"/>
      <c r="T266" s="468"/>
      <c r="U266" s="164"/>
      <c r="V266" s="164"/>
      <c r="W266" s="162"/>
      <c r="X266" s="162"/>
      <c r="Y266" s="162"/>
      <c r="Z266" s="162"/>
      <c r="AA266" s="164"/>
      <c r="AB266" s="164"/>
      <c r="AC266" s="164"/>
      <c r="AD266" s="164"/>
      <c r="AE266" s="164"/>
    </row>
    <row r="267" ht="15.75" customHeight="1">
      <c r="A267" s="164"/>
      <c r="B267" s="477"/>
      <c r="C267" s="478"/>
      <c r="D267" s="472"/>
      <c r="E267" s="473"/>
      <c r="F267" s="474"/>
      <c r="G267" s="164"/>
      <c r="H267" s="2"/>
      <c r="O267" s="475"/>
      <c r="P267" s="475"/>
      <c r="Q267" s="475"/>
      <c r="R267" s="476"/>
      <c r="S267" s="467"/>
      <c r="T267" s="468"/>
      <c r="U267" s="164"/>
      <c r="V267" s="164"/>
      <c r="W267" s="162"/>
      <c r="X267" s="162"/>
      <c r="Y267" s="162"/>
      <c r="Z267" s="162"/>
      <c r="AA267" s="164"/>
      <c r="AB267" s="164"/>
      <c r="AC267" s="164"/>
      <c r="AD267" s="164"/>
      <c r="AE267" s="164"/>
    </row>
    <row r="268" ht="15.75" customHeight="1">
      <c r="A268" s="164"/>
      <c r="B268" s="477"/>
      <c r="C268" s="478"/>
      <c r="D268" s="472"/>
      <c r="E268" s="473"/>
      <c r="F268" s="474"/>
      <c r="G268" s="164"/>
      <c r="H268" s="2"/>
      <c r="O268" s="475"/>
      <c r="P268" s="475"/>
      <c r="Q268" s="475"/>
      <c r="R268" s="476"/>
      <c r="S268" s="467"/>
      <c r="T268" s="468"/>
      <c r="U268" s="164"/>
      <c r="V268" s="164"/>
      <c r="W268" s="162"/>
      <c r="X268" s="162"/>
      <c r="Y268" s="162"/>
      <c r="Z268" s="162"/>
      <c r="AA268" s="164"/>
      <c r="AB268" s="164"/>
      <c r="AC268" s="164"/>
      <c r="AD268" s="164"/>
      <c r="AE268" s="164"/>
    </row>
    <row r="269" ht="15.75" customHeight="1">
      <c r="A269" s="164"/>
      <c r="B269" s="477"/>
      <c r="C269" s="478"/>
      <c r="D269" s="472"/>
      <c r="E269" s="473"/>
      <c r="F269" s="474"/>
      <c r="G269" s="164"/>
      <c r="H269" s="2"/>
      <c r="O269" s="475"/>
      <c r="P269" s="475"/>
      <c r="Q269" s="475"/>
      <c r="R269" s="476"/>
      <c r="S269" s="467"/>
      <c r="T269" s="468"/>
      <c r="U269" s="164"/>
      <c r="V269" s="164"/>
      <c r="W269" s="162"/>
      <c r="X269" s="162"/>
      <c r="Y269" s="162"/>
      <c r="Z269" s="162"/>
      <c r="AA269" s="164"/>
      <c r="AB269" s="164"/>
      <c r="AC269" s="164"/>
      <c r="AD269" s="164"/>
      <c r="AE269" s="164"/>
    </row>
    <row r="270" ht="15.75" customHeight="1">
      <c r="A270" s="164"/>
      <c r="B270" s="477"/>
      <c r="C270" s="478"/>
      <c r="D270" s="472"/>
      <c r="E270" s="473"/>
      <c r="F270" s="474"/>
      <c r="G270" s="164"/>
      <c r="H270" s="2"/>
      <c r="O270" s="475"/>
      <c r="P270" s="475"/>
      <c r="Q270" s="475"/>
      <c r="R270" s="476"/>
      <c r="S270" s="467"/>
      <c r="T270" s="468"/>
      <c r="U270" s="164"/>
      <c r="V270" s="164"/>
      <c r="W270" s="162"/>
      <c r="X270" s="162"/>
      <c r="Y270" s="162"/>
      <c r="Z270" s="162"/>
      <c r="AA270" s="164"/>
      <c r="AB270" s="164"/>
      <c r="AC270" s="164"/>
      <c r="AD270" s="164"/>
      <c r="AE270" s="164"/>
    </row>
    <row r="271" ht="15.75" customHeight="1">
      <c r="A271" s="164"/>
      <c r="B271" s="477"/>
      <c r="C271" s="478"/>
      <c r="D271" s="472"/>
      <c r="E271" s="473"/>
      <c r="F271" s="474"/>
      <c r="G271" s="164"/>
      <c r="H271" s="2"/>
      <c r="O271" s="475"/>
      <c r="P271" s="475"/>
      <c r="Q271" s="475"/>
      <c r="R271" s="476"/>
      <c r="S271" s="467"/>
      <c r="T271" s="468"/>
      <c r="U271" s="164"/>
      <c r="V271" s="164"/>
      <c r="W271" s="162"/>
      <c r="X271" s="162"/>
      <c r="Y271" s="162"/>
      <c r="Z271" s="162"/>
      <c r="AA271" s="164"/>
      <c r="AB271" s="164"/>
      <c r="AC271" s="164"/>
      <c r="AD271" s="164"/>
      <c r="AE271" s="164"/>
    </row>
    <row r="272" ht="15.75" customHeight="1">
      <c r="A272" s="164"/>
      <c r="B272" s="477"/>
      <c r="C272" s="478"/>
      <c r="D272" s="472"/>
      <c r="E272" s="473"/>
      <c r="F272" s="474"/>
      <c r="G272" s="164"/>
      <c r="H272" s="2"/>
      <c r="O272" s="475"/>
      <c r="P272" s="475"/>
      <c r="Q272" s="475"/>
      <c r="R272" s="476"/>
      <c r="S272" s="467"/>
      <c r="T272" s="468"/>
      <c r="U272" s="164"/>
      <c r="V272" s="164"/>
      <c r="W272" s="162"/>
      <c r="X272" s="162"/>
      <c r="Y272" s="162"/>
      <c r="Z272" s="162"/>
      <c r="AA272" s="164"/>
      <c r="AB272" s="164"/>
      <c r="AC272" s="164"/>
      <c r="AD272" s="164"/>
      <c r="AE272" s="164"/>
    </row>
    <row r="273" ht="15.75" customHeight="1">
      <c r="A273" s="164"/>
      <c r="B273" s="477"/>
      <c r="C273" s="478"/>
      <c r="D273" s="472"/>
      <c r="E273" s="473"/>
      <c r="F273" s="474"/>
      <c r="G273" s="164"/>
      <c r="H273" s="2"/>
      <c r="O273" s="475"/>
      <c r="P273" s="475"/>
      <c r="Q273" s="475"/>
      <c r="R273" s="476"/>
      <c r="S273" s="467"/>
      <c r="T273" s="468"/>
      <c r="U273" s="164"/>
      <c r="V273" s="164"/>
      <c r="W273" s="162"/>
      <c r="X273" s="162"/>
      <c r="Y273" s="162"/>
      <c r="Z273" s="162"/>
      <c r="AA273" s="164"/>
      <c r="AB273" s="164"/>
      <c r="AC273" s="164"/>
      <c r="AD273" s="164"/>
      <c r="AE273" s="164"/>
    </row>
    <row r="274" ht="15.75" customHeight="1">
      <c r="A274" s="164"/>
      <c r="B274" s="477"/>
      <c r="C274" s="478"/>
      <c r="D274" s="472"/>
      <c r="E274" s="473"/>
      <c r="F274" s="474"/>
      <c r="G274" s="164"/>
      <c r="H274" s="2"/>
      <c r="O274" s="475"/>
      <c r="P274" s="475"/>
      <c r="Q274" s="475"/>
      <c r="R274" s="476"/>
      <c r="S274" s="467"/>
      <c r="T274" s="468"/>
      <c r="U274" s="164"/>
      <c r="V274" s="164"/>
      <c r="W274" s="162"/>
      <c r="X274" s="162"/>
      <c r="Y274" s="162"/>
      <c r="Z274" s="162"/>
      <c r="AA274" s="164"/>
      <c r="AB274" s="164"/>
      <c r="AC274" s="164"/>
      <c r="AD274" s="164"/>
      <c r="AE274" s="164"/>
    </row>
    <row r="275" ht="15.75" customHeight="1">
      <c r="A275" s="164"/>
      <c r="B275" s="477"/>
      <c r="C275" s="478"/>
      <c r="D275" s="472"/>
      <c r="E275" s="473"/>
      <c r="F275" s="474"/>
      <c r="G275" s="164"/>
      <c r="H275" s="2"/>
      <c r="O275" s="475"/>
      <c r="P275" s="475"/>
      <c r="Q275" s="475"/>
      <c r="R275" s="476"/>
      <c r="S275" s="467"/>
      <c r="T275" s="468"/>
      <c r="U275" s="164"/>
      <c r="V275" s="164"/>
      <c r="W275" s="162"/>
      <c r="X275" s="162"/>
      <c r="Y275" s="162"/>
      <c r="Z275" s="162"/>
      <c r="AA275" s="164"/>
      <c r="AB275" s="164"/>
      <c r="AC275" s="164"/>
      <c r="AD275" s="164"/>
      <c r="AE275" s="164"/>
    </row>
    <row r="276" ht="15.75" customHeight="1">
      <c r="A276" s="164"/>
      <c r="B276" s="477"/>
      <c r="C276" s="478"/>
      <c r="D276" s="472"/>
      <c r="E276" s="473"/>
      <c r="F276" s="474"/>
      <c r="G276" s="164"/>
      <c r="H276" s="2"/>
      <c r="O276" s="475"/>
      <c r="P276" s="475"/>
      <c r="Q276" s="475"/>
      <c r="R276" s="476"/>
      <c r="S276" s="467"/>
      <c r="T276" s="468"/>
      <c r="U276" s="164"/>
      <c r="V276" s="164"/>
      <c r="W276" s="162"/>
      <c r="X276" s="162"/>
      <c r="Y276" s="162"/>
      <c r="Z276" s="162"/>
      <c r="AA276" s="164"/>
      <c r="AB276" s="164"/>
      <c r="AC276" s="164"/>
      <c r="AD276" s="164"/>
      <c r="AE276" s="164"/>
    </row>
    <row r="277" ht="15.75" customHeight="1">
      <c r="A277" s="164"/>
      <c r="B277" s="477"/>
      <c r="C277" s="478"/>
      <c r="D277" s="472"/>
      <c r="E277" s="473"/>
      <c r="F277" s="474"/>
      <c r="G277" s="164"/>
      <c r="H277" s="2"/>
      <c r="O277" s="475"/>
      <c r="P277" s="475"/>
      <c r="Q277" s="475"/>
      <c r="R277" s="476"/>
      <c r="S277" s="467"/>
      <c r="T277" s="468"/>
      <c r="U277" s="164"/>
      <c r="V277" s="164"/>
      <c r="W277" s="162"/>
      <c r="X277" s="162"/>
      <c r="Y277" s="162"/>
      <c r="Z277" s="162"/>
      <c r="AA277" s="164"/>
      <c r="AB277" s="164"/>
      <c r="AC277" s="164"/>
      <c r="AD277" s="164"/>
      <c r="AE277" s="164"/>
    </row>
    <row r="278" ht="15.75" customHeight="1">
      <c r="A278" s="164"/>
      <c r="B278" s="477"/>
      <c r="C278" s="478"/>
      <c r="D278" s="472"/>
      <c r="E278" s="473"/>
      <c r="F278" s="474"/>
      <c r="G278" s="164"/>
      <c r="H278" s="2"/>
      <c r="O278" s="475"/>
      <c r="P278" s="475"/>
      <c r="Q278" s="475"/>
      <c r="R278" s="476"/>
      <c r="S278" s="467"/>
      <c r="T278" s="468"/>
      <c r="U278" s="164"/>
      <c r="V278" s="164"/>
      <c r="W278" s="162"/>
      <c r="X278" s="162"/>
      <c r="Y278" s="162"/>
      <c r="Z278" s="162"/>
      <c r="AA278" s="164"/>
      <c r="AB278" s="164"/>
      <c r="AC278" s="164"/>
      <c r="AD278" s="164"/>
      <c r="AE278" s="164"/>
    </row>
    <row r="279" ht="15.75" customHeight="1">
      <c r="A279" s="164"/>
      <c r="B279" s="477"/>
      <c r="C279" s="478"/>
      <c r="D279" s="472"/>
      <c r="E279" s="473"/>
      <c r="F279" s="474"/>
      <c r="G279" s="164"/>
      <c r="H279" s="2"/>
      <c r="O279" s="475"/>
      <c r="P279" s="475"/>
      <c r="Q279" s="475"/>
      <c r="R279" s="476"/>
      <c r="S279" s="467"/>
      <c r="T279" s="468"/>
      <c r="U279" s="164"/>
      <c r="V279" s="164"/>
      <c r="W279" s="162"/>
      <c r="X279" s="162"/>
      <c r="Y279" s="162"/>
      <c r="Z279" s="162"/>
      <c r="AA279" s="164"/>
      <c r="AB279" s="164"/>
      <c r="AC279" s="164"/>
      <c r="AD279" s="164"/>
      <c r="AE279" s="164"/>
    </row>
    <row r="280" ht="15.75" customHeight="1">
      <c r="A280" s="164"/>
      <c r="B280" s="477"/>
      <c r="C280" s="478"/>
      <c r="D280" s="472"/>
      <c r="E280" s="473"/>
      <c r="F280" s="474"/>
      <c r="G280" s="164"/>
      <c r="H280" s="2"/>
      <c r="O280" s="475"/>
      <c r="P280" s="475"/>
      <c r="Q280" s="475"/>
      <c r="R280" s="476"/>
      <c r="S280" s="467"/>
      <c r="T280" s="468"/>
      <c r="U280" s="164"/>
      <c r="V280" s="164"/>
      <c r="W280" s="162"/>
      <c r="X280" s="162"/>
      <c r="Y280" s="162"/>
      <c r="Z280" s="162"/>
      <c r="AA280" s="164"/>
      <c r="AB280" s="164"/>
      <c r="AC280" s="164"/>
      <c r="AD280" s="164"/>
      <c r="AE280" s="164"/>
    </row>
    <row r="281" ht="15.75" customHeight="1">
      <c r="A281" s="164"/>
      <c r="B281" s="477"/>
      <c r="C281" s="478"/>
      <c r="D281" s="472"/>
      <c r="E281" s="473"/>
      <c r="F281" s="474"/>
      <c r="G281" s="164"/>
      <c r="H281" s="2"/>
      <c r="O281" s="475"/>
      <c r="P281" s="475"/>
      <c r="Q281" s="475"/>
      <c r="R281" s="476"/>
      <c r="S281" s="467"/>
      <c r="T281" s="468"/>
      <c r="U281" s="164"/>
      <c r="V281" s="164"/>
      <c r="W281" s="162"/>
      <c r="X281" s="162"/>
      <c r="Y281" s="162"/>
      <c r="Z281" s="162"/>
      <c r="AA281" s="164"/>
      <c r="AB281" s="164"/>
      <c r="AC281" s="164"/>
      <c r="AD281" s="164"/>
      <c r="AE281" s="164"/>
    </row>
    <row r="282" ht="15.75" customHeight="1">
      <c r="A282" s="164"/>
      <c r="B282" s="477"/>
      <c r="C282" s="478"/>
      <c r="D282" s="472"/>
      <c r="E282" s="473"/>
      <c r="F282" s="474"/>
      <c r="G282" s="164"/>
      <c r="H282" s="2"/>
      <c r="O282" s="475"/>
      <c r="P282" s="475"/>
      <c r="Q282" s="475"/>
      <c r="R282" s="476"/>
      <c r="S282" s="467"/>
      <c r="T282" s="468"/>
      <c r="U282" s="164"/>
      <c r="V282" s="164"/>
      <c r="W282" s="162"/>
      <c r="X282" s="162"/>
      <c r="Y282" s="162"/>
      <c r="Z282" s="162"/>
      <c r="AA282" s="164"/>
      <c r="AB282" s="164"/>
      <c r="AC282" s="164"/>
      <c r="AD282" s="164"/>
      <c r="AE282" s="164"/>
    </row>
    <row r="283" ht="15.75" customHeight="1">
      <c r="A283" s="164"/>
      <c r="B283" s="477"/>
      <c r="C283" s="478"/>
      <c r="D283" s="472"/>
      <c r="E283" s="473"/>
      <c r="F283" s="474"/>
      <c r="G283" s="164"/>
      <c r="H283" s="2"/>
      <c r="O283" s="475"/>
      <c r="P283" s="475"/>
      <c r="Q283" s="475"/>
      <c r="R283" s="476"/>
      <c r="S283" s="467"/>
      <c r="T283" s="468"/>
      <c r="U283" s="164"/>
      <c r="V283" s="164"/>
      <c r="W283" s="162"/>
      <c r="X283" s="162"/>
      <c r="Y283" s="162"/>
      <c r="Z283" s="162"/>
      <c r="AA283" s="164"/>
      <c r="AB283" s="164"/>
      <c r="AC283" s="164"/>
      <c r="AD283" s="164"/>
      <c r="AE283" s="164"/>
    </row>
    <row r="284" ht="15.75" customHeight="1">
      <c r="A284" s="164"/>
      <c r="B284" s="477"/>
      <c r="C284" s="478"/>
      <c r="D284" s="472"/>
      <c r="E284" s="473"/>
      <c r="F284" s="474"/>
      <c r="G284" s="164"/>
      <c r="H284" s="2"/>
      <c r="O284" s="475"/>
      <c r="P284" s="475"/>
      <c r="Q284" s="475"/>
      <c r="R284" s="476"/>
      <c r="S284" s="467"/>
      <c r="T284" s="468"/>
      <c r="U284" s="164"/>
      <c r="V284" s="164"/>
      <c r="W284" s="162"/>
      <c r="X284" s="162"/>
      <c r="Y284" s="162"/>
      <c r="Z284" s="162"/>
      <c r="AA284" s="164"/>
      <c r="AB284" s="164"/>
      <c r="AC284" s="164"/>
      <c r="AD284" s="164"/>
      <c r="AE284" s="164"/>
    </row>
    <row r="285" ht="15.75" customHeight="1">
      <c r="A285" s="164"/>
      <c r="B285" s="477"/>
      <c r="C285" s="478"/>
      <c r="D285" s="472"/>
      <c r="E285" s="473"/>
      <c r="F285" s="474"/>
      <c r="G285" s="164"/>
      <c r="H285" s="2"/>
      <c r="O285" s="475"/>
      <c r="P285" s="475"/>
      <c r="Q285" s="475"/>
      <c r="R285" s="476"/>
      <c r="S285" s="467"/>
      <c r="T285" s="468"/>
      <c r="U285" s="164"/>
      <c r="V285" s="164"/>
      <c r="W285" s="162"/>
      <c r="X285" s="162"/>
      <c r="Y285" s="162"/>
      <c r="Z285" s="162"/>
      <c r="AA285" s="164"/>
      <c r="AB285" s="164"/>
      <c r="AC285" s="164"/>
      <c r="AD285" s="164"/>
      <c r="AE285" s="164"/>
    </row>
    <row r="286" ht="15.75" customHeight="1">
      <c r="A286" s="164"/>
      <c r="B286" s="477"/>
      <c r="C286" s="478"/>
      <c r="D286" s="472"/>
      <c r="E286" s="473"/>
      <c r="F286" s="474"/>
      <c r="G286" s="164"/>
      <c r="H286" s="2"/>
      <c r="O286" s="475"/>
      <c r="P286" s="475"/>
      <c r="Q286" s="475"/>
      <c r="R286" s="476"/>
      <c r="S286" s="467"/>
      <c r="T286" s="468"/>
      <c r="U286" s="164"/>
      <c r="V286" s="164"/>
      <c r="W286" s="162"/>
      <c r="X286" s="162"/>
      <c r="Y286" s="162"/>
      <c r="Z286" s="162"/>
      <c r="AA286" s="164"/>
      <c r="AB286" s="164"/>
      <c r="AC286" s="164"/>
      <c r="AD286" s="164"/>
      <c r="AE286" s="164"/>
    </row>
    <row r="287" ht="15.75" customHeight="1">
      <c r="A287" s="164"/>
      <c r="B287" s="477"/>
      <c r="C287" s="478"/>
      <c r="D287" s="472"/>
      <c r="E287" s="473"/>
      <c r="F287" s="474"/>
      <c r="G287" s="164"/>
      <c r="H287" s="2"/>
      <c r="O287" s="475"/>
      <c r="P287" s="475"/>
      <c r="Q287" s="475"/>
      <c r="R287" s="476"/>
      <c r="S287" s="467"/>
      <c r="T287" s="468"/>
      <c r="U287" s="164"/>
      <c r="V287" s="164"/>
      <c r="W287" s="162"/>
      <c r="X287" s="162"/>
      <c r="Y287" s="162"/>
      <c r="Z287" s="162"/>
      <c r="AA287" s="164"/>
      <c r="AB287" s="164"/>
      <c r="AC287" s="164"/>
      <c r="AD287" s="164"/>
      <c r="AE287" s="164"/>
    </row>
    <row r="288" ht="15.75" customHeight="1">
      <c r="A288" s="164"/>
      <c r="B288" s="477"/>
      <c r="C288" s="478"/>
      <c r="D288" s="472"/>
      <c r="E288" s="473"/>
      <c r="F288" s="474"/>
      <c r="G288" s="164"/>
      <c r="H288" s="2"/>
      <c r="O288" s="475"/>
      <c r="P288" s="475"/>
      <c r="Q288" s="475"/>
      <c r="R288" s="476"/>
      <c r="S288" s="467"/>
      <c r="T288" s="468"/>
      <c r="U288" s="164"/>
      <c r="V288" s="164"/>
      <c r="W288" s="162"/>
      <c r="X288" s="162"/>
      <c r="Y288" s="162"/>
      <c r="Z288" s="162"/>
      <c r="AA288" s="164"/>
      <c r="AB288" s="164"/>
      <c r="AC288" s="164"/>
      <c r="AD288" s="164"/>
      <c r="AE288" s="164"/>
    </row>
    <row r="289" ht="15.75" customHeight="1">
      <c r="A289" s="164"/>
      <c r="B289" s="477"/>
      <c r="C289" s="478"/>
      <c r="D289" s="472"/>
      <c r="E289" s="473"/>
      <c r="F289" s="474"/>
      <c r="G289" s="164"/>
      <c r="H289" s="2"/>
      <c r="O289" s="475"/>
      <c r="P289" s="475"/>
      <c r="Q289" s="475"/>
      <c r="R289" s="476"/>
      <c r="S289" s="467"/>
      <c r="T289" s="468"/>
      <c r="U289" s="164"/>
      <c r="V289" s="164"/>
      <c r="W289" s="162"/>
      <c r="X289" s="162"/>
      <c r="Y289" s="162"/>
      <c r="Z289" s="162"/>
      <c r="AA289" s="164"/>
      <c r="AB289" s="164"/>
      <c r="AC289" s="164"/>
      <c r="AD289" s="164"/>
      <c r="AE289" s="164"/>
    </row>
    <row r="290" ht="15.75" customHeight="1">
      <c r="A290" s="164"/>
      <c r="B290" s="477"/>
      <c r="C290" s="478"/>
      <c r="D290" s="472"/>
      <c r="E290" s="473"/>
      <c r="F290" s="474"/>
      <c r="G290" s="164"/>
      <c r="H290" s="2"/>
      <c r="O290" s="475"/>
      <c r="P290" s="475"/>
      <c r="Q290" s="475"/>
      <c r="R290" s="476"/>
      <c r="S290" s="467"/>
      <c r="T290" s="468"/>
      <c r="U290" s="164"/>
      <c r="V290" s="164"/>
      <c r="W290" s="162"/>
      <c r="X290" s="162"/>
      <c r="Y290" s="162"/>
      <c r="Z290" s="162"/>
      <c r="AA290" s="164"/>
      <c r="AB290" s="164"/>
      <c r="AC290" s="164"/>
      <c r="AD290" s="164"/>
      <c r="AE290" s="164"/>
    </row>
    <row r="291" ht="15.75" customHeight="1">
      <c r="A291" s="164"/>
      <c r="B291" s="477"/>
      <c r="C291" s="478"/>
      <c r="D291" s="472"/>
      <c r="E291" s="473"/>
      <c r="F291" s="474"/>
      <c r="G291" s="164"/>
      <c r="H291" s="2"/>
      <c r="O291" s="475"/>
      <c r="P291" s="475"/>
      <c r="Q291" s="475"/>
      <c r="R291" s="476"/>
      <c r="S291" s="467"/>
      <c r="T291" s="468"/>
      <c r="U291" s="164"/>
      <c r="V291" s="164"/>
      <c r="W291" s="162"/>
      <c r="X291" s="162"/>
      <c r="Y291" s="162"/>
      <c r="Z291" s="162"/>
      <c r="AA291" s="164"/>
      <c r="AB291" s="164"/>
      <c r="AC291" s="164"/>
      <c r="AD291" s="164"/>
      <c r="AE291" s="164"/>
    </row>
    <row r="292" ht="15.75" customHeight="1">
      <c r="A292" s="164"/>
      <c r="B292" s="477"/>
      <c r="C292" s="478"/>
      <c r="D292" s="472"/>
      <c r="E292" s="473"/>
      <c r="F292" s="474"/>
      <c r="G292" s="164"/>
      <c r="H292" s="2"/>
      <c r="O292" s="475"/>
      <c r="P292" s="475"/>
      <c r="Q292" s="475"/>
      <c r="R292" s="476"/>
      <c r="S292" s="467"/>
      <c r="T292" s="468"/>
      <c r="U292" s="164"/>
      <c r="V292" s="164"/>
      <c r="W292" s="162"/>
      <c r="X292" s="162"/>
      <c r="Y292" s="162"/>
      <c r="Z292" s="162"/>
      <c r="AA292" s="164"/>
      <c r="AB292" s="164"/>
      <c r="AC292" s="164"/>
      <c r="AD292" s="164"/>
      <c r="AE292" s="164"/>
    </row>
    <row r="293" ht="15.75" customHeight="1">
      <c r="A293" s="164"/>
      <c r="B293" s="477"/>
      <c r="C293" s="478"/>
      <c r="D293" s="472"/>
      <c r="E293" s="473"/>
      <c r="F293" s="474"/>
      <c r="G293" s="164"/>
      <c r="H293" s="2"/>
      <c r="O293" s="475"/>
      <c r="P293" s="475"/>
      <c r="Q293" s="475"/>
      <c r="R293" s="476"/>
      <c r="S293" s="467"/>
      <c r="T293" s="468"/>
      <c r="U293" s="164"/>
      <c r="V293" s="164"/>
      <c r="W293" s="162"/>
      <c r="X293" s="162"/>
      <c r="Y293" s="162"/>
      <c r="Z293" s="162"/>
      <c r="AA293" s="164"/>
      <c r="AB293" s="164"/>
      <c r="AC293" s="164"/>
      <c r="AD293" s="164"/>
      <c r="AE293" s="164"/>
    </row>
    <row r="294" ht="15.75" customHeight="1">
      <c r="A294" s="164"/>
      <c r="B294" s="477"/>
      <c r="C294" s="478"/>
      <c r="D294" s="472"/>
      <c r="E294" s="473"/>
      <c r="F294" s="474"/>
      <c r="G294" s="164"/>
      <c r="H294" s="2"/>
      <c r="O294" s="475"/>
      <c r="P294" s="475"/>
      <c r="Q294" s="475"/>
      <c r="R294" s="476"/>
      <c r="S294" s="467"/>
      <c r="T294" s="468"/>
      <c r="U294" s="164"/>
      <c r="V294" s="164"/>
      <c r="W294" s="162"/>
      <c r="X294" s="162"/>
      <c r="Y294" s="162"/>
      <c r="Z294" s="162"/>
      <c r="AA294" s="164"/>
      <c r="AB294" s="164"/>
      <c r="AC294" s="164"/>
      <c r="AD294" s="164"/>
      <c r="AE294" s="164"/>
    </row>
    <row r="295" ht="15.75" customHeight="1">
      <c r="A295" s="164"/>
      <c r="B295" s="477"/>
      <c r="C295" s="478"/>
      <c r="D295" s="472"/>
      <c r="E295" s="473"/>
      <c r="F295" s="474"/>
      <c r="G295" s="164"/>
      <c r="H295" s="2"/>
      <c r="O295" s="475"/>
      <c r="P295" s="475"/>
      <c r="Q295" s="475"/>
      <c r="R295" s="476"/>
      <c r="S295" s="467"/>
      <c r="T295" s="468"/>
      <c r="U295" s="164"/>
      <c r="V295" s="164"/>
      <c r="W295" s="162"/>
      <c r="X295" s="162"/>
      <c r="Y295" s="162"/>
      <c r="Z295" s="162"/>
      <c r="AA295" s="164"/>
      <c r="AB295" s="164"/>
      <c r="AC295" s="164"/>
      <c r="AD295" s="164"/>
      <c r="AE295" s="164"/>
    </row>
    <row r="296" ht="15.75" customHeight="1">
      <c r="A296" s="164"/>
      <c r="B296" s="477"/>
      <c r="C296" s="478"/>
      <c r="D296" s="472"/>
      <c r="E296" s="473"/>
      <c r="F296" s="474"/>
      <c r="G296" s="164"/>
      <c r="H296" s="2"/>
      <c r="O296" s="475"/>
      <c r="P296" s="475"/>
      <c r="Q296" s="475"/>
      <c r="R296" s="476"/>
      <c r="S296" s="467"/>
      <c r="T296" s="468"/>
      <c r="U296" s="164"/>
      <c r="V296" s="164"/>
      <c r="W296" s="162"/>
      <c r="X296" s="162"/>
      <c r="Y296" s="162"/>
      <c r="Z296" s="162"/>
      <c r="AA296" s="164"/>
      <c r="AB296" s="164"/>
      <c r="AC296" s="164"/>
      <c r="AD296" s="164"/>
      <c r="AE296" s="164"/>
    </row>
    <row r="297" ht="15.75" customHeight="1">
      <c r="A297" s="164"/>
      <c r="B297" s="477"/>
      <c r="C297" s="478"/>
      <c r="D297" s="472"/>
      <c r="E297" s="473"/>
      <c r="F297" s="474"/>
      <c r="G297" s="164"/>
      <c r="H297" s="2"/>
      <c r="O297" s="475"/>
      <c r="P297" s="475"/>
      <c r="Q297" s="475"/>
      <c r="R297" s="476"/>
      <c r="S297" s="467"/>
      <c r="T297" s="468"/>
      <c r="U297" s="164"/>
      <c r="V297" s="164"/>
      <c r="W297" s="162"/>
      <c r="X297" s="162"/>
      <c r="Y297" s="162"/>
      <c r="Z297" s="162"/>
      <c r="AA297" s="164"/>
      <c r="AB297" s="164"/>
      <c r="AC297" s="164"/>
      <c r="AD297" s="164"/>
      <c r="AE297" s="164"/>
    </row>
    <row r="298" ht="15.75" customHeight="1">
      <c r="A298" s="164"/>
      <c r="B298" s="477"/>
      <c r="C298" s="478"/>
      <c r="D298" s="472"/>
      <c r="E298" s="473"/>
      <c r="F298" s="474"/>
      <c r="G298" s="164"/>
      <c r="H298" s="2"/>
      <c r="O298" s="475"/>
      <c r="P298" s="475"/>
      <c r="Q298" s="475"/>
      <c r="R298" s="476"/>
      <c r="S298" s="467"/>
      <c r="T298" s="468"/>
      <c r="U298" s="164"/>
      <c r="V298" s="164"/>
      <c r="W298" s="162"/>
      <c r="X298" s="162"/>
      <c r="Y298" s="162"/>
      <c r="Z298" s="162"/>
      <c r="AA298" s="164"/>
      <c r="AB298" s="164"/>
      <c r="AC298" s="164"/>
      <c r="AD298" s="164"/>
      <c r="AE298" s="164"/>
    </row>
    <row r="299" ht="15.75" customHeight="1">
      <c r="A299" s="164"/>
      <c r="B299" s="477"/>
      <c r="C299" s="478"/>
      <c r="D299" s="472"/>
      <c r="E299" s="473"/>
      <c r="F299" s="474"/>
      <c r="G299" s="164"/>
      <c r="H299" s="2"/>
      <c r="O299" s="475"/>
      <c r="P299" s="475"/>
      <c r="Q299" s="475"/>
      <c r="R299" s="476"/>
      <c r="S299" s="467"/>
      <c r="T299" s="468"/>
      <c r="U299" s="164"/>
      <c r="V299" s="164"/>
      <c r="W299" s="162"/>
      <c r="X299" s="162"/>
      <c r="Y299" s="162"/>
      <c r="Z299" s="162"/>
      <c r="AA299" s="164"/>
      <c r="AB299" s="164"/>
      <c r="AC299" s="164"/>
      <c r="AD299" s="164"/>
      <c r="AE299" s="164"/>
    </row>
    <row r="300" ht="15.75" customHeight="1">
      <c r="A300" s="164"/>
      <c r="B300" s="477"/>
      <c r="C300" s="478"/>
      <c r="D300" s="472"/>
      <c r="E300" s="473"/>
      <c r="F300" s="474"/>
      <c r="G300" s="164"/>
      <c r="H300" s="2"/>
      <c r="O300" s="475"/>
      <c r="P300" s="475"/>
      <c r="Q300" s="475"/>
      <c r="R300" s="476"/>
      <c r="S300" s="467"/>
      <c r="T300" s="468"/>
      <c r="U300" s="164"/>
      <c r="V300" s="164"/>
      <c r="W300" s="162"/>
      <c r="X300" s="162"/>
      <c r="Y300" s="162"/>
      <c r="Z300" s="162"/>
      <c r="AA300" s="164"/>
      <c r="AB300" s="164"/>
      <c r="AC300" s="164"/>
      <c r="AD300" s="164"/>
      <c r="AE300" s="164"/>
    </row>
    <row r="301" ht="15.75" customHeight="1">
      <c r="A301" s="164"/>
      <c r="B301" s="477"/>
      <c r="C301" s="478"/>
      <c r="D301" s="472"/>
      <c r="E301" s="473"/>
      <c r="F301" s="474"/>
      <c r="G301" s="164"/>
      <c r="H301" s="2"/>
      <c r="O301" s="475"/>
      <c r="P301" s="475"/>
      <c r="Q301" s="475"/>
      <c r="R301" s="476"/>
      <c r="S301" s="467"/>
      <c r="T301" s="468"/>
      <c r="U301" s="164"/>
      <c r="V301" s="164"/>
      <c r="W301" s="162"/>
      <c r="X301" s="162"/>
      <c r="Y301" s="162"/>
      <c r="Z301" s="162"/>
      <c r="AA301" s="164"/>
      <c r="AB301" s="164"/>
      <c r="AC301" s="164"/>
      <c r="AD301" s="164"/>
      <c r="AE301" s="164"/>
    </row>
    <row r="302" ht="15.75" customHeight="1">
      <c r="A302" s="164"/>
      <c r="B302" s="477"/>
      <c r="C302" s="478"/>
      <c r="D302" s="472"/>
      <c r="E302" s="473"/>
      <c r="F302" s="474"/>
      <c r="G302" s="164"/>
      <c r="H302" s="2"/>
      <c r="O302" s="475"/>
      <c r="P302" s="475"/>
      <c r="Q302" s="475"/>
      <c r="R302" s="476"/>
      <c r="S302" s="467"/>
      <c r="T302" s="468"/>
      <c r="U302" s="164"/>
      <c r="V302" s="164"/>
      <c r="W302" s="162"/>
      <c r="X302" s="162"/>
      <c r="Y302" s="162"/>
      <c r="Z302" s="162"/>
      <c r="AA302" s="164"/>
      <c r="AB302" s="164"/>
      <c r="AC302" s="164"/>
      <c r="AD302" s="164"/>
      <c r="AE302" s="164"/>
    </row>
    <row r="303" ht="15.75" customHeight="1">
      <c r="A303" s="164"/>
      <c r="B303" s="477"/>
      <c r="C303" s="478"/>
      <c r="D303" s="472"/>
      <c r="E303" s="473"/>
      <c r="F303" s="474"/>
      <c r="G303" s="164"/>
      <c r="H303" s="2"/>
      <c r="O303" s="475"/>
      <c r="P303" s="475"/>
      <c r="Q303" s="475"/>
      <c r="R303" s="476"/>
      <c r="S303" s="467"/>
      <c r="T303" s="468"/>
      <c r="U303" s="164"/>
      <c r="V303" s="164"/>
      <c r="W303" s="162"/>
      <c r="X303" s="162"/>
      <c r="Y303" s="162"/>
      <c r="Z303" s="162"/>
      <c r="AA303" s="164"/>
      <c r="AB303" s="164"/>
      <c r="AC303" s="164"/>
      <c r="AD303" s="164"/>
      <c r="AE303" s="164"/>
    </row>
    <row r="304" ht="15.75" customHeight="1">
      <c r="A304" s="164"/>
      <c r="B304" s="477"/>
      <c r="C304" s="478"/>
      <c r="D304" s="472"/>
      <c r="E304" s="473"/>
      <c r="F304" s="474"/>
      <c r="G304" s="164"/>
      <c r="H304" s="2"/>
      <c r="O304" s="475"/>
      <c r="P304" s="475"/>
      <c r="Q304" s="475"/>
      <c r="R304" s="476"/>
      <c r="S304" s="467"/>
      <c r="T304" s="468"/>
      <c r="U304" s="164"/>
      <c r="V304" s="164"/>
      <c r="W304" s="162"/>
      <c r="X304" s="162"/>
      <c r="Y304" s="162"/>
      <c r="Z304" s="162"/>
      <c r="AA304" s="164"/>
      <c r="AB304" s="164"/>
      <c r="AC304" s="164"/>
      <c r="AD304" s="164"/>
      <c r="AE304" s="164"/>
    </row>
    <row r="305" ht="15.75" customHeight="1">
      <c r="A305" s="164"/>
      <c r="B305" s="477"/>
      <c r="C305" s="478"/>
      <c r="D305" s="472"/>
      <c r="E305" s="473"/>
      <c r="F305" s="474"/>
      <c r="G305" s="164"/>
      <c r="H305" s="2"/>
      <c r="O305" s="475"/>
      <c r="P305" s="475"/>
      <c r="Q305" s="475"/>
      <c r="R305" s="476"/>
      <c r="S305" s="467"/>
      <c r="T305" s="468"/>
      <c r="U305" s="164"/>
      <c r="V305" s="164"/>
      <c r="W305" s="162"/>
      <c r="X305" s="162"/>
      <c r="Y305" s="162"/>
      <c r="Z305" s="162"/>
      <c r="AA305" s="164"/>
      <c r="AB305" s="164"/>
      <c r="AC305" s="164"/>
      <c r="AD305" s="164"/>
      <c r="AE305" s="164"/>
    </row>
    <row r="306" ht="15.75" customHeight="1">
      <c r="A306" s="164"/>
      <c r="B306" s="477"/>
      <c r="C306" s="478"/>
      <c r="D306" s="472"/>
      <c r="E306" s="473"/>
      <c r="F306" s="474"/>
      <c r="G306" s="164"/>
      <c r="H306" s="2"/>
      <c r="O306" s="475"/>
      <c r="P306" s="475"/>
      <c r="Q306" s="475"/>
      <c r="R306" s="476"/>
      <c r="S306" s="467"/>
      <c r="T306" s="468"/>
      <c r="U306" s="164"/>
      <c r="V306" s="164"/>
      <c r="W306" s="162"/>
      <c r="X306" s="162"/>
      <c r="Y306" s="162"/>
      <c r="Z306" s="162"/>
      <c r="AA306" s="164"/>
      <c r="AB306" s="164"/>
      <c r="AC306" s="164"/>
      <c r="AD306" s="164"/>
      <c r="AE306" s="164"/>
    </row>
    <row r="307" ht="15.75" customHeight="1">
      <c r="A307" s="164"/>
      <c r="B307" s="477"/>
      <c r="C307" s="478"/>
      <c r="D307" s="472"/>
      <c r="E307" s="473"/>
      <c r="F307" s="474"/>
      <c r="G307" s="164"/>
      <c r="H307" s="2"/>
      <c r="O307" s="475"/>
      <c r="P307" s="475"/>
      <c r="Q307" s="475"/>
      <c r="R307" s="476"/>
      <c r="S307" s="467"/>
      <c r="T307" s="468"/>
      <c r="U307" s="164"/>
      <c r="V307" s="164"/>
      <c r="W307" s="162"/>
      <c r="X307" s="162"/>
      <c r="Y307" s="162"/>
      <c r="Z307" s="162"/>
      <c r="AA307" s="164"/>
      <c r="AB307" s="164"/>
      <c r="AC307" s="164"/>
      <c r="AD307" s="164"/>
      <c r="AE307" s="164"/>
    </row>
    <row r="308" ht="15.75" customHeight="1">
      <c r="A308" s="164"/>
      <c r="B308" s="477"/>
      <c r="C308" s="478"/>
      <c r="D308" s="472"/>
      <c r="E308" s="473"/>
      <c r="F308" s="474"/>
      <c r="G308" s="164"/>
      <c r="H308" s="2"/>
      <c r="O308" s="475"/>
      <c r="P308" s="475"/>
      <c r="Q308" s="475"/>
      <c r="R308" s="476"/>
      <c r="S308" s="467"/>
      <c r="T308" s="468"/>
      <c r="U308" s="164"/>
      <c r="V308" s="164"/>
      <c r="W308" s="162"/>
      <c r="X308" s="162"/>
      <c r="Y308" s="162"/>
      <c r="Z308" s="162"/>
      <c r="AA308" s="164"/>
      <c r="AB308" s="164"/>
      <c r="AC308" s="164"/>
      <c r="AD308" s="164"/>
      <c r="AE308" s="164"/>
    </row>
    <row r="309" ht="15.75" customHeight="1">
      <c r="A309" s="164"/>
      <c r="B309" s="477"/>
      <c r="C309" s="478"/>
      <c r="D309" s="472"/>
      <c r="E309" s="473"/>
      <c r="F309" s="474"/>
      <c r="G309" s="164"/>
      <c r="H309" s="2"/>
      <c r="O309" s="475"/>
      <c r="P309" s="475"/>
      <c r="Q309" s="475"/>
      <c r="R309" s="476"/>
      <c r="S309" s="467"/>
      <c r="T309" s="468"/>
      <c r="U309" s="164"/>
      <c r="V309" s="164"/>
      <c r="W309" s="162"/>
      <c r="X309" s="162"/>
      <c r="Y309" s="162"/>
      <c r="Z309" s="162"/>
      <c r="AA309" s="164"/>
      <c r="AB309" s="164"/>
      <c r="AC309" s="164"/>
      <c r="AD309" s="164"/>
      <c r="AE309" s="164"/>
    </row>
    <row r="310" ht="15.75" customHeight="1">
      <c r="A310" s="164"/>
      <c r="B310" s="477"/>
      <c r="C310" s="478"/>
      <c r="D310" s="472"/>
      <c r="E310" s="473"/>
      <c r="F310" s="474"/>
      <c r="G310" s="164"/>
      <c r="H310" s="2"/>
      <c r="O310" s="475"/>
      <c r="P310" s="475"/>
      <c r="Q310" s="475"/>
      <c r="R310" s="476"/>
      <c r="S310" s="467"/>
      <c r="T310" s="468"/>
      <c r="U310" s="164"/>
      <c r="V310" s="164"/>
      <c r="W310" s="162"/>
      <c r="X310" s="162"/>
      <c r="Y310" s="162"/>
      <c r="Z310" s="162"/>
      <c r="AA310" s="164"/>
      <c r="AB310" s="164"/>
      <c r="AC310" s="164"/>
      <c r="AD310" s="164"/>
      <c r="AE310" s="164"/>
    </row>
    <row r="311" ht="15.75" customHeight="1">
      <c r="A311" s="164"/>
      <c r="B311" s="477"/>
      <c r="C311" s="478"/>
      <c r="D311" s="472"/>
      <c r="E311" s="473"/>
      <c r="F311" s="474"/>
      <c r="G311" s="164"/>
      <c r="H311" s="2"/>
      <c r="O311" s="475"/>
      <c r="P311" s="475"/>
      <c r="Q311" s="475"/>
      <c r="R311" s="476"/>
      <c r="S311" s="467"/>
      <c r="T311" s="468"/>
      <c r="U311" s="164"/>
      <c r="V311" s="164"/>
      <c r="W311" s="162"/>
      <c r="X311" s="162"/>
      <c r="Y311" s="162"/>
      <c r="Z311" s="162"/>
      <c r="AA311" s="164"/>
      <c r="AB311" s="164"/>
      <c r="AC311" s="164"/>
      <c r="AD311" s="164"/>
      <c r="AE311" s="164"/>
    </row>
    <row r="312" ht="15.75" customHeight="1">
      <c r="A312" s="164"/>
      <c r="B312" s="477"/>
      <c r="C312" s="478"/>
      <c r="D312" s="472"/>
      <c r="E312" s="473"/>
      <c r="F312" s="474"/>
      <c r="G312" s="164"/>
      <c r="H312" s="2"/>
      <c r="O312" s="475"/>
      <c r="P312" s="475"/>
      <c r="Q312" s="475"/>
      <c r="R312" s="476"/>
      <c r="S312" s="467"/>
      <c r="T312" s="468"/>
      <c r="U312" s="164"/>
      <c r="V312" s="164"/>
      <c r="W312" s="162"/>
      <c r="X312" s="162"/>
      <c r="Y312" s="162"/>
      <c r="Z312" s="162"/>
      <c r="AA312" s="164"/>
      <c r="AB312" s="164"/>
      <c r="AC312" s="164"/>
      <c r="AD312" s="164"/>
      <c r="AE312" s="164"/>
    </row>
    <row r="313" ht="15.75" customHeight="1">
      <c r="A313" s="164"/>
      <c r="B313" s="477"/>
      <c r="C313" s="478"/>
      <c r="D313" s="472"/>
      <c r="E313" s="473"/>
      <c r="F313" s="474"/>
      <c r="G313" s="164"/>
      <c r="H313" s="2"/>
      <c r="O313" s="475"/>
      <c r="P313" s="475"/>
      <c r="Q313" s="475"/>
      <c r="R313" s="476"/>
      <c r="S313" s="467"/>
      <c r="T313" s="468"/>
      <c r="U313" s="164"/>
      <c r="V313" s="164"/>
      <c r="W313" s="162"/>
      <c r="X313" s="162"/>
      <c r="Y313" s="162"/>
      <c r="Z313" s="162"/>
      <c r="AA313" s="164"/>
      <c r="AB313" s="164"/>
      <c r="AC313" s="164"/>
      <c r="AD313" s="164"/>
      <c r="AE313" s="164"/>
    </row>
    <row r="314" ht="15.75" customHeight="1">
      <c r="A314" s="164"/>
      <c r="B314" s="477"/>
      <c r="C314" s="478"/>
      <c r="D314" s="472"/>
      <c r="E314" s="473"/>
      <c r="F314" s="474"/>
      <c r="G314" s="164"/>
      <c r="H314" s="2"/>
      <c r="O314" s="475"/>
      <c r="P314" s="475"/>
      <c r="Q314" s="475"/>
      <c r="R314" s="476"/>
      <c r="S314" s="467"/>
      <c r="T314" s="468"/>
      <c r="U314" s="164"/>
      <c r="V314" s="164"/>
      <c r="W314" s="162"/>
      <c r="X314" s="162"/>
      <c r="Y314" s="162"/>
      <c r="Z314" s="162"/>
      <c r="AA314" s="164"/>
      <c r="AB314" s="164"/>
      <c r="AC314" s="164"/>
      <c r="AD314" s="164"/>
      <c r="AE314" s="164"/>
    </row>
    <row r="315" ht="15.75" customHeight="1">
      <c r="A315" s="164"/>
      <c r="B315" s="477"/>
      <c r="C315" s="478"/>
      <c r="D315" s="472"/>
      <c r="E315" s="473"/>
      <c r="F315" s="474"/>
      <c r="G315" s="164"/>
      <c r="H315" s="2"/>
      <c r="O315" s="475"/>
      <c r="P315" s="475"/>
      <c r="Q315" s="475"/>
      <c r="R315" s="476"/>
      <c r="S315" s="467"/>
      <c r="T315" s="468"/>
      <c r="U315" s="164"/>
      <c r="V315" s="164"/>
      <c r="W315" s="162"/>
      <c r="X315" s="162"/>
      <c r="Y315" s="162"/>
      <c r="Z315" s="162"/>
      <c r="AA315" s="164"/>
      <c r="AB315" s="164"/>
      <c r="AC315" s="164"/>
      <c r="AD315" s="164"/>
      <c r="AE315" s="164"/>
    </row>
    <row r="316" ht="15.75" customHeight="1">
      <c r="A316" s="164"/>
      <c r="B316" s="477"/>
      <c r="C316" s="478"/>
      <c r="D316" s="472"/>
      <c r="E316" s="473"/>
      <c r="F316" s="474"/>
      <c r="G316" s="164"/>
      <c r="H316" s="2"/>
      <c r="O316" s="475"/>
      <c r="P316" s="475"/>
      <c r="Q316" s="475"/>
      <c r="R316" s="476"/>
      <c r="S316" s="467"/>
      <c r="T316" s="468"/>
      <c r="U316" s="164"/>
      <c r="V316" s="164"/>
      <c r="W316" s="162"/>
      <c r="X316" s="162"/>
      <c r="Y316" s="162"/>
      <c r="Z316" s="162"/>
      <c r="AA316" s="164"/>
      <c r="AB316" s="164"/>
      <c r="AC316" s="164"/>
      <c r="AD316" s="164"/>
      <c r="AE316" s="164"/>
    </row>
    <row r="317" ht="15.75" customHeight="1">
      <c r="A317" s="164"/>
      <c r="B317" s="477"/>
      <c r="C317" s="478"/>
      <c r="D317" s="472"/>
      <c r="E317" s="473"/>
      <c r="F317" s="474"/>
      <c r="G317" s="164"/>
      <c r="H317" s="2"/>
      <c r="O317" s="475"/>
      <c r="P317" s="475"/>
      <c r="Q317" s="475"/>
      <c r="R317" s="476"/>
      <c r="S317" s="467"/>
      <c r="T317" s="468"/>
      <c r="U317" s="164"/>
      <c r="V317" s="164"/>
      <c r="W317" s="162"/>
      <c r="X317" s="162"/>
      <c r="Y317" s="162"/>
      <c r="Z317" s="162"/>
      <c r="AA317" s="164"/>
      <c r="AB317" s="164"/>
      <c r="AC317" s="164"/>
      <c r="AD317" s="164"/>
      <c r="AE317" s="164"/>
    </row>
    <row r="318" ht="15.75" customHeight="1">
      <c r="A318" s="164"/>
      <c r="B318" s="477"/>
      <c r="C318" s="478"/>
      <c r="D318" s="472"/>
      <c r="E318" s="473"/>
      <c r="F318" s="474"/>
      <c r="G318" s="164"/>
      <c r="H318" s="2"/>
      <c r="O318" s="475"/>
      <c r="P318" s="475"/>
      <c r="Q318" s="475"/>
      <c r="R318" s="476"/>
      <c r="S318" s="467"/>
      <c r="T318" s="468"/>
      <c r="U318" s="164"/>
      <c r="V318" s="164"/>
      <c r="W318" s="162"/>
      <c r="X318" s="162"/>
      <c r="Y318" s="162"/>
      <c r="Z318" s="162"/>
      <c r="AA318" s="164"/>
      <c r="AB318" s="164"/>
      <c r="AC318" s="164"/>
      <c r="AD318" s="164"/>
      <c r="AE318" s="164"/>
    </row>
    <row r="319" ht="15.75" customHeight="1">
      <c r="A319" s="164"/>
      <c r="B319" s="477"/>
      <c r="C319" s="478"/>
      <c r="D319" s="472"/>
      <c r="E319" s="473"/>
      <c r="F319" s="474"/>
      <c r="G319" s="164"/>
      <c r="H319" s="2"/>
      <c r="O319" s="475"/>
      <c r="P319" s="475"/>
      <c r="Q319" s="475"/>
      <c r="R319" s="476"/>
      <c r="S319" s="467"/>
      <c r="T319" s="468"/>
      <c r="U319" s="164"/>
      <c r="V319" s="164"/>
      <c r="W319" s="162"/>
      <c r="X319" s="162"/>
      <c r="Y319" s="162"/>
      <c r="Z319" s="162"/>
      <c r="AA319" s="164"/>
      <c r="AB319" s="164"/>
      <c r="AC319" s="164"/>
      <c r="AD319" s="164"/>
      <c r="AE319" s="164"/>
    </row>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A$1:$AE$119"/>
  <mergeCells count="32">
    <mergeCell ref="T20:T22"/>
    <mergeCell ref="Y20:Y22"/>
    <mergeCell ref="Z20:Z22"/>
    <mergeCell ref="I20:I22"/>
    <mergeCell ref="I23:I31"/>
    <mergeCell ref="F20:F22"/>
    <mergeCell ref="R20:R22"/>
    <mergeCell ref="S20:S22"/>
    <mergeCell ref="F23:F31"/>
    <mergeCell ref="R35:R37"/>
    <mergeCell ref="S35:S37"/>
    <mergeCell ref="T35:T37"/>
    <mergeCell ref="U35:U37"/>
    <mergeCell ref="V35:V37"/>
    <mergeCell ref="W35:W37"/>
    <mergeCell ref="R49:R50"/>
    <mergeCell ref="S57:S58"/>
    <mergeCell ref="T57:T58"/>
    <mergeCell ref="R97:R117"/>
    <mergeCell ref="S97:S117"/>
    <mergeCell ref="U57:U58"/>
    <mergeCell ref="V57:V58"/>
    <mergeCell ref="V59:V60"/>
    <mergeCell ref="W59:W60"/>
    <mergeCell ref="R54:R55"/>
    <mergeCell ref="S54:S55"/>
    <mergeCell ref="T54:T55"/>
    <mergeCell ref="U54:U55"/>
    <mergeCell ref="V54:V55"/>
    <mergeCell ref="W54:W55"/>
    <mergeCell ref="R57:R58"/>
    <mergeCell ref="W57:W58"/>
  </mergeCells>
  <dataValidations>
    <dataValidation type="list" allowBlank="1" showErrorMessage="1" sqref="D2:D119">
      <formula1>"Студия,1+1,1+2,Дом,Студия/твин"</formula1>
    </dataValidation>
    <dataValidation type="list" allowBlank="1" showErrorMessage="1" sqref="E2:E119">
      <formula1>"70/30,80/20,Лето,90/10"</formula1>
    </dataValidation>
  </dataValidations>
  <hyperlinks>
    <hyperlink r:id="rId1" ref="G2"/>
    <hyperlink r:id="rId2" ref="H2"/>
    <hyperlink r:id="rId3" ref="I2"/>
    <hyperlink r:id="rId4" ref="J2"/>
    <hyperlink r:id="rId5" ref="K2"/>
    <hyperlink r:id="rId6" ref="G3"/>
    <hyperlink r:id="rId7" ref="H3"/>
    <hyperlink r:id="rId8" ref="I3"/>
    <hyperlink r:id="rId9" ref="J3"/>
    <hyperlink r:id="rId10" ref="K3"/>
    <hyperlink r:id="rId11" ref="G4"/>
    <hyperlink r:id="rId12" ref="H4"/>
    <hyperlink r:id="rId13" ref="I4"/>
    <hyperlink r:id="rId14" ref="J4"/>
    <hyperlink r:id="rId15" ref="K4"/>
    <hyperlink r:id="rId16" ref="G5"/>
    <hyperlink r:id="rId17" ref="H5"/>
    <hyperlink r:id="rId18" ref="I5"/>
    <hyperlink r:id="rId19" ref="J5"/>
    <hyperlink r:id="rId20" ref="K5"/>
    <hyperlink r:id="rId21" location="gid=547159473" ref="F6"/>
    <hyperlink r:id="rId22" ref="G6"/>
    <hyperlink r:id="rId23" ref="H6"/>
    <hyperlink r:id="rId24" ref="I6"/>
    <hyperlink r:id="rId25" ref="G7"/>
    <hyperlink r:id="rId26" ref="H7"/>
    <hyperlink r:id="rId27" ref="I7"/>
    <hyperlink r:id="rId28" ref="J7"/>
    <hyperlink r:id="rId29" ref="K7"/>
    <hyperlink r:id="rId30" ref="G8"/>
    <hyperlink r:id="rId31" ref="H8"/>
    <hyperlink r:id="rId32" ref="I8"/>
    <hyperlink r:id="rId33" ref="J8"/>
    <hyperlink r:id="rId34" ref="K8"/>
    <hyperlink r:id="rId35" ref="G9"/>
    <hyperlink r:id="rId36" ref="H9"/>
    <hyperlink r:id="rId37" ref="I9"/>
    <hyperlink r:id="rId38" ref="J9"/>
    <hyperlink r:id="rId39" ref="K9"/>
    <hyperlink r:id="rId40" ref="G10"/>
    <hyperlink r:id="rId41" ref="H10"/>
    <hyperlink r:id="rId42" ref="I10"/>
    <hyperlink r:id="rId43" ref="J10"/>
    <hyperlink r:id="rId44" ref="K10"/>
    <hyperlink r:id="rId45" ref="G11"/>
    <hyperlink r:id="rId46" ref="H11"/>
    <hyperlink r:id="rId47" ref="I11"/>
    <hyperlink r:id="rId48" ref="J11"/>
    <hyperlink r:id="rId49" ref="K11"/>
    <hyperlink r:id="rId50" ref="G12"/>
    <hyperlink r:id="rId51" ref="H12"/>
    <hyperlink r:id="rId52" ref="I12"/>
    <hyperlink r:id="rId53" ref="J12"/>
    <hyperlink r:id="rId54" ref="K12"/>
    <hyperlink r:id="rId55" ref="G13"/>
    <hyperlink r:id="rId56" ref="H13"/>
    <hyperlink r:id="rId57" ref="I13"/>
    <hyperlink r:id="rId58" ref="J13"/>
    <hyperlink r:id="rId59" ref="G14"/>
    <hyperlink r:id="rId60" ref="H14"/>
    <hyperlink r:id="rId61" ref="I14"/>
    <hyperlink r:id="rId62" ref="J14"/>
    <hyperlink r:id="rId63" ref="F15"/>
    <hyperlink r:id="rId64" ref="G15"/>
    <hyperlink r:id="rId65" ref="H15"/>
    <hyperlink r:id="rId66" ref="I15"/>
    <hyperlink r:id="rId67" ref="J15"/>
    <hyperlink r:id="rId68" ref="G16"/>
    <hyperlink r:id="rId69" ref="H16"/>
    <hyperlink r:id="rId70" ref="I16"/>
    <hyperlink r:id="rId71" ref="J16"/>
    <hyperlink r:id="rId72" ref="K16"/>
    <hyperlink r:id="rId73" ref="F17"/>
    <hyperlink r:id="rId74" ref="G17"/>
    <hyperlink r:id="rId75" ref="H17"/>
    <hyperlink r:id="rId76" ref="I17"/>
    <hyperlink r:id="rId77" ref="J17"/>
    <hyperlink r:id="rId78" ref="G18"/>
    <hyperlink r:id="rId79" ref="H18"/>
    <hyperlink r:id="rId80" ref="I18"/>
    <hyperlink r:id="rId81" ref="J18"/>
    <hyperlink r:id="rId82" ref="F19"/>
    <hyperlink r:id="rId83" ref="G19"/>
    <hyperlink r:id="rId84" ref="H19"/>
    <hyperlink r:id="rId85" ref="J19"/>
    <hyperlink r:id="rId86" ref="F20"/>
    <hyperlink r:id="rId87" ref="G20"/>
    <hyperlink r:id="rId88" ref="H20"/>
    <hyperlink r:id="rId89" ref="I20"/>
    <hyperlink r:id="rId90" ref="J20"/>
    <hyperlink r:id="rId91" ref="G21"/>
    <hyperlink r:id="rId92" ref="H21"/>
    <hyperlink r:id="rId93" ref="J21"/>
    <hyperlink r:id="rId94" ref="G22"/>
    <hyperlink r:id="rId95" ref="H22"/>
    <hyperlink r:id="rId96" location="gid=0" ref="F23"/>
    <hyperlink r:id="rId97" ref="G23"/>
    <hyperlink r:id="rId98" ref="H23"/>
    <hyperlink r:id="rId99" ref="I23"/>
    <hyperlink r:id="rId100" ref="J23"/>
    <hyperlink r:id="rId101" ref="G24"/>
    <hyperlink r:id="rId102" ref="H24"/>
    <hyperlink r:id="rId103" ref="J24"/>
    <hyperlink r:id="rId104" ref="G25"/>
    <hyperlink r:id="rId105" ref="H25"/>
    <hyperlink r:id="rId106" ref="J25"/>
    <hyperlink r:id="rId107" ref="G26"/>
    <hyperlink r:id="rId108" ref="H26"/>
    <hyperlink r:id="rId109" ref="J26"/>
    <hyperlink r:id="rId110" ref="G27"/>
    <hyperlink r:id="rId111" ref="H27"/>
    <hyperlink r:id="rId112" ref="J27"/>
    <hyperlink r:id="rId113" ref="G28"/>
    <hyperlink r:id="rId114" ref="H28"/>
    <hyperlink r:id="rId115" ref="J28"/>
    <hyperlink r:id="rId116" ref="G29"/>
    <hyperlink r:id="rId117" ref="H29"/>
    <hyperlink r:id="rId118" ref="J29"/>
    <hyperlink r:id="rId119" ref="G30"/>
    <hyperlink r:id="rId120" ref="H30"/>
    <hyperlink r:id="rId121" ref="J30"/>
    <hyperlink r:id="rId122" ref="G31"/>
    <hyperlink r:id="rId123" ref="H31"/>
    <hyperlink r:id="rId124" ref="J31"/>
    <hyperlink r:id="rId125" ref="F32"/>
    <hyperlink r:id="rId126" ref="G32"/>
    <hyperlink r:id="rId127" ref="H32"/>
    <hyperlink r:id="rId128" ref="J32"/>
    <hyperlink r:id="rId129" ref="F33"/>
    <hyperlink r:id="rId130" ref="G33"/>
    <hyperlink r:id="rId131" ref="H33"/>
    <hyperlink r:id="rId132" ref="G34"/>
    <hyperlink r:id="rId133" ref="H34"/>
    <hyperlink r:id="rId134" ref="K34"/>
    <hyperlink r:id="rId135" ref="G35"/>
    <hyperlink r:id="rId136" ref="H35"/>
    <hyperlink r:id="rId137" ref="J35"/>
    <hyperlink r:id="rId138" ref="G36"/>
    <hyperlink r:id="rId139" ref="G37"/>
    <hyperlink r:id="rId140" ref="J37"/>
    <hyperlink r:id="rId141" location="gid=0" ref="F38"/>
    <hyperlink r:id="rId142" ref="G38"/>
    <hyperlink r:id="rId143" ref="H38"/>
    <hyperlink r:id="rId144" ref="I38"/>
    <hyperlink r:id="rId145" ref="J38"/>
    <hyperlink r:id="rId146" ref="K38"/>
    <hyperlink r:id="rId147" location="gid=0" ref="F39"/>
    <hyperlink r:id="rId148" ref="G39"/>
    <hyperlink r:id="rId149" ref="H39"/>
    <hyperlink r:id="rId150" ref="I39"/>
    <hyperlink r:id="rId151" ref="J39"/>
    <hyperlink r:id="rId152" ref="K39"/>
    <hyperlink r:id="rId153" location="gid=0" ref="F40"/>
    <hyperlink r:id="rId154" ref="G40"/>
    <hyperlink r:id="rId155" ref="H40"/>
    <hyperlink r:id="rId156" ref="I40"/>
    <hyperlink r:id="rId157" ref="J40"/>
    <hyperlink r:id="rId158" location="gid=0" ref="F41"/>
    <hyperlink r:id="rId159" ref="G41"/>
    <hyperlink r:id="rId160" ref="H41"/>
    <hyperlink r:id="rId161" ref="I41"/>
    <hyperlink r:id="rId162" ref="J41"/>
    <hyperlink r:id="rId163" ref="K41"/>
    <hyperlink r:id="rId164" ref="G42"/>
    <hyperlink r:id="rId165" ref="H42"/>
    <hyperlink r:id="rId166" ref="I42"/>
    <hyperlink r:id="rId167" ref="J42"/>
    <hyperlink r:id="rId168" location="gid=0" ref="F43"/>
    <hyperlink r:id="rId169" ref="G43"/>
    <hyperlink r:id="rId170" ref="H43"/>
    <hyperlink r:id="rId171" ref="I43"/>
    <hyperlink r:id="rId172" ref="J43"/>
    <hyperlink r:id="rId173" ref="K43"/>
    <hyperlink r:id="rId174" location="gid=0" ref="F44"/>
    <hyperlink r:id="rId175" ref="G44"/>
    <hyperlink r:id="rId176" ref="H44"/>
    <hyperlink r:id="rId177" ref="I44"/>
    <hyperlink r:id="rId178" ref="J44"/>
    <hyperlink r:id="rId179" ref="K44"/>
    <hyperlink r:id="rId180" location="gid=0" ref="F45"/>
    <hyperlink r:id="rId181" ref="G45"/>
    <hyperlink r:id="rId182" ref="H45"/>
    <hyperlink r:id="rId183" ref="I45"/>
    <hyperlink r:id="rId184" ref="J45"/>
    <hyperlink r:id="rId185" ref="F46"/>
    <hyperlink r:id="rId186" ref="G46"/>
    <hyperlink r:id="rId187" ref="H46"/>
    <hyperlink r:id="rId188" ref="I46"/>
    <hyperlink r:id="rId189" ref="J46"/>
    <hyperlink r:id="rId190" ref="F48"/>
    <hyperlink r:id="rId191" ref="G48"/>
    <hyperlink r:id="rId192" ref="H48"/>
    <hyperlink r:id="rId193" ref="I48"/>
    <hyperlink r:id="rId194" ref="J48"/>
    <hyperlink r:id="rId195" location="gid=0" ref="F49"/>
    <hyperlink r:id="rId196" ref="G49"/>
    <hyperlink r:id="rId197" ref="H49"/>
    <hyperlink r:id="rId198" ref="J49"/>
    <hyperlink r:id="rId199" ref="K49"/>
    <hyperlink r:id="rId200" location="gid=0" ref="F50"/>
    <hyperlink r:id="rId201" ref="G50"/>
    <hyperlink r:id="rId202" ref="H50"/>
    <hyperlink r:id="rId203" ref="J50"/>
    <hyperlink r:id="rId204" location="gid=0" ref="F51"/>
    <hyperlink r:id="rId205" ref="G51"/>
    <hyperlink r:id="rId206" ref="H51"/>
    <hyperlink r:id="rId207" ref="J51"/>
    <hyperlink r:id="rId208" ref="K51"/>
    <hyperlink r:id="rId209" ref="F52"/>
    <hyperlink r:id="rId210" ref="G52"/>
    <hyperlink r:id="rId211" ref="H52"/>
    <hyperlink r:id="rId212" ref="J52"/>
    <hyperlink r:id="rId213" ref="F53"/>
    <hyperlink r:id="rId214" ref="G53"/>
    <hyperlink r:id="rId215" ref="H53"/>
    <hyperlink r:id="rId216" ref="J53"/>
    <hyperlink r:id="rId217" ref="F54"/>
    <hyperlink r:id="rId218" ref="G54"/>
    <hyperlink r:id="rId219" ref="H54"/>
    <hyperlink r:id="rId220" ref="J54"/>
    <hyperlink r:id="rId221" ref="F55"/>
    <hyperlink r:id="rId222" ref="G55"/>
    <hyperlink r:id="rId223" ref="H55"/>
    <hyperlink r:id="rId224" ref="J55"/>
    <hyperlink r:id="rId225" ref="F56"/>
    <hyperlink r:id="rId226" ref="G56"/>
    <hyperlink r:id="rId227" location="gid=0" ref="F57"/>
    <hyperlink r:id="rId228" ref="G57"/>
    <hyperlink r:id="rId229" ref="H57"/>
    <hyperlink r:id="rId230" ref="J57"/>
    <hyperlink r:id="rId231" location="gid=0" ref="F58"/>
    <hyperlink r:id="rId232" ref="G58"/>
    <hyperlink r:id="rId233" ref="H58"/>
    <hyperlink r:id="rId234" ref="J58"/>
    <hyperlink r:id="rId235" ref="F59"/>
    <hyperlink r:id="rId236" ref="G59"/>
    <hyperlink r:id="rId237" ref="H59"/>
    <hyperlink r:id="rId238" ref="J59"/>
    <hyperlink r:id="rId239" ref="F60"/>
    <hyperlink r:id="rId240" ref="G60"/>
    <hyperlink r:id="rId241" ref="H60"/>
    <hyperlink r:id="rId242" ref="J60"/>
    <hyperlink r:id="rId243" ref="F61"/>
    <hyperlink r:id="rId244" ref="G61"/>
    <hyperlink r:id="rId245" ref="H61"/>
    <hyperlink r:id="rId246" ref="J61"/>
    <hyperlink r:id="rId247" ref="F62"/>
    <hyperlink r:id="rId248" ref="G62"/>
    <hyperlink r:id="rId249" ref="H62"/>
    <hyperlink r:id="rId250" ref="I62"/>
    <hyperlink r:id="rId251" ref="F63"/>
    <hyperlink r:id="rId252" ref="G63"/>
    <hyperlink r:id="rId253" ref="H63"/>
    <hyperlink r:id="rId254" ref="I63"/>
    <hyperlink r:id="rId255" ref="J63"/>
    <hyperlink r:id="rId256" ref="F64"/>
    <hyperlink r:id="rId257" ref="G64"/>
    <hyperlink r:id="rId258" ref="H64"/>
    <hyperlink r:id="rId259" ref="I64"/>
    <hyperlink r:id="rId260" ref="J64"/>
    <hyperlink r:id="rId261" ref="F65"/>
    <hyperlink r:id="rId262" ref="G65"/>
    <hyperlink r:id="rId263" ref="H65"/>
    <hyperlink r:id="rId264" ref="I65"/>
    <hyperlink r:id="rId265" ref="J65"/>
    <hyperlink r:id="rId266" ref="F66"/>
    <hyperlink r:id="rId267" ref="G66"/>
    <hyperlink r:id="rId268" ref="H66"/>
    <hyperlink r:id="rId269" ref="I66"/>
    <hyperlink r:id="rId270" ref="J66"/>
    <hyperlink r:id="rId271" ref="F67"/>
    <hyperlink r:id="rId272" ref="G67"/>
    <hyperlink r:id="rId273" ref="F68"/>
    <hyperlink r:id="rId274" ref="G68"/>
    <hyperlink r:id="rId275" ref="H68"/>
    <hyperlink r:id="rId276" ref="J68"/>
    <hyperlink r:id="rId277" ref="K68"/>
    <hyperlink r:id="rId278" ref="F69"/>
    <hyperlink r:id="rId279" ref="G69"/>
    <hyperlink r:id="rId280" ref="H69"/>
    <hyperlink r:id="rId281" ref="J69"/>
    <hyperlink r:id="rId282" ref="G70"/>
    <hyperlink r:id="rId283" ref="H70"/>
    <hyperlink r:id="rId284" ref="J70"/>
    <hyperlink r:id="rId285" ref="K70"/>
    <hyperlink r:id="rId286" ref="F72"/>
    <hyperlink r:id="rId287" ref="G72"/>
    <hyperlink r:id="rId288" ref="H72"/>
    <hyperlink r:id="rId289" ref="J72"/>
    <hyperlink r:id="rId290" ref="F73"/>
    <hyperlink r:id="rId291" ref="G73"/>
    <hyperlink r:id="rId292" ref="H73"/>
    <hyperlink r:id="rId293" ref="I73"/>
    <hyperlink r:id="rId294" ref="F74"/>
    <hyperlink r:id="rId295" ref="H74"/>
    <hyperlink r:id="rId296" ref="F75"/>
    <hyperlink r:id="rId297" location="gid=415745973" ref="F76"/>
    <hyperlink r:id="rId298" ref="G76"/>
    <hyperlink r:id="rId299" ref="H76"/>
    <hyperlink r:id="rId300" ref="I76"/>
    <hyperlink r:id="rId301" ref="J76"/>
    <hyperlink r:id="rId302" location="gid=415745973" ref="F77"/>
    <hyperlink r:id="rId303" ref="G77"/>
    <hyperlink r:id="rId304" ref="H77"/>
    <hyperlink r:id="rId305" ref="I77"/>
    <hyperlink r:id="rId306" ref="J77"/>
    <hyperlink r:id="rId307" location="gid=415745973" ref="F78"/>
    <hyperlink r:id="rId308" ref="G78"/>
    <hyperlink r:id="rId309" ref="H78"/>
    <hyperlink r:id="rId310" ref="I78"/>
    <hyperlink r:id="rId311" ref="J78"/>
    <hyperlink r:id="rId312" ref="F79"/>
    <hyperlink r:id="rId313" ref="G79"/>
    <hyperlink r:id="rId314" ref="H79"/>
    <hyperlink r:id="rId315" ref="I79"/>
    <hyperlink r:id="rId316" ref="J79"/>
    <hyperlink r:id="rId317" location="gid=415745973" ref="F80"/>
    <hyperlink r:id="rId318" ref="G80"/>
    <hyperlink r:id="rId319" ref="H80"/>
    <hyperlink r:id="rId320" ref="I80"/>
    <hyperlink r:id="rId321" location="gid=415745973" ref="F81"/>
    <hyperlink r:id="rId322" ref="G81"/>
    <hyperlink r:id="rId323" ref="H81"/>
    <hyperlink r:id="rId324" ref="I81"/>
    <hyperlink r:id="rId325" location="gid=415745973" ref="F82"/>
    <hyperlink r:id="rId326" ref="G82"/>
    <hyperlink r:id="rId327" ref="H82"/>
    <hyperlink r:id="rId328" ref="I82"/>
    <hyperlink r:id="rId329" ref="J82"/>
    <hyperlink r:id="rId330" location="gid=415745973" ref="F83"/>
    <hyperlink r:id="rId331" ref="G83"/>
    <hyperlink r:id="rId332" ref="H83"/>
    <hyperlink r:id="rId333" ref="I83"/>
    <hyperlink r:id="rId334" location="gid=415745973" ref="F84"/>
    <hyperlink r:id="rId335" ref="G84"/>
    <hyperlink r:id="rId336" ref="H84"/>
    <hyperlink r:id="rId337" ref="I84"/>
    <hyperlink r:id="rId338" location="gid=415745973" ref="F85"/>
    <hyperlink r:id="rId339" ref="G85"/>
    <hyperlink r:id="rId340" ref="H85"/>
    <hyperlink r:id="rId341" ref="I85"/>
    <hyperlink r:id="rId342" location="gid=415745973" ref="F86"/>
    <hyperlink r:id="rId343" ref="G86"/>
    <hyperlink r:id="rId344" ref="H86"/>
    <hyperlink r:id="rId345" ref="I86"/>
    <hyperlink r:id="rId346" ref="J86"/>
    <hyperlink r:id="rId347" ref="F87"/>
    <hyperlink r:id="rId348" ref="G87"/>
    <hyperlink r:id="rId349" ref="H87"/>
    <hyperlink r:id="rId350" ref="G88"/>
    <hyperlink r:id="rId351" ref="H88"/>
    <hyperlink r:id="rId352" ref="I88"/>
    <hyperlink r:id="rId353" ref="G89"/>
    <hyperlink r:id="rId354" ref="H89"/>
    <hyperlink r:id="rId355" ref="I89"/>
    <hyperlink r:id="rId356" ref="F90"/>
    <hyperlink r:id="rId357" ref="G90"/>
    <hyperlink r:id="rId358" ref="H90"/>
    <hyperlink r:id="rId359" ref="I90"/>
    <hyperlink r:id="rId360" ref="J90"/>
    <hyperlink r:id="rId361" ref="F91"/>
    <hyperlink r:id="rId362" ref="G91"/>
    <hyperlink r:id="rId363" ref="G92"/>
    <hyperlink r:id="rId364" ref="H92"/>
    <hyperlink r:id="rId365" ref="G93"/>
    <hyperlink r:id="rId366" ref="H93"/>
    <hyperlink r:id="rId367" location="gid=0" ref="F94"/>
    <hyperlink r:id="rId368" ref="G94"/>
    <hyperlink r:id="rId369" ref="H94"/>
    <hyperlink r:id="rId370" ref="F95"/>
    <hyperlink r:id="rId371" ref="G95"/>
    <hyperlink r:id="rId372" ref="F96"/>
    <hyperlink r:id="rId373" ref="G96"/>
    <hyperlink r:id="rId374" ref="F97"/>
    <hyperlink r:id="rId375" ref="G97"/>
    <hyperlink r:id="rId376" ref="H97"/>
    <hyperlink r:id="rId377" ref="I97"/>
    <hyperlink r:id="rId378" ref="J97"/>
    <hyperlink r:id="rId379" ref="G98"/>
    <hyperlink r:id="rId380" ref="H98"/>
    <hyperlink r:id="rId381" ref="I98"/>
    <hyperlink r:id="rId382" ref="J98"/>
    <hyperlink r:id="rId383" ref="G99"/>
    <hyperlink r:id="rId384" ref="H99"/>
    <hyperlink r:id="rId385" ref="I99"/>
    <hyperlink r:id="rId386" ref="J99"/>
    <hyperlink r:id="rId387" ref="G100"/>
    <hyperlink r:id="rId388" ref="H100"/>
    <hyperlink r:id="rId389" ref="I100"/>
    <hyperlink r:id="rId390" ref="J100"/>
    <hyperlink r:id="rId391" ref="G101"/>
    <hyperlink r:id="rId392" ref="H101"/>
    <hyperlink r:id="rId393" ref="I101"/>
    <hyperlink r:id="rId394" ref="J101"/>
    <hyperlink r:id="rId395" ref="G102"/>
    <hyperlink r:id="rId396" ref="H102"/>
    <hyperlink r:id="rId397" ref="I102"/>
    <hyperlink r:id="rId398" ref="J102"/>
    <hyperlink r:id="rId399" ref="G103"/>
    <hyperlink r:id="rId400" ref="H103"/>
    <hyperlink r:id="rId401" ref="I103"/>
    <hyperlink r:id="rId402" ref="J103"/>
    <hyperlink r:id="rId403" ref="G104"/>
    <hyperlink r:id="rId404" ref="H104"/>
    <hyperlink r:id="rId405" ref="I104"/>
    <hyperlink r:id="rId406" ref="J104"/>
    <hyperlink r:id="rId407" ref="G105"/>
    <hyperlink r:id="rId408" ref="H105"/>
    <hyperlink r:id="rId409" ref="I105"/>
    <hyperlink r:id="rId410" ref="J105"/>
    <hyperlink r:id="rId411" ref="G106"/>
    <hyperlink r:id="rId412" ref="H106"/>
    <hyperlink r:id="rId413" ref="I106"/>
    <hyperlink r:id="rId414" ref="J106"/>
    <hyperlink r:id="rId415" ref="F107"/>
    <hyperlink r:id="rId416" ref="G107"/>
    <hyperlink r:id="rId417" ref="H107"/>
    <hyperlink r:id="rId418" ref="I107"/>
    <hyperlink r:id="rId419" ref="J107"/>
    <hyperlink r:id="rId420" ref="G108"/>
    <hyperlink r:id="rId421" ref="H108"/>
    <hyperlink r:id="rId422" ref="I108"/>
    <hyperlink r:id="rId423" ref="J108"/>
    <hyperlink r:id="rId424" ref="G109"/>
    <hyperlink r:id="rId425" ref="H109"/>
    <hyperlink r:id="rId426" ref="I109"/>
    <hyperlink r:id="rId427" ref="J109"/>
    <hyperlink r:id="rId428" ref="G110"/>
    <hyperlink r:id="rId429" ref="H110"/>
    <hyperlink r:id="rId430" ref="I110"/>
    <hyperlink r:id="rId431" ref="J110"/>
    <hyperlink r:id="rId432" ref="G111"/>
    <hyperlink r:id="rId433" ref="H111"/>
    <hyperlink r:id="rId434" ref="I111"/>
    <hyperlink r:id="rId435" ref="J111"/>
    <hyperlink r:id="rId436" ref="G112"/>
    <hyperlink r:id="rId437" ref="H112"/>
    <hyperlink r:id="rId438" ref="I112"/>
    <hyperlink r:id="rId439" ref="J112"/>
    <hyperlink r:id="rId440" ref="G113"/>
    <hyperlink r:id="rId441" ref="H113"/>
    <hyperlink r:id="rId442" ref="I113"/>
    <hyperlink r:id="rId443" ref="J113"/>
    <hyperlink r:id="rId444" ref="G114"/>
    <hyperlink r:id="rId445" ref="H114"/>
    <hyperlink r:id="rId446" ref="I114"/>
    <hyperlink r:id="rId447" ref="J114"/>
    <hyperlink r:id="rId448" ref="G115"/>
    <hyperlink r:id="rId449" ref="H115"/>
    <hyperlink r:id="rId450" ref="I115"/>
    <hyperlink r:id="rId451" ref="J115"/>
    <hyperlink r:id="rId452" ref="G116"/>
    <hyperlink r:id="rId453" ref="H116"/>
    <hyperlink r:id="rId454" ref="I116"/>
    <hyperlink r:id="rId455" ref="J116"/>
    <hyperlink r:id="rId456" ref="G117"/>
    <hyperlink r:id="rId457" ref="H117"/>
    <hyperlink r:id="rId458" ref="I117"/>
    <hyperlink r:id="rId459" ref="J117"/>
    <hyperlink r:id="rId460" ref="G118"/>
    <hyperlink r:id="rId461" ref="I118"/>
    <hyperlink r:id="rId462" ref="G119"/>
  </hyperlinks>
  <drawing r:id="rId46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0"/>
  <cols>
    <col customWidth="1" min="1" max="1" width="3.25"/>
    <col customWidth="1" min="2" max="2" width="6.13"/>
    <col customWidth="1" min="3" max="3" width="7.5"/>
    <col customWidth="1" min="4" max="4" width="5.88"/>
    <col customWidth="1" min="5" max="5" width="5.63"/>
    <col customWidth="1" min="6" max="6" width="4.75"/>
    <col customWidth="1" min="7" max="7" width="6.38"/>
    <col customWidth="1" min="8" max="8" width="6.63"/>
    <col customWidth="1" min="9" max="9" width="5.63"/>
    <col customWidth="1" min="10" max="10" width="11.63"/>
    <col customWidth="1" min="11" max="11" width="4.88"/>
    <col customWidth="1" min="12" max="13" width="5.88"/>
    <col customWidth="1" min="14" max="14" width="8.0"/>
    <col customWidth="1" min="15" max="15" width="6.5"/>
    <col customWidth="1" min="16" max="16" width="7.13"/>
    <col customWidth="1" min="17" max="20" width="5.13"/>
    <col customWidth="1" min="21" max="21" width="5.63"/>
    <col customWidth="1" min="22" max="22" width="7.0"/>
    <col customWidth="1" min="23" max="23" width="6.88"/>
    <col customWidth="1" hidden="1" min="24" max="26" width="6.88"/>
    <col customWidth="1" hidden="1" min="27" max="27" width="9.25"/>
    <col customWidth="1" hidden="1" min="28" max="28" width="8.75"/>
    <col customWidth="1" min="29" max="29" width="10.0"/>
    <col customWidth="1" min="30" max="30" width="9.38"/>
    <col customWidth="1" min="31" max="31" width="11.25"/>
    <col customWidth="1" min="33" max="33" width="7.13"/>
    <col customWidth="1" min="34" max="34" width="9.75"/>
  </cols>
  <sheetData>
    <row r="1" ht="27.75" customHeight="1">
      <c r="A1" s="480"/>
      <c r="B1" s="481" t="s">
        <v>902</v>
      </c>
      <c r="C1" s="482" t="s">
        <v>903</v>
      </c>
      <c r="D1" s="482" t="s">
        <v>303</v>
      </c>
      <c r="E1" s="483" t="s">
        <v>904</v>
      </c>
      <c r="F1" s="483" t="s">
        <v>905</v>
      </c>
      <c r="G1" s="484" t="s">
        <v>906</v>
      </c>
      <c r="H1" s="485" t="s">
        <v>907</v>
      </c>
      <c r="I1" s="486" t="s">
        <v>908</v>
      </c>
      <c r="J1" s="487" t="s">
        <v>909</v>
      </c>
      <c r="K1" s="487" t="s">
        <v>910</v>
      </c>
      <c r="L1" s="488" t="s">
        <v>911</v>
      </c>
      <c r="M1" s="489" t="s">
        <v>912</v>
      </c>
      <c r="N1" s="490" t="s">
        <v>913</v>
      </c>
      <c r="O1" s="491" t="s">
        <v>914</v>
      </c>
      <c r="P1" s="492" t="s">
        <v>915</v>
      </c>
      <c r="Q1" s="492" t="s">
        <v>916</v>
      </c>
      <c r="R1" s="492" t="s">
        <v>915</v>
      </c>
      <c r="S1" s="492" t="s">
        <v>917</v>
      </c>
      <c r="T1" s="492" t="s">
        <v>918</v>
      </c>
      <c r="U1" s="493" t="s">
        <v>919</v>
      </c>
      <c r="V1" s="494" t="s">
        <v>920</v>
      </c>
      <c r="W1" s="495" t="s">
        <v>921</v>
      </c>
      <c r="X1" s="496" t="s">
        <v>922</v>
      </c>
      <c r="Y1" s="496" t="s">
        <v>923</v>
      </c>
      <c r="Z1" s="497" t="s">
        <v>311</v>
      </c>
      <c r="AA1" s="498" t="s">
        <v>924</v>
      </c>
      <c r="AB1" s="498" t="s">
        <v>925</v>
      </c>
      <c r="AC1" s="499" t="s">
        <v>926</v>
      </c>
      <c r="AD1" s="500" t="s">
        <v>927</v>
      </c>
      <c r="AE1" s="501" t="s">
        <v>928</v>
      </c>
      <c r="AF1" s="502"/>
      <c r="AG1" s="491" t="s">
        <v>929</v>
      </c>
      <c r="AH1" s="503" t="s">
        <v>930</v>
      </c>
      <c r="AI1" s="504"/>
      <c r="AJ1" s="504"/>
      <c r="AK1" s="504"/>
      <c r="AL1" s="504"/>
      <c r="AM1" s="504"/>
      <c r="AN1" s="504"/>
      <c r="AO1" s="504"/>
      <c r="AP1" s="504"/>
      <c r="AQ1" s="504"/>
    </row>
    <row r="2" ht="15.75" hidden="1" customHeight="1">
      <c r="A2" s="505"/>
      <c r="B2" s="506" t="str">
        <f>#REF!</f>
        <v>#REF!</v>
      </c>
      <c r="C2" s="507"/>
      <c r="D2" s="508" t="str">
        <f>'1. Справочник'!C13</f>
        <v>WS A805</v>
      </c>
      <c r="E2" s="509"/>
      <c r="F2" s="510" t="str">
        <f>'1. Справочник'!F87</f>
        <v>Студия</v>
      </c>
      <c r="G2" s="511"/>
      <c r="H2" s="511"/>
      <c r="I2" s="512"/>
      <c r="J2" s="513"/>
      <c r="K2" s="514">
        <v>7.0</v>
      </c>
      <c r="L2" s="515" t="b">
        <v>1</v>
      </c>
      <c r="M2" s="515" t="b">
        <v>1</v>
      </c>
      <c r="N2" s="516" t="b">
        <v>1</v>
      </c>
      <c r="O2" s="517" t="b">
        <v>0</v>
      </c>
      <c r="P2" s="515" t="b">
        <v>0</v>
      </c>
      <c r="Q2" s="517" t="b">
        <v>0</v>
      </c>
      <c r="R2" s="517" t="b">
        <v>0</v>
      </c>
      <c r="S2" s="517" t="b">
        <v>1</v>
      </c>
      <c r="T2" s="517" t="b">
        <v>1</v>
      </c>
      <c r="U2" s="517" t="b">
        <v>1</v>
      </c>
      <c r="V2" s="518" t="b">
        <v>0</v>
      </c>
      <c r="W2" s="519" t="b">
        <v>1</v>
      </c>
      <c r="X2" s="519" t="b">
        <v>1</v>
      </c>
      <c r="Y2" s="519" t="b">
        <v>1</v>
      </c>
      <c r="Z2" s="520" t="b">
        <v>0</v>
      </c>
      <c r="AA2" s="521" t="b">
        <v>1</v>
      </c>
      <c r="AB2" s="521" t="b">
        <v>1</v>
      </c>
      <c r="AC2" s="521" t="b">
        <v>1</v>
      </c>
      <c r="AD2" s="513"/>
      <c r="AE2" s="513"/>
      <c r="AF2" s="522"/>
      <c r="AG2" s="522"/>
      <c r="AH2" s="523"/>
    </row>
    <row r="3" ht="15.75" hidden="1" customHeight="1">
      <c r="A3" s="505"/>
      <c r="B3" s="524" t="str">
        <f>'1. Справочник'!B3</f>
        <v>Марина</v>
      </c>
      <c r="C3" s="525"/>
      <c r="D3" s="526" t="s">
        <v>931</v>
      </c>
      <c r="E3" s="509"/>
      <c r="F3" s="527" t="s">
        <v>27</v>
      </c>
      <c r="G3" s="511"/>
      <c r="H3" s="511"/>
      <c r="I3" s="512"/>
      <c r="J3" s="513"/>
      <c r="K3" s="528">
        <v>9.0</v>
      </c>
      <c r="L3" s="529" t="b">
        <v>1</v>
      </c>
      <c r="M3" s="529" t="b">
        <v>1</v>
      </c>
      <c r="N3" s="530" t="b">
        <v>1</v>
      </c>
      <c r="O3" s="531" t="b">
        <v>0</v>
      </c>
      <c r="P3" s="529" t="b">
        <v>0</v>
      </c>
      <c r="Q3" s="531" t="b">
        <v>0</v>
      </c>
      <c r="R3" s="531" t="b">
        <v>0</v>
      </c>
      <c r="S3" s="531" t="b">
        <v>1</v>
      </c>
      <c r="T3" s="531" t="b">
        <v>1</v>
      </c>
      <c r="U3" s="531" t="b">
        <v>1</v>
      </c>
      <c r="V3" s="532" t="b">
        <v>0</v>
      </c>
      <c r="W3" s="533" t="b">
        <v>1</v>
      </c>
      <c r="X3" s="533" t="b">
        <v>1</v>
      </c>
      <c r="Y3" s="533" t="b">
        <v>1</v>
      </c>
      <c r="Z3" s="534" t="b">
        <v>0</v>
      </c>
      <c r="AA3" s="535" t="b">
        <v>1</v>
      </c>
      <c r="AB3" s="535" t="b">
        <v>1</v>
      </c>
      <c r="AC3" s="535" t="b">
        <v>1</v>
      </c>
      <c r="AD3" s="513"/>
      <c r="AE3" s="513"/>
      <c r="AF3" s="522"/>
      <c r="AG3" s="522"/>
      <c r="AH3" s="523"/>
    </row>
    <row r="4" ht="15.75" hidden="1" customHeight="1">
      <c r="A4" s="536"/>
      <c r="B4" s="537" t="s">
        <v>58</v>
      </c>
      <c r="C4" s="525"/>
      <c r="D4" s="526" t="str">
        <f>'1. Справочник'!C88</f>
        <v>DL14-501-502</v>
      </c>
      <c r="E4" s="509"/>
      <c r="F4" s="527" t="str">
        <f>'1. Справочник'!F88</f>
        <v>1+1</v>
      </c>
      <c r="G4" s="511"/>
      <c r="H4" s="511"/>
      <c r="I4" s="512"/>
      <c r="J4" s="513"/>
      <c r="K4" s="528">
        <v>9.0</v>
      </c>
      <c r="L4" s="529" t="b">
        <v>1</v>
      </c>
      <c r="M4" s="529" t="b">
        <v>1</v>
      </c>
      <c r="N4" s="530" t="b">
        <v>1</v>
      </c>
      <c r="O4" s="531" t="b">
        <v>0</v>
      </c>
      <c r="P4" s="529" t="b">
        <v>0</v>
      </c>
      <c r="Q4" s="531" t="b">
        <v>0</v>
      </c>
      <c r="R4" s="531" t="b">
        <v>0</v>
      </c>
      <c r="S4" s="531" t="b">
        <v>1</v>
      </c>
      <c r="T4" s="531" t="b">
        <v>1</v>
      </c>
      <c r="U4" s="531" t="b">
        <v>1</v>
      </c>
      <c r="V4" s="532" t="b">
        <v>0</v>
      </c>
      <c r="W4" s="533" t="b">
        <v>1</v>
      </c>
      <c r="X4" s="534" t="b">
        <v>0</v>
      </c>
      <c r="Y4" s="533" t="b">
        <v>1</v>
      </c>
      <c r="Z4" s="534" t="b">
        <v>0</v>
      </c>
      <c r="AA4" s="535" t="b">
        <v>1</v>
      </c>
      <c r="AB4" s="535" t="b">
        <v>1</v>
      </c>
      <c r="AC4" s="535" t="b">
        <v>1</v>
      </c>
      <c r="AD4" s="513"/>
      <c r="AE4" s="513"/>
      <c r="AF4" s="522"/>
      <c r="AG4" s="522"/>
      <c r="AH4" s="523"/>
    </row>
    <row r="5" ht="15.75" hidden="1" customHeight="1">
      <c r="A5" s="536"/>
      <c r="B5" s="537" t="s">
        <v>58</v>
      </c>
      <c r="C5" s="525"/>
      <c r="D5" s="526" t="str">
        <f>#REF!</f>
        <v>#REF!</v>
      </c>
      <c r="E5" s="509"/>
      <c r="F5" s="527" t="str">
        <f>#REF!</f>
        <v>#REF!</v>
      </c>
      <c r="G5" s="511"/>
      <c r="H5" s="511"/>
      <c r="I5" s="512"/>
      <c r="J5" s="513"/>
      <c r="K5" s="528">
        <v>7.0</v>
      </c>
      <c r="L5" s="529" t="b">
        <v>0</v>
      </c>
      <c r="M5" s="529" t="b">
        <v>1</v>
      </c>
      <c r="N5" s="530" t="b">
        <v>1</v>
      </c>
      <c r="O5" s="531" t="b">
        <v>0</v>
      </c>
      <c r="P5" s="529" t="b">
        <v>0</v>
      </c>
      <c r="Q5" s="531" t="b">
        <v>0</v>
      </c>
      <c r="R5" s="531" t="b">
        <v>0</v>
      </c>
      <c r="S5" s="531" t="b">
        <v>1</v>
      </c>
      <c r="T5" s="531" t="b">
        <v>1</v>
      </c>
      <c r="U5" s="531" t="b">
        <v>1</v>
      </c>
      <c r="V5" s="532" t="b">
        <v>0</v>
      </c>
      <c r="W5" s="533" t="b">
        <v>1</v>
      </c>
      <c r="X5" s="534" t="b">
        <v>0</v>
      </c>
      <c r="Y5" s="533" t="b">
        <v>1</v>
      </c>
      <c r="Z5" s="534" t="b">
        <v>0</v>
      </c>
      <c r="AA5" s="535" t="b">
        <v>1</v>
      </c>
      <c r="AB5" s="535" t="b">
        <v>1</v>
      </c>
      <c r="AC5" s="535" t="b">
        <v>1</v>
      </c>
      <c r="AD5" s="513"/>
      <c r="AE5" s="513"/>
      <c r="AF5" s="522"/>
      <c r="AG5" s="522"/>
      <c r="AH5" s="523"/>
    </row>
    <row r="6" ht="15.75" hidden="1" customHeight="1">
      <c r="A6" s="536"/>
      <c r="B6" s="537" t="s">
        <v>58</v>
      </c>
      <c r="C6" s="525"/>
      <c r="D6" s="526" t="str">
        <f>'1. Справочник'!C87</f>
        <v>DL14-305</v>
      </c>
      <c r="E6" s="509"/>
      <c r="F6" s="527" t="str">
        <f>'1. Справочник'!F84</f>
        <v>Студия/твин</v>
      </c>
      <c r="G6" s="511"/>
      <c r="H6" s="511"/>
      <c r="I6" s="512"/>
      <c r="J6" s="513"/>
      <c r="K6" s="528">
        <v>7.0</v>
      </c>
      <c r="L6" s="529" t="b">
        <v>1</v>
      </c>
      <c r="M6" s="529" t="b">
        <v>1</v>
      </c>
      <c r="N6" s="530" t="b">
        <v>1</v>
      </c>
      <c r="O6" s="531" t="b">
        <v>0</v>
      </c>
      <c r="P6" s="529" t="b">
        <v>0</v>
      </c>
      <c r="Q6" s="531" t="b">
        <v>0</v>
      </c>
      <c r="R6" s="531" t="b">
        <v>0</v>
      </c>
      <c r="S6" s="531" t="b">
        <v>1</v>
      </c>
      <c r="T6" s="531" t="b">
        <v>1</v>
      </c>
      <c r="U6" s="531" t="b">
        <v>1</v>
      </c>
      <c r="V6" s="532" t="b">
        <v>0</v>
      </c>
      <c r="W6" s="533" t="b">
        <v>1</v>
      </c>
      <c r="X6" s="534" t="b">
        <v>0</v>
      </c>
      <c r="Y6" s="533" t="b">
        <v>1</v>
      </c>
      <c r="Z6" s="534" t="b">
        <v>0</v>
      </c>
      <c r="AA6" s="535" t="b">
        <v>1</v>
      </c>
      <c r="AB6" s="535" t="b">
        <v>1</v>
      </c>
      <c r="AC6" s="535" t="b">
        <v>1</v>
      </c>
      <c r="AD6" s="513"/>
      <c r="AE6" s="513"/>
      <c r="AF6" s="522"/>
      <c r="AG6" s="522"/>
      <c r="AH6" s="523"/>
    </row>
    <row r="7" ht="15.75" hidden="1" customHeight="1">
      <c r="A7" s="536"/>
      <c r="B7" s="537" t="s">
        <v>58</v>
      </c>
      <c r="C7" s="525"/>
      <c r="D7" s="526" t="str">
        <f>'1. Справочник'!C85</f>
        <v>DL 14-1614</v>
      </c>
      <c r="E7" s="509"/>
      <c r="F7" s="527" t="s">
        <v>30</v>
      </c>
      <c r="G7" s="511"/>
      <c r="H7" s="511"/>
      <c r="I7" s="512"/>
      <c r="J7" s="513"/>
      <c r="K7" s="528">
        <v>9.0</v>
      </c>
      <c r="L7" s="529" t="b">
        <v>1</v>
      </c>
      <c r="M7" s="529" t="b">
        <v>1</v>
      </c>
      <c r="N7" s="530" t="b">
        <v>1</v>
      </c>
      <c r="O7" s="531" t="b">
        <v>0</v>
      </c>
      <c r="P7" s="529" t="b">
        <v>0</v>
      </c>
      <c r="Q7" s="531" t="b">
        <v>0</v>
      </c>
      <c r="R7" s="531" t="b">
        <v>0</v>
      </c>
      <c r="S7" s="531" t="b">
        <v>1</v>
      </c>
      <c r="T7" s="531" t="b">
        <v>1</v>
      </c>
      <c r="U7" s="531" t="b">
        <v>1</v>
      </c>
      <c r="V7" s="532" t="b">
        <v>0</v>
      </c>
      <c r="W7" s="533" t="b">
        <v>1</v>
      </c>
      <c r="X7" s="534" t="b">
        <v>0</v>
      </c>
      <c r="Y7" s="533" t="b">
        <v>1</v>
      </c>
      <c r="Z7" s="534" t="b">
        <v>0</v>
      </c>
      <c r="AA7" s="535" t="b">
        <v>1</v>
      </c>
      <c r="AB7" s="535" t="b">
        <v>1</v>
      </c>
      <c r="AC7" s="535" t="b">
        <v>1</v>
      </c>
      <c r="AD7" s="513"/>
      <c r="AE7" s="513"/>
      <c r="AF7" s="522"/>
      <c r="AG7" s="522"/>
      <c r="AH7" s="523"/>
    </row>
    <row r="8" ht="15.75" hidden="1" customHeight="1">
      <c r="A8" s="536"/>
      <c r="B8" s="537" t="s">
        <v>58</v>
      </c>
      <c r="C8" s="525"/>
      <c r="D8" s="526" t="str">
        <f>'1. Справочник'!C86</f>
        <v>DL 14-1710</v>
      </c>
      <c r="E8" s="509"/>
      <c r="F8" s="527" t="s">
        <v>30</v>
      </c>
      <c r="G8" s="511"/>
      <c r="H8" s="511"/>
      <c r="I8" s="512"/>
      <c r="J8" s="513"/>
      <c r="K8" s="528">
        <v>9.0</v>
      </c>
      <c r="L8" s="529" t="b">
        <v>1</v>
      </c>
      <c r="M8" s="529" t="b">
        <v>1</v>
      </c>
      <c r="N8" s="530" t="b">
        <v>1</v>
      </c>
      <c r="O8" s="531" t="b">
        <v>0</v>
      </c>
      <c r="P8" s="529" t="b">
        <v>0</v>
      </c>
      <c r="Q8" s="531" t="b">
        <v>0</v>
      </c>
      <c r="R8" s="531" t="b">
        <v>0</v>
      </c>
      <c r="S8" s="531" t="b">
        <v>1</v>
      </c>
      <c r="T8" s="531" t="b">
        <v>1</v>
      </c>
      <c r="U8" s="531" t="b">
        <v>1</v>
      </c>
      <c r="V8" s="532" t="b">
        <v>0</v>
      </c>
      <c r="W8" s="533" t="b">
        <v>1</v>
      </c>
      <c r="X8" s="534" t="b">
        <v>0</v>
      </c>
      <c r="Y8" s="533" t="b">
        <v>1</v>
      </c>
      <c r="Z8" s="534" t="b">
        <v>0</v>
      </c>
      <c r="AA8" s="535" t="b">
        <v>1</v>
      </c>
      <c r="AB8" s="535" t="b">
        <v>1</v>
      </c>
      <c r="AC8" s="535" t="b">
        <v>1</v>
      </c>
      <c r="AD8" s="513"/>
      <c r="AE8" s="513"/>
      <c r="AF8" s="522"/>
      <c r="AG8" s="522"/>
      <c r="AH8" s="523"/>
    </row>
    <row r="9" ht="15.75" hidden="1" customHeight="1">
      <c r="A9" s="536"/>
      <c r="B9" s="537" t="s">
        <v>58</v>
      </c>
      <c r="C9" s="538"/>
      <c r="D9" s="539" t="s">
        <v>932</v>
      </c>
      <c r="E9" s="509"/>
      <c r="F9" s="527" t="str">
        <f>'1. Справочник'!F89</f>
        <v>1+2 с террасой</v>
      </c>
      <c r="G9" s="511"/>
      <c r="H9" s="511"/>
      <c r="I9" s="512"/>
      <c r="J9" s="513"/>
      <c r="K9" s="528">
        <v>5.0</v>
      </c>
      <c r="L9" s="529" t="b">
        <v>1</v>
      </c>
      <c r="M9" s="529" t="b">
        <v>1</v>
      </c>
      <c r="N9" s="530" t="b">
        <v>1</v>
      </c>
      <c r="O9" s="531" t="b">
        <v>0</v>
      </c>
      <c r="P9" s="529" t="b">
        <v>0</v>
      </c>
      <c r="Q9" s="531" t="b">
        <v>0</v>
      </c>
      <c r="R9" s="531" t="b">
        <v>0</v>
      </c>
      <c r="S9" s="531" t="b">
        <v>1</v>
      </c>
      <c r="T9" s="531" t="b">
        <v>0</v>
      </c>
      <c r="U9" s="531" t="b">
        <v>1</v>
      </c>
      <c r="V9" s="532" t="b">
        <v>0</v>
      </c>
      <c r="W9" s="533" t="b">
        <v>1</v>
      </c>
      <c r="X9" s="533" t="b">
        <v>1</v>
      </c>
      <c r="Y9" s="533" t="b">
        <v>1</v>
      </c>
      <c r="Z9" s="534" t="b">
        <v>0</v>
      </c>
      <c r="AA9" s="535" t="b">
        <v>1</v>
      </c>
      <c r="AB9" s="535" t="b">
        <v>1</v>
      </c>
      <c r="AC9" s="535" t="b">
        <v>1</v>
      </c>
      <c r="AD9" s="513"/>
      <c r="AE9" s="513"/>
      <c r="AF9" s="522"/>
      <c r="AG9" s="522"/>
      <c r="AH9" s="523"/>
    </row>
    <row r="10" ht="15.75" hidden="1" customHeight="1">
      <c r="A10" s="505"/>
      <c r="B10" s="524" t="s">
        <v>146</v>
      </c>
      <c r="C10" s="525"/>
      <c r="D10" s="526" t="str">
        <f>'1. Справочник'!C136</f>
        <v>NW 4-9</v>
      </c>
      <c r="E10" s="509"/>
      <c r="F10" s="527" t="str">
        <f>'1. Справочник'!F136</f>
        <v>Студия</v>
      </c>
      <c r="G10" s="511"/>
      <c r="H10" s="511"/>
      <c r="I10" s="512"/>
      <c r="J10" s="513"/>
      <c r="K10" s="528">
        <v>7.0</v>
      </c>
      <c r="L10" s="529" t="b">
        <v>1</v>
      </c>
      <c r="M10" s="529" t="b">
        <v>1</v>
      </c>
      <c r="N10" s="530" t="b">
        <v>1</v>
      </c>
      <c r="O10" s="531" t="b">
        <v>0</v>
      </c>
      <c r="P10" s="529" t="b">
        <v>0</v>
      </c>
      <c r="Q10" s="531" t="b">
        <v>0</v>
      </c>
      <c r="R10" s="531" t="b">
        <v>0</v>
      </c>
      <c r="S10" s="531" t="b">
        <v>1</v>
      </c>
      <c r="T10" s="531" t="b">
        <v>1</v>
      </c>
      <c r="U10" s="531" t="b">
        <v>1</v>
      </c>
      <c r="V10" s="532" t="b">
        <v>0</v>
      </c>
      <c r="W10" s="533" t="b">
        <v>1</v>
      </c>
      <c r="X10" s="533" t="b">
        <v>1</v>
      </c>
      <c r="Y10" s="533" t="b">
        <v>1</v>
      </c>
      <c r="Z10" s="534" t="b">
        <v>0</v>
      </c>
      <c r="AA10" s="535" t="b">
        <v>1</v>
      </c>
      <c r="AB10" s="535" t="b">
        <v>1</v>
      </c>
      <c r="AC10" s="535" t="b">
        <v>1</v>
      </c>
      <c r="AD10" s="513"/>
      <c r="AE10" s="513"/>
      <c r="AF10" s="522"/>
      <c r="AG10" s="522"/>
      <c r="AH10" s="523"/>
    </row>
    <row r="11" ht="15.75" hidden="1" customHeight="1">
      <c r="A11" s="505"/>
      <c r="B11" s="524" t="s">
        <v>146</v>
      </c>
      <c r="C11" s="525"/>
      <c r="D11" s="526" t="str">
        <f>'1. Справочник'!C137</f>
        <v>NW 4-10</v>
      </c>
      <c r="E11" s="509"/>
      <c r="F11" s="527" t="str">
        <f>'1. Справочник'!F137</f>
        <v>Студия</v>
      </c>
      <c r="G11" s="511"/>
      <c r="H11" s="511"/>
      <c r="I11" s="512"/>
      <c r="J11" s="513"/>
      <c r="K11" s="540" t="s">
        <v>933</v>
      </c>
      <c r="L11" s="529" t="b">
        <v>1</v>
      </c>
      <c r="M11" s="529" t="b">
        <v>1</v>
      </c>
      <c r="N11" s="530" t="b">
        <v>1</v>
      </c>
      <c r="O11" s="531" t="b">
        <v>0</v>
      </c>
      <c r="P11" s="529" t="b">
        <v>0</v>
      </c>
      <c r="Q11" s="531" t="b">
        <v>0</v>
      </c>
      <c r="R11" s="531" t="b">
        <v>0</v>
      </c>
      <c r="S11" s="531" t="b">
        <v>1</v>
      </c>
      <c r="T11" s="531" t="b">
        <v>1</v>
      </c>
      <c r="U11" s="531" t="b">
        <v>1</v>
      </c>
      <c r="V11" s="532" t="b">
        <v>0</v>
      </c>
      <c r="W11" s="533" t="b">
        <v>1</v>
      </c>
      <c r="X11" s="533" t="b">
        <v>1</v>
      </c>
      <c r="Y11" s="533" t="b">
        <v>0</v>
      </c>
      <c r="Z11" s="534" t="b">
        <v>0</v>
      </c>
      <c r="AA11" s="535" t="b">
        <v>1</v>
      </c>
      <c r="AB11" s="535" t="b">
        <v>1</v>
      </c>
      <c r="AC11" s="535" t="b">
        <v>1</v>
      </c>
      <c r="AD11" s="513"/>
      <c r="AE11" s="513"/>
      <c r="AF11" s="522"/>
      <c r="AG11" s="522"/>
      <c r="AH11" s="523"/>
    </row>
    <row r="12" ht="15.75" hidden="1" customHeight="1">
      <c r="A12" s="505"/>
      <c r="B12" s="524" t="s">
        <v>146</v>
      </c>
      <c r="C12" s="525"/>
      <c r="D12" s="526" t="str">
        <f>'1. Справочник'!C138</f>
        <v>NW 10-6</v>
      </c>
      <c r="E12" s="509"/>
      <c r="F12" s="527" t="str">
        <f>'1. Справочник'!F138</f>
        <v>Студия</v>
      </c>
      <c r="G12" s="511"/>
      <c r="H12" s="511"/>
      <c r="I12" s="512"/>
      <c r="J12" s="513"/>
      <c r="K12" s="514">
        <v>7.0</v>
      </c>
      <c r="L12" s="529" t="b">
        <v>1</v>
      </c>
      <c r="M12" s="529" t="b">
        <v>1</v>
      </c>
      <c r="N12" s="530" t="b">
        <v>1</v>
      </c>
      <c r="O12" s="531" t="b">
        <v>0</v>
      </c>
      <c r="P12" s="529" t="b">
        <v>0</v>
      </c>
      <c r="Q12" s="531" t="b">
        <v>0</v>
      </c>
      <c r="R12" s="531" t="b">
        <v>0</v>
      </c>
      <c r="S12" s="531" t="b">
        <v>1</v>
      </c>
      <c r="T12" s="531" t="b">
        <v>1</v>
      </c>
      <c r="U12" s="531" t="b">
        <v>1</v>
      </c>
      <c r="V12" s="532" t="b">
        <v>0</v>
      </c>
      <c r="W12" s="533" t="b">
        <v>1</v>
      </c>
      <c r="X12" s="533" t="b">
        <v>1</v>
      </c>
      <c r="Y12" s="533" t="b">
        <v>1</v>
      </c>
      <c r="Z12" s="534" t="b">
        <v>0</v>
      </c>
      <c r="AA12" s="535" t="b">
        <v>1</v>
      </c>
      <c r="AB12" s="535" t="b">
        <v>1</v>
      </c>
      <c r="AC12" s="535" t="b">
        <v>1</v>
      </c>
      <c r="AD12" s="513"/>
      <c r="AE12" s="513"/>
      <c r="AF12" s="522"/>
      <c r="AG12" s="522"/>
      <c r="AH12" s="523"/>
    </row>
    <row r="13" ht="15.75" hidden="1" customHeight="1">
      <c r="A13" s="505"/>
      <c r="B13" s="524" t="s">
        <v>146</v>
      </c>
      <c r="C13" s="525"/>
      <c r="D13" s="526" t="s">
        <v>934</v>
      </c>
      <c r="E13" s="509"/>
      <c r="F13" s="527" t="s">
        <v>27</v>
      </c>
      <c r="G13" s="511"/>
      <c r="H13" s="511"/>
      <c r="I13" s="512"/>
      <c r="J13" s="513"/>
      <c r="K13" s="528">
        <v>9.0</v>
      </c>
      <c r="L13" s="529" t="b">
        <v>1</v>
      </c>
      <c r="M13" s="529" t="b">
        <v>1</v>
      </c>
      <c r="N13" s="530" t="b">
        <v>1</v>
      </c>
      <c r="O13" s="531" t="b">
        <v>0</v>
      </c>
      <c r="P13" s="529" t="b">
        <v>0</v>
      </c>
      <c r="Q13" s="531" t="b">
        <v>0</v>
      </c>
      <c r="R13" s="531" t="b">
        <v>0</v>
      </c>
      <c r="S13" s="531" t="b">
        <v>1</v>
      </c>
      <c r="T13" s="531" t="b">
        <v>1</v>
      </c>
      <c r="U13" s="531" t="b">
        <v>1</v>
      </c>
      <c r="V13" s="532" t="b">
        <v>0</v>
      </c>
      <c r="W13" s="533" t="b">
        <v>1</v>
      </c>
      <c r="X13" s="533" t="b">
        <v>1</v>
      </c>
      <c r="Y13" s="533" t="b">
        <v>0</v>
      </c>
      <c r="Z13" s="534" t="b">
        <v>0</v>
      </c>
      <c r="AA13" s="535" t="b">
        <v>1</v>
      </c>
      <c r="AB13" s="535" t="b">
        <v>1</v>
      </c>
      <c r="AC13" s="535" t="b">
        <v>1</v>
      </c>
      <c r="AD13" s="513"/>
      <c r="AE13" s="513"/>
      <c r="AF13" s="522"/>
      <c r="AG13" s="522"/>
      <c r="AH13" s="523"/>
    </row>
    <row r="14" ht="15.75" hidden="1" customHeight="1">
      <c r="A14" s="541"/>
      <c r="B14" s="542" t="s">
        <v>146</v>
      </c>
      <c r="C14" s="525"/>
      <c r="D14" s="526" t="s">
        <v>935</v>
      </c>
      <c r="E14" s="509"/>
      <c r="F14" s="527" t="s">
        <v>30</v>
      </c>
      <c r="G14" s="511"/>
      <c r="H14" s="511"/>
      <c r="I14" s="512"/>
      <c r="J14" s="513"/>
      <c r="K14" s="528">
        <v>7.0</v>
      </c>
      <c r="L14" s="543" t="b">
        <v>1</v>
      </c>
      <c r="M14" s="543" t="b">
        <v>1</v>
      </c>
      <c r="N14" s="530" t="b">
        <v>1</v>
      </c>
      <c r="O14" s="544" t="b">
        <v>0</v>
      </c>
      <c r="P14" s="543" t="b">
        <v>0</v>
      </c>
      <c r="Q14" s="544" t="b">
        <v>0</v>
      </c>
      <c r="R14" s="544" t="b">
        <v>0</v>
      </c>
      <c r="S14" s="544" t="b">
        <v>1</v>
      </c>
      <c r="T14" s="544" t="b">
        <v>1</v>
      </c>
      <c r="U14" s="544" t="b">
        <v>1</v>
      </c>
      <c r="V14" s="532" t="b">
        <v>0</v>
      </c>
      <c r="W14" s="545" t="b">
        <v>1</v>
      </c>
      <c r="X14" s="545" t="b">
        <v>1</v>
      </c>
      <c r="Y14" s="545" t="b">
        <v>0</v>
      </c>
      <c r="Z14" s="534" t="b">
        <v>0</v>
      </c>
      <c r="AA14" s="546" t="b">
        <v>1</v>
      </c>
      <c r="AB14" s="546" t="b">
        <v>1</v>
      </c>
      <c r="AC14" s="535" t="b">
        <v>1</v>
      </c>
      <c r="AD14" s="513"/>
      <c r="AE14" s="513"/>
      <c r="AF14" s="522"/>
      <c r="AG14" s="522"/>
      <c r="AH14" s="523"/>
    </row>
    <row r="15" ht="15.75" hidden="1" customHeight="1">
      <c r="A15" s="541"/>
      <c r="B15" s="542" t="s">
        <v>146</v>
      </c>
      <c r="C15" s="525"/>
      <c r="D15" s="526" t="s">
        <v>936</v>
      </c>
      <c r="E15" s="509"/>
      <c r="F15" s="527" t="s">
        <v>27</v>
      </c>
      <c r="G15" s="511"/>
      <c r="H15" s="511"/>
      <c r="I15" s="512"/>
      <c r="J15" s="513"/>
      <c r="K15" s="528">
        <v>7.0</v>
      </c>
      <c r="L15" s="543" t="b">
        <v>1</v>
      </c>
      <c r="M15" s="543" t="b">
        <v>1</v>
      </c>
      <c r="N15" s="530" t="b">
        <v>1</v>
      </c>
      <c r="O15" s="544" t="b">
        <v>0</v>
      </c>
      <c r="P15" s="543" t="b">
        <v>0</v>
      </c>
      <c r="Q15" s="544" t="b">
        <v>0</v>
      </c>
      <c r="R15" s="544" t="b">
        <v>0</v>
      </c>
      <c r="S15" s="544" t="b">
        <v>1</v>
      </c>
      <c r="T15" s="544" t="b">
        <v>1</v>
      </c>
      <c r="U15" s="544" t="b">
        <v>1</v>
      </c>
      <c r="V15" s="532" t="b">
        <v>0</v>
      </c>
      <c r="W15" s="545" t="b">
        <v>1</v>
      </c>
      <c r="X15" s="545" t="b">
        <v>1</v>
      </c>
      <c r="Y15" s="545" t="b">
        <v>0</v>
      </c>
      <c r="Z15" s="534" t="b">
        <v>0</v>
      </c>
      <c r="AA15" s="546" t="b">
        <v>1</v>
      </c>
      <c r="AB15" s="546" t="b">
        <v>1</v>
      </c>
      <c r="AC15" s="535" t="b">
        <v>1</v>
      </c>
      <c r="AD15" s="513"/>
      <c r="AE15" s="513"/>
      <c r="AF15" s="522"/>
      <c r="AG15" s="522"/>
      <c r="AH15" s="523"/>
    </row>
    <row r="16" ht="15.75" hidden="1" customHeight="1">
      <c r="A16" s="547"/>
      <c r="B16" s="548" t="s">
        <v>58</v>
      </c>
      <c r="C16" s="538"/>
      <c r="D16" s="539" t="s">
        <v>227</v>
      </c>
      <c r="E16" s="509"/>
      <c r="F16" s="527" t="s">
        <v>30</v>
      </c>
      <c r="G16" s="549"/>
      <c r="H16" s="549"/>
      <c r="I16" s="550"/>
      <c r="J16" s="551"/>
      <c r="K16" s="528">
        <v>9.0</v>
      </c>
      <c r="L16" s="543" t="b">
        <v>1</v>
      </c>
      <c r="M16" s="543" t="b">
        <v>1</v>
      </c>
      <c r="N16" s="530" t="b">
        <v>1</v>
      </c>
      <c r="O16" s="544" t="b">
        <v>0</v>
      </c>
      <c r="P16" s="543" t="b">
        <v>0</v>
      </c>
      <c r="Q16" s="544" t="b">
        <v>0</v>
      </c>
      <c r="R16" s="544" t="b">
        <v>0</v>
      </c>
      <c r="S16" s="544" t="b">
        <v>1</v>
      </c>
      <c r="T16" s="544" t="b">
        <v>1</v>
      </c>
      <c r="U16" s="544" t="b">
        <v>1</v>
      </c>
      <c r="V16" s="532" t="b">
        <v>0</v>
      </c>
      <c r="W16" s="545" t="b">
        <v>1</v>
      </c>
      <c r="X16" s="545" t="b">
        <v>0</v>
      </c>
      <c r="Y16" s="545" t="b">
        <v>1</v>
      </c>
      <c r="Z16" s="545" t="b">
        <v>0</v>
      </c>
      <c r="AA16" s="546" t="b">
        <v>1</v>
      </c>
      <c r="AB16" s="546" t="b">
        <v>1</v>
      </c>
      <c r="AC16" s="535" t="b">
        <v>1</v>
      </c>
      <c r="AD16" s="551"/>
      <c r="AE16" s="551"/>
      <c r="AF16" s="552"/>
      <c r="AG16" s="552"/>
      <c r="AH16" s="553"/>
      <c r="AI16" s="554"/>
      <c r="AJ16" s="554"/>
      <c r="AK16" s="554"/>
      <c r="AL16" s="554"/>
      <c r="AM16" s="554"/>
      <c r="AN16" s="554"/>
      <c r="AO16" s="554"/>
      <c r="AP16" s="554"/>
      <c r="AQ16" s="554"/>
    </row>
    <row r="17" ht="15.75" hidden="1" customHeight="1">
      <c r="A17" s="547"/>
      <c r="B17" s="548" t="s">
        <v>58</v>
      </c>
      <c r="C17" s="538"/>
      <c r="D17" s="539" t="s">
        <v>223</v>
      </c>
      <c r="E17" s="509"/>
      <c r="F17" s="527" t="s">
        <v>27</v>
      </c>
      <c r="G17" s="549"/>
      <c r="H17" s="549"/>
      <c r="I17" s="550"/>
      <c r="J17" s="551"/>
      <c r="K17" s="528">
        <v>9.0</v>
      </c>
      <c r="L17" s="543" t="b">
        <v>1</v>
      </c>
      <c r="M17" s="543" t="b">
        <v>1</v>
      </c>
      <c r="N17" s="530" t="b">
        <v>1</v>
      </c>
      <c r="O17" s="544" t="b">
        <v>0</v>
      </c>
      <c r="P17" s="543" t="b">
        <v>0</v>
      </c>
      <c r="Q17" s="544" t="b">
        <v>0</v>
      </c>
      <c r="R17" s="544" t="b">
        <v>0</v>
      </c>
      <c r="S17" s="544" t="b">
        <v>0</v>
      </c>
      <c r="T17" s="544" t="b">
        <v>0</v>
      </c>
      <c r="U17" s="544" t="b">
        <v>0</v>
      </c>
      <c r="V17" s="532" t="b">
        <v>0</v>
      </c>
      <c r="W17" s="545" t="b">
        <v>0</v>
      </c>
      <c r="X17" s="545" t="b">
        <v>0</v>
      </c>
      <c r="Y17" s="545" t="b">
        <v>0</v>
      </c>
      <c r="Z17" s="545" t="b">
        <v>0</v>
      </c>
      <c r="AA17" s="546" t="b">
        <v>0</v>
      </c>
      <c r="AB17" s="546" t="b">
        <v>1</v>
      </c>
      <c r="AC17" s="535" t="b">
        <v>0</v>
      </c>
      <c r="AD17" s="551"/>
      <c r="AE17" s="551"/>
      <c r="AF17" s="552"/>
      <c r="AG17" s="552"/>
      <c r="AH17" s="553"/>
      <c r="AI17" s="554"/>
      <c r="AJ17" s="554"/>
      <c r="AK17" s="554"/>
      <c r="AL17" s="554"/>
      <c r="AM17" s="554"/>
      <c r="AN17" s="554"/>
      <c r="AO17" s="554"/>
      <c r="AP17" s="554"/>
      <c r="AQ17" s="554"/>
    </row>
    <row r="18" ht="15.75" hidden="1" customHeight="1">
      <c r="A18" s="547"/>
      <c r="B18" s="548" t="s">
        <v>58</v>
      </c>
      <c r="C18" s="538"/>
      <c r="D18" s="539" t="s">
        <v>229</v>
      </c>
      <c r="E18" s="509"/>
      <c r="F18" s="527" t="s">
        <v>27</v>
      </c>
      <c r="G18" s="549"/>
      <c r="H18" s="549"/>
      <c r="I18" s="550"/>
      <c r="J18" s="551"/>
      <c r="K18" s="528">
        <v>5.0</v>
      </c>
      <c r="L18" s="543" t="b">
        <v>1</v>
      </c>
      <c r="M18" s="543" t="b">
        <v>1</v>
      </c>
      <c r="N18" s="530" t="b">
        <v>1</v>
      </c>
      <c r="O18" s="544" t="b">
        <v>0</v>
      </c>
      <c r="P18" s="543" t="b">
        <v>0</v>
      </c>
      <c r="Q18" s="544" t="b">
        <v>0</v>
      </c>
      <c r="R18" s="544" t="b">
        <v>0</v>
      </c>
      <c r="S18" s="544" t="b">
        <v>0</v>
      </c>
      <c r="T18" s="544" t="b">
        <v>0</v>
      </c>
      <c r="U18" s="544" t="b">
        <v>0</v>
      </c>
      <c r="V18" s="532" t="b">
        <v>0</v>
      </c>
      <c r="W18" s="545" t="b">
        <v>0</v>
      </c>
      <c r="X18" s="545" t="b">
        <v>0</v>
      </c>
      <c r="Y18" s="545" t="b">
        <v>0</v>
      </c>
      <c r="Z18" s="545" t="b">
        <v>0</v>
      </c>
      <c r="AA18" s="546" t="b">
        <v>0</v>
      </c>
      <c r="AB18" s="546" t="b">
        <v>1</v>
      </c>
      <c r="AC18" s="535" t="b">
        <v>0</v>
      </c>
      <c r="AD18" s="551"/>
      <c r="AE18" s="551"/>
      <c r="AF18" s="552"/>
      <c r="AG18" s="552"/>
      <c r="AH18" s="553"/>
      <c r="AI18" s="554"/>
      <c r="AJ18" s="554"/>
      <c r="AK18" s="554"/>
      <c r="AL18" s="554"/>
      <c r="AM18" s="554"/>
      <c r="AN18" s="554"/>
      <c r="AO18" s="554"/>
      <c r="AP18" s="554"/>
      <c r="AQ18" s="554"/>
    </row>
    <row r="19" ht="15.75" hidden="1" customHeight="1">
      <c r="A19" s="547"/>
      <c r="B19" s="548" t="s">
        <v>58</v>
      </c>
      <c r="C19" s="538"/>
      <c r="D19" s="539" t="s">
        <v>937</v>
      </c>
      <c r="E19" s="509"/>
      <c r="F19" s="527" t="s">
        <v>30</v>
      </c>
      <c r="G19" s="549"/>
      <c r="H19" s="549"/>
      <c r="I19" s="550"/>
      <c r="J19" s="551"/>
      <c r="K19" s="528">
        <v>7.0</v>
      </c>
      <c r="L19" s="543" t="b">
        <v>1</v>
      </c>
      <c r="M19" s="543" t="b">
        <v>0</v>
      </c>
      <c r="N19" s="530" t="b">
        <v>0</v>
      </c>
      <c r="O19" s="544" t="b">
        <v>0</v>
      </c>
      <c r="P19" s="543" t="b">
        <v>0</v>
      </c>
      <c r="Q19" s="544" t="b">
        <v>0</v>
      </c>
      <c r="R19" s="544" t="b">
        <v>0</v>
      </c>
      <c r="S19" s="544" t="b">
        <v>0</v>
      </c>
      <c r="T19" s="544" t="b">
        <v>0</v>
      </c>
      <c r="U19" s="544" t="b">
        <v>0</v>
      </c>
      <c r="V19" s="532" t="b">
        <v>0</v>
      </c>
      <c r="W19" s="545" t="b">
        <v>0</v>
      </c>
      <c r="X19" s="545" t="b">
        <v>0</v>
      </c>
      <c r="Y19" s="545" t="b">
        <v>0</v>
      </c>
      <c r="Z19" s="545" t="b">
        <v>0</v>
      </c>
      <c r="AA19" s="546" t="b">
        <v>0</v>
      </c>
      <c r="AB19" s="546" t="b">
        <v>0</v>
      </c>
      <c r="AC19" s="535" t="b">
        <v>0</v>
      </c>
      <c r="AD19" s="551"/>
      <c r="AE19" s="551"/>
      <c r="AF19" s="552"/>
      <c r="AG19" s="552"/>
      <c r="AH19" s="553"/>
      <c r="AI19" s="554"/>
      <c r="AJ19" s="554"/>
      <c r="AK19" s="554"/>
      <c r="AL19" s="554"/>
      <c r="AM19" s="554"/>
      <c r="AN19" s="554"/>
      <c r="AO19" s="554"/>
      <c r="AP19" s="554"/>
      <c r="AQ19" s="554"/>
    </row>
    <row r="20" ht="15.75" hidden="1" customHeight="1">
      <c r="A20" s="547"/>
      <c r="B20" s="548" t="s">
        <v>58</v>
      </c>
      <c r="C20" s="538"/>
      <c r="D20" s="539" t="s">
        <v>233</v>
      </c>
      <c r="E20" s="509"/>
      <c r="F20" s="527" t="s">
        <v>30</v>
      </c>
      <c r="G20" s="549"/>
      <c r="H20" s="549"/>
      <c r="I20" s="550"/>
      <c r="J20" s="551"/>
      <c r="K20" s="540" t="s">
        <v>933</v>
      </c>
      <c r="L20" s="543" t="b">
        <v>1</v>
      </c>
      <c r="M20" s="543" t="b">
        <v>1</v>
      </c>
      <c r="N20" s="530" t="b">
        <v>0</v>
      </c>
      <c r="O20" s="544" t="b">
        <v>0</v>
      </c>
      <c r="P20" s="543" t="b">
        <v>0</v>
      </c>
      <c r="Q20" s="544" t="b">
        <v>0</v>
      </c>
      <c r="R20" s="544" t="b">
        <v>0</v>
      </c>
      <c r="S20" s="544" t="b">
        <v>0</v>
      </c>
      <c r="T20" s="544" t="b">
        <v>0</v>
      </c>
      <c r="U20" s="544" t="b">
        <v>0</v>
      </c>
      <c r="V20" s="532" t="b">
        <v>0</v>
      </c>
      <c r="W20" s="545" t="b">
        <v>0</v>
      </c>
      <c r="X20" s="545" t="b">
        <v>0</v>
      </c>
      <c r="Y20" s="545" t="b">
        <v>0</v>
      </c>
      <c r="Z20" s="545" t="b">
        <v>0</v>
      </c>
      <c r="AA20" s="546" t="b">
        <v>0</v>
      </c>
      <c r="AB20" s="546" t="b">
        <v>0</v>
      </c>
      <c r="AC20" s="535" t="b">
        <v>0</v>
      </c>
      <c r="AD20" s="551"/>
      <c r="AE20" s="551"/>
      <c r="AF20" s="552"/>
      <c r="AG20" s="552"/>
      <c r="AH20" s="553"/>
      <c r="AI20" s="554"/>
      <c r="AJ20" s="554"/>
      <c r="AK20" s="554"/>
      <c r="AL20" s="554"/>
      <c r="AM20" s="554"/>
      <c r="AN20" s="554"/>
      <c r="AO20" s="554"/>
      <c r="AP20" s="554"/>
      <c r="AQ20" s="554"/>
    </row>
    <row r="21" ht="15.75" hidden="1" customHeight="1">
      <c r="A21" s="547"/>
      <c r="B21" s="548" t="s">
        <v>58</v>
      </c>
      <c r="C21" s="538"/>
      <c r="D21" s="539" t="s">
        <v>938</v>
      </c>
      <c r="E21" s="509"/>
      <c r="F21" s="527" t="s">
        <v>27</v>
      </c>
      <c r="G21" s="549"/>
      <c r="H21" s="549"/>
      <c r="I21" s="550"/>
      <c r="J21" s="551"/>
      <c r="K21" s="514">
        <v>7.0</v>
      </c>
      <c r="L21" s="543" t="b">
        <v>1</v>
      </c>
      <c r="M21" s="543" t="b">
        <v>1</v>
      </c>
      <c r="N21" s="530" t="b">
        <v>0</v>
      </c>
      <c r="O21" s="544" t="b">
        <v>0</v>
      </c>
      <c r="P21" s="543" t="b">
        <v>0</v>
      </c>
      <c r="Q21" s="544" t="b">
        <v>0</v>
      </c>
      <c r="R21" s="544" t="b">
        <v>0</v>
      </c>
      <c r="S21" s="544" t="b">
        <v>0</v>
      </c>
      <c r="T21" s="544" t="b">
        <v>0</v>
      </c>
      <c r="U21" s="544" t="b">
        <v>0</v>
      </c>
      <c r="V21" s="532" t="b">
        <v>0</v>
      </c>
      <c r="W21" s="545" t="b">
        <v>0</v>
      </c>
      <c r="X21" s="545" t="b">
        <v>0</v>
      </c>
      <c r="Y21" s="545" t="b">
        <v>0</v>
      </c>
      <c r="Z21" s="545" t="b">
        <v>0</v>
      </c>
      <c r="AA21" s="546" t="b">
        <v>0</v>
      </c>
      <c r="AB21" s="546" t="b">
        <v>0</v>
      </c>
      <c r="AC21" s="535" t="b">
        <v>0</v>
      </c>
      <c r="AD21" s="551"/>
      <c r="AE21" s="551"/>
      <c r="AF21" s="552"/>
      <c r="AG21" s="552"/>
      <c r="AH21" s="553"/>
      <c r="AI21" s="554"/>
      <c r="AJ21" s="554"/>
      <c r="AK21" s="554"/>
      <c r="AL21" s="554"/>
      <c r="AM21" s="554"/>
      <c r="AN21" s="554"/>
      <c r="AO21" s="554"/>
      <c r="AP21" s="554"/>
      <c r="AQ21" s="554"/>
    </row>
    <row r="22" ht="15.75" hidden="1" customHeight="1">
      <c r="A22" s="555"/>
      <c r="B22" s="556" t="s">
        <v>99</v>
      </c>
      <c r="C22" s="525"/>
      <c r="D22" s="526" t="s">
        <v>119</v>
      </c>
      <c r="E22" s="509"/>
      <c r="F22" s="527" t="s">
        <v>27</v>
      </c>
      <c r="G22" s="511"/>
      <c r="H22" s="511"/>
      <c r="I22" s="512"/>
      <c r="J22" s="513"/>
      <c r="K22" s="528">
        <v>9.0</v>
      </c>
      <c r="L22" s="543" t="b">
        <v>1</v>
      </c>
      <c r="M22" s="543" t="b">
        <v>1</v>
      </c>
      <c r="N22" s="530" t="b">
        <v>0</v>
      </c>
      <c r="O22" s="544" t="b">
        <v>0</v>
      </c>
      <c r="P22" s="543" t="b">
        <v>0</v>
      </c>
      <c r="Q22" s="544" t="b">
        <v>0</v>
      </c>
      <c r="R22" s="544" t="b">
        <v>0</v>
      </c>
      <c r="S22" s="544" t="b">
        <v>0</v>
      </c>
      <c r="T22" s="544" t="b">
        <v>0</v>
      </c>
      <c r="U22" s="557" t="b">
        <v>0</v>
      </c>
      <c r="V22" s="532" t="b">
        <v>0</v>
      </c>
      <c r="W22" s="534" t="b">
        <v>0</v>
      </c>
      <c r="X22" s="534" t="b">
        <v>0</v>
      </c>
      <c r="Y22" s="534" t="b">
        <v>0</v>
      </c>
      <c r="Z22" s="534" t="b">
        <v>0</v>
      </c>
      <c r="AA22" s="558" t="b">
        <v>0</v>
      </c>
      <c r="AB22" s="558" t="b">
        <v>1</v>
      </c>
      <c r="AC22" s="535" t="b">
        <v>1</v>
      </c>
      <c r="AD22" s="513"/>
      <c r="AE22" s="513"/>
      <c r="AF22" s="522"/>
      <c r="AG22" s="522"/>
      <c r="AH22" s="523"/>
    </row>
    <row r="23" ht="15.75" hidden="1" customHeight="1">
      <c r="A23" s="555"/>
      <c r="B23" s="556" t="s">
        <v>99</v>
      </c>
      <c r="C23" s="525"/>
      <c r="D23" s="526" t="str">
        <f>'1. Справочник'!C44</f>
        <v>D2 503</v>
      </c>
      <c r="E23" s="509"/>
      <c r="F23" s="527" t="s">
        <v>27</v>
      </c>
      <c r="G23" s="511"/>
      <c r="H23" s="511"/>
      <c r="I23" s="512"/>
      <c r="J23" s="513" t="s">
        <v>939</v>
      </c>
      <c r="K23" s="528">
        <v>9.0</v>
      </c>
      <c r="L23" s="559" t="b">
        <v>1</v>
      </c>
      <c r="M23" s="559" t="b">
        <v>1</v>
      </c>
      <c r="N23" s="530" t="b">
        <v>1</v>
      </c>
      <c r="O23" s="560" t="b">
        <v>0</v>
      </c>
      <c r="P23" s="559" t="b">
        <v>0</v>
      </c>
      <c r="Q23" s="560" t="b">
        <v>0</v>
      </c>
      <c r="R23" s="560" t="b">
        <v>0</v>
      </c>
      <c r="S23" s="560" t="b">
        <v>1</v>
      </c>
      <c r="T23" s="560" t="b">
        <v>1</v>
      </c>
      <c r="U23" s="560" t="b">
        <v>1</v>
      </c>
      <c r="V23" s="532" t="b">
        <v>0</v>
      </c>
      <c r="W23" s="545" t="b">
        <v>1</v>
      </c>
      <c r="X23" s="545" t="b">
        <v>1</v>
      </c>
      <c r="Y23" s="545" t="b">
        <v>0</v>
      </c>
      <c r="Z23" s="545" t="b">
        <v>0</v>
      </c>
      <c r="AA23" s="546" t="b">
        <v>1</v>
      </c>
      <c r="AB23" s="546" t="b">
        <v>1</v>
      </c>
      <c r="AC23" s="535" t="b">
        <v>1</v>
      </c>
      <c r="AD23" s="513"/>
      <c r="AE23" s="513"/>
      <c r="AF23" s="522"/>
      <c r="AG23" s="522"/>
      <c r="AH23" s="523"/>
    </row>
    <row r="24" ht="15.75" hidden="1" customHeight="1">
      <c r="A24" s="541"/>
      <c r="B24" s="542" t="s">
        <v>146</v>
      </c>
      <c r="C24" s="525"/>
      <c r="D24" s="526" t="str">
        <f>'1. Справочник'!C60</f>
        <v>NW 2-5</v>
      </c>
      <c r="E24" s="509"/>
      <c r="F24" s="527" t="s">
        <v>27</v>
      </c>
      <c r="G24" s="511"/>
      <c r="H24" s="511"/>
      <c r="I24" s="512"/>
      <c r="J24" s="513"/>
      <c r="K24" s="528">
        <v>7.0</v>
      </c>
      <c r="L24" s="543" t="b">
        <v>1</v>
      </c>
      <c r="M24" s="543" t="b">
        <v>1</v>
      </c>
      <c r="N24" s="530" t="b">
        <v>1</v>
      </c>
      <c r="O24" s="544" t="b">
        <v>0</v>
      </c>
      <c r="P24" s="543" t="b">
        <v>0</v>
      </c>
      <c r="Q24" s="544" t="b">
        <v>0</v>
      </c>
      <c r="R24" s="544" t="b">
        <v>0</v>
      </c>
      <c r="S24" s="544" t="b">
        <v>1</v>
      </c>
      <c r="T24" s="544" t="b">
        <v>1</v>
      </c>
      <c r="U24" s="557" t="b">
        <v>0</v>
      </c>
      <c r="V24" s="532" t="b">
        <v>0</v>
      </c>
      <c r="W24" s="534" t="b">
        <v>0</v>
      </c>
      <c r="X24" s="534" t="b">
        <v>0</v>
      </c>
      <c r="Y24" s="534" t="b">
        <v>0</v>
      </c>
      <c r="Z24" s="534" t="b">
        <v>0</v>
      </c>
      <c r="AA24" s="558" t="b">
        <v>1</v>
      </c>
      <c r="AB24" s="558" t="b">
        <v>1</v>
      </c>
      <c r="AC24" s="535" t="b">
        <v>1</v>
      </c>
      <c r="AD24" s="513"/>
      <c r="AE24" s="513"/>
      <c r="AF24" s="522"/>
      <c r="AG24" s="522"/>
      <c r="AH24" s="523"/>
    </row>
    <row r="25" ht="15.75" hidden="1" customHeight="1">
      <c r="A25" s="561"/>
      <c r="B25" s="562" t="s">
        <v>146</v>
      </c>
      <c r="C25" s="563"/>
      <c r="D25" s="564" t="str">
        <f>'1. Справочник'!C62</f>
        <v>NA 3-16</v>
      </c>
      <c r="E25" s="509"/>
      <c r="F25" s="527" t="s">
        <v>940</v>
      </c>
      <c r="G25" s="511"/>
      <c r="H25" s="511"/>
      <c r="I25" s="512"/>
      <c r="J25" s="513" t="s">
        <v>941</v>
      </c>
      <c r="K25" s="528">
        <v>6.0</v>
      </c>
      <c r="L25" s="565" t="b">
        <v>1</v>
      </c>
      <c r="M25" s="565" t="b">
        <v>1</v>
      </c>
      <c r="N25" s="566" t="s">
        <v>708</v>
      </c>
      <c r="O25" s="544"/>
      <c r="P25" s="543" t="s">
        <v>942</v>
      </c>
      <c r="Q25" s="567"/>
      <c r="R25" s="567"/>
      <c r="S25" s="567" t="b">
        <v>1</v>
      </c>
      <c r="T25" s="567" t="b">
        <v>1</v>
      </c>
      <c r="U25" s="567" t="b">
        <v>1</v>
      </c>
      <c r="V25" s="568" t="b">
        <v>1</v>
      </c>
      <c r="W25" s="569"/>
      <c r="X25" s="569"/>
      <c r="Y25" s="569" t="s">
        <v>441</v>
      </c>
      <c r="Z25" s="569"/>
      <c r="AA25" s="570" t="b">
        <v>0</v>
      </c>
      <c r="AB25" s="570" t="b">
        <v>0</v>
      </c>
      <c r="AC25" s="535" t="b">
        <v>1</v>
      </c>
      <c r="AD25" s="513"/>
      <c r="AE25" s="513"/>
      <c r="AF25" s="522"/>
      <c r="AG25" s="522" t="s">
        <v>943</v>
      </c>
      <c r="AH25" s="523"/>
    </row>
    <row r="26" ht="15.75" hidden="1" customHeight="1">
      <c r="A26" s="561"/>
      <c r="B26" s="562" t="s">
        <v>146</v>
      </c>
      <c r="C26" s="571"/>
      <c r="D26" s="572" t="str">
        <f>'1. Справочник'!C48</f>
        <v>CM 1304</v>
      </c>
      <c r="E26" s="509"/>
      <c r="F26" s="573" t="s">
        <v>27</v>
      </c>
      <c r="G26" s="511"/>
      <c r="H26" s="511"/>
      <c r="I26" s="512"/>
      <c r="J26" s="513" t="s">
        <v>944</v>
      </c>
      <c r="K26" s="528">
        <v>7.0</v>
      </c>
      <c r="L26" s="565" t="b">
        <v>1</v>
      </c>
      <c r="M26" s="565" t="b">
        <v>1</v>
      </c>
      <c r="N26" s="566" t="s">
        <v>945</v>
      </c>
      <c r="O26" s="544"/>
      <c r="P26" s="543" t="s">
        <v>946</v>
      </c>
      <c r="Q26" s="567"/>
      <c r="R26" s="567" t="b">
        <v>1</v>
      </c>
      <c r="S26" s="567" t="b">
        <v>1</v>
      </c>
      <c r="T26" s="567" t="b">
        <v>1</v>
      </c>
      <c r="U26" s="567" t="b">
        <v>1</v>
      </c>
      <c r="V26" s="568" t="b">
        <v>1</v>
      </c>
      <c r="W26" s="574" t="s">
        <v>623</v>
      </c>
      <c r="X26" s="574" t="s">
        <v>624</v>
      </c>
      <c r="Y26" s="569" t="s">
        <v>441</v>
      </c>
      <c r="Z26" s="569"/>
      <c r="AA26" s="570" t="b">
        <v>1</v>
      </c>
      <c r="AB26" s="570" t="b">
        <v>1</v>
      </c>
      <c r="AC26" s="535" t="b">
        <v>1</v>
      </c>
      <c r="AD26" s="575"/>
      <c r="AE26" s="575"/>
      <c r="AF26" s="576"/>
      <c r="AG26" s="522" t="s">
        <v>943</v>
      </c>
      <c r="AH26" s="577"/>
      <c r="AI26" s="164"/>
      <c r="AJ26" s="164"/>
      <c r="AK26" s="164"/>
      <c r="AL26" s="164"/>
      <c r="AM26" s="164"/>
      <c r="AN26" s="164"/>
      <c r="AO26" s="164"/>
      <c r="AP26" s="164"/>
      <c r="AQ26" s="164"/>
    </row>
    <row r="27" ht="15.75" hidden="1" customHeight="1">
      <c r="A27" s="561"/>
      <c r="B27" s="562" t="s">
        <v>146</v>
      </c>
      <c r="C27" s="571"/>
      <c r="D27" s="572" t="s">
        <v>947</v>
      </c>
      <c r="E27" s="509"/>
      <c r="F27" s="573" t="s">
        <v>27</v>
      </c>
      <c r="G27" s="511"/>
      <c r="H27" s="511"/>
      <c r="I27" s="512"/>
      <c r="J27" s="513" t="s">
        <v>944</v>
      </c>
      <c r="K27" s="528">
        <v>9.0</v>
      </c>
      <c r="L27" s="565" t="b">
        <v>1</v>
      </c>
      <c r="M27" s="565" t="b">
        <v>1</v>
      </c>
      <c r="N27" s="566" t="s">
        <v>662</v>
      </c>
      <c r="O27" s="544"/>
      <c r="P27" s="543" t="s">
        <v>948</v>
      </c>
      <c r="Q27" s="567"/>
      <c r="R27" s="567" t="b">
        <v>1</v>
      </c>
      <c r="S27" s="567" t="b">
        <v>1</v>
      </c>
      <c r="T27" s="567" t="b">
        <v>1</v>
      </c>
      <c r="U27" s="567" t="b">
        <v>1</v>
      </c>
      <c r="V27" s="568" t="b">
        <v>1</v>
      </c>
      <c r="W27" s="574" t="s">
        <v>664</v>
      </c>
      <c r="X27" s="574" t="s">
        <v>949</v>
      </c>
      <c r="Y27" s="569" t="s">
        <v>441</v>
      </c>
      <c r="Z27" s="569"/>
      <c r="AA27" s="570" t="b">
        <v>1</v>
      </c>
      <c r="AB27" s="570" t="b">
        <v>1</v>
      </c>
      <c r="AC27" s="535" t="b">
        <v>1</v>
      </c>
      <c r="AD27" s="575"/>
      <c r="AE27" s="575"/>
      <c r="AF27" s="576"/>
      <c r="AG27" s="522" t="s">
        <v>943</v>
      </c>
      <c r="AH27" s="577"/>
      <c r="AI27" s="164"/>
      <c r="AJ27" s="164"/>
      <c r="AK27" s="164"/>
      <c r="AL27" s="164"/>
      <c r="AM27" s="164"/>
      <c r="AN27" s="164"/>
      <c r="AO27" s="164"/>
      <c r="AP27" s="164"/>
      <c r="AQ27" s="164"/>
    </row>
    <row r="28" ht="15.75" hidden="1" customHeight="1">
      <c r="A28" s="578"/>
      <c r="B28" s="579" t="s">
        <v>177</v>
      </c>
      <c r="C28" s="580"/>
      <c r="D28" s="581" t="str">
        <f>'1. Справочник'!C17</f>
        <v>BV A 100</v>
      </c>
      <c r="E28" s="509"/>
      <c r="F28" s="582" t="s">
        <v>940</v>
      </c>
      <c r="G28" s="583"/>
      <c r="H28" s="583"/>
      <c r="I28" s="584"/>
      <c r="J28" s="585" t="s">
        <v>944</v>
      </c>
      <c r="K28" s="586">
        <v>2.0</v>
      </c>
      <c r="L28" s="587" t="b">
        <v>1</v>
      </c>
      <c r="M28" s="587" t="b">
        <v>1</v>
      </c>
      <c r="N28" s="566" t="s">
        <v>429</v>
      </c>
      <c r="O28" s="588"/>
      <c r="P28" s="587" t="s">
        <v>942</v>
      </c>
      <c r="Q28" s="588"/>
      <c r="R28" s="588"/>
      <c r="S28" s="588" t="b">
        <v>1</v>
      </c>
      <c r="T28" s="588" t="b">
        <v>1</v>
      </c>
      <c r="U28" s="588" t="b">
        <v>1</v>
      </c>
      <c r="V28" s="589" t="b">
        <v>1</v>
      </c>
      <c r="W28" s="590"/>
      <c r="X28" s="590"/>
      <c r="Y28" s="590" t="s">
        <v>441</v>
      </c>
      <c r="Z28" s="590"/>
      <c r="AA28" s="591" t="b">
        <v>1</v>
      </c>
      <c r="AB28" s="591" t="b">
        <v>1</v>
      </c>
      <c r="AC28" s="591" t="b">
        <v>1</v>
      </c>
      <c r="AD28" s="585"/>
      <c r="AE28" s="585"/>
      <c r="AF28" s="592"/>
      <c r="AG28" s="592" t="s">
        <v>942</v>
      </c>
      <c r="AH28" s="593" t="s">
        <v>950</v>
      </c>
      <c r="AI28" s="594"/>
      <c r="AJ28" s="594"/>
      <c r="AK28" s="594"/>
      <c r="AL28" s="594"/>
      <c r="AM28" s="594"/>
      <c r="AN28" s="594"/>
      <c r="AO28" s="594"/>
      <c r="AP28" s="594"/>
      <c r="AQ28" s="594"/>
    </row>
    <row r="29" ht="15.75" hidden="1" customHeight="1">
      <c r="A29" s="578"/>
      <c r="B29" s="579" t="s">
        <v>177</v>
      </c>
      <c r="C29" s="563"/>
      <c r="D29" s="564" t="str">
        <f>'1. Справочник'!C6</f>
        <v>WS В 807</v>
      </c>
      <c r="E29" s="509"/>
      <c r="F29" s="582" t="s">
        <v>940</v>
      </c>
      <c r="G29" s="583"/>
      <c r="H29" s="583"/>
      <c r="I29" s="584"/>
      <c r="J29" s="585" t="s">
        <v>944</v>
      </c>
      <c r="K29" s="528">
        <v>7.0</v>
      </c>
      <c r="L29" s="565" t="b">
        <v>1</v>
      </c>
      <c r="M29" s="565" t="b">
        <v>1</v>
      </c>
      <c r="N29" s="566" t="s">
        <v>356</v>
      </c>
      <c r="O29" s="567"/>
      <c r="P29" s="565" t="s">
        <v>946</v>
      </c>
      <c r="Q29" s="567" t="b">
        <v>1</v>
      </c>
      <c r="R29" s="567" t="b">
        <v>1</v>
      </c>
      <c r="S29" s="567" t="b">
        <v>1</v>
      </c>
      <c r="T29" s="567" t="b">
        <v>1</v>
      </c>
      <c r="U29" s="567" t="b">
        <v>1</v>
      </c>
      <c r="V29" s="595" t="b">
        <v>1</v>
      </c>
      <c r="W29" s="596" t="s">
        <v>951</v>
      </c>
      <c r="X29" s="574" t="s">
        <v>952</v>
      </c>
      <c r="Y29" s="574" t="s">
        <v>953</v>
      </c>
      <c r="Z29" s="569"/>
      <c r="AA29" s="570" t="b">
        <v>1</v>
      </c>
      <c r="AB29" s="570" t="b">
        <v>1</v>
      </c>
      <c r="AC29" s="570" t="b">
        <v>1</v>
      </c>
      <c r="AD29" s="513"/>
      <c r="AE29" s="513"/>
      <c r="AF29" s="522"/>
      <c r="AG29" s="522" t="s">
        <v>942</v>
      </c>
      <c r="AH29" s="523" t="s">
        <v>954</v>
      </c>
    </row>
    <row r="30" ht="15.75" hidden="1" customHeight="1">
      <c r="A30" s="578"/>
      <c r="B30" s="579" t="s">
        <v>58</v>
      </c>
      <c r="C30" s="563"/>
      <c r="D30" s="564" t="s">
        <v>67</v>
      </c>
      <c r="E30" s="509"/>
      <c r="F30" s="582" t="s">
        <v>940</v>
      </c>
      <c r="G30" s="583"/>
      <c r="H30" s="583"/>
      <c r="I30" s="584"/>
      <c r="J30" s="585" t="s">
        <v>944</v>
      </c>
      <c r="K30" s="528">
        <v>6.0</v>
      </c>
      <c r="L30" s="565" t="b">
        <v>1</v>
      </c>
      <c r="M30" s="565" t="b">
        <v>1</v>
      </c>
      <c r="N30" s="566" t="s">
        <v>443</v>
      </c>
      <c r="O30" s="567"/>
      <c r="P30" s="565" t="s">
        <v>946</v>
      </c>
      <c r="Q30" s="567" t="b">
        <v>1</v>
      </c>
      <c r="R30" s="567" t="b">
        <v>1</v>
      </c>
      <c r="S30" s="567" t="b">
        <v>1</v>
      </c>
      <c r="T30" s="567" t="b">
        <v>1</v>
      </c>
      <c r="U30" s="567" t="b">
        <v>1</v>
      </c>
      <c r="V30" s="595" t="b">
        <v>0</v>
      </c>
      <c r="W30" s="597" t="s">
        <v>955</v>
      </c>
      <c r="X30" s="574" t="s">
        <v>956</v>
      </c>
      <c r="Y30" s="569"/>
      <c r="Z30" s="569"/>
      <c r="AA30" s="570" t="b">
        <v>1</v>
      </c>
      <c r="AB30" s="570" t="b">
        <v>1</v>
      </c>
      <c r="AC30" s="570" t="b">
        <v>1</v>
      </c>
      <c r="AD30" s="513"/>
      <c r="AE30" s="513"/>
      <c r="AF30" s="522"/>
      <c r="AG30" s="522" t="s">
        <v>942</v>
      </c>
      <c r="AH30" s="523" t="s">
        <v>954</v>
      </c>
    </row>
    <row r="31" ht="15.75" hidden="1" customHeight="1">
      <c r="A31" s="561"/>
      <c r="B31" s="562" t="s">
        <v>146</v>
      </c>
      <c r="C31" s="571"/>
      <c r="D31" s="572" t="s">
        <v>957</v>
      </c>
      <c r="E31" s="509"/>
      <c r="F31" s="582" t="s">
        <v>27</v>
      </c>
      <c r="G31" s="511"/>
      <c r="H31" s="511"/>
      <c r="I31" s="512"/>
      <c r="J31" s="513" t="s">
        <v>944</v>
      </c>
      <c r="K31" s="528">
        <v>8.0</v>
      </c>
      <c r="L31" s="598" t="b">
        <v>1</v>
      </c>
      <c r="M31" s="598" t="b">
        <v>1</v>
      </c>
      <c r="N31" s="599" t="s">
        <v>627</v>
      </c>
      <c r="O31" s="600"/>
      <c r="P31" s="598" t="s">
        <v>942</v>
      </c>
      <c r="Q31" s="600" t="b">
        <v>1</v>
      </c>
      <c r="R31" s="600" t="b">
        <v>1</v>
      </c>
      <c r="S31" s="600" t="b">
        <v>1</v>
      </c>
      <c r="T31" s="600" t="b">
        <v>1</v>
      </c>
      <c r="U31" s="600" t="b">
        <v>1</v>
      </c>
      <c r="V31" s="601" t="b">
        <v>1</v>
      </c>
      <c r="W31" s="602" t="s">
        <v>958</v>
      </c>
      <c r="X31" s="603" t="s">
        <v>630</v>
      </c>
      <c r="Y31" s="604"/>
      <c r="Z31" s="604"/>
      <c r="AA31" s="605" t="b">
        <v>1</v>
      </c>
      <c r="AB31" s="605" t="b">
        <v>1</v>
      </c>
      <c r="AC31" s="606" t="b">
        <v>1</v>
      </c>
      <c r="AD31" s="513"/>
      <c r="AE31" s="513"/>
      <c r="AF31" s="522"/>
      <c r="AG31" s="522" t="s">
        <v>942</v>
      </c>
      <c r="AH31" s="523" t="s">
        <v>959</v>
      </c>
    </row>
    <row r="32" ht="15.75" hidden="1" customHeight="1">
      <c r="A32" s="536"/>
      <c r="B32" s="537" t="s">
        <v>177</v>
      </c>
      <c r="C32" s="563"/>
      <c r="D32" s="564" t="s">
        <v>960</v>
      </c>
      <c r="E32" s="509"/>
      <c r="F32" s="582" t="s">
        <v>940</v>
      </c>
      <c r="G32" s="511"/>
      <c r="H32" s="511"/>
      <c r="I32" s="512"/>
      <c r="J32" s="513" t="s">
        <v>944</v>
      </c>
      <c r="K32" s="528">
        <v>7.0</v>
      </c>
      <c r="L32" s="543" t="b">
        <v>1</v>
      </c>
      <c r="M32" s="543" t="b">
        <v>1</v>
      </c>
      <c r="N32" s="566" t="s">
        <v>714</v>
      </c>
      <c r="O32" s="544"/>
      <c r="P32" s="543" t="s">
        <v>946</v>
      </c>
      <c r="Q32" s="544" t="b">
        <v>1</v>
      </c>
      <c r="R32" s="544" t="b">
        <v>1</v>
      </c>
      <c r="S32" s="544" t="b">
        <v>1</v>
      </c>
      <c r="T32" s="544" t="b">
        <v>1</v>
      </c>
      <c r="U32" s="544" t="b">
        <v>1</v>
      </c>
      <c r="V32" s="568" t="b">
        <v>1</v>
      </c>
      <c r="W32" s="607" t="s">
        <v>961</v>
      </c>
      <c r="X32" s="607" t="s">
        <v>418</v>
      </c>
      <c r="Y32" s="608" t="s">
        <v>441</v>
      </c>
      <c r="Z32" s="608"/>
      <c r="AA32" s="546" t="b">
        <v>1</v>
      </c>
      <c r="AB32" s="546" t="b">
        <v>1</v>
      </c>
      <c r="AC32" s="535" t="b">
        <v>1</v>
      </c>
      <c r="AD32" s="513"/>
      <c r="AE32" s="513"/>
      <c r="AF32" s="522"/>
      <c r="AG32" s="522" t="s">
        <v>942</v>
      </c>
      <c r="AH32" s="523" t="s">
        <v>954</v>
      </c>
    </row>
    <row r="33" ht="15.75" hidden="1" customHeight="1">
      <c r="A33" s="578"/>
      <c r="B33" s="579" t="s">
        <v>146</v>
      </c>
      <c r="C33" s="525"/>
      <c r="D33" s="526" t="s">
        <v>144</v>
      </c>
      <c r="E33" s="509"/>
      <c r="F33" s="582" t="s">
        <v>962</v>
      </c>
      <c r="G33" s="511"/>
      <c r="H33" s="511"/>
      <c r="I33" s="512"/>
      <c r="J33" s="513" t="s">
        <v>944</v>
      </c>
      <c r="K33" s="528">
        <v>4.0</v>
      </c>
      <c r="L33" s="543" t="b">
        <v>1</v>
      </c>
      <c r="M33" s="543" t="b">
        <v>1</v>
      </c>
      <c r="N33" s="609" t="s">
        <v>736</v>
      </c>
      <c r="O33" s="610"/>
      <c r="P33" s="543" t="s">
        <v>942</v>
      </c>
      <c r="Q33" s="544" t="b">
        <v>1</v>
      </c>
      <c r="R33" s="544"/>
      <c r="S33" s="544" t="b">
        <v>1</v>
      </c>
      <c r="T33" s="544" t="b">
        <v>1</v>
      </c>
      <c r="U33" s="544" t="b">
        <v>1</v>
      </c>
      <c r="V33" s="568" t="b">
        <v>1</v>
      </c>
      <c r="W33" s="607" t="s">
        <v>963</v>
      </c>
      <c r="X33" s="607" t="s">
        <v>739</v>
      </c>
      <c r="Y33" s="608" t="s">
        <v>441</v>
      </c>
      <c r="Z33" s="608"/>
      <c r="AA33" s="546" t="b">
        <v>1</v>
      </c>
      <c r="AB33" s="546" t="b">
        <v>1</v>
      </c>
      <c r="AC33" s="535" t="b">
        <v>1</v>
      </c>
      <c r="AD33" s="513"/>
      <c r="AE33" s="513"/>
      <c r="AF33" s="522"/>
      <c r="AG33" s="522" t="s">
        <v>943</v>
      </c>
      <c r="AH33" s="523"/>
    </row>
    <row r="34" ht="15.75" hidden="1" customHeight="1">
      <c r="A34" s="578"/>
      <c r="B34" s="579" t="s">
        <v>146</v>
      </c>
      <c r="C34" s="563"/>
      <c r="D34" s="564" t="s">
        <v>147</v>
      </c>
      <c r="E34" s="509"/>
      <c r="F34" s="582" t="s">
        <v>27</v>
      </c>
      <c r="G34" s="511"/>
      <c r="H34" s="511"/>
      <c r="I34" s="512"/>
      <c r="J34" s="513" t="s">
        <v>944</v>
      </c>
      <c r="K34" s="528">
        <v>9.0</v>
      </c>
      <c r="L34" s="543" t="b">
        <v>1</v>
      </c>
      <c r="M34" s="543" t="b">
        <v>1</v>
      </c>
      <c r="N34" s="566" t="s">
        <v>964</v>
      </c>
      <c r="O34" s="544"/>
      <c r="P34" s="543" t="s">
        <v>948</v>
      </c>
      <c r="Q34" s="544" t="b">
        <v>1</v>
      </c>
      <c r="R34" s="544" t="b">
        <v>1</v>
      </c>
      <c r="S34" s="544" t="b">
        <v>1</v>
      </c>
      <c r="T34" s="544" t="b">
        <v>1</v>
      </c>
      <c r="U34" s="544" t="b">
        <v>1</v>
      </c>
      <c r="V34" s="568" t="b">
        <v>1</v>
      </c>
      <c r="W34" s="607" t="s">
        <v>743</v>
      </c>
      <c r="X34" s="607" t="s">
        <v>744</v>
      </c>
      <c r="Y34" s="608"/>
      <c r="Z34" s="608"/>
      <c r="AA34" s="546" t="b">
        <v>1</v>
      </c>
      <c r="AB34" s="546" t="b">
        <v>1</v>
      </c>
      <c r="AC34" s="535" t="b">
        <v>1</v>
      </c>
      <c r="AD34" s="513"/>
      <c r="AE34" s="513"/>
      <c r="AF34" s="522"/>
      <c r="AG34" s="522" t="s">
        <v>942</v>
      </c>
      <c r="AH34" s="523" t="s">
        <v>954</v>
      </c>
    </row>
    <row r="35" ht="15.75" hidden="1" customHeight="1">
      <c r="A35" s="611"/>
      <c r="B35" s="612" t="s">
        <v>58</v>
      </c>
      <c r="C35" s="563"/>
      <c r="D35" s="564" t="s">
        <v>70</v>
      </c>
      <c r="E35" s="509"/>
      <c r="F35" s="582" t="s">
        <v>940</v>
      </c>
      <c r="G35" s="511"/>
      <c r="H35" s="511"/>
      <c r="I35" s="512"/>
      <c r="J35" s="513" t="s">
        <v>944</v>
      </c>
      <c r="K35" s="528">
        <v>6.0</v>
      </c>
      <c r="L35" s="543" t="b">
        <v>1</v>
      </c>
      <c r="M35" s="543" t="b">
        <v>1</v>
      </c>
      <c r="N35" s="613" t="s">
        <v>965</v>
      </c>
      <c r="O35" s="544"/>
      <c r="P35" s="543" t="s">
        <v>948</v>
      </c>
      <c r="Q35" s="544" t="b">
        <v>1</v>
      </c>
      <c r="R35" s="544" t="b">
        <v>1</v>
      </c>
      <c r="S35" s="544" t="b">
        <v>1</v>
      </c>
      <c r="T35" s="544" t="b">
        <v>1</v>
      </c>
      <c r="U35" s="544" t="b">
        <v>1</v>
      </c>
      <c r="V35" s="568" t="b">
        <v>1</v>
      </c>
      <c r="W35" s="607" t="s">
        <v>453</v>
      </c>
      <c r="X35" s="608" t="s">
        <v>441</v>
      </c>
      <c r="Y35" s="603" t="s">
        <v>454</v>
      </c>
      <c r="Z35" s="608"/>
      <c r="AA35" s="546" t="b">
        <v>1</v>
      </c>
      <c r="AB35" s="546" t="b">
        <v>1</v>
      </c>
      <c r="AC35" s="535" t="b">
        <v>1</v>
      </c>
      <c r="AD35" s="513"/>
      <c r="AE35" s="513"/>
      <c r="AF35" s="522"/>
      <c r="AG35" s="522" t="s">
        <v>942</v>
      </c>
      <c r="AH35" s="523" t="s">
        <v>954</v>
      </c>
    </row>
    <row r="36" ht="15.75" hidden="1" customHeight="1">
      <c r="A36" s="611"/>
      <c r="B36" s="612" t="s">
        <v>58</v>
      </c>
      <c r="C36" s="563"/>
      <c r="D36" s="564" t="s">
        <v>73</v>
      </c>
      <c r="E36" s="509"/>
      <c r="F36" s="582" t="s">
        <v>940</v>
      </c>
      <c r="G36" s="511"/>
      <c r="H36" s="511"/>
      <c r="I36" s="512"/>
      <c r="J36" s="513" t="s">
        <v>944</v>
      </c>
      <c r="K36" s="528">
        <v>6.0</v>
      </c>
      <c r="L36" s="543" t="b">
        <v>1</v>
      </c>
      <c r="M36" s="543" t="b">
        <v>1</v>
      </c>
      <c r="N36" s="614"/>
      <c r="O36" s="544"/>
      <c r="P36" s="543" t="s">
        <v>948</v>
      </c>
      <c r="Q36" s="544" t="b">
        <v>1</v>
      </c>
      <c r="R36" s="544" t="b">
        <v>1</v>
      </c>
      <c r="S36" s="544" t="b">
        <v>1</v>
      </c>
      <c r="T36" s="544" t="b">
        <v>1</v>
      </c>
      <c r="U36" s="544" t="b">
        <v>1</v>
      </c>
      <c r="V36" s="568" t="b">
        <v>1</v>
      </c>
      <c r="W36" s="607" t="s">
        <v>966</v>
      </c>
      <c r="X36" s="608" t="s">
        <v>967</v>
      </c>
      <c r="Y36" s="614"/>
      <c r="Z36" s="608"/>
      <c r="AA36" s="546" t="b">
        <v>1</v>
      </c>
      <c r="AB36" s="546" t="b">
        <v>1</v>
      </c>
      <c r="AC36" s="535" t="b">
        <v>1</v>
      </c>
      <c r="AD36" s="513"/>
      <c r="AE36" s="513"/>
      <c r="AF36" s="522"/>
      <c r="AG36" s="522" t="s">
        <v>942</v>
      </c>
      <c r="AH36" s="523" t="s">
        <v>954</v>
      </c>
    </row>
    <row r="37" ht="15.75" hidden="1" customHeight="1">
      <c r="A37" s="611"/>
      <c r="B37" s="612" t="s">
        <v>58</v>
      </c>
      <c r="C37" s="563"/>
      <c r="D37" s="564" t="s">
        <v>75</v>
      </c>
      <c r="E37" s="509"/>
      <c r="F37" s="582" t="s">
        <v>940</v>
      </c>
      <c r="G37" s="511"/>
      <c r="H37" s="511"/>
      <c r="I37" s="512"/>
      <c r="J37" s="513" t="s">
        <v>944</v>
      </c>
      <c r="K37" s="528">
        <v>6.0</v>
      </c>
      <c r="L37" s="543" t="b">
        <v>1</v>
      </c>
      <c r="M37" s="543" t="b">
        <v>1</v>
      </c>
      <c r="N37" s="615"/>
      <c r="O37" s="544"/>
      <c r="P37" s="543" t="s">
        <v>948</v>
      </c>
      <c r="Q37" s="544" t="b">
        <v>1</v>
      </c>
      <c r="R37" s="544" t="b">
        <v>1</v>
      </c>
      <c r="S37" s="544" t="b">
        <v>1</v>
      </c>
      <c r="T37" s="544" t="b">
        <v>1</v>
      </c>
      <c r="U37" s="544" t="b">
        <v>1</v>
      </c>
      <c r="V37" s="568" t="b">
        <v>1</v>
      </c>
      <c r="W37" s="607" t="s">
        <v>968</v>
      </c>
      <c r="X37" s="608" t="s">
        <v>441</v>
      </c>
      <c r="Y37" s="615"/>
      <c r="Z37" s="608"/>
      <c r="AA37" s="546" t="b">
        <v>1</v>
      </c>
      <c r="AB37" s="546" t="b">
        <v>1</v>
      </c>
      <c r="AC37" s="535" t="b">
        <v>1</v>
      </c>
      <c r="AD37" s="513"/>
      <c r="AE37" s="513"/>
      <c r="AF37" s="522"/>
      <c r="AG37" s="522" t="s">
        <v>942</v>
      </c>
      <c r="AH37" s="523" t="s">
        <v>954</v>
      </c>
    </row>
    <row r="38" ht="15.75" hidden="1" customHeight="1">
      <c r="A38" s="578"/>
      <c r="B38" s="616" t="s">
        <v>146</v>
      </c>
      <c r="C38" s="617"/>
      <c r="D38" s="618" t="s">
        <v>175</v>
      </c>
      <c r="E38" s="509"/>
      <c r="F38" s="619" t="s">
        <v>940</v>
      </c>
      <c r="G38" s="511"/>
      <c r="H38" s="511"/>
      <c r="I38" s="512"/>
      <c r="J38" s="513" t="s">
        <v>944</v>
      </c>
      <c r="K38" s="528">
        <v>6.0</v>
      </c>
      <c r="L38" s="620" t="b">
        <v>1</v>
      </c>
      <c r="M38" s="620" t="b">
        <v>1</v>
      </c>
      <c r="N38" s="621" t="s">
        <v>670</v>
      </c>
      <c r="O38" s="622"/>
      <c r="P38" s="620" t="s">
        <v>942</v>
      </c>
      <c r="Q38" s="622" t="b">
        <v>1</v>
      </c>
      <c r="R38" s="622"/>
      <c r="S38" s="622" t="b">
        <v>1</v>
      </c>
      <c r="T38" s="622" t="b">
        <v>1</v>
      </c>
      <c r="U38" s="622" t="b">
        <v>1</v>
      </c>
      <c r="V38" s="568" t="b">
        <v>1</v>
      </c>
      <c r="W38" s="623" t="s">
        <v>672</v>
      </c>
      <c r="X38" s="623" t="s">
        <v>673</v>
      </c>
      <c r="Y38" s="624"/>
      <c r="Z38" s="624"/>
      <c r="AA38" s="625" t="b">
        <v>1</v>
      </c>
      <c r="AB38" s="626" t="b">
        <v>1</v>
      </c>
      <c r="AC38" s="627" t="b">
        <v>1</v>
      </c>
      <c r="AD38" s="513"/>
      <c r="AE38" s="513"/>
      <c r="AF38" s="522"/>
      <c r="AG38" s="522" t="s">
        <v>942</v>
      </c>
      <c r="AH38" s="523" t="s">
        <v>954</v>
      </c>
    </row>
    <row r="39" ht="15.75" hidden="1" customHeight="1">
      <c r="A39" s="578"/>
      <c r="B39" s="628" t="s">
        <v>146</v>
      </c>
      <c r="C39" s="629"/>
      <c r="D39" s="630" t="s">
        <v>969</v>
      </c>
      <c r="E39" s="509"/>
      <c r="F39" s="631" t="s">
        <v>27</v>
      </c>
      <c r="G39" s="511"/>
      <c r="H39" s="511"/>
      <c r="I39" s="512"/>
      <c r="J39" s="513" t="s">
        <v>944</v>
      </c>
      <c r="K39" s="632">
        <v>9.0</v>
      </c>
      <c r="L39" s="598" t="b">
        <v>1</v>
      </c>
      <c r="M39" s="598" t="b">
        <v>1</v>
      </c>
      <c r="N39" s="633" t="s">
        <v>747</v>
      </c>
      <c r="O39" s="600"/>
      <c r="P39" s="598" t="s">
        <v>942</v>
      </c>
      <c r="Q39" s="600" t="b">
        <v>1</v>
      </c>
      <c r="R39" s="600"/>
      <c r="S39" s="600" t="b">
        <v>1</v>
      </c>
      <c r="T39" s="600" t="b">
        <v>1</v>
      </c>
      <c r="U39" s="600" t="b">
        <v>1</v>
      </c>
      <c r="V39" s="601" t="b">
        <v>1</v>
      </c>
      <c r="W39" s="604"/>
      <c r="X39" s="604"/>
      <c r="Y39" s="604"/>
      <c r="Z39" s="604"/>
      <c r="AA39" s="605" t="b">
        <v>0</v>
      </c>
      <c r="AB39" s="605" t="b">
        <v>0</v>
      </c>
      <c r="AC39" s="606" t="b">
        <v>0</v>
      </c>
      <c r="AD39" s="513"/>
      <c r="AE39" s="513"/>
      <c r="AF39" s="522"/>
      <c r="AG39" s="522" t="s">
        <v>943</v>
      </c>
      <c r="AH39" s="523"/>
    </row>
    <row r="40" ht="12.0" hidden="1" customHeight="1">
      <c r="A40" s="634"/>
      <c r="B40" s="635" t="s">
        <v>58</v>
      </c>
      <c r="C40" s="636"/>
      <c r="D40" s="637" t="s">
        <v>970</v>
      </c>
      <c r="E40" s="509"/>
      <c r="F40" s="638" t="s">
        <v>27</v>
      </c>
      <c r="G40" s="639"/>
      <c r="H40" s="639"/>
      <c r="I40" s="640"/>
      <c r="J40" s="641" t="s">
        <v>944</v>
      </c>
      <c r="K40" s="642">
        <v>7.0</v>
      </c>
      <c r="L40" s="643" t="b">
        <v>1</v>
      </c>
      <c r="M40" s="643" t="b">
        <v>1</v>
      </c>
      <c r="N40" s="644" t="s">
        <v>466</v>
      </c>
      <c r="O40" s="645"/>
      <c r="P40" s="646" t="s">
        <v>971</v>
      </c>
      <c r="Q40" s="647" t="b">
        <v>1</v>
      </c>
      <c r="R40" s="647" t="b">
        <v>1</v>
      </c>
      <c r="S40" s="647" t="b">
        <v>1</v>
      </c>
      <c r="T40" s="647" t="b">
        <v>1</v>
      </c>
      <c r="U40" s="647" t="b">
        <v>1</v>
      </c>
      <c r="V40" s="648" t="b">
        <v>1</v>
      </c>
      <c r="W40" s="649" t="s">
        <v>483</v>
      </c>
      <c r="X40" s="649" t="s">
        <v>972</v>
      </c>
      <c r="Y40" s="650" t="s">
        <v>973</v>
      </c>
      <c r="Z40" s="651"/>
      <c r="AA40" s="652" t="b">
        <v>1</v>
      </c>
      <c r="AB40" s="652" t="b">
        <v>1</v>
      </c>
      <c r="AC40" s="653" t="b">
        <v>1</v>
      </c>
      <c r="AD40" s="641"/>
      <c r="AE40" s="641"/>
      <c r="AF40" s="654"/>
      <c r="AG40" s="654" t="s">
        <v>942</v>
      </c>
      <c r="AH40" s="655" t="s">
        <v>954</v>
      </c>
      <c r="AI40" s="656"/>
      <c r="AJ40" s="656"/>
      <c r="AK40" s="656"/>
      <c r="AL40" s="656"/>
      <c r="AM40" s="656"/>
      <c r="AN40" s="656"/>
      <c r="AO40" s="656"/>
      <c r="AP40" s="656"/>
      <c r="AQ40" s="657"/>
    </row>
    <row r="41" ht="12.0" hidden="1" customHeight="1">
      <c r="A41" s="634"/>
      <c r="B41" s="658" t="s">
        <v>58</v>
      </c>
      <c r="C41" s="525"/>
      <c r="D41" s="526" t="s">
        <v>974</v>
      </c>
      <c r="E41" s="509"/>
      <c r="F41" s="582" t="s">
        <v>27</v>
      </c>
      <c r="G41" s="511"/>
      <c r="H41" s="511"/>
      <c r="I41" s="512"/>
      <c r="J41" s="513" t="s">
        <v>944</v>
      </c>
      <c r="K41" s="528">
        <v>7.0</v>
      </c>
      <c r="L41" s="543" t="b">
        <v>1</v>
      </c>
      <c r="M41" s="543" t="b">
        <v>1</v>
      </c>
      <c r="N41" s="659"/>
      <c r="O41" s="660"/>
      <c r="P41" s="661"/>
      <c r="Q41" s="544" t="b">
        <v>1</v>
      </c>
      <c r="R41" s="544" t="b">
        <v>1</v>
      </c>
      <c r="S41" s="544" t="b">
        <v>1</v>
      </c>
      <c r="T41" s="544" t="b">
        <v>1</v>
      </c>
      <c r="U41" s="544" t="b">
        <v>1</v>
      </c>
      <c r="V41" s="662" t="b">
        <v>1</v>
      </c>
      <c r="W41" s="663" t="s">
        <v>488</v>
      </c>
      <c r="X41" s="664"/>
      <c r="Y41" s="650" t="s">
        <v>973</v>
      </c>
      <c r="Z41" s="664"/>
      <c r="AA41" s="665" t="b">
        <v>1</v>
      </c>
      <c r="AB41" s="665" t="b">
        <v>1</v>
      </c>
      <c r="AC41" s="666" t="b">
        <v>1</v>
      </c>
      <c r="AD41" s="513"/>
      <c r="AE41" s="513"/>
      <c r="AF41" s="667"/>
      <c r="AG41" s="667" t="s">
        <v>942</v>
      </c>
      <c r="AH41" s="668" t="s">
        <v>954</v>
      </c>
      <c r="AI41" s="251"/>
      <c r="AJ41" s="251"/>
      <c r="AK41" s="251"/>
      <c r="AL41" s="251"/>
      <c r="AM41" s="251"/>
      <c r="AN41" s="251"/>
      <c r="AO41" s="251"/>
      <c r="AP41" s="251"/>
      <c r="AQ41" s="669"/>
    </row>
    <row r="42" ht="12.0" hidden="1" customHeight="1">
      <c r="A42" s="634"/>
      <c r="B42" s="658" t="s">
        <v>58</v>
      </c>
      <c r="C42" s="525"/>
      <c r="D42" s="526" t="s">
        <v>975</v>
      </c>
      <c r="E42" s="509"/>
      <c r="F42" s="582" t="s">
        <v>27</v>
      </c>
      <c r="G42" s="511"/>
      <c r="H42" s="511"/>
      <c r="I42" s="512"/>
      <c r="J42" s="513" t="s">
        <v>944</v>
      </c>
      <c r="K42" s="528">
        <v>7.0</v>
      </c>
      <c r="L42" s="543" t="b">
        <v>1</v>
      </c>
      <c r="M42" s="543" t="b">
        <v>1</v>
      </c>
      <c r="N42" s="659"/>
      <c r="O42" s="660"/>
      <c r="P42" s="661"/>
      <c r="Q42" s="544" t="b">
        <v>1</v>
      </c>
      <c r="R42" s="544" t="b">
        <v>1</v>
      </c>
      <c r="S42" s="544" t="b">
        <v>1</v>
      </c>
      <c r="T42" s="544" t="b">
        <v>1</v>
      </c>
      <c r="U42" s="544" t="b">
        <v>1</v>
      </c>
      <c r="V42" s="662" t="b">
        <v>1</v>
      </c>
      <c r="W42" s="670" t="s">
        <v>477</v>
      </c>
      <c r="X42" s="670" t="s">
        <v>976</v>
      </c>
      <c r="Y42" s="650" t="s">
        <v>973</v>
      </c>
      <c r="Z42" s="664"/>
      <c r="AA42" s="665" t="b">
        <v>1</v>
      </c>
      <c r="AB42" s="665" t="b">
        <v>1</v>
      </c>
      <c r="AC42" s="666" t="b">
        <v>1</v>
      </c>
      <c r="AD42" s="513"/>
      <c r="AE42" s="513"/>
      <c r="AF42" s="667"/>
      <c r="AG42" s="667" t="s">
        <v>942</v>
      </c>
      <c r="AH42" s="668" t="s">
        <v>954</v>
      </c>
      <c r="AI42" s="251"/>
      <c r="AJ42" s="251"/>
      <c r="AK42" s="251"/>
      <c r="AL42" s="251"/>
      <c r="AM42" s="251"/>
      <c r="AN42" s="251"/>
      <c r="AO42" s="251"/>
      <c r="AP42" s="251"/>
      <c r="AQ42" s="669"/>
    </row>
    <row r="43" ht="12.0" hidden="1" customHeight="1">
      <c r="A43" s="634"/>
      <c r="B43" s="658" t="s">
        <v>58</v>
      </c>
      <c r="C43" s="525"/>
      <c r="D43" s="526" t="s">
        <v>977</v>
      </c>
      <c r="E43" s="509"/>
      <c r="F43" s="631" t="s">
        <v>940</v>
      </c>
      <c r="G43" s="671"/>
      <c r="H43" s="671"/>
      <c r="I43" s="672"/>
      <c r="J43" s="673" t="s">
        <v>944</v>
      </c>
      <c r="K43" s="674">
        <v>7.0</v>
      </c>
      <c r="L43" s="598" t="b">
        <v>1</v>
      </c>
      <c r="M43" s="598" t="b">
        <v>1</v>
      </c>
      <c r="N43" s="659"/>
      <c r="O43" s="660"/>
      <c r="P43" s="661"/>
      <c r="Q43" s="544" t="b">
        <v>1</v>
      </c>
      <c r="R43" s="544" t="b">
        <v>1</v>
      </c>
      <c r="S43" s="544" t="b">
        <v>1</v>
      </c>
      <c r="T43" s="544" t="b">
        <v>1</v>
      </c>
      <c r="U43" s="544" t="b">
        <v>1</v>
      </c>
      <c r="V43" s="662" t="b">
        <v>1</v>
      </c>
      <c r="W43" s="670" t="s">
        <v>506</v>
      </c>
      <c r="X43" s="670" t="s">
        <v>978</v>
      </c>
      <c r="Y43" s="650" t="s">
        <v>973</v>
      </c>
      <c r="Z43" s="664"/>
      <c r="AA43" s="665" t="b">
        <v>1</v>
      </c>
      <c r="AB43" s="665" t="b">
        <v>1</v>
      </c>
      <c r="AC43" s="666" t="b">
        <v>1</v>
      </c>
      <c r="AD43" s="513"/>
      <c r="AE43" s="513"/>
      <c r="AF43" s="667"/>
      <c r="AG43" s="667" t="s">
        <v>942</v>
      </c>
      <c r="AH43" s="668" t="s">
        <v>954</v>
      </c>
      <c r="AI43" s="251"/>
      <c r="AJ43" s="251"/>
      <c r="AK43" s="251"/>
      <c r="AL43" s="251"/>
      <c r="AM43" s="251"/>
      <c r="AN43" s="251"/>
      <c r="AO43" s="251"/>
      <c r="AP43" s="251"/>
      <c r="AQ43" s="669"/>
    </row>
    <row r="44" ht="12.0" hidden="1" customHeight="1">
      <c r="A44" s="634"/>
      <c r="B44" s="658" t="s">
        <v>58</v>
      </c>
      <c r="C44" s="525"/>
      <c r="D44" s="526" t="s">
        <v>979</v>
      </c>
      <c r="E44" s="509"/>
      <c r="F44" s="582" t="s">
        <v>27</v>
      </c>
      <c r="G44" s="511"/>
      <c r="H44" s="511"/>
      <c r="I44" s="512"/>
      <c r="J44" s="513" t="s">
        <v>944</v>
      </c>
      <c r="K44" s="528">
        <v>7.0</v>
      </c>
      <c r="L44" s="543" t="b">
        <v>1</v>
      </c>
      <c r="M44" s="543" t="b">
        <v>1</v>
      </c>
      <c r="N44" s="659"/>
      <c r="O44" s="660"/>
      <c r="P44" s="661"/>
      <c r="Q44" s="544" t="b">
        <v>1</v>
      </c>
      <c r="R44" s="544" t="b">
        <v>1</v>
      </c>
      <c r="S44" s="544" t="b">
        <v>1</v>
      </c>
      <c r="T44" s="544" t="b">
        <v>1</v>
      </c>
      <c r="U44" s="544" t="b">
        <v>1</v>
      </c>
      <c r="V44" s="662" t="b">
        <v>1</v>
      </c>
      <c r="W44" s="670" t="s">
        <v>980</v>
      </c>
      <c r="X44" s="664"/>
      <c r="Y44" s="650" t="s">
        <v>973</v>
      </c>
      <c r="Z44" s="664"/>
      <c r="AA44" s="665" t="b">
        <v>1</v>
      </c>
      <c r="AB44" s="665" t="b">
        <v>0</v>
      </c>
      <c r="AC44" s="666" t="b">
        <v>1</v>
      </c>
      <c r="AD44" s="513"/>
      <c r="AE44" s="513"/>
      <c r="AF44" s="667"/>
      <c r="AG44" s="667" t="s">
        <v>942</v>
      </c>
      <c r="AH44" s="668" t="s">
        <v>954</v>
      </c>
      <c r="AI44" s="251"/>
      <c r="AJ44" s="251"/>
      <c r="AK44" s="251"/>
      <c r="AL44" s="251"/>
      <c r="AM44" s="251"/>
      <c r="AN44" s="251"/>
      <c r="AO44" s="251"/>
      <c r="AP44" s="251"/>
      <c r="AQ44" s="669"/>
    </row>
    <row r="45" ht="12.0" hidden="1" customHeight="1">
      <c r="A45" s="634"/>
      <c r="B45" s="658" t="s">
        <v>58</v>
      </c>
      <c r="C45" s="525"/>
      <c r="D45" s="526" t="s">
        <v>981</v>
      </c>
      <c r="E45" s="509"/>
      <c r="F45" s="582" t="s">
        <v>27</v>
      </c>
      <c r="G45" s="583"/>
      <c r="H45" s="583"/>
      <c r="I45" s="584"/>
      <c r="J45" s="585" t="s">
        <v>944</v>
      </c>
      <c r="K45" s="586">
        <v>7.0</v>
      </c>
      <c r="L45" s="543" t="b">
        <v>1</v>
      </c>
      <c r="M45" s="543" t="b">
        <v>1</v>
      </c>
      <c r="N45" s="659"/>
      <c r="O45" s="660"/>
      <c r="P45" s="661"/>
      <c r="Q45" s="544" t="b">
        <v>1</v>
      </c>
      <c r="R45" s="544" t="b">
        <v>1</v>
      </c>
      <c r="S45" s="544" t="b">
        <v>1</v>
      </c>
      <c r="T45" s="544" t="b">
        <v>1</v>
      </c>
      <c r="U45" s="544" t="b">
        <v>1</v>
      </c>
      <c r="V45" s="662" t="b">
        <v>1</v>
      </c>
      <c r="W45" s="670" t="s">
        <v>468</v>
      </c>
      <c r="X45" s="670" t="s">
        <v>469</v>
      </c>
      <c r="Y45" s="650" t="s">
        <v>973</v>
      </c>
      <c r="Z45" s="664"/>
      <c r="AA45" s="665" t="b">
        <v>1</v>
      </c>
      <c r="AB45" s="665" t="b">
        <v>1</v>
      </c>
      <c r="AC45" s="666" t="b">
        <v>1</v>
      </c>
      <c r="AD45" s="513"/>
      <c r="AE45" s="513"/>
      <c r="AF45" s="667"/>
      <c r="AG45" s="667" t="s">
        <v>942</v>
      </c>
      <c r="AH45" s="668" t="s">
        <v>954</v>
      </c>
      <c r="AI45" s="251"/>
      <c r="AJ45" s="251"/>
      <c r="AK45" s="251"/>
      <c r="AL45" s="251"/>
      <c r="AM45" s="251"/>
      <c r="AN45" s="251"/>
      <c r="AO45" s="251"/>
      <c r="AP45" s="251"/>
      <c r="AQ45" s="669"/>
    </row>
    <row r="46" ht="11.25" hidden="1" customHeight="1">
      <c r="A46" s="675"/>
      <c r="B46" s="676" t="s">
        <v>58</v>
      </c>
      <c r="C46" s="525" t="s">
        <v>982</v>
      </c>
      <c r="D46" s="526">
        <v>225.0</v>
      </c>
      <c r="E46" s="677"/>
      <c r="F46" s="582" t="s">
        <v>27</v>
      </c>
      <c r="G46" s="678"/>
      <c r="H46" s="678"/>
      <c r="I46" s="679"/>
      <c r="J46" s="680" t="s">
        <v>944</v>
      </c>
      <c r="K46" s="586">
        <v>7.0</v>
      </c>
      <c r="L46" s="543" t="b">
        <v>1</v>
      </c>
      <c r="M46" s="543" t="b">
        <v>1</v>
      </c>
      <c r="N46" s="681"/>
      <c r="O46" s="682"/>
      <c r="P46" s="683" t="s">
        <v>942</v>
      </c>
      <c r="Q46" s="544" t="b">
        <v>1</v>
      </c>
      <c r="R46" s="544" t="b">
        <v>0</v>
      </c>
      <c r="S46" s="544" t="b">
        <v>1</v>
      </c>
      <c r="T46" s="544" t="b">
        <v>1</v>
      </c>
      <c r="U46" s="544" t="b">
        <v>1</v>
      </c>
      <c r="V46" s="684" t="b">
        <v>1</v>
      </c>
      <c r="W46" s="685" t="s">
        <v>498</v>
      </c>
      <c r="X46" s="686"/>
      <c r="Y46" s="686"/>
      <c r="Z46" s="686"/>
      <c r="AA46" s="687" t="b">
        <v>1</v>
      </c>
      <c r="AB46" s="687" t="b">
        <v>0</v>
      </c>
      <c r="AC46" s="688" t="b">
        <v>1</v>
      </c>
      <c r="AD46" s="689"/>
      <c r="AE46" s="689"/>
      <c r="AF46" s="690"/>
      <c r="AG46" s="690" t="s">
        <v>942</v>
      </c>
      <c r="AH46" s="691" t="s">
        <v>954</v>
      </c>
      <c r="AI46" s="692"/>
      <c r="AJ46" s="692"/>
      <c r="AK46" s="692"/>
      <c r="AL46" s="692"/>
      <c r="AM46" s="692"/>
      <c r="AN46" s="692"/>
      <c r="AO46" s="692"/>
      <c r="AP46" s="692"/>
      <c r="AQ46" s="693"/>
    </row>
    <row r="47" ht="11.25" hidden="1" customHeight="1">
      <c r="A47" s="675"/>
      <c r="B47" s="676" t="s">
        <v>58</v>
      </c>
      <c r="C47" s="525" t="s">
        <v>982</v>
      </c>
      <c r="D47" s="526">
        <v>164.0</v>
      </c>
      <c r="E47" s="582"/>
      <c r="F47" s="582" t="s">
        <v>27</v>
      </c>
      <c r="G47" s="694"/>
      <c r="H47" s="694"/>
      <c r="I47" s="695"/>
      <c r="J47" s="696" t="s">
        <v>944</v>
      </c>
      <c r="K47" s="528">
        <v>7.0</v>
      </c>
      <c r="L47" s="543" t="b">
        <v>1</v>
      </c>
      <c r="M47" s="543" t="b">
        <v>1</v>
      </c>
      <c r="N47" s="697"/>
      <c r="O47" s="698"/>
      <c r="P47" s="699"/>
      <c r="Q47" s="544" t="b">
        <v>0</v>
      </c>
      <c r="R47" s="544" t="b">
        <v>1</v>
      </c>
      <c r="S47" s="544" t="b">
        <v>1</v>
      </c>
      <c r="T47" s="544" t="b">
        <v>1</v>
      </c>
      <c r="U47" s="544" t="b">
        <v>1</v>
      </c>
      <c r="V47" s="684" t="b">
        <v>1</v>
      </c>
      <c r="W47" s="670" t="s">
        <v>494</v>
      </c>
      <c r="X47" s="664"/>
      <c r="Y47" s="664"/>
      <c r="Z47" s="664"/>
      <c r="AA47" s="665" t="b">
        <v>1</v>
      </c>
      <c r="AB47" s="665" t="b">
        <v>0</v>
      </c>
      <c r="AC47" s="666" t="b">
        <v>1</v>
      </c>
      <c r="AD47" s="513"/>
      <c r="AE47" s="513"/>
      <c r="AF47" s="667"/>
      <c r="AG47" s="667" t="s">
        <v>942</v>
      </c>
      <c r="AH47" s="668" t="s">
        <v>954</v>
      </c>
      <c r="AI47" s="251"/>
      <c r="AJ47" s="251"/>
      <c r="AK47" s="251"/>
      <c r="AL47" s="251"/>
      <c r="AM47" s="251"/>
      <c r="AN47" s="251"/>
      <c r="AO47" s="251"/>
      <c r="AP47" s="251"/>
      <c r="AQ47" s="669"/>
    </row>
    <row r="48" ht="11.25" hidden="1" customHeight="1">
      <c r="A48" s="675"/>
      <c r="B48" s="676" t="s">
        <v>58</v>
      </c>
      <c r="C48" s="525" t="s">
        <v>982</v>
      </c>
      <c r="D48" s="526">
        <v>210.0</v>
      </c>
      <c r="E48" s="582"/>
      <c r="F48" s="582" t="s">
        <v>27</v>
      </c>
      <c r="G48" s="694"/>
      <c r="H48" s="694"/>
      <c r="I48" s="695"/>
      <c r="J48" s="696" t="s">
        <v>944</v>
      </c>
      <c r="K48" s="586">
        <v>7.0</v>
      </c>
      <c r="L48" s="543" t="b">
        <v>1</v>
      </c>
      <c r="M48" s="543" t="b">
        <v>1</v>
      </c>
      <c r="N48" s="697"/>
      <c r="O48" s="698"/>
      <c r="P48" s="699"/>
      <c r="Q48" s="544" t="b">
        <v>1</v>
      </c>
      <c r="R48" s="544" t="b">
        <v>1</v>
      </c>
      <c r="S48" s="544" t="b">
        <v>1</v>
      </c>
      <c r="T48" s="544" t="b">
        <v>1</v>
      </c>
      <c r="U48" s="544" t="b">
        <v>1</v>
      </c>
      <c r="V48" s="684" t="b">
        <v>1</v>
      </c>
      <c r="W48" s="670" t="s">
        <v>983</v>
      </c>
      <c r="X48" s="664"/>
      <c r="Y48" s="664"/>
      <c r="Z48" s="664"/>
      <c r="AA48" s="665" t="b">
        <v>1</v>
      </c>
      <c r="AB48" s="665" t="b">
        <v>0</v>
      </c>
      <c r="AC48" s="666" t="b">
        <v>1</v>
      </c>
      <c r="AD48" s="513"/>
      <c r="AE48" s="513"/>
      <c r="AF48" s="667"/>
      <c r="AG48" s="667" t="s">
        <v>942</v>
      </c>
      <c r="AH48" s="668" t="s">
        <v>954</v>
      </c>
      <c r="AI48" s="251"/>
      <c r="AJ48" s="251"/>
      <c r="AK48" s="251"/>
      <c r="AL48" s="251"/>
      <c r="AM48" s="251"/>
      <c r="AN48" s="251"/>
      <c r="AO48" s="251"/>
      <c r="AP48" s="251"/>
      <c r="AQ48" s="669"/>
    </row>
    <row r="49" ht="11.25" hidden="1" customHeight="1">
      <c r="A49" s="675"/>
      <c r="B49" s="676" t="s">
        <v>58</v>
      </c>
      <c r="C49" s="525" t="s">
        <v>984</v>
      </c>
      <c r="D49" s="526" t="s">
        <v>985</v>
      </c>
      <c r="E49" s="582"/>
      <c r="F49" s="582" t="s">
        <v>940</v>
      </c>
      <c r="G49" s="694"/>
      <c r="H49" s="694"/>
      <c r="I49" s="695"/>
      <c r="J49" s="696" t="s">
        <v>944</v>
      </c>
      <c r="K49" s="586">
        <v>6.0</v>
      </c>
      <c r="L49" s="543" t="b">
        <v>1</v>
      </c>
      <c r="M49" s="543" t="b">
        <v>1</v>
      </c>
      <c r="N49" s="599" t="s">
        <v>509</v>
      </c>
      <c r="O49" s="567"/>
      <c r="P49" s="565" t="s">
        <v>946</v>
      </c>
      <c r="Q49" s="544" t="b">
        <v>1</v>
      </c>
      <c r="R49" s="544" t="b">
        <v>1</v>
      </c>
      <c r="S49" s="544" t="b">
        <v>1</v>
      </c>
      <c r="T49" s="544" t="b">
        <v>1</v>
      </c>
      <c r="U49" s="544" t="b">
        <v>1</v>
      </c>
      <c r="V49" s="684" t="b">
        <v>1</v>
      </c>
      <c r="W49" s="649" t="s">
        <v>511</v>
      </c>
      <c r="X49" s="651"/>
      <c r="Y49" s="651"/>
      <c r="Z49" s="651"/>
      <c r="AA49" s="652" t="b">
        <v>0</v>
      </c>
      <c r="AB49" s="652" t="b">
        <v>0</v>
      </c>
      <c r="AC49" s="653" t="b">
        <v>0</v>
      </c>
      <c r="AD49" s="641"/>
      <c r="AE49" s="641"/>
      <c r="AF49" s="654"/>
      <c r="AG49" s="654" t="s">
        <v>942</v>
      </c>
      <c r="AH49" s="655" t="s">
        <v>954</v>
      </c>
      <c r="AI49" s="656"/>
      <c r="AJ49" s="656"/>
      <c r="AK49" s="656"/>
      <c r="AL49" s="656"/>
      <c r="AM49" s="656"/>
      <c r="AN49" s="656"/>
      <c r="AO49" s="656"/>
      <c r="AP49" s="656"/>
      <c r="AQ49" s="657"/>
    </row>
    <row r="50" ht="12.0" customHeight="1">
      <c r="A50" s="700"/>
      <c r="B50" s="701" t="s">
        <v>58</v>
      </c>
      <c r="C50" s="525" t="s">
        <v>986</v>
      </c>
      <c r="D50" s="526" t="s">
        <v>987</v>
      </c>
      <c r="E50" s="582" t="s">
        <v>988</v>
      </c>
      <c r="F50" s="582" t="s">
        <v>940</v>
      </c>
      <c r="G50" s="702">
        <v>46062.0</v>
      </c>
      <c r="H50" s="703">
        <v>46083.0</v>
      </c>
      <c r="I50" s="704">
        <f>H50-G50</f>
        <v>21</v>
      </c>
      <c r="J50" s="705" t="s">
        <v>989</v>
      </c>
      <c r="K50" s="528">
        <v>7.0</v>
      </c>
      <c r="L50" s="543" t="b">
        <v>1</v>
      </c>
      <c r="M50" s="543" t="b">
        <v>1</v>
      </c>
      <c r="N50" s="566" t="s">
        <v>516</v>
      </c>
      <c r="O50" s="705" t="s">
        <v>990</v>
      </c>
      <c r="P50" s="706" t="s">
        <v>942</v>
      </c>
      <c r="Q50" s="544" t="b">
        <v>1</v>
      </c>
      <c r="R50" s="544" t="b">
        <v>1</v>
      </c>
      <c r="S50" s="544" t="b">
        <v>1</v>
      </c>
      <c r="T50" s="544" t="b">
        <v>1</v>
      </c>
      <c r="U50" s="544" t="b">
        <v>1</v>
      </c>
      <c r="V50" s="665" t="b">
        <v>1</v>
      </c>
      <c r="W50" s="707" t="s">
        <v>98</v>
      </c>
      <c r="X50" s="664"/>
      <c r="Y50" s="664"/>
      <c r="Z50" s="664"/>
      <c r="AA50" s="665" t="b">
        <v>0</v>
      </c>
      <c r="AB50" s="665" t="b">
        <v>0</v>
      </c>
      <c r="AC50" s="665" t="b">
        <v>1</v>
      </c>
      <c r="AD50" s="544" t="b">
        <v>0</v>
      </c>
      <c r="AE50" s="708" t="s">
        <v>991</v>
      </c>
      <c r="AF50" s="709"/>
      <c r="AG50" s="709" t="s">
        <v>942</v>
      </c>
      <c r="AH50" s="710" t="s">
        <v>992</v>
      </c>
      <c r="AI50" s="711"/>
      <c r="AJ50" s="711"/>
      <c r="AK50" s="711"/>
      <c r="AL50" s="711"/>
      <c r="AM50" s="711"/>
      <c r="AN50" s="711"/>
      <c r="AO50" s="711"/>
      <c r="AP50" s="711"/>
      <c r="AQ50" s="712"/>
    </row>
    <row r="51" ht="12.0" customHeight="1">
      <c r="A51" s="700"/>
      <c r="B51" s="713" t="s">
        <v>123</v>
      </c>
      <c r="C51" s="525" t="s">
        <v>993</v>
      </c>
      <c r="D51" s="526" t="s">
        <v>994</v>
      </c>
      <c r="E51" s="582" t="s">
        <v>995</v>
      </c>
      <c r="F51" s="582" t="s">
        <v>940</v>
      </c>
      <c r="G51" s="714" t="s">
        <v>996</v>
      </c>
      <c r="H51" s="715"/>
      <c r="I51" s="716"/>
      <c r="J51" s="705" t="s">
        <v>989</v>
      </c>
      <c r="K51" s="528">
        <v>9.0</v>
      </c>
      <c r="L51" s="543" t="b">
        <v>1</v>
      </c>
      <c r="M51" s="543" t="b">
        <v>1</v>
      </c>
      <c r="N51" s="530"/>
      <c r="O51" s="705"/>
      <c r="P51" s="543" t="s">
        <v>942</v>
      </c>
      <c r="Q51" s="544" t="b">
        <v>1</v>
      </c>
      <c r="R51" s="544" t="b">
        <v>1</v>
      </c>
      <c r="S51" s="544" t="b">
        <v>1</v>
      </c>
      <c r="T51" s="544" t="b">
        <v>1</v>
      </c>
      <c r="U51" s="544" t="b">
        <v>1</v>
      </c>
      <c r="V51" s="665" t="b">
        <v>0</v>
      </c>
      <c r="W51" s="717"/>
      <c r="X51" s="664"/>
      <c r="Y51" s="664"/>
      <c r="Z51" s="664"/>
      <c r="AA51" s="665" t="b">
        <v>0</v>
      </c>
      <c r="AB51" s="665" t="b">
        <v>0</v>
      </c>
      <c r="AC51" s="665" t="b">
        <v>0</v>
      </c>
      <c r="AD51" s="544" t="b">
        <v>0</v>
      </c>
      <c r="AE51" s="708" t="s">
        <v>997</v>
      </c>
      <c r="AF51" s="718"/>
      <c r="AG51" s="719" t="s">
        <v>943</v>
      </c>
      <c r="AH51" s="720"/>
      <c r="AI51" s="721"/>
      <c r="AJ51" s="721"/>
      <c r="AK51" s="721"/>
      <c r="AL51" s="721"/>
      <c r="AM51" s="721"/>
      <c r="AN51" s="721"/>
      <c r="AO51" s="721"/>
      <c r="AP51" s="721"/>
      <c r="AQ51" s="721"/>
    </row>
    <row r="52" ht="12.0" customHeight="1">
      <c r="A52" s="700">
        <v>109.0</v>
      </c>
      <c r="B52" s="713" t="s">
        <v>123</v>
      </c>
      <c r="C52" s="525" t="s">
        <v>998</v>
      </c>
      <c r="D52" s="526">
        <v>2708.0</v>
      </c>
      <c r="E52" s="582" t="s">
        <v>999</v>
      </c>
      <c r="F52" s="582" t="s">
        <v>27</v>
      </c>
      <c r="G52" s="722">
        <v>46092.0</v>
      </c>
      <c r="H52" s="702"/>
      <c r="I52" s="723"/>
      <c r="J52" s="705" t="s">
        <v>1000</v>
      </c>
      <c r="K52" s="528">
        <v>9.0</v>
      </c>
      <c r="L52" s="543" t="b">
        <v>1</v>
      </c>
      <c r="M52" s="543" t="b">
        <v>1</v>
      </c>
      <c r="N52" s="566" t="s">
        <v>1001</v>
      </c>
      <c r="O52" s="705" t="s">
        <v>990</v>
      </c>
      <c r="P52" s="543" t="s">
        <v>948</v>
      </c>
      <c r="Q52" s="544" t="b">
        <v>0</v>
      </c>
      <c r="R52" s="544" t="b">
        <v>0</v>
      </c>
      <c r="S52" s="544" t="b">
        <v>0</v>
      </c>
      <c r="T52" s="544" t="b">
        <v>0</v>
      </c>
      <c r="U52" s="544" t="b">
        <v>0</v>
      </c>
      <c r="V52" s="665" t="b">
        <v>0</v>
      </c>
      <c r="W52" s="724"/>
      <c r="X52" s="664"/>
      <c r="Y52" s="664"/>
      <c r="Z52" s="664"/>
      <c r="AA52" s="665" t="b">
        <v>0</v>
      </c>
      <c r="AB52" s="665" t="b">
        <v>0</v>
      </c>
      <c r="AC52" s="665" t="b">
        <v>0</v>
      </c>
      <c r="AD52" s="544" t="b">
        <v>0</v>
      </c>
      <c r="AE52" s="708" t="s">
        <v>1002</v>
      </c>
      <c r="AF52" s="725"/>
      <c r="AG52" s="725" t="s">
        <v>943</v>
      </c>
      <c r="AH52" s="726"/>
      <c r="AI52" s="727"/>
      <c r="AJ52" s="727"/>
      <c r="AK52" s="727"/>
      <c r="AL52" s="727"/>
      <c r="AM52" s="727"/>
      <c r="AN52" s="727"/>
      <c r="AO52" s="727"/>
      <c r="AP52" s="727"/>
      <c r="AQ52" s="727"/>
    </row>
    <row r="53" ht="12.0" customHeight="1">
      <c r="A53" s="700">
        <f>A56+1</f>
        <v>111</v>
      </c>
      <c r="B53" s="713" t="s">
        <v>146</v>
      </c>
      <c r="C53" s="525" t="s">
        <v>1003</v>
      </c>
      <c r="D53" s="526">
        <v>3604.0</v>
      </c>
      <c r="E53" s="582" t="s">
        <v>1004</v>
      </c>
      <c r="F53" s="582" t="s">
        <v>940</v>
      </c>
      <c r="G53" s="728">
        <v>46097.0</v>
      </c>
      <c r="H53" s="702"/>
      <c r="I53" s="723"/>
      <c r="J53" s="705" t="s">
        <v>916</v>
      </c>
      <c r="K53" s="528">
        <v>9.0</v>
      </c>
      <c r="L53" s="543" t="b">
        <v>1</v>
      </c>
      <c r="M53" s="543" t="b">
        <v>1</v>
      </c>
      <c r="N53" s="566" t="s">
        <v>643</v>
      </c>
      <c r="O53" s="705" t="s">
        <v>990</v>
      </c>
      <c r="P53" s="729" t="s">
        <v>123</v>
      </c>
      <c r="Q53" s="544" t="b">
        <v>0</v>
      </c>
      <c r="R53" s="544" t="b">
        <v>0</v>
      </c>
      <c r="S53" s="544" t="b">
        <v>0</v>
      </c>
      <c r="T53" s="544" t="b">
        <v>0</v>
      </c>
      <c r="U53" s="544" t="b">
        <v>0</v>
      </c>
      <c r="V53" s="665" t="b">
        <v>0</v>
      </c>
      <c r="W53" s="724"/>
      <c r="X53" s="664"/>
      <c r="Y53" s="664"/>
      <c r="Z53" s="664"/>
      <c r="AA53" s="665" t="b">
        <v>0</v>
      </c>
      <c r="AB53" s="665" t="b">
        <v>0</v>
      </c>
      <c r="AC53" s="665" t="b">
        <v>0</v>
      </c>
      <c r="AD53" s="544" t="b">
        <v>0</v>
      </c>
      <c r="AE53" s="708"/>
      <c r="AF53" s="725"/>
      <c r="AG53" s="725" t="s">
        <v>943</v>
      </c>
      <c r="AH53" s="726"/>
      <c r="AI53" s="727"/>
      <c r="AJ53" s="727"/>
      <c r="AK53" s="727"/>
      <c r="AL53" s="727"/>
      <c r="AM53" s="727"/>
      <c r="AN53" s="727"/>
      <c r="AO53" s="727"/>
      <c r="AP53" s="727"/>
      <c r="AQ53" s="727"/>
    </row>
    <row r="54" ht="12.0" customHeight="1">
      <c r="A54" s="700"/>
      <c r="B54" s="730"/>
      <c r="C54" s="731"/>
      <c r="D54" s="732"/>
      <c r="E54" s="582"/>
      <c r="F54" s="582"/>
      <c r="G54" s="702"/>
      <c r="H54" s="702"/>
      <c r="I54" s="723"/>
      <c r="J54" s="705"/>
      <c r="K54" s="719"/>
      <c r="L54" s="706"/>
      <c r="M54" s="706"/>
      <c r="N54" s="733"/>
      <c r="O54" s="705"/>
      <c r="P54" s="543"/>
      <c r="Q54" s="544" t="b">
        <v>0</v>
      </c>
      <c r="R54" s="544" t="b">
        <v>0</v>
      </c>
      <c r="S54" s="544" t="b">
        <v>0</v>
      </c>
      <c r="T54" s="544" t="b">
        <v>0</v>
      </c>
      <c r="U54" s="544" t="b">
        <v>0</v>
      </c>
      <c r="V54" s="665" t="b">
        <v>0</v>
      </c>
      <c r="W54" s="724"/>
      <c r="X54" s="664"/>
      <c r="Y54" s="664"/>
      <c r="Z54" s="664"/>
      <c r="AA54" s="665" t="b">
        <v>0</v>
      </c>
      <c r="AB54" s="665" t="b">
        <v>0</v>
      </c>
      <c r="AC54" s="665" t="b">
        <v>0</v>
      </c>
      <c r="AD54" s="544" t="b">
        <v>0</v>
      </c>
      <c r="AE54" s="708"/>
      <c r="AF54" s="734"/>
      <c r="AG54" s="734"/>
      <c r="AH54" s="735"/>
      <c r="AI54" s="736"/>
      <c r="AJ54" s="736"/>
      <c r="AK54" s="736"/>
      <c r="AL54" s="736"/>
      <c r="AM54" s="736"/>
      <c r="AN54" s="736"/>
      <c r="AO54" s="736"/>
      <c r="AP54" s="736"/>
      <c r="AQ54" s="736"/>
    </row>
    <row r="55" ht="12.0" customHeight="1">
      <c r="A55" s="700"/>
      <c r="B55" s="730"/>
      <c r="C55" s="731"/>
      <c r="D55" s="732"/>
      <c r="E55" s="582"/>
      <c r="F55" s="582"/>
      <c r="G55" s="702"/>
      <c r="H55" s="702"/>
      <c r="I55" s="723"/>
      <c r="J55" s="705"/>
      <c r="K55" s="719"/>
      <c r="L55" s="706"/>
      <c r="M55" s="706"/>
      <c r="N55" s="733"/>
      <c r="O55" s="705"/>
      <c r="P55" s="543"/>
      <c r="Q55" s="544" t="b">
        <v>0</v>
      </c>
      <c r="R55" s="544" t="b">
        <v>0</v>
      </c>
      <c r="S55" s="544" t="b">
        <v>0</v>
      </c>
      <c r="T55" s="544" t="b">
        <v>0</v>
      </c>
      <c r="U55" s="544" t="b">
        <v>0</v>
      </c>
      <c r="V55" s="665" t="b">
        <v>0</v>
      </c>
      <c r="W55" s="724"/>
      <c r="X55" s="664"/>
      <c r="Y55" s="664"/>
      <c r="Z55" s="664"/>
      <c r="AA55" s="665" t="b">
        <v>0</v>
      </c>
      <c r="AB55" s="665" t="b">
        <v>0</v>
      </c>
      <c r="AC55" s="665" t="b">
        <v>0</v>
      </c>
      <c r="AD55" s="544" t="b">
        <v>0</v>
      </c>
      <c r="AE55" s="708"/>
      <c r="AF55" s="734"/>
      <c r="AG55" s="734"/>
      <c r="AH55" s="735"/>
      <c r="AI55" s="736"/>
      <c r="AJ55" s="736"/>
      <c r="AK55" s="736"/>
      <c r="AL55" s="736"/>
      <c r="AM55" s="736"/>
      <c r="AN55" s="736"/>
      <c r="AO55" s="736"/>
      <c r="AP55" s="736"/>
      <c r="AQ55" s="736"/>
    </row>
    <row r="56" ht="12.0" customHeight="1">
      <c r="A56" s="700">
        <f>A52+1</f>
        <v>110</v>
      </c>
      <c r="B56" s="713" t="s">
        <v>123</v>
      </c>
      <c r="C56" s="525" t="s">
        <v>1005</v>
      </c>
      <c r="D56" s="526"/>
      <c r="E56" s="582" t="s">
        <v>1006</v>
      </c>
      <c r="F56" s="582" t="s">
        <v>27</v>
      </c>
      <c r="G56" s="702"/>
      <c r="H56" s="702"/>
      <c r="I56" s="723"/>
      <c r="J56" s="705" t="s">
        <v>1007</v>
      </c>
      <c r="K56" s="528">
        <v>5.0</v>
      </c>
      <c r="L56" s="543" t="b">
        <v>1</v>
      </c>
      <c r="M56" s="543" t="b">
        <v>0</v>
      </c>
      <c r="N56" s="530"/>
      <c r="O56" s="705"/>
      <c r="P56" s="543" t="s">
        <v>942</v>
      </c>
      <c r="Q56" s="544" t="b">
        <v>0</v>
      </c>
      <c r="R56" s="544" t="b">
        <v>0</v>
      </c>
      <c r="S56" s="544" t="b">
        <v>0</v>
      </c>
      <c r="T56" s="544" t="b">
        <v>0</v>
      </c>
      <c r="U56" s="544" t="b">
        <v>0</v>
      </c>
      <c r="V56" s="665" t="b">
        <v>0</v>
      </c>
      <c r="W56" s="724"/>
      <c r="X56" s="664"/>
      <c r="Y56" s="664"/>
      <c r="Z56" s="664"/>
      <c r="AA56" s="665" t="b">
        <v>0</v>
      </c>
      <c r="AB56" s="665" t="b">
        <v>0</v>
      </c>
      <c r="AC56" s="665" t="b">
        <v>0</v>
      </c>
      <c r="AD56" s="544" t="b">
        <v>0</v>
      </c>
      <c r="AE56" s="708"/>
      <c r="AF56" s="734"/>
      <c r="AG56" s="719"/>
      <c r="AH56" s="726"/>
      <c r="AI56" s="736"/>
      <c r="AJ56" s="736"/>
      <c r="AK56" s="736"/>
      <c r="AL56" s="736"/>
      <c r="AM56" s="736"/>
      <c r="AN56" s="736"/>
      <c r="AO56" s="736"/>
      <c r="AP56" s="736"/>
      <c r="AQ56" s="736"/>
    </row>
    <row r="57" ht="12.0" customHeight="1">
      <c r="A57" s="700"/>
      <c r="B57" s="713" t="s">
        <v>146</v>
      </c>
      <c r="C57" s="731" t="s">
        <v>166</v>
      </c>
      <c r="D57" s="732">
        <v>1105.0</v>
      </c>
      <c r="E57" s="582" t="s">
        <v>1008</v>
      </c>
      <c r="F57" s="582" t="s">
        <v>940</v>
      </c>
      <c r="G57" s="702"/>
      <c r="H57" s="702"/>
      <c r="I57" s="723"/>
      <c r="J57" s="705" t="s">
        <v>1007</v>
      </c>
      <c r="K57" s="528">
        <v>7.0</v>
      </c>
      <c r="L57" s="543" t="b">
        <v>1</v>
      </c>
      <c r="M57" s="543" t="b">
        <v>0</v>
      </c>
      <c r="N57" s="737"/>
      <c r="O57" s="705" t="s">
        <v>1009</v>
      </c>
      <c r="P57" s="543" t="s">
        <v>948</v>
      </c>
      <c r="Q57" s="544" t="b">
        <v>1</v>
      </c>
      <c r="R57" s="544" t="b">
        <v>0</v>
      </c>
      <c r="S57" s="544" t="b">
        <v>0</v>
      </c>
      <c r="T57" s="544" t="b">
        <v>0</v>
      </c>
      <c r="U57" s="544" t="b">
        <v>0</v>
      </c>
      <c r="V57" s="665" t="b">
        <v>0</v>
      </c>
      <c r="W57" s="724"/>
      <c r="X57" s="664"/>
      <c r="Y57" s="664"/>
      <c r="Z57" s="664"/>
      <c r="AA57" s="665" t="b">
        <v>0</v>
      </c>
      <c r="AB57" s="665" t="b">
        <v>0</v>
      </c>
      <c r="AC57" s="665" t="b">
        <v>0</v>
      </c>
      <c r="AD57" s="544" t="b">
        <v>0</v>
      </c>
      <c r="AE57" s="708"/>
      <c r="AF57" s="734"/>
      <c r="AG57" s="719" t="s">
        <v>942</v>
      </c>
      <c r="AH57" s="735"/>
      <c r="AI57" s="736"/>
      <c r="AJ57" s="736"/>
      <c r="AK57" s="736"/>
      <c r="AL57" s="736"/>
      <c r="AM57" s="736"/>
      <c r="AN57" s="736"/>
      <c r="AO57" s="736"/>
      <c r="AP57" s="736"/>
      <c r="AQ57" s="736"/>
    </row>
    <row r="58" ht="12.0" customHeight="1">
      <c r="A58" s="700"/>
      <c r="B58" s="713" t="s">
        <v>146</v>
      </c>
      <c r="C58" s="731" t="s">
        <v>166</v>
      </c>
      <c r="D58" s="732">
        <v>910.0</v>
      </c>
      <c r="E58" s="582" t="s">
        <v>1008</v>
      </c>
      <c r="F58" s="582" t="s">
        <v>940</v>
      </c>
      <c r="G58" s="702"/>
      <c r="H58" s="702"/>
      <c r="I58" s="723"/>
      <c r="J58" s="705" t="s">
        <v>1007</v>
      </c>
      <c r="K58" s="528">
        <v>7.0</v>
      </c>
      <c r="L58" s="543" t="b">
        <v>1</v>
      </c>
      <c r="M58" s="543" t="b">
        <v>0</v>
      </c>
      <c r="N58" s="737"/>
      <c r="O58" s="705" t="s">
        <v>1009</v>
      </c>
      <c r="P58" s="543" t="s">
        <v>948</v>
      </c>
      <c r="Q58" s="544" t="b">
        <v>1</v>
      </c>
      <c r="R58" s="544" t="b">
        <v>0</v>
      </c>
      <c r="S58" s="544" t="b">
        <v>0</v>
      </c>
      <c r="T58" s="544" t="b">
        <v>0</v>
      </c>
      <c r="U58" s="544" t="b">
        <v>0</v>
      </c>
      <c r="V58" s="665" t="b">
        <v>0</v>
      </c>
      <c r="W58" s="724"/>
      <c r="X58" s="664"/>
      <c r="Y58" s="664"/>
      <c r="Z58" s="664"/>
      <c r="AA58" s="665" t="b">
        <v>0</v>
      </c>
      <c r="AB58" s="665" t="b">
        <v>0</v>
      </c>
      <c r="AC58" s="665" t="b">
        <v>0</v>
      </c>
      <c r="AD58" s="544" t="b">
        <v>0</v>
      </c>
      <c r="AE58" s="708"/>
      <c r="AF58" s="734"/>
      <c r="AG58" s="719" t="s">
        <v>942</v>
      </c>
      <c r="AH58" s="735"/>
      <c r="AI58" s="736"/>
      <c r="AJ58" s="736"/>
      <c r="AK58" s="736"/>
      <c r="AL58" s="736"/>
      <c r="AM58" s="736"/>
      <c r="AN58" s="736"/>
      <c r="AO58" s="736"/>
      <c r="AP58" s="736"/>
      <c r="AQ58" s="736"/>
    </row>
    <row r="59" ht="12.0" customHeight="1">
      <c r="A59" s="700"/>
      <c r="B59" s="730"/>
      <c r="C59" s="731"/>
      <c r="D59" s="732"/>
      <c r="E59" s="582"/>
      <c r="F59" s="582"/>
      <c r="G59" s="702"/>
      <c r="H59" s="702"/>
      <c r="I59" s="723"/>
      <c r="J59" s="705"/>
      <c r="K59" s="719"/>
      <c r="L59" s="706"/>
      <c r="M59" s="706"/>
      <c r="N59" s="733"/>
      <c r="O59" s="705"/>
      <c r="P59" s="543"/>
      <c r="Q59" s="544" t="b">
        <v>0</v>
      </c>
      <c r="R59" s="544" t="b">
        <v>0</v>
      </c>
      <c r="S59" s="544" t="b">
        <v>0</v>
      </c>
      <c r="T59" s="544" t="b">
        <v>0</v>
      </c>
      <c r="U59" s="544" t="b">
        <v>0</v>
      </c>
      <c r="V59" s="665" t="b">
        <v>0</v>
      </c>
      <c r="W59" s="724"/>
      <c r="X59" s="664"/>
      <c r="Y59" s="664"/>
      <c r="Z59" s="664"/>
      <c r="AA59" s="665" t="b">
        <v>0</v>
      </c>
      <c r="AB59" s="665" t="b">
        <v>0</v>
      </c>
      <c r="AC59" s="665" t="b">
        <v>0</v>
      </c>
      <c r="AD59" s="544" t="b">
        <v>0</v>
      </c>
      <c r="AE59" s="708"/>
      <c r="AF59" s="734"/>
      <c r="AG59" s="734"/>
      <c r="AH59" s="735"/>
      <c r="AI59" s="736"/>
      <c r="AJ59" s="736"/>
      <c r="AK59" s="736"/>
      <c r="AL59" s="736"/>
      <c r="AM59" s="736"/>
      <c r="AN59" s="736"/>
      <c r="AO59" s="736"/>
      <c r="AP59" s="736"/>
      <c r="AQ59" s="736"/>
    </row>
    <row r="60" ht="12.0" customHeight="1">
      <c r="A60" s="700"/>
      <c r="B60" s="738"/>
      <c r="C60" s="739"/>
      <c r="D60" s="740"/>
      <c r="E60" s="631"/>
      <c r="F60" s="631"/>
      <c r="G60" s="741"/>
      <c r="H60" s="741"/>
      <c r="I60" s="742"/>
      <c r="J60" s="743"/>
      <c r="K60" s="744"/>
      <c r="L60" s="745"/>
      <c r="M60" s="745"/>
      <c r="N60" s="746"/>
      <c r="O60" s="743"/>
      <c r="P60" s="598"/>
      <c r="Q60" s="743"/>
      <c r="R60" s="743"/>
      <c r="S60" s="743"/>
      <c r="T60" s="743"/>
      <c r="U60" s="743"/>
      <c r="V60" s="744"/>
      <c r="W60" s="747"/>
      <c r="X60" s="747"/>
      <c r="Y60" s="747"/>
      <c r="Z60" s="747"/>
      <c r="AA60" s="632"/>
      <c r="AB60" s="632"/>
      <c r="AC60" s="632"/>
      <c r="AD60" s="748"/>
      <c r="AE60" s="513"/>
      <c r="AF60" s="749"/>
      <c r="AG60" s="749"/>
      <c r="AH60" s="750"/>
      <c r="AI60" s="751"/>
      <c r="AJ60" s="751"/>
      <c r="AK60" s="751"/>
      <c r="AL60" s="751"/>
      <c r="AM60" s="751"/>
      <c r="AN60" s="751"/>
      <c r="AO60" s="751"/>
      <c r="AP60" s="751"/>
      <c r="AQ60" s="751"/>
    </row>
    <row r="61" ht="12.0" customHeight="1">
      <c r="A61" s="700"/>
      <c r="B61" s="752" t="s">
        <v>123</v>
      </c>
      <c r="C61" s="753" t="s">
        <v>1010</v>
      </c>
      <c r="D61" s="754">
        <v>1419.0</v>
      </c>
      <c r="E61" s="755" t="s">
        <v>23</v>
      </c>
      <c r="F61" s="755" t="s">
        <v>940</v>
      </c>
      <c r="G61" s="756">
        <v>46096.0</v>
      </c>
      <c r="H61" s="756"/>
      <c r="I61" s="757"/>
      <c r="J61" s="758"/>
      <c r="K61" s="759">
        <v>9.0</v>
      </c>
      <c r="L61" s="760" t="b">
        <v>1</v>
      </c>
      <c r="M61" s="760" t="b">
        <v>1</v>
      </c>
      <c r="N61" s="761"/>
      <c r="O61" s="758" t="s">
        <v>1009</v>
      </c>
      <c r="P61" s="760" t="s">
        <v>123</v>
      </c>
      <c r="Q61" s="762" t="b">
        <v>0</v>
      </c>
      <c r="R61" s="762" t="b">
        <v>0</v>
      </c>
      <c r="S61" s="762" t="b">
        <v>0</v>
      </c>
      <c r="T61" s="762" t="b">
        <v>0</v>
      </c>
      <c r="U61" s="762" t="b">
        <v>0</v>
      </c>
      <c r="V61" s="763" t="b">
        <v>0</v>
      </c>
      <c r="W61" s="764"/>
      <c r="X61" s="764"/>
      <c r="Y61" s="764"/>
      <c r="Z61" s="764"/>
      <c r="AA61" s="763" t="b">
        <v>0</v>
      </c>
      <c r="AB61" s="763" t="b">
        <v>0</v>
      </c>
      <c r="AC61" s="763" t="b">
        <v>0</v>
      </c>
      <c r="AD61" s="765"/>
      <c r="AE61" s="765"/>
      <c r="AF61" s="766"/>
      <c r="AG61" s="766" t="s">
        <v>943</v>
      </c>
      <c r="AH61" s="767"/>
      <c r="AI61" s="768"/>
      <c r="AJ61" s="768"/>
      <c r="AK61" s="768"/>
      <c r="AL61" s="768"/>
      <c r="AM61" s="768"/>
      <c r="AN61" s="768"/>
      <c r="AO61" s="768"/>
      <c r="AP61" s="768"/>
      <c r="AQ61" s="769"/>
    </row>
    <row r="62" ht="12.0" customHeight="1">
      <c r="A62" s="700"/>
      <c r="B62" s="719" t="s">
        <v>123</v>
      </c>
      <c r="C62" s="525" t="s">
        <v>1011</v>
      </c>
      <c r="D62" s="526">
        <v>2314.0</v>
      </c>
      <c r="E62" s="582" t="s">
        <v>1012</v>
      </c>
      <c r="F62" s="582" t="s">
        <v>940</v>
      </c>
      <c r="G62" s="702">
        <v>46096.0</v>
      </c>
      <c r="H62" s="702"/>
      <c r="I62" s="723"/>
      <c r="J62" s="705"/>
      <c r="K62" s="528">
        <v>9.0</v>
      </c>
      <c r="L62" s="543" t="b">
        <v>1</v>
      </c>
      <c r="M62" s="543" t="b">
        <v>1</v>
      </c>
      <c r="N62" s="530"/>
      <c r="O62" s="705" t="s">
        <v>1009</v>
      </c>
      <c r="P62" s="543" t="s">
        <v>123</v>
      </c>
      <c r="Q62" s="544" t="b">
        <v>0</v>
      </c>
      <c r="R62" s="544" t="b">
        <v>0</v>
      </c>
      <c r="S62" s="544" t="b">
        <v>0</v>
      </c>
      <c r="T62" s="544" t="b">
        <v>0</v>
      </c>
      <c r="U62" s="544" t="b">
        <v>0</v>
      </c>
      <c r="V62" s="665" t="b">
        <v>0</v>
      </c>
      <c r="W62" s="664"/>
      <c r="X62" s="664"/>
      <c r="Y62" s="664"/>
      <c r="Z62" s="664"/>
      <c r="AA62" s="665" t="b">
        <v>0</v>
      </c>
      <c r="AB62" s="665" t="b">
        <v>0</v>
      </c>
      <c r="AC62" s="665" t="b">
        <v>0</v>
      </c>
      <c r="AD62" s="770"/>
      <c r="AE62" s="708"/>
      <c r="AF62" s="734"/>
      <c r="AG62" s="734" t="s">
        <v>942</v>
      </c>
      <c r="AH62" s="735" t="s">
        <v>1013</v>
      </c>
      <c r="AI62" s="736"/>
      <c r="AJ62" s="736"/>
      <c r="AK62" s="736"/>
      <c r="AL62" s="736"/>
      <c r="AM62" s="736"/>
      <c r="AN62" s="736"/>
      <c r="AO62" s="736"/>
      <c r="AP62" s="736"/>
      <c r="AQ62" s="771"/>
    </row>
    <row r="63" ht="12.0" customHeight="1">
      <c r="A63" s="700"/>
      <c r="B63" s="719" t="s">
        <v>123</v>
      </c>
      <c r="C63" s="525" t="s">
        <v>1010</v>
      </c>
      <c r="D63" s="526">
        <v>1718.0</v>
      </c>
      <c r="E63" s="582"/>
      <c r="F63" s="582" t="s">
        <v>940</v>
      </c>
      <c r="G63" s="702">
        <v>46096.0</v>
      </c>
      <c r="H63" s="702"/>
      <c r="I63" s="723"/>
      <c r="J63" s="705"/>
      <c r="K63" s="528">
        <v>8.0</v>
      </c>
      <c r="L63" s="543" t="b">
        <v>1</v>
      </c>
      <c r="M63" s="543" t="b">
        <v>1</v>
      </c>
      <c r="N63" s="530"/>
      <c r="O63" s="705"/>
      <c r="P63" s="543"/>
      <c r="Q63" s="544" t="b">
        <v>0</v>
      </c>
      <c r="R63" s="544" t="b">
        <v>0</v>
      </c>
      <c r="S63" s="544" t="b">
        <v>0</v>
      </c>
      <c r="T63" s="544" t="b">
        <v>0</v>
      </c>
      <c r="U63" s="544" t="b">
        <v>0</v>
      </c>
      <c r="V63" s="665" t="b">
        <v>0</v>
      </c>
      <c r="W63" s="664"/>
      <c r="X63" s="664"/>
      <c r="Y63" s="664"/>
      <c r="Z63" s="664"/>
      <c r="AA63" s="665" t="b">
        <v>0</v>
      </c>
      <c r="AB63" s="665" t="b">
        <v>0</v>
      </c>
      <c r="AC63" s="665" t="b">
        <v>0</v>
      </c>
      <c r="AD63" s="772"/>
      <c r="AE63" s="708"/>
      <c r="AF63" s="725"/>
      <c r="AG63" s="725" t="s">
        <v>942</v>
      </c>
      <c r="AH63" s="726" t="s">
        <v>1013</v>
      </c>
      <c r="AI63" s="727"/>
      <c r="AJ63" s="727"/>
      <c r="AK63" s="727"/>
      <c r="AL63" s="727"/>
      <c r="AM63" s="727"/>
      <c r="AN63" s="727"/>
      <c r="AO63" s="727"/>
      <c r="AP63" s="727"/>
      <c r="AQ63" s="773"/>
    </row>
    <row r="64" ht="12.0" customHeight="1">
      <c r="A64" s="700"/>
      <c r="B64" s="719" t="s">
        <v>123</v>
      </c>
      <c r="C64" s="525" t="s">
        <v>1010</v>
      </c>
      <c r="D64" s="526">
        <v>2838.0</v>
      </c>
      <c r="E64" s="582"/>
      <c r="F64" s="582" t="s">
        <v>940</v>
      </c>
      <c r="G64" s="702">
        <v>46096.0</v>
      </c>
      <c r="H64" s="702"/>
      <c r="I64" s="723"/>
      <c r="J64" s="705"/>
      <c r="K64" s="528">
        <v>8.0</v>
      </c>
      <c r="L64" s="543" t="b">
        <v>1</v>
      </c>
      <c r="M64" s="543" t="b">
        <v>1</v>
      </c>
      <c r="N64" s="530"/>
      <c r="O64" s="705"/>
      <c r="P64" s="543"/>
      <c r="Q64" s="544" t="b">
        <v>0</v>
      </c>
      <c r="R64" s="544" t="b">
        <v>0</v>
      </c>
      <c r="S64" s="544" t="b">
        <v>0</v>
      </c>
      <c r="T64" s="544" t="b">
        <v>0</v>
      </c>
      <c r="U64" s="544" t="b">
        <v>0</v>
      </c>
      <c r="V64" s="665" t="b">
        <v>0</v>
      </c>
      <c r="W64" s="664"/>
      <c r="X64" s="664"/>
      <c r="Y64" s="664"/>
      <c r="Z64" s="664"/>
      <c r="AA64" s="665" t="b">
        <v>0</v>
      </c>
      <c r="AB64" s="665" t="b">
        <v>0</v>
      </c>
      <c r="AC64" s="665" t="b">
        <v>0</v>
      </c>
      <c r="AD64" s="772"/>
      <c r="AE64" s="708"/>
      <c r="AF64" s="725"/>
      <c r="AG64" s="725"/>
      <c r="AH64" s="726"/>
      <c r="AI64" s="727"/>
      <c r="AJ64" s="727"/>
      <c r="AK64" s="727"/>
      <c r="AL64" s="727"/>
      <c r="AM64" s="727"/>
      <c r="AN64" s="727"/>
      <c r="AO64" s="727"/>
      <c r="AP64" s="727"/>
      <c r="AQ64" s="773"/>
    </row>
    <row r="65" ht="12.0" customHeight="1">
      <c r="A65" s="700"/>
      <c r="B65" s="774" t="s">
        <v>123</v>
      </c>
      <c r="C65" s="775" t="s">
        <v>1010</v>
      </c>
      <c r="D65" s="776">
        <v>2840.0</v>
      </c>
      <c r="E65" s="777"/>
      <c r="F65" s="777" t="s">
        <v>940</v>
      </c>
      <c r="G65" s="778">
        <v>46096.0</v>
      </c>
      <c r="H65" s="778"/>
      <c r="I65" s="779"/>
      <c r="J65" s="780"/>
      <c r="K65" s="781">
        <v>8.0</v>
      </c>
      <c r="L65" s="782" t="b">
        <v>1</v>
      </c>
      <c r="M65" s="782" t="b">
        <v>1</v>
      </c>
      <c r="N65" s="783"/>
      <c r="O65" s="780"/>
      <c r="P65" s="782"/>
      <c r="Q65" s="784" t="b">
        <v>0</v>
      </c>
      <c r="R65" s="784" t="b">
        <v>0</v>
      </c>
      <c r="S65" s="784" t="b">
        <v>0</v>
      </c>
      <c r="T65" s="784" t="b">
        <v>0</v>
      </c>
      <c r="U65" s="784" t="b">
        <v>0</v>
      </c>
      <c r="V65" s="785" t="b">
        <v>0</v>
      </c>
      <c r="W65" s="786"/>
      <c r="X65" s="786"/>
      <c r="Y65" s="786"/>
      <c r="Z65" s="786"/>
      <c r="AA65" s="785" t="b">
        <v>0</v>
      </c>
      <c r="AB65" s="785" t="b">
        <v>0</v>
      </c>
      <c r="AC65" s="785" t="b">
        <v>0</v>
      </c>
      <c r="AD65" s="787"/>
      <c r="AE65" s="788"/>
      <c r="AF65" s="789"/>
      <c r="AG65" s="789"/>
      <c r="AH65" s="790"/>
      <c r="AI65" s="791"/>
      <c r="AJ65" s="791"/>
      <c r="AK65" s="791"/>
      <c r="AL65" s="791"/>
      <c r="AM65" s="791"/>
      <c r="AN65" s="791"/>
      <c r="AO65" s="791"/>
      <c r="AP65" s="791"/>
      <c r="AQ65" s="792"/>
    </row>
    <row r="66" ht="12.0" customHeight="1">
      <c r="A66" s="251"/>
      <c r="B66" s="793"/>
      <c r="C66" s="794"/>
      <c r="D66" s="795"/>
      <c r="E66" s="677"/>
      <c r="F66" s="677"/>
      <c r="G66" s="796"/>
      <c r="H66" s="796"/>
      <c r="I66" s="797"/>
      <c r="J66" s="708"/>
      <c r="K66" s="709"/>
      <c r="L66" s="798"/>
      <c r="M66" s="798"/>
      <c r="N66" s="799"/>
      <c r="O66" s="800"/>
      <c r="P66" s="798"/>
      <c r="Q66" s="708"/>
      <c r="R66" s="708"/>
      <c r="S66" s="708"/>
      <c r="T66" s="708"/>
      <c r="U66" s="708"/>
      <c r="V66" s="709"/>
      <c r="W66" s="801"/>
      <c r="X66" s="801"/>
      <c r="Y66" s="801"/>
      <c r="Z66" s="801"/>
      <c r="AA66" s="802"/>
      <c r="AB66" s="802"/>
      <c r="AC66" s="802"/>
      <c r="AD66" s="708"/>
      <c r="AE66" s="708"/>
      <c r="AF66" s="709"/>
      <c r="AG66" s="709"/>
      <c r="AH66" s="710"/>
      <c r="AI66" s="711"/>
      <c r="AJ66" s="711"/>
      <c r="AK66" s="711"/>
      <c r="AL66" s="711"/>
      <c r="AM66" s="711"/>
      <c r="AN66" s="711"/>
      <c r="AO66" s="711"/>
      <c r="AP66" s="711"/>
      <c r="AQ66" s="712"/>
    </row>
    <row r="67" ht="12.0" customHeight="1">
      <c r="A67" s="251"/>
      <c r="B67" s="803"/>
      <c r="C67" s="731" t="s">
        <v>1014</v>
      </c>
      <c r="D67" s="732"/>
      <c r="E67" s="582" t="s">
        <v>1015</v>
      </c>
      <c r="F67" s="582" t="s">
        <v>940</v>
      </c>
      <c r="G67" s="702">
        <v>46113.0</v>
      </c>
      <c r="H67" s="702"/>
      <c r="I67" s="723"/>
      <c r="J67" s="770"/>
      <c r="K67" s="528">
        <v>7.0</v>
      </c>
      <c r="L67" s="543" t="b">
        <v>1</v>
      </c>
      <c r="M67" s="543" t="b">
        <v>0</v>
      </c>
      <c r="N67" s="733"/>
      <c r="O67" s="705"/>
      <c r="P67" s="804"/>
      <c r="Q67" s="770"/>
      <c r="R67" s="770"/>
      <c r="S67" s="770"/>
      <c r="T67" s="770"/>
      <c r="U67" s="770"/>
      <c r="V67" s="718"/>
      <c r="W67" s="805"/>
      <c r="X67" s="805"/>
      <c r="Y67" s="805"/>
      <c r="Z67" s="805"/>
      <c r="AA67" s="806"/>
      <c r="AB67" s="806"/>
      <c r="AC67" s="806"/>
      <c r="AD67" s="770"/>
      <c r="AE67" s="708"/>
      <c r="AF67" s="718"/>
      <c r="AG67" s="718"/>
      <c r="AH67" s="720"/>
      <c r="AI67" s="721"/>
      <c r="AJ67" s="721"/>
      <c r="AK67" s="721"/>
      <c r="AL67" s="721"/>
      <c r="AM67" s="721"/>
      <c r="AN67" s="721"/>
      <c r="AO67" s="721"/>
      <c r="AP67" s="721"/>
      <c r="AQ67" s="807"/>
    </row>
    <row r="68" ht="12.0" customHeight="1">
      <c r="A68" s="251"/>
      <c r="B68" s="803"/>
      <c r="C68" s="731" t="s">
        <v>1016</v>
      </c>
      <c r="D68" s="732"/>
      <c r="E68" s="582" t="s">
        <v>1015</v>
      </c>
      <c r="F68" s="582" t="s">
        <v>940</v>
      </c>
      <c r="G68" s="702">
        <v>46113.0</v>
      </c>
      <c r="H68" s="702"/>
      <c r="I68" s="723"/>
      <c r="J68" s="770"/>
      <c r="K68" s="528">
        <v>7.0</v>
      </c>
      <c r="L68" s="543" t="b">
        <v>1</v>
      </c>
      <c r="M68" s="543" t="b">
        <v>0</v>
      </c>
      <c r="N68" s="733"/>
      <c r="O68" s="705"/>
      <c r="P68" s="804"/>
      <c r="Q68" s="770"/>
      <c r="R68" s="770"/>
      <c r="S68" s="770"/>
      <c r="T68" s="770"/>
      <c r="U68" s="770"/>
      <c r="V68" s="718"/>
      <c r="W68" s="805"/>
      <c r="X68" s="805"/>
      <c r="Y68" s="805"/>
      <c r="Z68" s="805"/>
      <c r="AA68" s="806"/>
      <c r="AB68" s="806"/>
      <c r="AC68" s="806"/>
      <c r="AD68" s="770"/>
      <c r="AE68" s="708"/>
      <c r="AF68" s="718"/>
      <c r="AG68" s="718"/>
      <c r="AH68" s="720"/>
      <c r="AI68" s="721"/>
      <c r="AJ68" s="721"/>
      <c r="AK68" s="721"/>
      <c r="AL68" s="721"/>
      <c r="AM68" s="721"/>
      <c r="AN68" s="721"/>
      <c r="AO68" s="721"/>
      <c r="AP68" s="721"/>
      <c r="AQ68" s="807"/>
    </row>
    <row r="69" ht="12.0" customHeight="1">
      <c r="A69" s="251"/>
      <c r="B69" s="803"/>
      <c r="C69" s="731" t="s">
        <v>1016</v>
      </c>
      <c r="D69" s="732"/>
      <c r="E69" s="582"/>
      <c r="F69" s="582" t="s">
        <v>940</v>
      </c>
      <c r="G69" s="702">
        <v>46113.0</v>
      </c>
      <c r="H69" s="702"/>
      <c r="I69" s="723"/>
      <c r="J69" s="770"/>
      <c r="K69" s="718"/>
      <c r="L69" s="804"/>
      <c r="M69" s="804"/>
      <c r="N69" s="733"/>
      <c r="O69" s="705"/>
      <c r="P69" s="804"/>
      <c r="Q69" s="770"/>
      <c r="R69" s="770"/>
      <c r="S69" s="770"/>
      <c r="T69" s="770"/>
      <c r="U69" s="770"/>
      <c r="V69" s="718"/>
      <c r="W69" s="805"/>
      <c r="X69" s="805"/>
      <c r="Y69" s="805"/>
      <c r="Z69" s="805"/>
      <c r="AA69" s="806"/>
      <c r="AB69" s="806"/>
      <c r="AC69" s="806"/>
      <c r="AD69" s="770"/>
      <c r="AE69" s="708"/>
      <c r="AF69" s="718"/>
      <c r="AG69" s="718"/>
      <c r="AH69" s="720"/>
      <c r="AI69" s="721"/>
      <c r="AJ69" s="721"/>
      <c r="AK69" s="721"/>
      <c r="AL69" s="721"/>
      <c r="AM69" s="721"/>
      <c r="AN69" s="721"/>
      <c r="AO69" s="721"/>
      <c r="AP69" s="721"/>
      <c r="AQ69" s="807"/>
    </row>
    <row r="70" ht="12.0" customHeight="1">
      <c r="A70" s="251"/>
      <c r="B70" s="803"/>
      <c r="C70" s="731" t="s">
        <v>1016</v>
      </c>
      <c r="D70" s="732"/>
      <c r="E70" s="582"/>
      <c r="F70" s="582" t="s">
        <v>940</v>
      </c>
      <c r="G70" s="702">
        <v>46113.0</v>
      </c>
      <c r="H70" s="702"/>
      <c r="I70" s="723"/>
      <c r="J70" s="770"/>
      <c r="K70" s="718"/>
      <c r="L70" s="804"/>
      <c r="M70" s="804"/>
      <c r="N70" s="733"/>
      <c r="O70" s="705"/>
      <c r="P70" s="804"/>
      <c r="Q70" s="770"/>
      <c r="R70" s="770"/>
      <c r="S70" s="770"/>
      <c r="T70" s="770"/>
      <c r="U70" s="770"/>
      <c r="V70" s="718"/>
      <c r="W70" s="805"/>
      <c r="X70" s="805"/>
      <c r="Y70" s="805"/>
      <c r="Z70" s="805"/>
      <c r="AA70" s="806"/>
      <c r="AB70" s="806"/>
      <c r="AC70" s="806"/>
      <c r="AD70" s="770"/>
      <c r="AE70" s="708"/>
      <c r="AF70" s="718"/>
      <c r="AG70" s="718"/>
      <c r="AH70" s="720"/>
      <c r="AI70" s="721"/>
      <c r="AJ70" s="721"/>
      <c r="AK70" s="721"/>
      <c r="AL70" s="721"/>
      <c r="AM70" s="721"/>
      <c r="AN70" s="721"/>
      <c r="AO70" s="721"/>
      <c r="AP70" s="721"/>
      <c r="AQ70" s="807"/>
    </row>
    <row r="71" ht="12.0" customHeight="1">
      <c r="A71" s="251"/>
      <c r="B71" s="808"/>
      <c r="C71" s="809" t="s">
        <v>1016</v>
      </c>
      <c r="D71" s="810"/>
      <c r="E71" s="811"/>
      <c r="F71" s="811" t="s">
        <v>940</v>
      </c>
      <c r="G71" s="812">
        <v>46114.0</v>
      </c>
      <c r="H71" s="812"/>
      <c r="I71" s="813"/>
      <c r="J71" s="814"/>
      <c r="K71" s="815"/>
      <c r="L71" s="816"/>
      <c r="M71" s="816"/>
      <c r="N71" s="817"/>
      <c r="O71" s="705"/>
      <c r="P71" s="816"/>
      <c r="Q71" s="814"/>
      <c r="R71" s="814"/>
      <c r="S71" s="814"/>
      <c r="T71" s="814"/>
      <c r="U71" s="814"/>
      <c r="V71" s="815"/>
      <c r="W71" s="818"/>
      <c r="X71" s="818"/>
      <c r="Y71" s="818"/>
      <c r="Z71" s="818"/>
      <c r="AA71" s="819"/>
      <c r="AB71" s="819"/>
      <c r="AC71" s="819"/>
      <c r="AD71" s="814"/>
      <c r="AE71" s="708"/>
      <c r="AF71" s="815"/>
      <c r="AG71" s="815"/>
      <c r="AH71" s="820"/>
      <c r="AI71" s="821"/>
      <c r="AJ71" s="821"/>
      <c r="AK71" s="821"/>
      <c r="AL71" s="821"/>
      <c r="AM71" s="821"/>
      <c r="AN71" s="821"/>
      <c r="AO71" s="821"/>
      <c r="AP71" s="821"/>
      <c r="AQ71" s="822"/>
    </row>
    <row r="72" ht="12.0" customHeight="1">
      <c r="B72" s="823"/>
      <c r="C72" s="794"/>
      <c r="D72" s="795"/>
      <c r="E72" s="677"/>
      <c r="F72" s="677"/>
      <c r="G72" s="796"/>
      <c r="H72" s="796"/>
      <c r="I72" s="797"/>
      <c r="J72" s="708"/>
      <c r="K72" s="824"/>
      <c r="L72" s="798"/>
      <c r="M72" s="798"/>
      <c r="N72" s="799"/>
      <c r="O72" s="705"/>
      <c r="P72" s="798"/>
      <c r="Q72" s="708"/>
      <c r="R72" s="708"/>
      <c r="S72" s="708"/>
      <c r="T72" s="708"/>
      <c r="U72" s="708"/>
      <c r="V72" s="824"/>
      <c r="W72" s="825"/>
      <c r="X72" s="825"/>
      <c r="Y72" s="825"/>
      <c r="Z72" s="825"/>
      <c r="AA72" s="826"/>
      <c r="AB72" s="826"/>
      <c r="AC72" s="826"/>
      <c r="AD72" s="708"/>
      <c r="AE72" s="708"/>
      <c r="AF72" s="824"/>
      <c r="AG72" s="824"/>
      <c r="AH72" s="827"/>
      <c r="AI72" s="828"/>
      <c r="AJ72" s="828"/>
      <c r="AK72" s="828"/>
      <c r="AL72" s="828"/>
      <c r="AM72" s="828"/>
      <c r="AN72" s="828"/>
      <c r="AO72" s="828"/>
      <c r="AP72" s="828"/>
      <c r="AQ72" s="828"/>
    </row>
    <row r="73" ht="12.0" customHeight="1">
      <c r="B73" s="829"/>
      <c r="C73" s="731"/>
      <c r="D73" s="732"/>
      <c r="E73" s="582"/>
      <c r="F73" s="582"/>
      <c r="G73" s="702"/>
      <c r="H73" s="702"/>
      <c r="I73" s="723"/>
      <c r="J73" s="770"/>
      <c r="K73" s="718"/>
      <c r="L73" s="804"/>
      <c r="M73" s="804"/>
      <c r="N73" s="733"/>
      <c r="O73" s="705"/>
      <c r="P73" s="804"/>
      <c r="Q73" s="770"/>
      <c r="R73" s="770"/>
      <c r="S73" s="770"/>
      <c r="T73" s="770"/>
      <c r="U73" s="770"/>
      <c r="V73" s="718"/>
      <c r="W73" s="805"/>
      <c r="X73" s="805"/>
      <c r="Y73" s="805"/>
      <c r="Z73" s="805"/>
      <c r="AA73" s="806"/>
      <c r="AB73" s="806"/>
      <c r="AC73" s="806"/>
      <c r="AD73" s="770"/>
      <c r="AE73" s="708"/>
      <c r="AF73" s="718"/>
      <c r="AG73" s="718"/>
      <c r="AH73" s="720"/>
      <c r="AI73" s="721"/>
      <c r="AJ73" s="721"/>
      <c r="AK73" s="721"/>
      <c r="AL73" s="721"/>
      <c r="AM73" s="721"/>
      <c r="AN73" s="721"/>
      <c r="AO73" s="721"/>
      <c r="AP73" s="721"/>
      <c r="AQ73" s="721"/>
    </row>
    <row r="74" ht="12.0" customHeight="1">
      <c r="A74" s="700"/>
      <c r="B74" s="701" t="s">
        <v>1017</v>
      </c>
      <c r="C74" s="525" t="s">
        <v>1018</v>
      </c>
      <c r="D74" s="526" t="s">
        <v>1019</v>
      </c>
      <c r="E74" s="582"/>
      <c r="F74" s="582" t="s">
        <v>940</v>
      </c>
      <c r="G74" s="702">
        <v>46143.0</v>
      </c>
      <c r="H74" s="702"/>
      <c r="I74" s="723"/>
      <c r="J74" s="705"/>
      <c r="K74" s="528">
        <v>6.0</v>
      </c>
      <c r="L74" s="543" t="b">
        <v>1</v>
      </c>
      <c r="M74" s="543" t="b">
        <v>1</v>
      </c>
      <c r="N74" s="530"/>
      <c r="O74" s="705"/>
      <c r="P74" s="543"/>
      <c r="Q74" s="544" t="b">
        <v>0</v>
      </c>
      <c r="R74" s="544" t="b">
        <v>0</v>
      </c>
      <c r="S74" s="544" t="b">
        <v>0</v>
      </c>
      <c r="T74" s="544" t="b">
        <v>0</v>
      </c>
      <c r="U74" s="544" t="b">
        <v>0</v>
      </c>
      <c r="V74" s="665" t="b">
        <v>0</v>
      </c>
      <c r="W74" s="664"/>
      <c r="X74" s="664"/>
      <c r="Y74" s="664"/>
      <c r="Z74" s="664"/>
      <c r="AA74" s="665" t="b">
        <v>0</v>
      </c>
      <c r="AB74" s="665" t="b">
        <v>0</v>
      </c>
      <c r="AC74" s="665" t="b">
        <v>0</v>
      </c>
      <c r="AD74" s="770"/>
      <c r="AE74" s="708"/>
      <c r="AF74" s="734"/>
      <c r="AG74" s="734"/>
      <c r="AH74" s="735"/>
      <c r="AI74" s="736"/>
      <c r="AJ74" s="736"/>
      <c r="AK74" s="736"/>
      <c r="AL74" s="736"/>
      <c r="AM74" s="736"/>
      <c r="AN74" s="736"/>
      <c r="AO74" s="736"/>
      <c r="AP74" s="736"/>
      <c r="AQ74" s="830"/>
    </row>
    <row r="75" ht="12.0" customHeight="1">
      <c r="A75" s="700"/>
      <c r="B75" s="701" t="s">
        <v>1017</v>
      </c>
      <c r="C75" s="525" t="s">
        <v>1018</v>
      </c>
      <c r="D75" s="526" t="s">
        <v>1020</v>
      </c>
      <c r="E75" s="582" t="s">
        <v>1021</v>
      </c>
      <c r="F75" s="582" t="s">
        <v>27</v>
      </c>
      <c r="G75" s="702">
        <v>46144.0</v>
      </c>
      <c r="H75" s="702"/>
      <c r="I75" s="723"/>
      <c r="J75" s="705"/>
      <c r="K75" s="528"/>
      <c r="L75" s="543" t="b">
        <v>1</v>
      </c>
      <c r="M75" s="543" t="b">
        <v>0</v>
      </c>
      <c r="N75" s="530"/>
      <c r="O75" s="705"/>
      <c r="P75" s="543"/>
      <c r="Q75" s="544" t="b">
        <v>0</v>
      </c>
      <c r="R75" s="544" t="b">
        <v>0</v>
      </c>
      <c r="S75" s="544" t="b">
        <v>0</v>
      </c>
      <c r="T75" s="544" t="b">
        <v>0</v>
      </c>
      <c r="U75" s="544" t="b">
        <v>0</v>
      </c>
      <c r="V75" s="665" t="b">
        <v>0</v>
      </c>
      <c r="W75" s="664"/>
      <c r="X75" s="664"/>
      <c r="Y75" s="664"/>
      <c r="Z75" s="664"/>
      <c r="AA75" s="665" t="b">
        <v>0</v>
      </c>
      <c r="AB75" s="665" t="b">
        <v>0</v>
      </c>
      <c r="AC75" s="665" t="b">
        <v>0</v>
      </c>
      <c r="AD75" s="770"/>
      <c r="AE75" s="708"/>
      <c r="AF75" s="734"/>
      <c r="AG75" s="734"/>
      <c r="AH75" s="735"/>
      <c r="AI75" s="736"/>
      <c r="AJ75" s="736"/>
      <c r="AK75" s="736"/>
      <c r="AL75" s="736"/>
      <c r="AM75" s="736"/>
      <c r="AN75" s="736"/>
      <c r="AO75" s="736"/>
      <c r="AP75" s="736"/>
      <c r="AQ75" s="736"/>
    </row>
    <row r="76" ht="12.0" customHeight="1">
      <c r="A76" s="700"/>
      <c r="B76" s="701" t="s">
        <v>1017</v>
      </c>
      <c r="C76" s="525" t="s">
        <v>1018</v>
      </c>
      <c r="D76" s="526" t="s">
        <v>1022</v>
      </c>
      <c r="E76" s="582" t="s">
        <v>1021</v>
      </c>
      <c r="F76" s="582" t="s">
        <v>27</v>
      </c>
      <c r="G76" s="702">
        <v>46145.0</v>
      </c>
      <c r="H76" s="702"/>
      <c r="I76" s="723"/>
      <c r="J76" s="705"/>
      <c r="K76" s="528"/>
      <c r="L76" s="543" t="b">
        <v>1</v>
      </c>
      <c r="M76" s="543" t="b">
        <v>0</v>
      </c>
      <c r="N76" s="530"/>
      <c r="O76" s="705"/>
      <c r="P76" s="543"/>
      <c r="Q76" s="544" t="b">
        <v>0</v>
      </c>
      <c r="R76" s="544" t="b">
        <v>0</v>
      </c>
      <c r="S76" s="544" t="b">
        <v>0</v>
      </c>
      <c r="T76" s="544" t="b">
        <v>0</v>
      </c>
      <c r="U76" s="544" t="b">
        <v>0</v>
      </c>
      <c r="V76" s="665" t="b">
        <v>0</v>
      </c>
      <c r="W76" s="664"/>
      <c r="X76" s="664"/>
      <c r="Y76" s="664"/>
      <c r="Z76" s="664"/>
      <c r="AA76" s="665" t="b">
        <v>0</v>
      </c>
      <c r="AB76" s="665" t="b">
        <v>0</v>
      </c>
      <c r="AC76" s="665" t="b">
        <v>0</v>
      </c>
      <c r="AD76" s="770"/>
      <c r="AE76" s="708"/>
      <c r="AF76" s="734"/>
      <c r="AG76" s="734"/>
      <c r="AH76" s="735"/>
      <c r="AI76" s="736"/>
      <c r="AJ76" s="736"/>
      <c r="AK76" s="736"/>
      <c r="AL76" s="736"/>
      <c r="AM76" s="736"/>
      <c r="AN76" s="736"/>
      <c r="AO76" s="736"/>
      <c r="AP76" s="736"/>
      <c r="AQ76" s="736"/>
    </row>
    <row r="77" ht="12.0" customHeight="1">
      <c r="A77" s="700"/>
      <c r="B77" s="701" t="s">
        <v>1017</v>
      </c>
      <c r="C77" s="525" t="s">
        <v>1018</v>
      </c>
      <c r="D77" s="526" t="s">
        <v>1023</v>
      </c>
      <c r="E77" s="582" t="s">
        <v>1024</v>
      </c>
      <c r="F77" s="582" t="s">
        <v>940</v>
      </c>
      <c r="G77" s="702">
        <v>46146.0</v>
      </c>
      <c r="H77" s="702"/>
      <c r="I77" s="723"/>
      <c r="J77" s="705"/>
      <c r="K77" s="528"/>
      <c r="L77" s="543" t="b">
        <v>1</v>
      </c>
      <c r="M77" s="543" t="b">
        <v>0</v>
      </c>
      <c r="N77" s="530"/>
      <c r="O77" s="705"/>
      <c r="P77" s="543"/>
      <c r="Q77" s="544" t="b">
        <v>0</v>
      </c>
      <c r="R77" s="544" t="b">
        <v>0</v>
      </c>
      <c r="S77" s="544" t="b">
        <v>0</v>
      </c>
      <c r="T77" s="544" t="b">
        <v>0</v>
      </c>
      <c r="U77" s="544" t="b">
        <v>0</v>
      </c>
      <c r="V77" s="665" t="b">
        <v>0</v>
      </c>
      <c r="W77" s="664"/>
      <c r="X77" s="664"/>
      <c r="Y77" s="664"/>
      <c r="Z77" s="664"/>
      <c r="AA77" s="665" t="b">
        <v>0</v>
      </c>
      <c r="AB77" s="665" t="b">
        <v>0</v>
      </c>
      <c r="AC77" s="665" t="b">
        <v>0</v>
      </c>
      <c r="AD77" s="770"/>
      <c r="AE77" s="708"/>
      <c r="AF77" s="734"/>
      <c r="AG77" s="734" t="s">
        <v>942</v>
      </c>
      <c r="AH77" s="735"/>
      <c r="AI77" s="736"/>
      <c r="AJ77" s="736"/>
      <c r="AK77" s="736"/>
      <c r="AL77" s="736"/>
      <c r="AM77" s="736"/>
      <c r="AN77" s="736"/>
      <c r="AO77" s="736"/>
      <c r="AP77" s="736"/>
      <c r="AQ77" s="736"/>
    </row>
    <row r="78" ht="12.0" customHeight="1">
      <c r="B78" s="829"/>
      <c r="C78" s="731"/>
      <c r="D78" s="732"/>
      <c r="E78" s="582"/>
      <c r="F78" s="582"/>
      <c r="G78" s="702"/>
      <c r="H78" s="702"/>
      <c r="I78" s="723"/>
      <c r="J78" s="770"/>
      <c r="K78" s="718"/>
      <c r="L78" s="804"/>
      <c r="M78" s="804"/>
      <c r="N78" s="733"/>
      <c r="O78" s="705"/>
      <c r="P78" s="804"/>
      <c r="Q78" s="770"/>
      <c r="R78" s="770"/>
      <c r="S78" s="770"/>
      <c r="T78" s="770"/>
      <c r="U78" s="770"/>
      <c r="V78" s="718"/>
      <c r="W78" s="805"/>
      <c r="X78" s="805"/>
      <c r="Y78" s="805"/>
      <c r="Z78" s="805"/>
      <c r="AA78" s="806"/>
      <c r="AB78" s="806"/>
      <c r="AC78" s="806"/>
      <c r="AD78" s="770"/>
      <c r="AE78" s="708"/>
      <c r="AF78" s="718"/>
      <c r="AG78" s="718"/>
      <c r="AH78" s="720"/>
      <c r="AI78" s="721"/>
      <c r="AJ78" s="721"/>
      <c r="AK78" s="721"/>
      <c r="AL78" s="721"/>
      <c r="AM78" s="721"/>
      <c r="AN78" s="721"/>
      <c r="AO78" s="721"/>
      <c r="AP78" s="721"/>
      <c r="AQ78" s="721"/>
    </row>
    <row r="79" ht="12.0" customHeight="1">
      <c r="B79" s="829"/>
      <c r="C79" s="731"/>
      <c r="D79" s="732"/>
      <c r="E79" s="582"/>
      <c r="F79" s="582"/>
      <c r="G79" s="702"/>
      <c r="H79" s="702"/>
      <c r="I79" s="723"/>
      <c r="J79" s="770"/>
      <c r="K79" s="718"/>
      <c r="L79" s="804"/>
      <c r="M79" s="804"/>
      <c r="N79" s="733"/>
      <c r="O79" s="705"/>
      <c r="P79" s="804"/>
      <c r="Q79" s="770"/>
      <c r="R79" s="770"/>
      <c r="S79" s="770"/>
      <c r="T79" s="770"/>
      <c r="U79" s="770"/>
      <c r="V79" s="718"/>
      <c r="W79" s="805"/>
      <c r="X79" s="805"/>
      <c r="Y79" s="805"/>
      <c r="Z79" s="805"/>
      <c r="AA79" s="806"/>
      <c r="AB79" s="806"/>
      <c r="AC79" s="806"/>
      <c r="AD79" s="770"/>
      <c r="AE79" s="708"/>
      <c r="AF79" s="718"/>
      <c r="AG79" s="718"/>
      <c r="AH79" s="720"/>
      <c r="AI79" s="721"/>
      <c r="AJ79" s="721"/>
      <c r="AK79" s="721"/>
      <c r="AL79" s="721"/>
      <c r="AM79" s="721"/>
      <c r="AN79" s="721"/>
      <c r="AO79" s="721"/>
      <c r="AP79" s="721"/>
      <c r="AQ79" s="721"/>
    </row>
    <row r="80" ht="12.0" customHeight="1">
      <c r="B80" s="829"/>
      <c r="C80" s="731"/>
      <c r="D80" s="732"/>
      <c r="E80" s="582"/>
      <c r="F80" s="582"/>
      <c r="G80" s="702"/>
      <c r="H80" s="702"/>
      <c r="I80" s="723"/>
      <c r="J80" s="770"/>
      <c r="K80" s="718"/>
      <c r="L80" s="804"/>
      <c r="M80" s="804"/>
      <c r="N80" s="733"/>
      <c r="O80" s="705"/>
      <c r="P80" s="804"/>
      <c r="Q80" s="770"/>
      <c r="R80" s="770"/>
      <c r="S80" s="770"/>
      <c r="T80" s="770"/>
      <c r="U80" s="770"/>
      <c r="V80" s="718"/>
      <c r="W80" s="805"/>
      <c r="X80" s="805"/>
      <c r="Y80" s="805"/>
      <c r="Z80" s="805"/>
      <c r="AA80" s="806"/>
      <c r="AB80" s="806"/>
      <c r="AC80" s="806"/>
      <c r="AD80" s="770"/>
      <c r="AE80" s="708"/>
      <c r="AF80" s="718"/>
      <c r="AG80" s="718"/>
      <c r="AH80" s="720"/>
      <c r="AI80" s="721"/>
      <c r="AJ80" s="721"/>
      <c r="AK80" s="721"/>
      <c r="AL80" s="721"/>
      <c r="AM80" s="721"/>
      <c r="AN80" s="721"/>
      <c r="AO80" s="721"/>
      <c r="AP80" s="721"/>
      <c r="AQ80" s="721"/>
    </row>
    <row r="81" ht="12.0" customHeight="1">
      <c r="B81" s="829"/>
      <c r="C81" s="731"/>
      <c r="D81" s="732"/>
      <c r="E81" s="582"/>
      <c r="F81" s="582"/>
      <c r="G81" s="702"/>
      <c r="H81" s="702"/>
      <c r="I81" s="723"/>
      <c r="J81" s="770"/>
      <c r="K81" s="718"/>
      <c r="L81" s="804"/>
      <c r="M81" s="804"/>
      <c r="N81" s="733"/>
      <c r="O81" s="705"/>
      <c r="P81" s="804"/>
      <c r="Q81" s="770"/>
      <c r="R81" s="770"/>
      <c r="S81" s="770"/>
      <c r="T81" s="770"/>
      <c r="U81" s="770"/>
      <c r="V81" s="718"/>
      <c r="W81" s="805"/>
      <c r="X81" s="805"/>
      <c r="Y81" s="805"/>
      <c r="Z81" s="805"/>
      <c r="AA81" s="806"/>
      <c r="AB81" s="806"/>
      <c r="AC81" s="806"/>
      <c r="AD81" s="770"/>
      <c r="AE81" s="708"/>
      <c r="AF81" s="718"/>
      <c r="AG81" s="718"/>
      <c r="AH81" s="720"/>
      <c r="AI81" s="721"/>
      <c r="AJ81" s="721"/>
      <c r="AK81" s="721"/>
      <c r="AL81" s="721"/>
      <c r="AM81" s="721"/>
      <c r="AN81" s="721"/>
      <c r="AO81" s="721"/>
      <c r="AP81" s="721"/>
      <c r="AQ81" s="721"/>
    </row>
    <row r="82" ht="12.0" customHeight="1">
      <c r="B82" s="829"/>
      <c r="C82" s="731"/>
      <c r="D82" s="732"/>
      <c r="E82" s="582"/>
      <c r="F82" s="582"/>
      <c r="G82" s="702"/>
      <c r="H82" s="702"/>
      <c r="I82" s="723"/>
      <c r="J82" s="770"/>
      <c r="K82" s="718"/>
      <c r="L82" s="804"/>
      <c r="M82" s="804"/>
      <c r="N82" s="733"/>
      <c r="O82" s="705"/>
      <c r="P82" s="804"/>
      <c r="Q82" s="770"/>
      <c r="R82" s="770"/>
      <c r="S82" s="770"/>
      <c r="T82" s="770"/>
      <c r="U82" s="770"/>
      <c r="V82" s="718"/>
      <c r="W82" s="805"/>
      <c r="X82" s="805"/>
      <c r="Y82" s="805"/>
      <c r="Z82" s="805"/>
      <c r="AA82" s="806"/>
      <c r="AB82" s="806"/>
      <c r="AC82" s="806"/>
      <c r="AD82" s="770"/>
      <c r="AE82" s="708"/>
      <c r="AF82" s="718"/>
      <c r="AG82" s="718"/>
      <c r="AH82" s="720"/>
      <c r="AI82" s="721"/>
      <c r="AJ82" s="721"/>
      <c r="AK82" s="721"/>
      <c r="AL82" s="721"/>
      <c r="AM82" s="721"/>
      <c r="AN82" s="721"/>
      <c r="AO82" s="721"/>
      <c r="AP82" s="721"/>
      <c r="AQ82" s="721"/>
    </row>
    <row r="83" ht="12.0" customHeight="1">
      <c r="B83" s="829"/>
      <c r="C83" s="731"/>
      <c r="D83" s="732"/>
      <c r="E83" s="582"/>
      <c r="F83" s="582"/>
      <c r="G83" s="702"/>
      <c r="H83" s="702"/>
      <c r="I83" s="723"/>
      <c r="J83" s="770"/>
      <c r="K83" s="718"/>
      <c r="L83" s="804"/>
      <c r="M83" s="804"/>
      <c r="N83" s="733"/>
      <c r="O83" s="705"/>
      <c r="P83" s="804"/>
      <c r="Q83" s="770"/>
      <c r="R83" s="770"/>
      <c r="S83" s="770"/>
      <c r="T83" s="770"/>
      <c r="U83" s="770"/>
      <c r="V83" s="718"/>
      <c r="W83" s="805"/>
      <c r="X83" s="805"/>
      <c r="Y83" s="805"/>
      <c r="Z83" s="805"/>
      <c r="AA83" s="806"/>
      <c r="AB83" s="806"/>
      <c r="AC83" s="806"/>
      <c r="AD83" s="770"/>
      <c r="AE83" s="708"/>
      <c r="AF83" s="718"/>
      <c r="AG83" s="718"/>
      <c r="AH83" s="720"/>
      <c r="AI83" s="721"/>
      <c r="AJ83" s="721"/>
      <c r="AK83" s="721"/>
      <c r="AL83" s="721"/>
      <c r="AM83" s="721"/>
      <c r="AN83" s="721"/>
      <c r="AO83" s="721"/>
      <c r="AP83" s="721"/>
      <c r="AQ83" s="721"/>
    </row>
    <row r="84" ht="12.0" customHeight="1">
      <c r="B84" s="829"/>
      <c r="C84" s="731"/>
      <c r="D84" s="732"/>
      <c r="E84" s="582"/>
      <c r="F84" s="582"/>
      <c r="G84" s="702"/>
      <c r="H84" s="702"/>
      <c r="I84" s="723"/>
      <c r="J84" s="770"/>
      <c r="K84" s="718"/>
      <c r="L84" s="804"/>
      <c r="M84" s="804"/>
      <c r="N84" s="733"/>
      <c r="O84" s="705"/>
      <c r="P84" s="804"/>
      <c r="Q84" s="770"/>
      <c r="R84" s="770"/>
      <c r="S84" s="770"/>
      <c r="T84" s="770"/>
      <c r="U84" s="770"/>
      <c r="V84" s="718"/>
      <c r="W84" s="805"/>
      <c r="X84" s="805"/>
      <c r="Y84" s="805"/>
      <c r="Z84" s="805"/>
      <c r="AA84" s="806"/>
      <c r="AB84" s="806"/>
      <c r="AC84" s="806"/>
      <c r="AD84" s="770"/>
      <c r="AE84" s="708"/>
      <c r="AF84" s="718"/>
      <c r="AG84" s="718"/>
      <c r="AH84" s="720"/>
      <c r="AI84" s="721"/>
      <c r="AJ84" s="721"/>
      <c r="AK84" s="721"/>
      <c r="AL84" s="721"/>
      <c r="AM84" s="721"/>
      <c r="AN84" s="721"/>
      <c r="AO84" s="721"/>
      <c r="AP84" s="721"/>
      <c r="AQ84" s="721"/>
    </row>
    <row r="85" ht="12.0" customHeight="1">
      <c r="B85" s="829"/>
      <c r="C85" s="731"/>
      <c r="D85" s="732"/>
      <c r="E85" s="582"/>
      <c r="F85" s="582"/>
      <c r="G85" s="702"/>
      <c r="H85" s="702"/>
      <c r="I85" s="723"/>
      <c r="J85" s="770"/>
      <c r="K85" s="718"/>
      <c r="L85" s="804"/>
      <c r="M85" s="804"/>
      <c r="N85" s="733"/>
      <c r="O85" s="705"/>
      <c r="P85" s="804"/>
      <c r="Q85" s="770"/>
      <c r="R85" s="770"/>
      <c r="S85" s="770"/>
      <c r="T85" s="770"/>
      <c r="U85" s="770"/>
      <c r="V85" s="718"/>
      <c r="W85" s="805"/>
      <c r="X85" s="805"/>
      <c r="Y85" s="805"/>
      <c r="Z85" s="805"/>
      <c r="AA85" s="806"/>
      <c r="AB85" s="806"/>
      <c r="AC85" s="806"/>
      <c r="AD85" s="770"/>
      <c r="AE85" s="708"/>
      <c r="AF85" s="718"/>
      <c r="AG85" s="718"/>
      <c r="AH85" s="720"/>
      <c r="AI85" s="721"/>
      <c r="AJ85" s="721"/>
      <c r="AK85" s="721"/>
      <c r="AL85" s="721"/>
      <c r="AM85" s="721"/>
      <c r="AN85" s="721"/>
      <c r="AO85" s="721"/>
      <c r="AP85" s="721"/>
      <c r="AQ85" s="721"/>
    </row>
    <row r="86" ht="12.0" customHeight="1">
      <c r="B86" s="829"/>
      <c r="C86" s="731"/>
      <c r="D86" s="732"/>
      <c r="E86" s="582"/>
      <c r="F86" s="582"/>
      <c r="G86" s="702"/>
      <c r="H86" s="702"/>
      <c r="I86" s="723"/>
      <c r="J86" s="770"/>
      <c r="K86" s="718"/>
      <c r="L86" s="804"/>
      <c r="M86" s="804"/>
      <c r="N86" s="733"/>
      <c r="O86" s="705"/>
      <c r="P86" s="804"/>
      <c r="Q86" s="770"/>
      <c r="R86" s="770"/>
      <c r="S86" s="770"/>
      <c r="T86" s="770"/>
      <c r="U86" s="770"/>
      <c r="V86" s="718"/>
      <c r="W86" s="805"/>
      <c r="X86" s="805"/>
      <c r="Y86" s="805"/>
      <c r="Z86" s="805"/>
      <c r="AA86" s="806"/>
      <c r="AB86" s="806"/>
      <c r="AC86" s="806"/>
      <c r="AD86" s="770"/>
      <c r="AE86" s="708"/>
      <c r="AF86" s="718"/>
      <c r="AG86" s="718"/>
      <c r="AH86" s="720"/>
      <c r="AI86" s="721"/>
      <c r="AJ86" s="721"/>
      <c r="AK86" s="721"/>
      <c r="AL86" s="721"/>
      <c r="AM86" s="721"/>
      <c r="AN86" s="721"/>
      <c r="AO86" s="721"/>
      <c r="AP86" s="721"/>
      <c r="AQ86" s="721"/>
    </row>
    <row r="87" ht="12.0" customHeight="1">
      <c r="B87" s="829"/>
      <c r="C87" s="731"/>
      <c r="D87" s="732"/>
      <c r="E87" s="582"/>
      <c r="F87" s="582"/>
      <c r="G87" s="702"/>
      <c r="H87" s="702"/>
      <c r="I87" s="723"/>
      <c r="J87" s="770"/>
      <c r="K87" s="718"/>
      <c r="L87" s="804"/>
      <c r="M87" s="804"/>
      <c r="N87" s="733"/>
      <c r="O87" s="705"/>
      <c r="P87" s="804"/>
      <c r="Q87" s="770"/>
      <c r="R87" s="770"/>
      <c r="S87" s="770"/>
      <c r="T87" s="770"/>
      <c r="U87" s="770"/>
      <c r="V87" s="718"/>
      <c r="W87" s="805"/>
      <c r="X87" s="805"/>
      <c r="Y87" s="805"/>
      <c r="Z87" s="805"/>
      <c r="AA87" s="806"/>
      <c r="AB87" s="806"/>
      <c r="AC87" s="806"/>
      <c r="AD87" s="770"/>
      <c r="AE87" s="708"/>
      <c r="AF87" s="718"/>
      <c r="AG87" s="718"/>
      <c r="AH87" s="720"/>
      <c r="AI87" s="721"/>
      <c r="AJ87" s="721"/>
      <c r="AK87" s="721"/>
      <c r="AL87" s="721"/>
      <c r="AM87" s="721"/>
      <c r="AN87" s="721"/>
      <c r="AO87" s="721"/>
      <c r="AP87" s="721"/>
      <c r="AQ87" s="721"/>
    </row>
    <row r="88" ht="12.0" customHeight="1">
      <c r="B88" s="829"/>
      <c r="C88" s="731"/>
      <c r="D88" s="732"/>
      <c r="E88" s="582"/>
      <c r="F88" s="582"/>
      <c r="G88" s="702"/>
      <c r="H88" s="702"/>
      <c r="I88" s="723"/>
      <c r="J88" s="770"/>
      <c r="K88" s="718"/>
      <c r="L88" s="804"/>
      <c r="M88" s="804"/>
      <c r="N88" s="733"/>
      <c r="O88" s="705"/>
      <c r="P88" s="804"/>
      <c r="Q88" s="770"/>
      <c r="R88" s="770"/>
      <c r="S88" s="770"/>
      <c r="T88" s="770"/>
      <c r="U88" s="770"/>
      <c r="V88" s="718"/>
      <c r="W88" s="805"/>
      <c r="X88" s="805"/>
      <c r="Y88" s="805"/>
      <c r="Z88" s="805"/>
      <c r="AA88" s="806"/>
      <c r="AB88" s="806"/>
      <c r="AC88" s="806"/>
      <c r="AD88" s="770"/>
      <c r="AE88" s="708"/>
      <c r="AF88" s="718"/>
      <c r="AG88" s="718"/>
      <c r="AH88" s="720"/>
      <c r="AI88" s="721"/>
      <c r="AJ88" s="721"/>
      <c r="AK88" s="721"/>
      <c r="AL88" s="721"/>
      <c r="AM88" s="721"/>
      <c r="AN88" s="721"/>
      <c r="AO88" s="721"/>
      <c r="AP88" s="721"/>
      <c r="AQ88" s="721"/>
    </row>
    <row r="89" ht="12.0" customHeight="1">
      <c r="B89" s="829"/>
      <c r="C89" s="731"/>
      <c r="D89" s="732"/>
      <c r="E89" s="582"/>
      <c r="F89" s="582"/>
      <c r="G89" s="702"/>
      <c r="H89" s="702"/>
      <c r="I89" s="723"/>
      <c r="J89" s="770"/>
      <c r="K89" s="718"/>
      <c r="L89" s="804"/>
      <c r="M89" s="804"/>
      <c r="N89" s="733"/>
      <c r="O89" s="705"/>
      <c r="P89" s="804"/>
      <c r="Q89" s="770"/>
      <c r="R89" s="770"/>
      <c r="S89" s="770"/>
      <c r="T89" s="770"/>
      <c r="U89" s="770"/>
      <c r="V89" s="718"/>
      <c r="W89" s="805"/>
      <c r="X89" s="805"/>
      <c r="Y89" s="805"/>
      <c r="Z89" s="805"/>
      <c r="AA89" s="806"/>
      <c r="AB89" s="806"/>
      <c r="AC89" s="806"/>
      <c r="AD89" s="770"/>
      <c r="AE89" s="708"/>
      <c r="AF89" s="718"/>
      <c r="AG89" s="718"/>
      <c r="AH89" s="720"/>
      <c r="AI89" s="721"/>
      <c r="AJ89" s="721"/>
      <c r="AK89" s="721"/>
      <c r="AL89" s="721"/>
      <c r="AM89" s="721"/>
      <c r="AN89" s="721"/>
      <c r="AO89" s="721"/>
      <c r="AP89" s="721"/>
      <c r="AQ89" s="721"/>
    </row>
    <row r="90" ht="12.0" customHeight="1">
      <c r="B90" s="829"/>
      <c r="C90" s="731"/>
      <c r="D90" s="732"/>
      <c r="E90" s="582"/>
      <c r="F90" s="582"/>
      <c r="G90" s="702"/>
      <c r="H90" s="702"/>
      <c r="I90" s="723"/>
      <c r="J90" s="770"/>
      <c r="K90" s="718"/>
      <c r="L90" s="804"/>
      <c r="M90" s="804"/>
      <c r="N90" s="733"/>
      <c r="O90" s="705"/>
      <c r="P90" s="804"/>
      <c r="Q90" s="770"/>
      <c r="R90" s="770"/>
      <c r="S90" s="770"/>
      <c r="T90" s="770"/>
      <c r="U90" s="770"/>
      <c r="V90" s="718"/>
      <c r="W90" s="805"/>
      <c r="X90" s="805"/>
      <c r="Y90" s="805"/>
      <c r="Z90" s="805"/>
      <c r="AA90" s="806"/>
      <c r="AB90" s="806"/>
      <c r="AC90" s="806"/>
      <c r="AD90" s="770"/>
      <c r="AE90" s="708"/>
      <c r="AF90" s="718"/>
      <c r="AG90" s="718"/>
      <c r="AH90" s="720"/>
      <c r="AI90" s="721"/>
      <c r="AJ90" s="721"/>
      <c r="AK90" s="721"/>
      <c r="AL90" s="721"/>
      <c r="AM90" s="721"/>
      <c r="AN90" s="721"/>
      <c r="AO90" s="721"/>
      <c r="AP90" s="721"/>
      <c r="AQ90" s="721"/>
    </row>
    <row r="91" ht="12.0" customHeight="1">
      <c r="B91" s="829"/>
      <c r="C91" s="731"/>
      <c r="D91" s="732"/>
      <c r="E91" s="582"/>
      <c r="F91" s="582"/>
      <c r="G91" s="702"/>
      <c r="H91" s="702"/>
      <c r="I91" s="723"/>
      <c r="J91" s="770"/>
      <c r="K91" s="718"/>
      <c r="L91" s="804"/>
      <c r="M91" s="804"/>
      <c r="N91" s="733"/>
      <c r="O91" s="705"/>
      <c r="P91" s="804"/>
      <c r="Q91" s="770"/>
      <c r="R91" s="770"/>
      <c r="S91" s="770"/>
      <c r="T91" s="770"/>
      <c r="U91" s="770"/>
      <c r="V91" s="718"/>
      <c r="W91" s="805"/>
      <c r="X91" s="805"/>
      <c r="Y91" s="805"/>
      <c r="Z91" s="805"/>
      <c r="AA91" s="806"/>
      <c r="AB91" s="806"/>
      <c r="AC91" s="806"/>
      <c r="AD91" s="770"/>
      <c r="AE91" s="708"/>
      <c r="AF91" s="718"/>
      <c r="AG91" s="718"/>
      <c r="AH91" s="720"/>
      <c r="AI91" s="721"/>
      <c r="AJ91" s="721"/>
      <c r="AK91" s="721"/>
      <c r="AL91" s="721"/>
      <c r="AM91" s="721"/>
      <c r="AN91" s="721"/>
      <c r="AO91" s="721"/>
      <c r="AP91" s="721"/>
      <c r="AQ91" s="721"/>
    </row>
    <row r="92" ht="12.0" customHeight="1">
      <c r="B92" s="831"/>
      <c r="C92" s="739"/>
      <c r="D92" s="740"/>
      <c r="E92" s="631"/>
      <c r="F92" s="631"/>
      <c r="G92" s="741"/>
      <c r="H92" s="741"/>
      <c r="I92" s="742"/>
      <c r="J92" s="748"/>
      <c r="K92" s="832"/>
      <c r="L92" s="833"/>
      <c r="M92" s="833"/>
      <c r="N92" s="746"/>
      <c r="O92" s="705"/>
      <c r="P92" s="833"/>
      <c r="Q92" s="748"/>
      <c r="R92" s="748"/>
      <c r="S92" s="748"/>
      <c r="T92" s="748"/>
      <c r="U92" s="748"/>
      <c r="V92" s="832"/>
      <c r="W92" s="834"/>
      <c r="X92" s="834"/>
      <c r="Y92" s="834"/>
      <c r="Z92" s="834"/>
      <c r="AA92" s="835"/>
      <c r="AB92" s="835"/>
      <c r="AC92" s="835"/>
      <c r="AD92" s="748"/>
      <c r="AE92" s="708"/>
      <c r="AF92" s="832"/>
      <c r="AG92" s="832"/>
      <c r="AH92" s="836"/>
      <c r="AI92" s="837"/>
      <c r="AJ92" s="837"/>
      <c r="AK92" s="837"/>
      <c r="AL92" s="837"/>
      <c r="AM92" s="837"/>
      <c r="AN92" s="837"/>
      <c r="AO92" s="837"/>
      <c r="AP92" s="837"/>
      <c r="AQ92" s="837"/>
    </row>
    <row r="93" ht="15.75" customHeight="1">
      <c r="B93" s="838"/>
      <c r="C93" s="839"/>
      <c r="D93" s="840"/>
      <c r="E93" s="509"/>
      <c r="F93" s="509"/>
      <c r="G93" s="511"/>
      <c r="H93" s="511"/>
      <c r="I93" s="512"/>
      <c r="J93" s="513"/>
      <c r="K93" s="522"/>
      <c r="L93" s="841"/>
      <c r="M93" s="841"/>
      <c r="N93" s="842"/>
      <c r="O93" s="705"/>
      <c r="P93" s="841"/>
      <c r="Q93" s="513"/>
      <c r="R93" s="513"/>
      <c r="S93" s="513"/>
      <c r="T93" s="513"/>
      <c r="U93" s="513"/>
      <c r="V93" s="522"/>
      <c r="W93" s="843"/>
      <c r="X93" s="843"/>
      <c r="Y93" s="843"/>
      <c r="Z93" s="843"/>
      <c r="AA93" s="844"/>
      <c r="AB93" s="844"/>
      <c r="AC93" s="844"/>
      <c r="AD93" s="513"/>
      <c r="AE93" s="708"/>
      <c r="AF93" s="522"/>
      <c r="AG93" s="522"/>
      <c r="AH93" s="523"/>
    </row>
    <row r="94" ht="15.75" customHeight="1">
      <c r="B94" s="838"/>
      <c r="C94" s="839"/>
      <c r="D94" s="840"/>
      <c r="E94" s="509"/>
      <c r="F94" s="509"/>
      <c r="G94" s="511"/>
      <c r="H94" s="511"/>
      <c r="I94" s="512"/>
      <c r="J94" s="513"/>
      <c r="K94" s="522"/>
      <c r="L94" s="841"/>
      <c r="M94" s="841"/>
      <c r="N94" s="842"/>
      <c r="O94" s="705"/>
      <c r="P94" s="841"/>
      <c r="Q94" s="513"/>
      <c r="R94" s="513"/>
      <c r="S94" s="513"/>
      <c r="T94" s="513"/>
      <c r="U94" s="513"/>
      <c r="V94" s="522"/>
      <c r="W94" s="843"/>
      <c r="X94" s="843"/>
      <c r="Y94" s="843"/>
      <c r="Z94" s="843"/>
      <c r="AA94" s="844"/>
      <c r="AB94" s="844"/>
      <c r="AC94" s="844"/>
      <c r="AD94" s="513"/>
      <c r="AE94" s="708"/>
      <c r="AF94" s="522"/>
      <c r="AG94" s="522"/>
      <c r="AH94" s="523"/>
    </row>
    <row r="95" ht="15.75" customHeight="1">
      <c r="B95" s="838"/>
      <c r="C95" s="839"/>
      <c r="D95" s="840"/>
      <c r="E95" s="509"/>
      <c r="F95" s="509"/>
      <c r="G95" s="511"/>
      <c r="H95" s="511"/>
      <c r="I95" s="512"/>
      <c r="J95" s="513"/>
      <c r="K95" s="522"/>
      <c r="L95" s="841"/>
      <c r="M95" s="841"/>
      <c r="N95" s="842"/>
      <c r="O95" s="705"/>
      <c r="P95" s="841"/>
      <c r="Q95" s="513"/>
      <c r="R95" s="513"/>
      <c r="S95" s="513"/>
      <c r="T95" s="513"/>
      <c r="U95" s="513"/>
      <c r="V95" s="522"/>
      <c r="W95" s="843"/>
      <c r="X95" s="843"/>
      <c r="Y95" s="843"/>
      <c r="Z95" s="843"/>
      <c r="AA95" s="844"/>
      <c r="AB95" s="844"/>
      <c r="AC95" s="844"/>
      <c r="AD95" s="513"/>
      <c r="AE95" s="708"/>
      <c r="AF95" s="522"/>
      <c r="AG95" s="522"/>
      <c r="AH95" s="523"/>
    </row>
    <row r="96" ht="15.75" customHeight="1">
      <c r="B96" s="838"/>
      <c r="C96" s="839"/>
      <c r="D96" s="840"/>
      <c r="E96" s="509"/>
      <c r="F96" s="509"/>
      <c r="G96" s="511"/>
      <c r="H96" s="511"/>
      <c r="I96" s="512"/>
      <c r="J96" s="513"/>
      <c r="K96" s="522"/>
      <c r="L96" s="841"/>
      <c r="M96" s="841"/>
      <c r="N96" s="842"/>
      <c r="O96" s="705"/>
      <c r="P96" s="841"/>
      <c r="Q96" s="513"/>
      <c r="R96" s="513"/>
      <c r="S96" s="513"/>
      <c r="T96" s="513"/>
      <c r="U96" s="513"/>
      <c r="V96" s="522"/>
      <c r="W96" s="843"/>
      <c r="X96" s="843"/>
      <c r="Y96" s="843"/>
      <c r="Z96" s="843"/>
      <c r="AA96" s="844"/>
      <c r="AB96" s="844"/>
      <c r="AC96" s="844"/>
      <c r="AD96" s="513"/>
      <c r="AE96" s="708"/>
      <c r="AF96" s="522"/>
      <c r="AG96" s="522"/>
      <c r="AH96" s="523"/>
    </row>
    <row r="97" ht="15.75" customHeight="1">
      <c r="B97" s="838"/>
      <c r="C97" s="839"/>
      <c r="D97" s="840"/>
      <c r="E97" s="509"/>
      <c r="F97" s="509"/>
      <c r="G97" s="511"/>
      <c r="H97" s="511"/>
      <c r="I97" s="512"/>
      <c r="J97" s="513"/>
      <c r="K97" s="522"/>
      <c r="L97" s="841"/>
      <c r="M97" s="841"/>
      <c r="N97" s="842"/>
      <c r="O97" s="705"/>
      <c r="P97" s="841"/>
      <c r="Q97" s="513"/>
      <c r="R97" s="513"/>
      <c r="S97" s="513"/>
      <c r="T97" s="513"/>
      <c r="U97" s="513"/>
      <c r="V97" s="522"/>
      <c r="W97" s="843"/>
      <c r="X97" s="843"/>
      <c r="Y97" s="843"/>
      <c r="Z97" s="843"/>
      <c r="AA97" s="844"/>
      <c r="AB97" s="844"/>
      <c r="AC97" s="844"/>
      <c r="AD97" s="513"/>
      <c r="AE97" s="708"/>
      <c r="AF97" s="522"/>
      <c r="AG97" s="522"/>
      <c r="AH97" s="523"/>
    </row>
    <row r="98" ht="15.75" customHeight="1">
      <c r="B98" s="838"/>
      <c r="C98" s="839"/>
      <c r="D98" s="840"/>
      <c r="E98" s="509"/>
      <c r="F98" s="509"/>
      <c r="G98" s="511"/>
      <c r="H98" s="511"/>
      <c r="I98" s="512"/>
      <c r="J98" s="513"/>
      <c r="K98" s="522"/>
      <c r="L98" s="841"/>
      <c r="M98" s="841"/>
      <c r="N98" s="842"/>
      <c r="O98" s="705"/>
      <c r="P98" s="841"/>
      <c r="Q98" s="513"/>
      <c r="R98" s="513"/>
      <c r="S98" s="513"/>
      <c r="T98" s="513"/>
      <c r="U98" s="513"/>
      <c r="V98" s="522"/>
      <c r="W98" s="843"/>
      <c r="X98" s="843"/>
      <c r="Y98" s="843"/>
      <c r="Z98" s="843"/>
      <c r="AA98" s="844"/>
      <c r="AB98" s="844"/>
      <c r="AC98" s="844"/>
      <c r="AD98" s="513"/>
      <c r="AE98" s="708"/>
      <c r="AF98" s="522"/>
      <c r="AG98" s="522"/>
      <c r="AH98" s="523"/>
    </row>
    <row r="99" ht="15.75" customHeight="1">
      <c r="B99" s="838"/>
      <c r="C99" s="839"/>
      <c r="D99" s="840"/>
      <c r="E99" s="509"/>
      <c r="F99" s="509"/>
      <c r="G99" s="511"/>
      <c r="H99" s="511"/>
      <c r="I99" s="512"/>
      <c r="J99" s="513"/>
      <c r="K99" s="522"/>
      <c r="L99" s="841"/>
      <c r="M99" s="841"/>
      <c r="N99" s="842"/>
      <c r="O99" s="705"/>
      <c r="P99" s="841"/>
      <c r="Q99" s="513"/>
      <c r="R99" s="513"/>
      <c r="S99" s="513"/>
      <c r="T99" s="513"/>
      <c r="U99" s="513"/>
      <c r="V99" s="522"/>
      <c r="W99" s="843"/>
      <c r="X99" s="843"/>
      <c r="Y99" s="843"/>
      <c r="Z99" s="843"/>
      <c r="AA99" s="844"/>
      <c r="AB99" s="844"/>
      <c r="AC99" s="844"/>
      <c r="AD99" s="513"/>
      <c r="AE99" s="708"/>
      <c r="AF99" s="522"/>
      <c r="AG99" s="522"/>
      <c r="AH99" s="523"/>
    </row>
    <row r="100" ht="15.75" customHeight="1">
      <c r="B100" s="838"/>
      <c r="C100" s="839"/>
      <c r="D100" s="840"/>
      <c r="E100" s="509"/>
      <c r="F100" s="509"/>
      <c r="G100" s="511"/>
      <c r="H100" s="511"/>
      <c r="I100" s="512"/>
      <c r="J100" s="513"/>
      <c r="K100" s="522"/>
      <c r="L100" s="841"/>
      <c r="M100" s="841"/>
      <c r="N100" s="842"/>
      <c r="O100" s="705"/>
      <c r="P100" s="841"/>
      <c r="Q100" s="513"/>
      <c r="R100" s="513"/>
      <c r="S100" s="513"/>
      <c r="T100" s="513"/>
      <c r="U100" s="513"/>
      <c r="V100" s="522"/>
      <c r="W100" s="843"/>
      <c r="X100" s="843"/>
      <c r="Y100" s="843"/>
      <c r="Z100" s="843"/>
      <c r="AA100" s="844"/>
      <c r="AB100" s="844"/>
      <c r="AC100" s="844"/>
      <c r="AD100" s="513"/>
      <c r="AE100" s="708"/>
      <c r="AF100" s="522"/>
      <c r="AG100" s="522"/>
      <c r="AH100" s="523"/>
    </row>
    <row r="101" ht="15.75" customHeight="1">
      <c r="B101" s="838"/>
      <c r="C101" s="839"/>
      <c r="D101" s="840"/>
      <c r="E101" s="509"/>
      <c r="F101" s="509"/>
      <c r="G101" s="511"/>
      <c r="H101" s="511"/>
      <c r="I101" s="512"/>
      <c r="J101" s="513"/>
      <c r="K101" s="522"/>
      <c r="L101" s="841"/>
      <c r="M101" s="841"/>
      <c r="N101" s="842"/>
      <c r="O101" s="705"/>
      <c r="P101" s="841"/>
      <c r="Q101" s="513"/>
      <c r="R101" s="513"/>
      <c r="S101" s="513"/>
      <c r="T101" s="513"/>
      <c r="U101" s="513"/>
      <c r="V101" s="522"/>
      <c r="W101" s="843"/>
      <c r="X101" s="843"/>
      <c r="Y101" s="843"/>
      <c r="Z101" s="843"/>
      <c r="AA101" s="844"/>
      <c r="AB101" s="844"/>
      <c r="AC101" s="844"/>
      <c r="AD101" s="513"/>
      <c r="AE101" s="708"/>
      <c r="AF101" s="522"/>
      <c r="AG101" s="522"/>
      <c r="AH101" s="523"/>
    </row>
    <row r="102" ht="15.75" customHeight="1">
      <c r="B102" s="838"/>
      <c r="C102" s="839"/>
      <c r="D102" s="840"/>
      <c r="E102" s="509"/>
      <c r="F102" s="509"/>
      <c r="G102" s="511"/>
      <c r="H102" s="511"/>
      <c r="I102" s="512"/>
      <c r="J102" s="513"/>
      <c r="K102" s="522"/>
      <c r="L102" s="841"/>
      <c r="M102" s="841"/>
      <c r="N102" s="842"/>
      <c r="O102" s="705"/>
      <c r="P102" s="841"/>
      <c r="Q102" s="513"/>
      <c r="R102" s="513"/>
      <c r="S102" s="513"/>
      <c r="T102" s="513"/>
      <c r="U102" s="513"/>
      <c r="V102" s="522"/>
      <c r="W102" s="843"/>
      <c r="X102" s="843"/>
      <c r="Y102" s="843"/>
      <c r="Z102" s="843"/>
      <c r="AA102" s="844"/>
      <c r="AB102" s="844"/>
      <c r="AC102" s="844"/>
      <c r="AD102" s="513"/>
      <c r="AE102" s="708"/>
      <c r="AF102" s="522"/>
      <c r="AG102" s="522"/>
      <c r="AH102" s="523"/>
    </row>
    <row r="103" ht="15.75" customHeight="1">
      <c r="B103" s="838"/>
      <c r="C103" s="839"/>
      <c r="D103" s="840"/>
      <c r="E103" s="509"/>
      <c r="F103" s="509"/>
      <c r="G103" s="511"/>
      <c r="H103" s="511"/>
      <c r="I103" s="512"/>
      <c r="J103" s="513"/>
      <c r="K103" s="522"/>
      <c r="L103" s="841"/>
      <c r="M103" s="841"/>
      <c r="N103" s="842"/>
      <c r="O103" s="705"/>
      <c r="P103" s="841"/>
      <c r="Q103" s="513"/>
      <c r="R103" s="513"/>
      <c r="S103" s="513"/>
      <c r="T103" s="513"/>
      <c r="U103" s="513"/>
      <c r="V103" s="522"/>
      <c r="W103" s="843"/>
      <c r="X103" s="843"/>
      <c r="Y103" s="843"/>
      <c r="Z103" s="843"/>
      <c r="AA103" s="844"/>
      <c r="AB103" s="844"/>
      <c r="AC103" s="844"/>
      <c r="AD103" s="513"/>
      <c r="AE103" s="708"/>
      <c r="AF103" s="522"/>
      <c r="AG103" s="522"/>
      <c r="AH103" s="523"/>
    </row>
    <row r="104" ht="15.75" customHeight="1">
      <c r="B104" s="838"/>
      <c r="C104" s="839"/>
      <c r="D104" s="840"/>
      <c r="E104" s="509"/>
      <c r="F104" s="509"/>
      <c r="G104" s="511"/>
      <c r="H104" s="511"/>
      <c r="I104" s="512"/>
      <c r="J104" s="513"/>
      <c r="K104" s="522"/>
      <c r="L104" s="841"/>
      <c r="M104" s="841"/>
      <c r="N104" s="842"/>
      <c r="O104" s="705"/>
      <c r="P104" s="841"/>
      <c r="Q104" s="513"/>
      <c r="R104" s="513"/>
      <c r="S104" s="513"/>
      <c r="T104" s="513"/>
      <c r="U104" s="513"/>
      <c r="V104" s="522"/>
      <c r="W104" s="843"/>
      <c r="X104" s="843"/>
      <c r="Y104" s="843"/>
      <c r="Z104" s="843"/>
      <c r="AA104" s="844"/>
      <c r="AB104" s="844"/>
      <c r="AC104" s="844"/>
      <c r="AD104" s="513"/>
      <c r="AE104" s="708"/>
      <c r="AF104" s="522"/>
      <c r="AG104" s="522"/>
      <c r="AH104" s="523"/>
    </row>
    <row r="105" ht="15.75" customHeight="1">
      <c r="B105" s="838"/>
      <c r="C105" s="839"/>
      <c r="D105" s="840"/>
      <c r="E105" s="509"/>
      <c r="F105" s="509"/>
      <c r="G105" s="511"/>
      <c r="H105" s="511"/>
      <c r="I105" s="512"/>
      <c r="J105" s="513"/>
      <c r="K105" s="522"/>
      <c r="L105" s="841"/>
      <c r="M105" s="841"/>
      <c r="N105" s="842"/>
      <c r="O105" s="705"/>
      <c r="P105" s="841"/>
      <c r="Q105" s="513"/>
      <c r="R105" s="513"/>
      <c r="S105" s="513"/>
      <c r="T105" s="513"/>
      <c r="U105" s="513"/>
      <c r="V105" s="522"/>
      <c r="W105" s="843"/>
      <c r="X105" s="843"/>
      <c r="Y105" s="843"/>
      <c r="Z105" s="843"/>
      <c r="AA105" s="844"/>
      <c r="AB105" s="844"/>
      <c r="AC105" s="844"/>
      <c r="AD105" s="513"/>
      <c r="AE105" s="708"/>
      <c r="AF105" s="522"/>
      <c r="AG105" s="522"/>
      <c r="AH105" s="523"/>
    </row>
    <row r="106" ht="15.75" customHeight="1">
      <c r="B106" s="838"/>
      <c r="C106" s="839"/>
      <c r="D106" s="840"/>
      <c r="E106" s="509"/>
      <c r="F106" s="509"/>
      <c r="G106" s="511"/>
      <c r="H106" s="511"/>
      <c r="I106" s="512"/>
      <c r="J106" s="513"/>
      <c r="K106" s="522"/>
      <c r="L106" s="841"/>
      <c r="M106" s="841"/>
      <c r="N106" s="842"/>
      <c r="O106" s="705"/>
      <c r="P106" s="841"/>
      <c r="Q106" s="513"/>
      <c r="R106" s="513"/>
      <c r="S106" s="513"/>
      <c r="T106" s="513"/>
      <c r="U106" s="513"/>
      <c r="V106" s="522"/>
      <c r="W106" s="843"/>
      <c r="X106" s="843"/>
      <c r="Y106" s="843"/>
      <c r="Z106" s="843"/>
      <c r="AA106" s="844"/>
      <c r="AB106" s="844"/>
      <c r="AC106" s="844"/>
      <c r="AD106" s="513"/>
      <c r="AE106" s="708"/>
      <c r="AF106" s="522"/>
      <c r="AG106" s="522"/>
      <c r="AH106" s="523"/>
    </row>
    <row r="107" ht="15.75" customHeight="1">
      <c r="B107" s="838"/>
      <c r="C107" s="839"/>
      <c r="D107" s="840"/>
      <c r="E107" s="509"/>
      <c r="F107" s="509"/>
      <c r="G107" s="511"/>
      <c r="H107" s="511"/>
      <c r="I107" s="512"/>
      <c r="J107" s="513"/>
      <c r="K107" s="522"/>
      <c r="L107" s="841"/>
      <c r="M107" s="841"/>
      <c r="N107" s="842"/>
      <c r="O107" s="705"/>
      <c r="P107" s="841"/>
      <c r="Q107" s="513"/>
      <c r="R107" s="513"/>
      <c r="S107" s="513"/>
      <c r="T107" s="513"/>
      <c r="U107" s="513"/>
      <c r="V107" s="522"/>
      <c r="W107" s="843"/>
      <c r="X107" s="843"/>
      <c r="Y107" s="843"/>
      <c r="Z107" s="843"/>
      <c r="AA107" s="844"/>
      <c r="AB107" s="844"/>
      <c r="AC107" s="844"/>
      <c r="AD107" s="513"/>
      <c r="AE107" s="708"/>
      <c r="AF107" s="522"/>
      <c r="AG107" s="522"/>
      <c r="AH107" s="523"/>
    </row>
    <row r="108" ht="15.75" customHeight="1">
      <c r="B108" s="838"/>
      <c r="C108" s="839"/>
      <c r="D108" s="840"/>
      <c r="E108" s="509"/>
      <c r="F108" s="509"/>
      <c r="G108" s="511"/>
      <c r="H108" s="511"/>
      <c r="I108" s="512"/>
      <c r="J108" s="513"/>
      <c r="K108" s="522"/>
      <c r="L108" s="841"/>
      <c r="M108" s="841"/>
      <c r="N108" s="842"/>
      <c r="O108" s="705"/>
      <c r="P108" s="841"/>
      <c r="Q108" s="513"/>
      <c r="R108" s="513"/>
      <c r="S108" s="513"/>
      <c r="T108" s="513"/>
      <c r="U108" s="513"/>
      <c r="V108" s="522"/>
      <c r="W108" s="843"/>
      <c r="X108" s="843"/>
      <c r="Y108" s="843"/>
      <c r="Z108" s="843"/>
      <c r="AA108" s="844"/>
      <c r="AB108" s="844"/>
      <c r="AC108" s="844"/>
      <c r="AD108" s="513"/>
      <c r="AE108" s="708"/>
      <c r="AF108" s="522"/>
      <c r="AG108" s="522"/>
      <c r="AH108" s="523"/>
    </row>
    <row r="109" ht="15.75" customHeight="1">
      <c r="B109" s="838"/>
      <c r="C109" s="839"/>
      <c r="D109" s="840"/>
      <c r="E109" s="509"/>
      <c r="F109" s="509"/>
      <c r="G109" s="511"/>
      <c r="H109" s="511"/>
      <c r="I109" s="512"/>
      <c r="J109" s="513"/>
      <c r="K109" s="522"/>
      <c r="L109" s="841"/>
      <c r="M109" s="841"/>
      <c r="N109" s="842"/>
      <c r="O109" s="705"/>
      <c r="P109" s="841"/>
      <c r="Q109" s="513"/>
      <c r="R109" s="513"/>
      <c r="S109" s="513"/>
      <c r="T109" s="513"/>
      <c r="U109" s="513"/>
      <c r="V109" s="522"/>
      <c r="W109" s="843"/>
      <c r="X109" s="843"/>
      <c r="Y109" s="843"/>
      <c r="Z109" s="843"/>
      <c r="AA109" s="844"/>
      <c r="AB109" s="844"/>
      <c r="AC109" s="844"/>
      <c r="AD109" s="513"/>
      <c r="AE109" s="708"/>
      <c r="AF109" s="522"/>
      <c r="AG109" s="522"/>
      <c r="AH109" s="523"/>
    </row>
    <row r="110" ht="15.75" customHeight="1">
      <c r="B110" s="838"/>
      <c r="C110" s="839"/>
      <c r="D110" s="840"/>
      <c r="E110" s="509"/>
      <c r="F110" s="509"/>
      <c r="G110" s="511"/>
      <c r="H110" s="511"/>
      <c r="I110" s="512"/>
      <c r="J110" s="513"/>
      <c r="K110" s="522"/>
      <c r="L110" s="841"/>
      <c r="M110" s="841"/>
      <c r="N110" s="842"/>
      <c r="O110" s="705"/>
      <c r="P110" s="841"/>
      <c r="Q110" s="513"/>
      <c r="R110" s="513"/>
      <c r="S110" s="513"/>
      <c r="T110" s="513"/>
      <c r="U110" s="513"/>
      <c r="V110" s="522"/>
      <c r="W110" s="843"/>
      <c r="X110" s="843"/>
      <c r="Y110" s="843"/>
      <c r="Z110" s="843"/>
      <c r="AA110" s="844"/>
      <c r="AB110" s="844"/>
      <c r="AC110" s="844"/>
      <c r="AD110" s="513"/>
      <c r="AE110" s="708"/>
      <c r="AF110" s="522"/>
      <c r="AG110" s="522"/>
      <c r="AH110" s="523"/>
    </row>
    <row r="111" ht="15.75" customHeight="1">
      <c r="B111" s="838"/>
      <c r="C111" s="839"/>
      <c r="D111" s="840"/>
      <c r="E111" s="509"/>
      <c r="F111" s="509"/>
      <c r="G111" s="511"/>
      <c r="H111" s="511"/>
      <c r="I111" s="512"/>
      <c r="J111" s="513"/>
      <c r="K111" s="522"/>
      <c r="L111" s="841"/>
      <c r="M111" s="841"/>
      <c r="N111" s="842"/>
      <c r="O111" s="705"/>
      <c r="P111" s="841"/>
      <c r="Q111" s="513"/>
      <c r="R111" s="513"/>
      <c r="S111" s="513"/>
      <c r="T111" s="513"/>
      <c r="U111" s="513"/>
      <c r="V111" s="522"/>
      <c r="W111" s="843"/>
      <c r="X111" s="843"/>
      <c r="Y111" s="843"/>
      <c r="Z111" s="843"/>
      <c r="AA111" s="844"/>
      <c r="AB111" s="844"/>
      <c r="AC111" s="844"/>
      <c r="AD111" s="513"/>
      <c r="AE111" s="708"/>
      <c r="AF111" s="522"/>
      <c r="AG111" s="522"/>
      <c r="AH111" s="523"/>
    </row>
    <row r="112" ht="15.75" customHeight="1">
      <c r="B112" s="838"/>
      <c r="C112" s="839"/>
      <c r="D112" s="840"/>
      <c r="E112" s="509"/>
      <c r="F112" s="509"/>
      <c r="G112" s="511"/>
      <c r="H112" s="511"/>
      <c r="I112" s="512"/>
      <c r="J112" s="513"/>
      <c r="K112" s="522"/>
      <c r="L112" s="841"/>
      <c r="M112" s="841"/>
      <c r="N112" s="842"/>
      <c r="O112" s="705"/>
      <c r="P112" s="841"/>
      <c r="Q112" s="513"/>
      <c r="R112" s="513"/>
      <c r="S112" s="513"/>
      <c r="T112" s="513"/>
      <c r="U112" s="513"/>
      <c r="V112" s="522"/>
      <c r="W112" s="843"/>
      <c r="X112" s="843"/>
      <c r="Y112" s="843"/>
      <c r="Z112" s="843"/>
      <c r="AA112" s="844"/>
      <c r="AB112" s="844"/>
      <c r="AC112" s="844"/>
      <c r="AD112" s="513"/>
      <c r="AE112" s="708"/>
      <c r="AF112" s="522"/>
      <c r="AG112" s="522"/>
      <c r="AH112" s="523"/>
    </row>
    <row r="113" ht="15.75" customHeight="1">
      <c r="B113" s="838"/>
      <c r="C113" s="839"/>
      <c r="D113" s="840"/>
      <c r="E113" s="509"/>
      <c r="F113" s="509"/>
      <c r="G113" s="511"/>
      <c r="H113" s="511"/>
      <c r="I113" s="512"/>
      <c r="J113" s="513"/>
      <c r="K113" s="522"/>
      <c r="L113" s="841"/>
      <c r="M113" s="841"/>
      <c r="N113" s="842"/>
      <c r="O113" s="705"/>
      <c r="P113" s="841"/>
      <c r="Q113" s="513"/>
      <c r="R113" s="513"/>
      <c r="S113" s="513"/>
      <c r="T113" s="513"/>
      <c r="U113" s="513"/>
      <c r="V113" s="522"/>
      <c r="W113" s="843"/>
      <c r="X113" s="843"/>
      <c r="Y113" s="843"/>
      <c r="Z113" s="843"/>
      <c r="AA113" s="844"/>
      <c r="AB113" s="844"/>
      <c r="AC113" s="844"/>
      <c r="AD113" s="513"/>
      <c r="AE113" s="708"/>
      <c r="AF113" s="522"/>
      <c r="AG113" s="522"/>
      <c r="AH113" s="523"/>
    </row>
    <row r="114" ht="15.75" customHeight="1">
      <c r="B114" s="838"/>
      <c r="C114" s="839"/>
      <c r="D114" s="840"/>
      <c r="E114" s="509"/>
      <c r="F114" s="509"/>
      <c r="G114" s="511"/>
      <c r="H114" s="511"/>
      <c r="I114" s="512"/>
      <c r="J114" s="513"/>
      <c r="K114" s="522"/>
      <c r="L114" s="841"/>
      <c r="M114" s="841"/>
      <c r="N114" s="842"/>
      <c r="O114" s="513"/>
      <c r="P114" s="841"/>
      <c r="Q114" s="513"/>
      <c r="R114" s="513"/>
      <c r="S114" s="513"/>
      <c r="T114" s="513"/>
      <c r="U114" s="513"/>
      <c r="V114" s="522"/>
      <c r="W114" s="843"/>
      <c r="X114" s="843"/>
      <c r="Y114" s="843"/>
      <c r="Z114" s="843"/>
      <c r="AA114" s="844"/>
      <c r="AB114" s="844"/>
      <c r="AC114" s="844"/>
      <c r="AD114" s="513"/>
      <c r="AE114" s="708"/>
      <c r="AF114" s="522"/>
      <c r="AG114" s="522"/>
      <c r="AH114" s="523"/>
    </row>
    <row r="115" ht="15.75" customHeight="1">
      <c r="B115" s="838"/>
      <c r="C115" s="839"/>
      <c r="D115" s="840"/>
      <c r="E115" s="509"/>
      <c r="F115" s="509"/>
      <c r="G115" s="511"/>
      <c r="H115" s="511"/>
      <c r="I115" s="512"/>
      <c r="J115" s="513"/>
      <c r="K115" s="522"/>
      <c r="L115" s="841"/>
      <c r="M115" s="841"/>
      <c r="N115" s="842"/>
      <c r="O115" s="513"/>
      <c r="P115" s="841"/>
      <c r="Q115" s="513"/>
      <c r="R115" s="513"/>
      <c r="S115" s="513"/>
      <c r="T115" s="513"/>
      <c r="U115" s="513"/>
      <c r="V115" s="522"/>
      <c r="W115" s="843"/>
      <c r="X115" s="843"/>
      <c r="Y115" s="843"/>
      <c r="Z115" s="843"/>
      <c r="AA115" s="844"/>
      <c r="AB115" s="844"/>
      <c r="AC115" s="844"/>
      <c r="AD115" s="513"/>
      <c r="AE115" s="708"/>
      <c r="AF115" s="522"/>
      <c r="AG115" s="522"/>
      <c r="AH115" s="523"/>
    </row>
    <row r="116" ht="15.75" customHeight="1">
      <c r="B116" s="838"/>
      <c r="C116" s="839"/>
      <c r="D116" s="840"/>
      <c r="E116" s="509"/>
      <c r="F116" s="509"/>
      <c r="G116" s="511"/>
      <c r="H116" s="511"/>
      <c r="I116" s="512"/>
      <c r="J116" s="513"/>
      <c r="K116" s="522"/>
      <c r="L116" s="841"/>
      <c r="M116" s="841"/>
      <c r="N116" s="842"/>
      <c r="O116" s="513"/>
      <c r="P116" s="841"/>
      <c r="Q116" s="513"/>
      <c r="R116" s="513"/>
      <c r="S116" s="513"/>
      <c r="T116" s="513"/>
      <c r="U116" s="513"/>
      <c r="V116" s="522"/>
      <c r="W116" s="843"/>
      <c r="X116" s="843"/>
      <c r="Y116" s="843"/>
      <c r="Z116" s="843"/>
      <c r="AA116" s="844"/>
      <c r="AB116" s="844"/>
      <c r="AC116" s="844"/>
      <c r="AD116" s="513"/>
      <c r="AE116" s="708"/>
      <c r="AF116" s="522"/>
      <c r="AG116" s="522"/>
      <c r="AH116" s="523"/>
    </row>
    <row r="117" ht="15.75" customHeight="1">
      <c r="B117" s="838"/>
      <c r="C117" s="839"/>
      <c r="D117" s="840"/>
      <c r="E117" s="509"/>
      <c r="F117" s="509"/>
      <c r="G117" s="511"/>
      <c r="H117" s="511"/>
      <c r="I117" s="512"/>
      <c r="J117" s="513"/>
      <c r="K117" s="522"/>
      <c r="L117" s="841"/>
      <c r="M117" s="841"/>
      <c r="N117" s="842"/>
      <c r="O117" s="513"/>
      <c r="P117" s="841"/>
      <c r="Q117" s="513"/>
      <c r="R117" s="513"/>
      <c r="S117" s="513"/>
      <c r="T117" s="513"/>
      <c r="U117" s="513"/>
      <c r="V117" s="522"/>
      <c r="W117" s="843"/>
      <c r="X117" s="843"/>
      <c r="Y117" s="843"/>
      <c r="Z117" s="843"/>
      <c r="AA117" s="844"/>
      <c r="AB117" s="844"/>
      <c r="AC117" s="844"/>
      <c r="AD117" s="513"/>
      <c r="AE117" s="708"/>
      <c r="AF117" s="522"/>
      <c r="AG117" s="522"/>
      <c r="AH117" s="523"/>
    </row>
    <row r="118" ht="15.75" customHeight="1">
      <c r="B118" s="838"/>
      <c r="C118" s="839"/>
      <c r="D118" s="840"/>
      <c r="E118" s="509"/>
      <c r="F118" s="509"/>
      <c r="G118" s="511"/>
      <c r="H118" s="511"/>
      <c r="I118" s="512"/>
      <c r="J118" s="513"/>
      <c r="K118" s="522"/>
      <c r="L118" s="841"/>
      <c r="M118" s="841"/>
      <c r="N118" s="842"/>
      <c r="O118" s="513"/>
      <c r="P118" s="841"/>
      <c r="Q118" s="513"/>
      <c r="R118" s="513"/>
      <c r="S118" s="513"/>
      <c r="T118" s="513"/>
      <c r="U118" s="513"/>
      <c r="V118" s="522"/>
      <c r="W118" s="843"/>
      <c r="X118" s="843"/>
      <c r="Y118" s="843"/>
      <c r="Z118" s="843"/>
      <c r="AA118" s="844"/>
      <c r="AB118" s="844"/>
      <c r="AC118" s="844"/>
      <c r="AD118" s="513"/>
      <c r="AE118" s="513"/>
      <c r="AF118" s="522"/>
      <c r="AG118" s="522"/>
      <c r="AH118" s="523"/>
    </row>
    <row r="119" ht="15.75" customHeight="1">
      <c r="B119" s="838"/>
      <c r="C119" s="839"/>
      <c r="D119" s="840"/>
      <c r="E119" s="509"/>
      <c r="F119" s="509"/>
      <c r="G119" s="511"/>
      <c r="H119" s="511"/>
      <c r="I119" s="512"/>
      <c r="J119" s="513"/>
      <c r="K119" s="522"/>
      <c r="L119" s="841"/>
      <c r="M119" s="841"/>
      <c r="N119" s="842"/>
      <c r="O119" s="513"/>
      <c r="P119" s="841"/>
      <c r="Q119" s="513"/>
      <c r="R119" s="513"/>
      <c r="S119" s="513"/>
      <c r="T119" s="513"/>
      <c r="U119" s="513"/>
      <c r="V119" s="522"/>
      <c r="W119" s="843"/>
      <c r="X119" s="843"/>
      <c r="Y119" s="843"/>
      <c r="Z119" s="843"/>
      <c r="AA119" s="844"/>
      <c r="AB119" s="844"/>
      <c r="AC119" s="844"/>
      <c r="AD119" s="513"/>
      <c r="AE119" s="513"/>
      <c r="AF119" s="522"/>
      <c r="AG119" s="522"/>
      <c r="AH119" s="523"/>
    </row>
    <row r="120" ht="15.75" customHeight="1">
      <c r="B120" s="838"/>
      <c r="C120" s="839"/>
      <c r="D120" s="840"/>
      <c r="E120" s="509"/>
      <c r="F120" s="509"/>
      <c r="G120" s="511"/>
      <c r="H120" s="511"/>
      <c r="I120" s="512"/>
      <c r="J120" s="513"/>
      <c r="K120" s="522"/>
      <c r="L120" s="841"/>
      <c r="M120" s="841"/>
      <c r="N120" s="842"/>
      <c r="O120" s="513"/>
      <c r="P120" s="841"/>
      <c r="Q120" s="513"/>
      <c r="R120" s="513"/>
      <c r="S120" s="513"/>
      <c r="T120" s="513"/>
      <c r="U120" s="513"/>
      <c r="V120" s="522"/>
      <c r="W120" s="843"/>
      <c r="X120" s="843"/>
      <c r="Y120" s="843"/>
      <c r="Z120" s="843"/>
      <c r="AA120" s="844"/>
      <c r="AB120" s="844"/>
      <c r="AC120" s="844"/>
      <c r="AD120" s="513"/>
      <c r="AE120" s="513"/>
      <c r="AF120" s="522"/>
      <c r="AG120" s="522"/>
      <c r="AH120" s="523"/>
    </row>
    <row r="121" ht="15.75" customHeight="1">
      <c r="B121" s="838"/>
      <c r="C121" s="839"/>
      <c r="D121" s="840"/>
      <c r="E121" s="509"/>
      <c r="F121" s="509"/>
      <c r="G121" s="511"/>
      <c r="H121" s="511"/>
      <c r="I121" s="512"/>
      <c r="J121" s="513"/>
      <c r="K121" s="522"/>
      <c r="L121" s="841"/>
      <c r="M121" s="841"/>
      <c r="N121" s="842"/>
      <c r="O121" s="513"/>
      <c r="P121" s="841"/>
      <c r="Q121" s="513"/>
      <c r="R121" s="513"/>
      <c r="S121" s="513"/>
      <c r="T121" s="513"/>
      <c r="U121" s="513"/>
      <c r="V121" s="522"/>
      <c r="W121" s="843"/>
      <c r="X121" s="843"/>
      <c r="Y121" s="843"/>
      <c r="Z121" s="843"/>
      <c r="AA121" s="844"/>
      <c r="AB121" s="844"/>
      <c r="AC121" s="844"/>
      <c r="AD121" s="513"/>
      <c r="AE121" s="513"/>
      <c r="AF121" s="522"/>
      <c r="AG121" s="522"/>
      <c r="AH121" s="523"/>
    </row>
    <row r="122" ht="15.75" customHeight="1">
      <c r="B122" s="838"/>
      <c r="C122" s="839"/>
      <c r="D122" s="840"/>
      <c r="E122" s="509"/>
      <c r="F122" s="509"/>
      <c r="G122" s="511"/>
      <c r="H122" s="511"/>
      <c r="I122" s="512"/>
      <c r="J122" s="513"/>
      <c r="K122" s="522"/>
      <c r="L122" s="841"/>
      <c r="M122" s="841"/>
      <c r="N122" s="842"/>
      <c r="O122" s="513"/>
      <c r="P122" s="841"/>
      <c r="Q122" s="513"/>
      <c r="R122" s="513"/>
      <c r="S122" s="513"/>
      <c r="T122" s="513"/>
      <c r="U122" s="513"/>
      <c r="V122" s="522"/>
      <c r="W122" s="843"/>
      <c r="X122" s="843"/>
      <c r="Y122" s="843"/>
      <c r="Z122" s="843"/>
      <c r="AA122" s="844"/>
      <c r="AB122" s="844"/>
      <c r="AC122" s="844"/>
      <c r="AD122" s="513"/>
      <c r="AE122" s="513"/>
      <c r="AF122" s="522"/>
      <c r="AG122" s="522"/>
      <c r="AH122" s="523"/>
    </row>
    <row r="123" ht="15.75" customHeight="1">
      <c r="B123" s="838"/>
      <c r="C123" s="839"/>
      <c r="D123" s="840"/>
      <c r="E123" s="509"/>
      <c r="F123" s="509"/>
      <c r="G123" s="511"/>
      <c r="H123" s="511"/>
      <c r="I123" s="512"/>
      <c r="J123" s="513"/>
      <c r="K123" s="522"/>
      <c r="L123" s="841"/>
      <c r="M123" s="841"/>
      <c r="N123" s="842"/>
      <c r="O123" s="513"/>
      <c r="P123" s="841"/>
      <c r="Q123" s="513"/>
      <c r="R123" s="513"/>
      <c r="S123" s="513"/>
      <c r="T123" s="513"/>
      <c r="U123" s="513"/>
      <c r="V123" s="522"/>
      <c r="W123" s="843"/>
      <c r="X123" s="843"/>
      <c r="Y123" s="843"/>
      <c r="Z123" s="843"/>
      <c r="AA123" s="844"/>
      <c r="AB123" s="844"/>
      <c r="AC123" s="844"/>
      <c r="AD123" s="513"/>
      <c r="AE123" s="513"/>
      <c r="AF123" s="522"/>
      <c r="AG123" s="522"/>
      <c r="AH123" s="523"/>
    </row>
    <row r="124" ht="15.75" customHeight="1">
      <c r="B124" s="838"/>
      <c r="C124" s="839"/>
      <c r="D124" s="840"/>
      <c r="E124" s="509"/>
      <c r="F124" s="509"/>
      <c r="G124" s="511"/>
      <c r="H124" s="511"/>
      <c r="I124" s="512"/>
      <c r="J124" s="513"/>
      <c r="K124" s="522"/>
      <c r="L124" s="841"/>
      <c r="M124" s="841"/>
      <c r="N124" s="842"/>
      <c r="O124" s="513"/>
      <c r="P124" s="841"/>
      <c r="Q124" s="513"/>
      <c r="R124" s="513"/>
      <c r="S124" s="513"/>
      <c r="T124" s="513"/>
      <c r="U124" s="513"/>
      <c r="V124" s="522"/>
      <c r="W124" s="843"/>
      <c r="X124" s="843"/>
      <c r="Y124" s="843"/>
      <c r="Z124" s="843"/>
      <c r="AA124" s="844"/>
      <c r="AB124" s="844"/>
      <c r="AC124" s="844"/>
      <c r="AD124" s="513"/>
      <c r="AE124" s="513"/>
      <c r="AF124" s="522"/>
      <c r="AG124" s="522"/>
      <c r="AH124" s="523"/>
    </row>
    <row r="125" ht="15.75" customHeight="1">
      <c r="B125" s="838"/>
      <c r="C125" s="839"/>
      <c r="D125" s="840"/>
      <c r="E125" s="509"/>
      <c r="F125" s="509"/>
      <c r="G125" s="511"/>
      <c r="H125" s="511"/>
      <c r="I125" s="512"/>
      <c r="J125" s="513"/>
      <c r="K125" s="522"/>
      <c r="L125" s="841"/>
      <c r="M125" s="841"/>
      <c r="N125" s="842"/>
      <c r="O125" s="513"/>
      <c r="P125" s="841"/>
      <c r="Q125" s="513"/>
      <c r="R125" s="513"/>
      <c r="S125" s="513"/>
      <c r="T125" s="513"/>
      <c r="U125" s="513"/>
      <c r="V125" s="522"/>
      <c r="W125" s="843"/>
      <c r="X125" s="843"/>
      <c r="Y125" s="843"/>
      <c r="Z125" s="843"/>
      <c r="AA125" s="844"/>
      <c r="AB125" s="844"/>
      <c r="AC125" s="844"/>
      <c r="AD125" s="513"/>
      <c r="AE125" s="513"/>
      <c r="AF125" s="522"/>
      <c r="AG125" s="522"/>
      <c r="AH125" s="523"/>
    </row>
    <row r="126" ht="15.75" customHeight="1">
      <c r="B126" s="838"/>
      <c r="C126" s="839"/>
      <c r="D126" s="840"/>
      <c r="E126" s="509"/>
      <c r="F126" s="509"/>
      <c r="G126" s="511"/>
      <c r="H126" s="511"/>
      <c r="I126" s="512"/>
      <c r="J126" s="513"/>
      <c r="K126" s="522"/>
      <c r="L126" s="841"/>
      <c r="M126" s="841"/>
      <c r="N126" s="842"/>
      <c r="O126" s="513"/>
      <c r="P126" s="841"/>
      <c r="Q126" s="513"/>
      <c r="R126" s="513"/>
      <c r="S126" s="513"/>
      <c r="T126" s="513"/>
      <c r="U126" s="513"/>
      <c r="V126" s="522"/>
      <c r="W126" s="843"/>
      <c r="X126" s="843"/>
      <c r="Y126" s="843"/>
      <c r="Z126" s="843"/>
      <c r="AA126" s="844"/>
      <c r="AB126" s="844"/>
      <c r="AC126" s="844"/>
      <c r="AD126" s="513"/>
      <c r="AE126" s="513"/>
      <c r="AF126" s="522"/>
      <c r="AG126" s="522"/>
      <c r="AH126" s="523"/>
    </row>
    <row r="127" ht="15.75" customHeight="1">
      <c r="B127" s="838"/>
      <c r="C127" s="839"/>
      <c r="D127" s="840"/>
      <c r="E127" s="509"/>
      <c r="F127" s="509"/>
      <c r="G127" s="511"/>
      <c r="H127" s="511"/>
      <c r="I127" s="512"/>
      <c r="J127" s="513"/>
      <c r="K127" s="522"/>
      <c r="L127" s="841"/>
      <c r="M127" s="841"/>
      <c r="N127" s="842"/>
      <c r="O127" s="513"/>
      <c r="P127" s="841"/>
      <c r="Q127" s="513"/>
      <c r="R127" s="513"/>
      <c r="S127" s="513"/>
      <c r="T127" s="513"/>
      <c r="U127" s="513"/>
      <c r="V127" s="522"/>
      <c r="W127" s="843"/>
      <c r="X127" s="843"/>
      <c r="Y127" s="843"/>
      <c r="Z127" s="843"/>
      <c r="AA127" s="844"/>
      <c r="AB127" s="844"/>
      <c r="AC127" s="844"/>
      <c r="AD127" s="513"/>
      <c r="AE127" s="513"/>
      <c r="AF127" s="522"/>
      <c r="AG127" s="522"/>
      <c r="AH127" s="523"/>
    </row>
    <row r="128" ht="15.75" customHeight="1">
      <c r="B128" s="838"/>
      <c r="C128" s="839"/>
      <c r="D128" s="840"/>
      <c r="E128" s="509"/>
      <c r="F128" s="509"/>
      <c r="G128" s="511"/>
      <c r="H128" s="511"/>
      <c r="I128" s="512"/>
      <c r="J128" s="513"/>
      <c r="K128" s="522"/>
      <c r="L128" s="841"/>
      <c r="M128" s="841"/>
      <c r="N128" s="842"/>
      <c r="O128" s="513"/>
      <c r="P128" s="841"/>
      <c r="Q128" s="513"/>
      <c r="R128" s="513"/>
      <c r="S128" s="513"/>
      <c r="T128" s="513"/>
      <c r="U128" s="513"/>
      <c r="V128" s="522"/>
      <c r="W128" s="843"/>
      <c r="X128" s="843"/>
      <c r="Y128" s="843"/>
      <c r="Z128" s="843"/>
      <c r="AA128" s="844"/>
      <c r="AB128" s="844"/>
      <c r="AC128" s="844"/>
      <c r="AD128" s="513"/>
      <c r="AE128" s="513"/>
      <c r="AF128" s="522"/>
      <c r="AG128" s="522"/>
      <c r="AH128" s="523"/>
    </row>
    <row r="129" ht="15.75" customHeight="1">
      <c r="B129" s="838"/>
      <c r="C129" s="839"/>
      <c r="D129" s="840"/>
      <c r="E129" s="509"/>
      <c r="F129" s="509"/>
      <c r="G129" s="511"/>
      <c r="H129" s="511"/>
      <c r="I129" s="512"/>
      <c r="J129" s="513"/>
      <c r="K129" s="522"/>
      <c r="L129" s="841"/>
      <c r="M129" s="841"/>
      <c r="N129" s="842"/>
      <c r="O129" s="513"/>
      <c r="P129" s="841"/>
      <c r="Q129" s="513"/>
      <c r="R129" s="513"/>
      <c r="S129" s="513"/>
      <c r="T129" s="513"/>
      <c r="U129" s="513"/>
      <c r="V129" s="522"/>
      <c r="W129" s="843"/>
      <c r="X129" s="843"/>
      <c r="Y129" s="843"/>
      <c r="Z129" s="843"/>
      <c r="AA129" s="844"/>
      <c r="AB129" s="844"/>
      <c r="AC129" s="844"/>
      <c r="AD129" s="513"/>
      <c r="AE129" s="513"/>
      <c r="AF129" s="522"/>
      <c r="AG129" s="522"/>
      <c r="AH129" s="523"/>
    </row>
    <row r="130" ht="15.75" customHeight="1">
      <c r="B130" s="838"/>
      <c r="C130" s="839"/>
      <c r="D130" s="840"/>
      <c r="E130" s="509"/>
      <c r="F130" s="509"/>
      <c r="G130" s="511"/>
      <c r="H130" s="511"/>
      <c r="I130" s="512"/>
      <c r="J130" s="513"/>
      <c r="K130" s="522"/>
      <c r="L130" s="841"/>
      <c r="M130" s="841"/>
      <c r="N130" s="842"/>
      <c r="O130" s="513"/>
      <c r="P130" s="841"/>
      <c r="Q130" s="513"/>
      <c r="R130" s="513"/>
      <c r="S130" s="513"/>
      <c r="T130" s="513"/>
      <c r="U130" s="513"/>
      <c r="V130" s="522"/>
      <c r="W130" s="843"/>
      <c r="X130" s="843"/>
      <c r="Y130" s="843"/>
      <c r="Z130" s="843"/>
      <c r="AA130" s="844"/>
      <c r="AB130" s="844"/>
      <c r="AC130" s="844"/>
      <c r="AD130" s="513"/>
      <c r="AE130" s="513"/>
      <c r="AF130" s="522"/>
      <c r="AG130" s="522"/>
      <c r="AH130" s="523"/>
    </row>
    <row r="131" ht="15.75" customHeight="1">
      <c r="B131" s="838"/>
      <c r="C131" s="839"/>
      <c r="D131" s="840"/>
      <c r="E131" s="509"/>
      <c r="F131" s="509"/>
      <c r="G131" s="511"/>
      <c r="H131" s="511"/>
      <c r="I131" s="512"/>
      <c r="J131" s="513"/>
      <c r="K131" s="522"/>
      <c r="L131" s="841"/>
      <c r="M131" s="841"/>
      <c r="N131" s="842"/>
      <c r="O131" s="513"/>
      <c r="P131" s="841"/>
      <c r="Q131" s="513"/>
      <c r="R131" s="513"/>
      <c r="S131" s="513"/>
      <c r="T131" s="513"/>
      <c r="U131" s="513"/>
      <c r="V131" s="522"/>
      <c r="W131" s="843"/>
      <c r="X131" s="843"/>
      <c r="Y131" s="843"/>
      <c r="Z131" s="843"/>
      <c r="AA131" s="844"/>
      <c r="AB131" s="844"/>
      <c r="AC131" s="844"/>
      <c r="AD131" s="513"/>
      <c r="AE131" s="513"/>
      <c r="AF131" s="522"/>
      <c r="AG131" s="522"/>
      <c r="AH131" s="523"/>
    </row>
    <row r="132" ht="15.75" customHeight="1">
      <c r="B132" s="838"/>
      <c r="C132" s="839"/>
      <c r="D132" s="840"/>
      <c r="E132" s="509"/>
      <c r="F132" s="509"/>
      <c r="G132" s="511"/>
      <c r="H132" s="511"/>
      <c r="I132" s="512"/>
      <c r="J132" s="513"/>
      <c r="K132" s="522"/>
      <c r="L132" s="841"/>
      <c r="M132" s="841"/>
      <c r="N132" s="842"/>
      <c r="O132" s="513"/>
      <c r="P132" s="841"/>
      <c r="Q132" s="513"/>
      <c r="R132" s="513"/>
      <c r="S132" s="513"/>
      <c r="T132" s="513"/>
      <c r="U132" s="513"/>
      <c r="V132" s="522"/>
      <c r="W132" s="843"/>
      <c r="X132" s="843"/>
      <c r="Y132" s="843"/>
      <c r="Z132" s="843"/>
      <c r="AA132" s="844"/>
      <c r="AB132" s="844"/>
      <c r="AC132" s="844"/>
      <c r="AD132" s="513"/>
      <c r="AE132" s="513"/>
      <c r="AF132" s="522"/>
      <c r="AG132" s="522"/>
      <c r="AH132" s="523"/>
    </row>
    <row r="133" ht="15.75" customHeight="1">
      <c r="B133" s="838"/>
      <c r="C133" s="839"/>
      <c r="D133" s="840"/>
      <c r="E133" s="509"/>
      <c r="F133" s="509"/>
      <c r="G133" s="511"/>
      <c r="H133" s="511"/>
      <c r="I133" s="512"/>
      <c r="J133" s="513"/>
      <c r="K133" s="522"/>
      <c r="L133" s="841"/>
      <c r="M133" s="841"/>
      <c r="N133" s="842"/>
      <c r="O133" s="513"/>
      <c r="P133" s="841"/>
      <c r="Q133" s="513"/>
      <c r="R133" s="513"/>
      <c r="S133" s="513"/>
      <c r="T133" s="513"/>
      <c r="U133" s="513"/>
      <c r="V133" s="522"/>
      <c r="W133" s="843"/>
      <c r="X133" s="843"/>
      <c r="Y133" s="843"/>
      <c r="Z133" s="843"/>
      <c r="AA133" s="844"/>
      <c r="AB133" s="844"/>
      <c r="AC133" s="844"/>
      <c r="AD133" s="513"/>
      <c r="AE133" s="513"/>
      <c r="AF133" s="522"/>
      <c r="AG133" s="522"/>
      <c r="AH133" s="523"/>
    </row>
    <row r="134" ht="15.75" customHeight="1">
      <c r="B134" s="838"/>
      <c r="C134" s="839"/>
      <c r="D134" s="840"/>
      <c r="E134" s="509"/>
      <c r="F134" s="509"/>
      <c r="G134" s="511"/>
      <c r="H134" s="511"/>
      <c r="I134" s="512"/>
      <c r="J134" s="513"/>
      <c r="K134" s="522"/>
      <c r="L134" s="841"/>
      <c r="M134" s="841"/>
      <c r="N134" s="842"/>
      <c r="O134" s="513"/>
      <c r="P134" s="841"/>
      <c r="Q134" s="513"/>
      <c r="R134" s="513"/>
      <c r="S134" s="513"/>
      <c r="T134" s="513"/>
      <c r="U134" s="513"/>
      <c r="V134" s="522"/>
      <c r="W134" s="843"/>
      <c r="X134" s="843"/>
      <c r="Y134" s="843"/>
      <c r="Z134" s="843"/>
      <c r="AA134" s="844"/>
      <c r="AB134" s="844"/>
      <c r="AC134" s="844"/>
      <c r="AD134" s="513"/>
      <c r="AE134" s="513"/>
      <c r="AF134" s="522"/>
      <c r="AG134" s="522"/>
      <c r="AH134" s="523"/>
    </row>
    <row r="135" ht="15.75" customHeight="1">
      <c r="B135" s="838"/>
      <c r="C135" s="839"/>
      <c r="D135" s="840"/>
      <c r="E135" s="509"/>
      <c r="F135" s="509"/>
      <c r="G135" s="511"/>
      <c r="H135" s="511"/>
      <c r="I135" s="512"/>
      <c r="J135" s="513"/>
      <c r="K135" s="522"/>
      <c r="L135" s="841"/>
      <c r="M135" s="841"/>
      <c r="N135" s="842"/>
      <c r="O135" s="513"/>
      <c r="P135" s="841"/>
      <c r="Q135" s="513"/>
      <c r="R135" s="513"/>
      <c r="S135" s="513"/>
      <c r="T135" s="513"/>
      <c r="U135" s="513"/>
      <c r="V135" s="522"/>
      <c r="W135" s="843"/>
      <c r="X135" s="843"/>
      <c r="Y135" s="843"/>
      <c r="Z135" s="843"/>
      <c r="AA135" s="844"/>
      <c r="AB135" s="844"/>
      <c r="AC135" s="844"/>
      <c r="AD135" s="513"/>
      <c r="AE135" s="513"/>
      <c r="AF135" s="522"/>
      <c r="AG135" s="522"/>
      <c r="AH135" s="523"/>
    </row>
    <row r="136" ht="15.75" customHeight="1">
      <c r="B136" s="838"/>
      <c r="C136" s="839"/>
      <c r="D136" s="840"/>
      <c r="E136" s="509"/>
      <c r="F136" s="509"/>
      <c r="G136" s="511"/>
      <c r="H136" s="511"/>
      <c r="I136" s="512"/>
      <c r="J136" s="513"/>
      <c r="K136" s="522"/>
      <c r="L136" s="841"/>
      <c r="M136" s="841"/>
      <c r="N136" s="842"/>
      <c r="O136" s="513"/>
      <c r="P136" s="841"/>
      <c r="Q136" s="513"/>
      <c r="R136" s="513"/>
      <c r="S136" s="513"/>
      <c r="T136" s="513"/>
      <c r="U136" s="513"/>
      <c r="V136" s="522"/>
      <c r="W136" s="843"/>
      <c r="X136" s="843"/>
      <c r="Y136" s="843"/>
      <c r="Z136" s="843"/>
      <c r="AA136" s="844"/>
      <c r="AB136" s="844"/>
      <c r="AC136" s="844"/>
      <c r="AD136" s="513"/>
      <c r="AE136" s="513"/>
      <c r="AF136" s="522"/>
      <c r="AG136" s="522"/>
      <c r="AH136" s="523"/>
    </row>
    <row r="137" ht="15.75" customHeight="1">
      <c r="B137" s="838"/>
      <c r="C137" s="839"/>
      <c r="D137" s="840"/>
      <c r="E137" s="509"/>
      <c r="F137" s="509"/>
      <c r="G137" s="511"/>
      <c r="H137" s="511"/>
      <c r="I137" s="512"/>
      <c r="J137" s="513"/>
      <c r="K137" s="522"/>
      <c r="L137" s="841"/>
      <c r="M137" s="841"/>
      <c r="N137" s="842"/>
      <c r="O137" s="513"/>
      <c r="P137" s="841"/>
      <c r="Q137" s="513"/>
      <c r="R137" s="513"/>
      <c r="S137" s="513"/>
      <c r="T137" s="513"/>
      <c r="U137" s="513"/>
      <c r="V137" s="522"/>
      <c r="W137" s="843"/>
      <c r="X137" s="843"/>
      <c r="Y137" s="843"/>
      <c r="Z137" s="843"/>
      <c r="AA137" s="844"/>
      <c r="AB137" s="844"/>
      <c r="AC137" s="844"/>
      <c r="AD137" s="513"/>
      <c r="AE137" s="513"/>
      <c r="AF137" s="522"/>
      <c r="AG137" s="522"/>
      <c r="AH137" s="523"/>
    </row>
    <row r="138" ht="15.75" customHeight="1">
      <c r="B138" s="838"/>
      <c r="C138" s="839"/>
      <c r="D138" s="840"/>
      <c r="E138" s="509"/>
      <c r="F138" s="509"/>
      <c r="G138" s="511"/>
      <c r="H138" s="511"/>
      <c r="I138" s="512"/>
      <c r="J138" s="513"/>
      <c r="K138" s="522"/>
      <c r="L138" s="841"/>
      <c r="M138" s="841"/>
      <c r="N138" s="842"/>
      <c r="O138" s="513"/>
      <c r="P138" s="841"/>
      <c r="Q138" s="513"/>
      <c r="R138" s="513"/>
      <c r="S138" s="513"/>
      <c r="T138" s="513"/>
      <c r="U138" s="513"/>
      <c r="V138" s="522"/>
      <c r="W138" s="843"/>
      <c r="X138" s="843"/>
      <c r="Y138" s="843"/>
      <c r="Z138" s="843"/>
      <c r="AA138" s="844"/>
      <c r="AB138" s="844"/>
      <c r="AC138" s="844"/>
      <c r="AD138" s="513"/>
      <c r="AE138" s="513"/>
      <c r="AF138" s="522"/>
      <c r="AG138" s="522"/>
      <c r="AH138" s="523"/>
    </row>
    <row r="139" ht="15.75" customHeight="1">
      <c r="B139" s="838"/>
      <c r="C139" s="839"/>
      <c r="D139" s="840"/>
      <c r="E139" s="509"/>
      <c r="F139" s="509"/>
      <c r="G139" s="511"/>
      <c r="H139" s="511"/>
      <c r="I139" s="512"/>
      <c r="J139" s="513"/>
      <c r="K139" s="522"/>
      <c r="L139" s="841"/>
      <c r="M139" s="841"/>
      <c r="N139" s="842"/>
      <c r="O139" s="513"/>
      <c r="P139" s="841"/>
      <c r="Q139" s="513"/>
      <c r="R139" s="513"/>
      <c r="S139" s="513"/>
      <c r="T139" s="513"/>
      <c r="U139" s="513"/>
      <c r="V139" s="522"/>
      <c r="W139" s="843"/>
      <c r="X139" s="843"/>
      <c r="Y139" s="843"/>
      <c r="Z139" s="843"/>
      <c r="AA139" s="844"/>
      <c r="AB139" s="844"/>
      <c r="AC139" s="844"/>
      <c r="AD139" s="513"/>
      <c r="AE139" s="513"/>
      <c r="AF139" s="522"/>
      <c r="AG139" s="522"/>
      <c r="AH139" s="523"/>
    </row>
    <row r="140" ht="15.75" customHeight="1">
      <c r="B140" s="838"/>
      <c r="C140" s="839"/>
      <c r="D140" s="840"/>
      <c r="E140" s="509"/>
      <c r="F140" s="509"/>
      <c r="G140" s="511"/>
      <c r="H140" s="511"/>
      <c r="I140" s="512"/>
      <c r="J140" s="513"/>
      <c r="K140" s="522"/>
      <c r="L140" s="841"/>
      <c r="M140" s="841"/>
      <c r="N140" s="842"/>
      <c r="O140" s="513"/>
      <c r="P140" s="841"/>
      <c r="Q140" s="513"/>
      <c r="R140" s="513"/>
      <c r="S140" s="513"/>
      <c r="T140" s="513"/>
      <c r="U140" s="513"/>
      <c r="V140" s="522"/>
      <c r="W140" s="843"/>
      <c r="X140" s="843"/>
      <c r="Y140" s="843"/>
      <c r="Z140" s="843"/>
      <c r="AA140" s="844"/>
      <c r="AB140" s="844"/>
      <c r="AC140" s="844"/>
      <c r="AD140" s="513"/>
      <c r="AE140" s="513"/>
      <c r="AF140" s="522"/>
      <c r="AG140" s="522"/>
      <c r="AH140" s="523"/>
    </row>
    <row r="141" ht="15.75" customHeight="1">
      <c r="B141" s="838"/>
      <c r="C141" s="839"/>
      <c r="D141" s="840"/>
      <c r="E141" s="509"/>
      <c r="F141" s="509"/>
      <c r="G141" s="511"/>
      <c r="H141" s="511"/>
      <c r="I141" s="512"/>
      <c r="J141" s="513"/>
      <c r="K141" s="522"/>
      <c r="L141" s="841"/>
      <c r="M141" s="841"/>
      <c r="N141" s="842"/>
      <c r="O141" s="513"/>
      <c r="P141" s="841"/>
      <c r="Q141" s="513"/>
      <c r="R141" s="513"/>
      <c r="S141" s="513"/>
      <c r="T141" s="513"/>
      <c r="U141" s="513"/>
      <c r="V141" s="522"/>
      <c r="W141" s="843"/>
      <c r="X141" s="843"/>
      <c r="Y141" s="843"/>
      <c r="Z141" s="843"/>
      <c r="AA141" s="844"/>
      <c r="AB141" s="844"/>
      <c r="AC141" s="844"/>
      <c r="AD141" s="513"/>
      <c r="AE141" s="513"/>
      <c r="AF141" s="522"/>
      <c r="AG141" s="522"/>
      <c r="AH141" s="523"/>
    </row>
    <row r="142" ht="15.75" customHeight="1">
      <c r="B142" s="838"/>
      <c r="C142" s="839"/>
      <c r="D142" s="840"/>
      <c r="E142" s="509"/>
      <c r="F142" s="509"/>
      <c r="G142" s="511"/>
      <c r="H142" s="511"/>
      <c r="I142" s="512"/>
      <c r="J142" s="513"/>
      <c r="K142" s="522"/>
      <c r="L142" s="841"/>
      <c r="M142" s="841"/>
      <c r="N142" s="842"/>
      <c r="O142" s="513"/>
      <c r="P142" s="841"/>
      <c r="Q142" s="513"/>
      <c r="R142" s="513"/>
      <c r="S142" s="513"/>
      <c r="T142" s="513"/>
      <c r="U142" s="513"/>
      <c r="V142" s="522"/>
      <c r="W142" s="843"/>
      <c r="X142" s="843"/>
      <c r="Y142" s="843"/>
      <c r="Z142" s="843"/>
      <c r="AA142" s="844"/>
      <c r="AB142" s="844"/>
      <c r="AC142" s="844"/>
      <c r="AD142" s="513"/>
      <c r="AE142" s="513"/>
      <c r="AF142" s="522"/>
      <c r="AG142" s="522"/>
      <c r="AH142" s="523"/>
    </row>
    <row r="143" ht="15.75" customHeight="1">
      <c r="B143" s="838"/>
      <c r="C143" s="839"/>
      <c r="D143" s="840"/>
      <c r="E143" s="509"/>
      <c r="F143" s="509"/>
      <c r="G143" s="511"/>
      <c r="H143" s="511"/>
      <c r="I143" s="512"/>
      <c r="J143" s="513"/>
      <c r="K143" s="522"/>
      <c r="L143" s="841"/>
      <c r="M143" s="841"/>
      <c r="N143" s="842"/>
      <c r="O143" s="513"/>
      <c r="P143" s="841"/>
      <c r="Q143" s="513"/>
      <c r="R143" s="513"/>
      <c r="S143" s="513"/>
      <c r="T143" s="513"/>
      <c r="U143" s="513"/>
      <c r="V143" s="522"/>
      <c r="W143" s="843"/>
      <c r="X143" s="843"/>
      <c r="Y143" s="843"/>
      <c r="Z143" s="843"/>
      <c r="AA143" s="844"/>
      <c r="AB143" s="844"/>
      <c r="AC143" s="844"/>
      <c r="AD143" s="513"/>
      <c r="AE143" s="513"/>
      <c r="AF143" s="522"/>
      <c r="AG143" s="522"/>
      <c r="AH143" s="523"/>
    </row>
    <row r="144" ht="15.75" customHeight="1">
      <c r="B144" s="838"/>
      <c r="C144" s="839"/>
      <c r="D144" s="840"/>
      <c r="E144" s="509"/>
      <c r="F144" s="509"/>
      <c r="G144" s="511"/>
      <c r="H144" s="511"/>
      <c r="I144" s="512"/>
      <c r="J144" s="513"/>
      <c r="K144" s="522"/>
      <c r="L144" s="841"/>
      <c r="M144" s="841"/>
      <c r="N144" s="842"/>
      <c r="O144" s="513"/>
      <c r="P144" s="841"/>
      <c r="Q144" s="513"/>
      <c r="R144" s="513"/>
      <c r="S144" s="513"/>
      <c r="T144" s="513"/>
      <c r="U144" s="513"/>
      <c r="V144" s="522"/>
      <c r="W144" s="843"/>
      <c r="X144" s="843"/>
      <c r="Y144" s="843"/>
      <c r="Z144" s="843"/>
      <c r="AA144" s="844"/>
      <c r="AB144" s="844"/>
      <c r="AC144" s="844"/>
      <c r="AD144" s="513"/>
      <c r="AE144" s="513"/>
      <c r="AF144" s="522"/>
      <c r="AG144" s="522"/>
      <c r="AH144" s="523"/>
    </row>
    <row r="145" ht="15.75" customHeight="1">
      <c r="B145" s="838"/>
      <c r="C145" s="839"/>
      <c r="D145" s="840"/>
      <c r="E145" s="509"/>
      <c r="F145" s="509"/>
      <c r="G145" s="511"/>
      <c r="H145" s="511"/>
      <c r="I145" s="512"/>
      <c r="J145" s="513"/>
      <c r="K145" s="522"/>
      <c r="L145" s="841"/>
      <c r="M145" s="841"/>
      <c r="N145" s="842"/>
      <c r="O145" s="513"/>
      <c r="P145" s="841"/>
      <c r="Q145" s="513"/>
      <c r="R145" s="513"/>
      <c r="S145" s="513"/>
      <c r="T145" s="513"/>
      <c r="U145" s="513"/>
      <c r="V145" s="522"/>
      <c r="W145" s="843"/>
      <c r="X145" s="843"/>
      <c r="Y145" s="843"/>
      <c r="Z145" s="843"/>
      <c r="AA145" s="844"/>
      <c r="AB145" s="844"/>
      <c r="AC145" s="844"/>
      <c r="AD145" s="513"/>
      <c r="AE145" s="513"/>
      <c r="AF145" s="522"/>
      <c r="AG145" s="522"/>
      <c r="AH145" s="523"/>
    </row>
    <row r="146" ht="15.75" customHeight="1">
      <c r="B146" s="838"/>
      <c r="C146" s="839"/>
      <c r="D146" s="840"/>
      <c r="E146" s="509"/>
      <c r="F146" s="509"/>
      <c r="G146" s="511"/>
      <c r="H146" s="511"/>
      <c r="I146" s="512"/>
      <c r="J146" s="513"/>
      <c r="K146" s="522"/>
      <c r="L146" s="841"/>
      <c r="M146" s="841"/>
      <c r="N146" s="842"/>
      <c r="O146" s="513"/>
      <c r="P146" s="841"/>
      <c r="Q146" s="513"/>
      <c r="R146" s="513"/>
      <c r="S146" s="513"/>
      <c r="T146" s="513"/>
      <c r="U146" s="513"/>
      <c r="V146" s="522"/>
      <c r="W146" s="843"/>
      <c r="X146" s="843"/>
      <c r="Y146" s="843"/>
      <c r="Z146" s="843"/>
      <c r="AA146" s="844"/>
      <c r="AB146" s="844"/>
      <c r="AC146" s="844"/>
      <c r="AD146" s="513"/>
      <c r="AE146" s="513"/>
      <c r="AF146" s="522"/>
      <c r="AG146" s="522"/>
      <c r="AH146" s="523"/>
    </row>
    <row r="147" ht="15.75" customHeight="1">
      <c r="B147" s="838"/>
      <c r="C147" s="839"/>
      <c r="D147" s="840"/>
      <c r="E147" s="509"/>
      <c r="F147" s="509"/>
      <c r="G147" s="511"/>
      <c r="H147" s="511"/>
      <c r="I147" s="512"/>
      <c r="J147" s="513"/>
      <c r="K147" s="522"/>
      <c r="L147" s="841"/>
      <c r="M147" s="841"/>
      <c r="N147" s="842"/>
      <c r="O147" s="513"/>
      <c r="P147" s="841"/>
      <c r="Q147" s="513"/>
      <c r="R147" s="513"/>
      <c r="S147" s="513"/>
      <c r="T147" s="513"/>
      <c r="U147" s="513"/>
      <c r="V147" s="522"/>
      <c r="W147" s="843"/>
      <c r="X147" s="843"/>
      <c r="Y147" s="843"/>
      <c r="Z147" s="843"/>
      <c r="AA147" s="844"/>
      <c r="AB147" s="844"/>
      <c r="AC147" s="844"/>
      <c r="AD147" s="513"/>
      <c r="AE147" s="513"/>
      <c r="AF147" s="522"/>
      <c r="AG147" s="522"/>
      <c r="AH147" s="523"/>
    </row>
    <row r="148" ht="15.75" customHeight="1">
      <c r="B148" s="838"/>
      <c r="C148" s="839"/>
      <c r="D148" s="840"/>
      <c r="E148" s="509"/>
      <c r="F148" s="509"/>
      <c r="G148" s="511"/>
      <c r="H148" s="511"/>
      <c r="I148" s="512"/>
      <c r="J148" s="513"/>
      <c r="K148" s="522"/>
      <c r="L148" s="841"/>
      <c r="M148" s="841"/>
      <c r="N148" s="842"/>
      <c r="O148" s="513"/>
      <c r="P148" s="841"/>
      <c r="Q148" s="513"/>
      <c r="R148" s="513"/>
      <c r="S148" s="513"/>
      <c r="T148" s="513"/>
      <c r="U148" s="513"/>
      <c r="V148" s="522"/>
      <c r="W148" s="843"/>
      <c r="X148" s="843"/>
      <c r="Y148" s="843"/>
      <c r="Z148" s="843"/>
      <c r="AA148" s="844"/>
      <c r="AB148" s="844"/>
      <c r="AC148" s="844"/>
      <c r="AD148" s="513"/>
      <c r="AE148" s="513"/>
      <c r="AF148" s="522"/>
      <c r="AG148" s="522"/>
      <c r="AH148" s="523"/>
    </row>
    <row r="149" ht="15.75" customHeight="1">
      <c r="B149" s="838"/>
      <c r="C149" s="839"/>
      <c r="D149" s="840"/>
      <c r="E149" s="509"/>
      <c r="F149" s="509"/>
      <c r="G149" s="511"/>
      <c r="H149" s="511"/>
      <c r="I149" s="512"/>
      <c r="J149" s="513"/>
      <c r="K149" s="522"/>
      <c r="L149" s="841"/>
      <c r="M149" s="841"/>
      <c r="N149" s="842"/>
      <c r="O149" s="513"/>
      <c r="P149" s="841"/>
      <c r="Q149" s="513"/>
      <c r="R149" s="513"/>
      <c r="S149" s="513"/>
      <c r="T149" s="513"/>
      <c r="U149" s="513"/>
      <c r="V149" s="522"/>
      <c r="W149" s="843"/>
      <c r="X149" s="843"/>
      <c r="Y149" s="843"/>
      <c r="Z149" s="843"/>
      <c r="AA149" s="844"/>
      <c r="AB149" s="844"/>
      <c r="AC149" s="844"/>
      <c r="AD149" s="513"/>
      <c r="AE149" s="513"/>
      <c r="AF149" s="522"/>
      <c r="AG149" s="522"/>
      <c r="AH149" s="523"/>
    </row>
    <row r="150" ht="15.75" customHeight="1">
      <c r="B150" s="838"/>
      <c r="C150" s="839"/>
      <c r="D150" s="840"/>
      <c r="E150" s="509"/>
      <c r="F150" s="509"/>
      <c r="G150" s="511"/>
      <c r="H150" s="511"/>
      <c r="I150" s="512"/>
      <c r="J150" s="513"/>
      <c r="K150" s="522"/>
      <c r="L150" s="841"/>
      <c r="M150" s="841"/>
      <c r="N150" s="842"/>
      <c r="O150" s="513"/>
      <c r="P150" s="841"/>
      <c r="Q150" s="513"/>
      <c r="R150" s="513"/>
      <c r="S150" s="513"/>
      <c r="T150" s="513"/>
      <c r="U150" s="513"/>
      <c r="V150" s="522"/>
      <c r="W150" s="843"/>
      <c r="X150" s="843"/>
      <c r="Y150" s="843"/>
      <c r="Z150" s="843"/>
      <c r="AA150" s="844"/>
      <c r="AB150" s="844"/>
      <c r="AC150" s="844"/>
      <c r="AD150" s="513"/>
      <c r="AE150" s="513"/>
      <c r="AF150" s="522"/>
      <c r="AG150" s="522"/>
      <c r="AH150" s="523"/>
    </row>
    <row r="151" ht="15.75" customHeight="1">
      <c r="B151" s="838"/>
      <c r="C151" s="839"/>
      <c r="D151" s="840"/>
      <c r="E151" s="509"/>
      <c r="F151" s="509"/>
      <c r="G151" s="511"/>
      <c r="H151" s="511"/>
      <c r="I151" s="512"/>
      <c r="J151" s="513"/>
      <c r="K151" s="522"/>
      <c r="L151" s="841"/>
      <c r="M151" s="841"/>
      <c r="N151" s="842"/>
      <c r="O151" s="513"/>
      <c r="P151" s="841"/>
      <c r="Q151" s="513"/>
      <c r="R151" s="513"/>
      <c r="S151" s="513"/>
      <c r="T151" s="513"/>
      <c r="U151" s="513"/>
      <c r="V151" s="522"/>
      <c r="W151" s="843"/>
      <c r="X151" s="843"/>
      <c r="Y151" s="843"/>
      <c r="Z151" s="843"/>
      <c r="AA151" s="844"/>
      <c r="AB151" s="844"/>
      <c r="AC151" s="844"/>
      <c r="AD151" s="513"/>
      <c r="AE151" s="513"/>
      <c r="AF151" s="522"/>
      <c r="AG151" s="522"/>
      <c r="AH151" s="523"/>
    </row>
    <row r="152" ht="15.75" customHeight="1">
      <c r="B152" s="838"/>
      <c r="C152" s="839"/>
      <c r="D152" s="840"/>
      <c r="E152" s="509"/>
      <c r="F152" s="509"/>
      <c r="G152" s="511"/>
      <c r="H152" s="511"/>
      <c r="I152" s="512"/>
      <c r="J152" s="513"/>
      <c r="K152" s="522"/>
      <c r="L152" s="841"/>
      <c r="M152" s="841"/>
      <c r="N152" s="842"/>
      <c r="O152" s="513"/>
      <c r="P152" s="841"/>
      <c r="Q152" s="513"/>
      <c r="R152" s="513"/>
      <c r="S152" s="513"/>
      <c r="T152" s="513"/>
      <c r="U152" s="513"/>
      <c r="V152" s="522"/>
      <c r="W152" s="843"/>
      <c r="X152" s="843"/>
      <c r="Y152" s="843"/>
      <c r="Z152" s="843"/>
      <c r="AA152" s="844"/>
      <c r="AB152" s="844"/>
      <c r="AC152" s="844"/>
      <c r="AD152" s="513"/>
      <c r="AE152" s="513"/>
      <c r="AF152" s="522"/>
      <c r="AG152" s="522"/>
      <c r="AH152" s="523"/>
    </row>
    <row r="153" ht="15.75" customHeight="1">
      <c r="B153" s="838"/>
      <c r="C153" s="839"/>
      <c r="D153" s="840"/>
      <c r="E153" s="509"/>
      <c r="F153" s="509"/>
      <c r="G153" s="511"/>
      <c r="H153" s="511"/>
      <c r="I153" s="512"/>
      <c r="J153" s="513"/>
      <c r="K153" s="522"/>
      <c r="L153" s="841"/>
      <c r="M153" s="841"/>
      <c r="N153" s="842"/>
      <c r="O153" s="513"/>
      <c r="P153" s="841"/>
      <c r="Q153" s="513"/>
      <c r="R153" s="513"/>
      <c r="S153" s="513"/>
      <c r="T153" s="513"/>
      <c r="U153" s="513"/>
      <c r="V153" s="522"/>
      <c r="W153" s="843"/>
      <c r="X153" s="843"/>
      <c r="Y153" s="843"/>
      <c r="Z153" s="843"/>
      <c r="AA153" s="844"/>
      <c r="AB153" s="844"/>
      <c r="AC153" s="844"/>
      <c r="AD153" s="513"/>
      <c r="AE153" s="513"/>
      <c r="AF153" s="522"/>
      <c r="AG153" s="522"/>
      <c r="AH153" s="523"/>
    </row>
    <row r="154" ht="15.75" customHeight="1">
      <c r="B154" s="838"/>
      <c r="C154" s="839"/>
      <c r="D154" s="840"/>
      <c r="E154" s="509"/>
      <c r="F154" s="509"/>
      <c r="G154" s="511"/>
      <c r="H154" s="511"/>
      <c r="I154" s="512"/>
      <c r="J154" s="513"/>
      <c r="K154" s="522"/>
      <c r="L154" s="841"/>
      <c r="M154" s="841"/>
      <c r="N154" s="842"/>
      <c r="O154" s="513"/>
      <c r="P154" s="841"/>
      <c r="Q154" s="513"/>
      <c r="R154" s="513"/>
      <c r="S154" s="513"/>
      <c r="T154" s="513"/>
      <c r="U154" s="513"/>
      <c r="V154" s="522"/>
      <c r="W154" s="843"/>
      <c r="X154" s="843"/>
      <c r="Y154" s="843"/>
      <c r="Z154" s="843"/>
      <c r="AA154" s="844"/>
      <c r="AB154" s="844"/>
      <c r="AC154" s="844"/>
      <c r="AD154" s="513"/>
      <c r="AE154" s="513"/>
      <c r="AF154" s="522"/>
      <c r="AG154" s="522"/>
      <c r="AH154" s="523"/>
    </row>
    <row r="155" ht="15.75" customHeight="1">
      <c r="B155" s="838"/>
      <c r="C155" s="839"/>
      <c r="D155" s="840"/>
      <c r="E155" s="509"/>
      <c r="F155" s="509"/>
      <c r="G155" s="511"/>
      <c r="H155" s="511"/>
      <c r="I155" s="512"/>
      <c r="J155" s="513"/>
      <c r="K155" s="522"/>
      <c r="L155" s="841"/>
      <c r="M155" s="841"/>
      <c r="N155" s="842"/>
      <c r="O155" s="513"/>
      <c r="P155" s="841"/>
      <c r="Q155" s="513"/>
      <c r="R155" s="513"/>
      <c r="S155" s="513"/>
      <c r="T155" s="513"/>
      <c r="U155" s="513"/>
      <c r="V155" s="522"/>
      <c r="W155" s="843"/>
      <c r="X155" s="843"/>
      <c r="Y155" s="843"/>
      <c r="Z155" s="843"/>
      <c r="AA155" s="844"/>
      <c r="AB155" s="844"/>
      <c r="AC155" s="844"/>
      <c r="AD155" s="513"/>
      <c r="AE155" s="513"/>
      <c r="AF155" s="522"/>
      <c r="AG155" s="522"/>
      <c r="AH155" s="523"/>
    </row>
    <row r="156" ht="15.75" customHeight="1">
      <c r="B156" s="838"/>
      <c r="C156" s="839"/>
      <c r="D156" s="840"/>
      <c r="E156" s="509"/>
      <c r="F156" s="509"/>
      <c r="G156" s="511"/>
      <c r="H156" s="511"/>
      <c r="I156" s="512"/>
      <c r="J156" s="513"/>
      <c r="K156" s="522"/>
      <c r="L156" s="841"/>
      <c r="M156" s="841"/>
      <c r="N156" s="842"/>
      <c r="O156" s="513"/>
      <c r="P156" s="841"/>
      <c r="Q156" s="513"/>
      <c r="R156" s="513"/>
      <c r="S156" s="513"/>
      <c r="T156" s="513"/>
      <c r="U156" s="513"/>
      <c r="V156" s="522"/>
      <c r="W156" s="843"/>
      <c r="X156" s="843"/>
      <c r="Y156" s="843"/>
      <c r="Z156" s="843"/>
      <c r="AA156" s="844"/>
      <c r="AB156" s="844"/>
      <c r="AC156" s="844"/>
      <c r="AD156" s="513"/>
      <c r="AE156" s="513"/>
      <c r="AF156" s="522"/>
      <c r="AG156" s="522"/>
      <c r="AH156" s="523"/>
    </row>
    <row r="157" ht="15.75" customHeight="1">
      <c r="B157" s="838"/>
      <c r="C157" s="839"/>
      <c r="D157" s="840"/>
      <c r="E157" s="509"/>
      <c r="F157" s="509"/>
      <c r="G157" s="511"/>
      <c r="H157" s="511"/>
      <c r="I157" s="512"/>
      <c r="J157" s="513"/>
      <c r="K157" s="522"/>
      <c r="L157" s="841"/>
      <c r="M157" s="841"/>
      <c r="N157" s="842"/>
      <c r="O157" s="513"/>
      <c r="P157" s="841"/>
      <c r="Q157" s="513"/>
      <c r="R157" s="513"/>
      <c r="S157" s="513"/>
      <c r="T157" s="513"/>
      <c r="U157" s="513"/>
      <c r="V157" s="522"/>
      <c r="W157" s="843"/>
      <c r="X157" s="843"/>
      <c r="Y157" s="843"/>
      <c r="Z157" s="843"/>
      <c r="AA157" s="844"/>
      <c r="AB157" s="844"/>
      <c r="AC157" s="844"/>
      <c r="AD157" s="513"/>
      <c r="AE157" s="513"/>
      <c r="AF157" s="522"/>
      <c r="AG157" s="522"/>
      <c r="AH157" s="523"/>
    </row>
    <row r="158" ht="15.75" customHeight="1">
      <c r="B158" s="838"/>
      <c r="C158" s="839"/>
      <c r="D158" s="840"/>
      <c r="E158" s="509"/>
      <c r="F158" s="509"/>
      <c r="G158" s="511"/>
      <c r="H158" s="511"/>
      <c r="I158" s="512"/>
      <c r="J158" s="513"/>
      <c r="K158" s="522"/>
      <c r="L158" s="841"/>
      <c r="M158" s="841"/>
      <c r="N158" s="842"/>
      <c r="O158" s="513"/>
      <c r="P158" s="841"/>
      <c r="Q158" s="513"/>
      <c r="R158" s="513"/>
      <c r="S158" s="513"/>
      <c r="T158" s="513"/>
      <c r="U158" s="513"/>
      <c r="V158" s="522"/>
      <c r="W158" s="843"/>
      <c r="X158" s="843"/>
      <c r="Y158" s="843"/>
      <c r="Z158" s="843"/>
      <c r="AA158" s="844"/>
      <c r="AB158" s="844"/>
      <c r="AC158" s="844"/>
      <c r="AD158" s="513"/>
      <c r="AE158" s="513"/>
      <c r="AF158" s="522"/>
      <c r="AG158" s="522"/>
      <c r="AH158" s="523"/>
    </row>
    <row r="159" ht="15.75" customHeight="1">
      <c r="B159" s="838"/>
      <c r="C159" s="839"/>
      <c r="D159" s="840"/>
      <c r="E159" s="509"/>
      <c r="F159" s="509"/>
      <c r="G159" s="511"/>
      <c r="H159" s="511"/>
      <c r="I159" s="512"/>
      <c r="J159" s="513"/>
      <c r="K159" s="522"/>
      <c r="L159" s="841"/>
      <c r="M159" s="841"/>
      <c r="N159" s="842"/>
      <c r="O159" s="513"/>
      <c r="P159" s="841"/>
      <c r="Q159" s="513"/>
      <c r="R159" s="513"/>
      <c r="S159" s="513"/>
      <c r="T159" s="513"/>
      <c r="U159" s="513"/>
      <c r="V159" s="522"/>
      <c r="W159" s="843"/>
      <c r="X159" s="843"/>
      <c r="Y159" s="843"/>
      <c r="Z159" s="843"/>
      <c r="AA159" s="844"/>
      <c r="AB159" s="844"/>
      <c r="AC159" s="844"/>
      <c r="AD159" s="513"/>
      <c r="AE159" s="513"/>
      <c r="AF159" s="522"/>
      <c r="AG159" s="522"/>
      <c r="AH159" s="523"/>
    </row>
    <row r="160" ht="15.75" customHeight="1">
      <c r="B160" s="838"/>
      <c r="C160" s="839"/>
      <c r="D160" s="840"/>
      <c r="E160" s="509"/>
      <c r="F160" s="509"/>
      <c r="G160" s="511"/>
      <c r="H160" s="511"/>
      <c r="I160" s="512"/>
      <c r="J160" s="513"/>
      <c r="K160" s="522"/>
      <c r="L160" s="841"/>
      <c r="M160" s="841"/>
      <c r="N160" s="842"/>
      <c r="O160" s="513"/>
      <c r="P160" s="841"/>
      <c r="Q160" s="513"/>
      <c r="R160" s="513"/>
      <c r="S160" s="513"/>
      <c r="T160" s="513"/>
      <c r="U160" s="513"/>
      <c r="V160" s="522"/>
      <c r="W160" s="843"/>
      <c r="X160" s="843"/>
      <c r="Y160" s="843"/>
      <c r="Z160" s="843"/>
      <c r="AA160" s="844"/>
      <c r="AB160" s="844"/>
      <c r="AC160" s="844"/>
      <c r="AD160" s="513"/>
      <c r="AE160" s="513"/>
      <c r="AF160" s="522"/>
      <c r="AG160" s="522"/>
      <c r="AH160" s="523"/>
    </row>
    <row r="161" ht="15.75" customHeight="1">
      <c r="B161" s="838"/>
      <c r="C161" s="839"/>
      <c r="D161" s="840"/>
      <c r="E161" s="509"/>
      <c r="F161" s="509"/>
      <c r="G161" s="511"/>
      <c r="H161" s="511"/>
      <c r="I161" s="512"/>
      <c r="J161" s="513"/>
      <c r="K161" s="522"/>
      <c r="L161" s="841"/>
      <c r="M161" s="841"/>
      <c r="N161" s="842"/>
      <c r="O161" s="513"/>
      <c r="P161" s="841"/>
      <c r="Q161" s="513"/>
      <c r="R161" s="513"/>
      <c r="S161" s="513"/>
      <c r="T161" s="513"/>
      <c r="U161" s="513"/>
      <c r="V161" s="522"/>
      <c r="W161" s="843"/>
      <c r="X161" s="843"/>
      <c r="Y161" s="843"/>
      <c r="Z161" s="843"/>
      <c r="AA161" s="844"/>
      <c r="AB161" s="844"/>
      <c r="AC161" s="844"/>
      <c r="AD161" s="513"/>
      <c r="AE161" s="513"/>
      <c r="AF161" s="522"/>
      <c r="AG161" s="522"/>
      <c r="AH161" s="523"/>
    </row>
    <row r="162" ht="15.75" customHeight="1">
      <c r="B162" s="838"/>
      <c r="C162" s="839"/>
      <c r="D162" s="840"/>
      <c r="E162" s="509"/>
      <c r="F162" s="509"/>
      <c r="G162" s="511"/>
      <c r="H162" s="511"/>
      <c r="I162" s="512"/>
      <c r="J162" s="513"/>
      <c r="K162" s="522"/>
      <c r="L162" s="841"/>
      <c r="M162" s="841"/>
      <c r="N162" s="842"/>
      <c r="O162" s="513"/>
      <c r="P162" s="841"/>
      <c r="Q162" s="513"/>
      <c r="R162" s="513"/>
      <c r="S162" s="513"/>
      <c r="T162" s="513"/>
      <c r="U162" s="513"/>
      <c r="V162" s="522"/>
      <c r="W162" s="843"/>
      <c r="X162" s="843"/>
      <c r="Y162" s="843"/>
      <c r="Z162" s="843"/>
      <c r="AA162" s="844"/>
      <c r="AB162" s="844"/>
      <c r="AC162" s="844"/>
      <c r="AD162" s="513"/>
      <c r="AE162" s="513"/>
      <c r="AF162" s="522"/>
      <c r="AG162" s="522"/>
      <c r="AH162" s="523"/>
    </row>
    <row r="163" ht="15.75" customHeight="1">
      <c r="B163" s="838"/>
      <c r="C163" s="839"/>
      <c r="D163" s="840"/>
      <c r="E163" s="509"/>
      <c r="F163" s="509"/>
      <c r="G163" s="511"/>
      <c r="H163" s="511"/>
      <c r="I163" s="512"/>
      <c r="J163" s="513"/>
      <c r="K163" s="522"/>
      <c r="L163" s="841"/>
      <c r="M163" s="841"/>
      <c r="N163" s="842"/>
      <c r="O163" s="513"/>
      <c r="P163" s="841"/>
      <c r="Q163" s="513"/>
      <c r="R163" s="513"/>
      <c r="S163" s="513"/>
      <c r="T163" s="513"/>
      <c r="U163" s="513"/>
      <c r="V163" s="522"/>
      <c r="W163" s="843"/>
      <c r="X163" s="843"/>
      <c r="Y163" s="843"/>
      <c r="Z163" s="843"/>
      <c r="AA163" s="844"/>
      <c r="AB163" s="844"/>
      <c r="AC163" s="844"/>
      <c r="AD163" s="513"/>
      <c r="AE163" s="513"/>
      <c r="AF163" s="522"/>
      <c r="AG163" s="522"/>
      <c r="AH163" s="523"/>
    </row>
    <row r="164" ht="15.75" customHeight="1">
      <c r="B164" s="838"/>
      <c r="C164" s="839"/>
      <c r="D164" s="840"/>
      <c r="E164" s="509"/>
      <c r="F164" s="509"/>
      <c r="G164" s="511"/>
      <c r="H164" s="511"/>
      <c r="I164" s="512"/>
      <c r="J164" s="513"/>
      <c r="K164" s="522"/>
      <c r="L164" s="841"/>
      <c r="M164" s="841"/>
      <c r="N164" s="842"/>
      <c r="O164" s="513"/>
      <c r="P164" s="841"/>
      <c r="Q164" s="513"/>
      <c r="R164" s="513"/>
      <c r="S164" s="513"/>
      <c r="T164" s="513"/>
      <c r="U164" s="513"/>
      <c r="V164" s="522"/>
      <c r="W164" s="843"/>
      <c r="X164" s="843"/>
      <c r="Y164" s="843"/>
      <c r="Z164" s="843"/>
      <c r="AA164" s="844"/>
      <c r="AB164" s="844"/>
      <c r="AC164" s="844"/>
      <c r="AD164" s="513"/>
      <c r="AE164" s="513"/>
      <c r="AF164" s="522"/>
      <c r="AG164" s="522"/>
      <c r="AH164" s="523"/>
    </row>
    <row r="165" ht="15.75" customHeight="1">
      <c r="B165" s="838"/>
      <c r="C165" s="839"/>
      <c r="D165" s="840"/>
      <c r="E165" s="509"/>
      <c r="F165" s="509"/>
      <c r="G165" s="511"/>
      <c r="H165" s="511"/>
      <c r="I165" s="512"/>
      <c r="J165" s="513"/>
      <c r="K165" s="522"/>
      <c r="L165" s="841"/>
      <c r="M165" s="841"/>
      <c r="N165" s="842"/>
      <c r="O165" s="513"/>
      <c r="P165" s="841"/>
      <c r="Q165" s="513"/>
      <c r="R165" s="513"/>
      <c r="S165" s="513"/>
      <c r="T165" s="513"/>
      <c r="U165" s="513"/>
      <c r="V165" s="522"/>
      <c r="W165" s="843"/>
      <c r="X165" s="843"/>
      <c r="Y165" s="843"/>
      <c r="Z165" s="843"/>
      <c r="AA165" s="844"/>
      <c r="AB165" s="844"/>
      <c r="AC165" s="844"/>
      <c r="AD165" s="513"/>
      <c r="AE165" s="513"/>
      <c r="AF165" s="522"/>
      <c r="AG165" s="522"/>
      <c r="AH165" s="523"/>
    </row>
    <row r="166" ht="15.75" customHeight="1">
      <c r="B166" s="838"/>
      <c r="C166" s="839"/>
      <c r="D166" s="840"/>
      <c r="E166" s="509"/>
      <c r="F166" s="509"/>
      <c r="G166" s="511"/>
      <c r="H166" s="511"/>
      <c r="I166" s="512"/>
      <c r="J166" s="513"/>
      <c r="K166" s="522"/>
      <c r="L166" s="841"/>
      <c r="M166" s="841"/>
      <c r="N166" s="842"/>
      <c r="O166" s="513"/>
      <c r="P166" s="841"/>
      <c r="Q166" s="513"/>
      <c r="R166" s="513"/>
      <c r="S166" s="513"/>
      <c r="T166" s="513"/>
      <c r="U166" s="513"/>
      <c r="V166" s="522"/>
      <c r="W166" s="843"/>
      <c r="X166" s="843"/>
      <c r="Y166" s="843"/>
      <c r="Z166" s="843"/>
      <c r="AA166" s="844"/>
      <c r="AB166" s="844"/>
      <c r="AC166" s="844"/>
      <c r="AD166" s="513"/>
      <c r="AE166" s="513"/>
      <c r="AF166" s="522"/>
      <c r="AG166" s="522"/>
      <c r="AH166" s="523"/>
    </row>
    <row r="167" ht="15.75" customHeight="1">
      <c r="B167" s="838"/>
      <c r="C167" s="839"/>
      <c r="D167" s="840"/>
      <c r="E167" s="509"/>
      <c r="F167" s="509"/>
      <c r="G167" s="511"/>
      <c r="H167" s="511"/>
      <c r="I167" s="512"/>
      <c r="J167" s="513"/>
      <c r="K167" s="522"/>
      <c r="L167" s="841"/>
      <c r="M167" s="841"/>
      <c r="N167" s="842"/>
      <c r="O167" s="513"/>
      <c r="P167" s="841"/>
      <c r="Q167" s="513"/>
      <c r="R167" s="513"/>
      <c r="S167" s="513"/>
      <c r="T167" s="513"/>
      <c r="U167" s="513"/>
      <c r="V167" s="522"/>
      <c r="W167" s="843"/>
      <c r="X167" s="843"/>
      <c r="Y167" s="843"/>
      <c r="Z167" s="843"/>
      <c r="AA167" s="844"/>
      <c r="AB167" s="844"/>
      <c r="AC167" s="844"/>
      <c r="AD167" s="513"/>
      <c r="AE167" s="513"/>
      <c r="AF167" s="522"/>
      <c r="AG167" s="522"/>
      <c r="AH167" s="523"/>
    </row>
    <row r="168" ht="15.75" customHeight="1">
      <c r="B168" s="838"/>
      <c r="C168" s="839"/>
      <c r="D168" s="840"/>
      <c r="E168" s="509"/>
      <c r="F168" s="509"/>
      <c r="G168" s="511"/>
      <c r="H168" s="511"/>
      <c r="I168" s="512"/>
      <c r="J168" s="513"/>
      <c r="K168" s="522"/>
      <c r="L168" s="841"/>
      <c r="M168" s="841"/>
      <c r="N168" s="842"/>
      <c r="O168" s="513"/>
      <c r="P168" s="841"/>
      <c r="Q168" s="513"/>
      <c r="R168" s="513"/>
      <c r="S168" s="513"/>
      <c r="T168" s="513"/>
      <c r="U168" s="513"/>
      <c r="V168" s="522"/>
      <c r="W168" s="843"/>
      <c r="X168" s="843"/>
      <c r="Y168" s="843"/>
      <c r="Z168" s="843"/>
      <c r="AA168" s="844"/>
      <c r="AB168" s="844"/>
      <c r="AC168" s="844"/>
      <c r="AD168" s="513"/>
      <c r="AE168" s="513"/>
      <c r="AF168" s="522"/>
      <c r="AG168" s="522"/>
      <c r="AH168" s="523"/>
    </row>
    <row r="169" ht="15.75" customHeight="1">
      <c r="B169" s="838"/>
      <c r="C169" s="839"/>
      <c r="D169" s="840"/>
      <c r="E169" s="509"/>
      <c r="F169" s="509"/>
      <c r="G169" s="511"/>
      <c r="H169" s="511"/>
      <c r="I169" s="512"/>
      <c r="J169" s="513"/>
      <c r="K169" s="522"/>
      <c r="L169" s="841"/>
      <c r="M169" s="841"/>
      <c r="N169" s="842"/>
      <c r="O169" s="513"/>
      <c r="P169" s="841"/>
      <c r="Q169" s="513"/>
      <c r="R169" s="513"/>
      <c r="S169" s="513"/>
      <c r="T169" s="513"/>
      <c r="U169" s="513"/>
      <c r="V169" s="522"/>
      <c r="W169" s="843"/>
      <c r="X169" s="843"/>
      <c r="Y169" s="843"/>
      <c r="Z169" s="843"/>
      <c r="AA169" s="844"/>
      <c r="AB169" s="844"/>
      <c r="AC169" s="844"/>
      <c r="AD169" s="513"/>
      <c r="AE169" s="513"/>
      <c r="AF169" s="522"/>
      <c r="AG169" s="522"/>
      <c r="AH169" s="523"/>
    </row>
    <row r="170" ht="15.75" customHeight="1">
      <c r="B170" s="838"/>
      <c r="C170" s="839"/>
      <c r="D170" s="840"/>
      <c r="E170" s="509"/>
      <c r="F170" s="509"/>
      <c r="G170" s="511"/>
      <c r="H170" s="511"/>
      <c r="I170" s="512"/>
      <c r="J170" s="513"/>
      <c r="K170" s="522"/>
      <c r="L170" s="841"/>
      <c r="M170" s="841"/>
      <c r="N170" s="842"/>
      <c r="O170" s="513"/>
      <c r="P170" s="841"/>
      <c r="Q170" s="513"/>
      <c r="R170" s="513"/>
      <c r="S170" s="513"/>
      <c r="T170" s="513"/>
      <c r="U170" s="513"/>
      <c r="V170" s="522"/>
      <c r="W170" s="843"/>
      <c r="X170" s="843"/>
      <c r="Y170" s="843"/>
      <c r="Z170" s="843"/>
      <c r="AA170" s="844"/>
      <c r="AB170" s="844"/>
      <c r="AC170" s="844"/>
      <c r="AD170" s="513"/>
      <c r="AE170" s="513"/>
      <c r="AF170" s="522"/>
      <c r="AG170" s="522"/>
      <c r="AH170" s="523"/>
    </row>
    <row r="171" ht="15.75" customHeight="1">
      <c r="B171" s="838"/>
      <c r="C171" s="839"/>
      <c r="D171" s="840"/>
      <c r="E171" s="509"/>
      <c r="F171" s="509"/>
      <c r="G171" s="511"/>
      <c r="H171" s="511"/>
      <c r="I171" s="512"/>
      <c r="J171" s="513"/>
      <c r="K171" s="522"/>
      <c r="L171" s="841"/>
      <c r="M171" s="841"/>
      <c r="N171" s="842"/>
      <c r="O171" s="513"/>
      <c r="P171" s="841"/>
      <c r="Q171" s="513"/>
      <c r="R171" s="513"/>
      <c r="S171" s="513"/>
      <c r="T171" s="513"/>
      <c r="U171" s="513"/>
      <c r="V171" s="522"/>
      <c r="W171" s="843"/>
      <c r="X171" s="843"/>
      <c r="Y171" s="843"/>
      <c r="Z171" s="843"/>
      <c r="AA171" s="844"/>
      <c r="AB171" s="844"/>
      <c r="AC171" s="844"/>
      <c r="AD171" s="513"/>
      <c r="AE171" s="513"/>
      <c r="AF171" s="522"/>
      <c r="AG171" s="522"/>
      <c r="AH171" s="523"/>
    </row>
    <row r="172" ht="15.75" customHeight="1">
      <c r="B172" s="838"/>
      <c r="C172" s="839"/>
      <c r="D172" s="840"/>
      <c r="E172" s="509"/>
      <c r="F172" s="509"/>
      <c r="G172" s="511"/>
      <c r="H172" s="511"/>
      <c r="I172" s="512"/>
      <c r="J172" s="513"/>
      <c r="K172" s="522"/>
      <c r="L172" s="841"/>
      <c r="M172" s="841"/>
      <c r="N172" s="842"/>
      <c r="O172" s="513"/>
      <c r="P172" s="841"/>
      <c r="Q172" s="513"/>
      <c r="R172" s="513"/>
      <c r="S172" s="513"/>
      <c r="T172" s="513"/>
      <c r="U172" s="513"/>
      <c r="V172" s="522"/>
      <c r="W172" s="843"/>
      <c r="X172" s="843"/>
      <c r="Y172" s="843"/>
      <c r="Z172" s="843"/>
      <c r="AA172" s="844"/>
      <c r="AB172" s="844"/>
      <c r="AC172" s="844"/>
      <c r="AD172" s="513"/>
      <c r="AE172" s="513"/>
      <c r="AF172" s="522"/>
      <c r="AG172" s="522"/>
      <c r="AH172" s="523"/>
    </row>
    <row r="173" ht="15.75" customHeight="1">
      <c r="B173" s="838"/>
      <c r="C173" s="839"/>
      <c r="D173" s="840"/>
      <c r="E173" s="509"/>
      <c r="F173" s="509"/>
      <c r="G173" s="511"/>
      <c r="H173" s="511"/>
      <c r="I173" s="512"/>
      <c r="J173" s="513"/>
      <c r="K173" s="522"/>
      <c r="L173" s="841"/>
      <c r="M173" s="841"/>
      <c r="N173" s="842"/>
      <c r="O173" s="513"/>
      <c r="P173" s="841"/>
      <c r="Q173" s="513"/>
      <c r="R173" s="513"/>
      <c r="S173" s="513"/>
      <c r="T173" s="513"/>
      <c r="U173" s="513"/>
      <c r="V173" s="522"/>
      <c r="W173" s="843"/>
      <c r="X173" s="843"/>
      <c r="Y173" s="843"/>
      <c r="Z173" s="843"/>
      <c r="AA173" s="844"/>
      <c r="AB173" s="844"/>
      <c r="AC173" s="844"/>
      <c r="AD173" s="513"/>
      <c r="AE173" s="513"/>
      <c r="AF173" s="522"/>
      <c r="AG173" s="522"/>
      <c r="AH173" s="523"/>
    </row>
    <row r="174" ht="15.75" customHeight="1">
      <c r="B174" s="838"/>
      <c r="C174" s="839"/>
      <c r="D174" s="840"/>
      <c r="E174" s="509"/>
      <c r="F174" s="509"/>
      <c r="G174" s="511"/>
      <c r="H174" s="511"/>
      <c r="I174" s="512"/>
      <c r="J174" s="513"/>
      <c r="K174" s="522"/>
      <c r="L174" s="841"/>
      <c r="M174" s="841"/>
      <c r="N174" s="842"/>
      <c r="O174" s="513"/>
      <c r="P174" s="841"/>
      <c r="Q174" s="513"/>
      <c r="R174" s="513"/>
      <c r="S174" s="513"/>
      <c r="T174" s="513"/>
      <c r="U174" s="513"/>
      <c r="V174" s="522"/>
      <c r="W174" s="843"/>
      <c r="X174" s="843"/>
      <c r="Y174" s="843"/>
      <c r="Z174" s="843"/>
      <c r="AA174" s="844"/>
      <c r="AB174" s="844"/>
      <c r="AC174" s="844"/>
      <c r="AD174" s="513"/>
      <c r="AE174" s="513"/>
      <c r="AF174" s="522"/>
      <c r="AG174" s="522"/>
      <c r="AH174" s="523"/>
    </row>
    <row r="175" ht="15.75" customHeight="1">
      <c r="B175" s="838"/>
      <c r="C175" s="839"/>
      <c r="D175" s="840"/>
      <c r="E175" s="509"/>
      <c r="F175" s="509"/>
      <c r="G175" s="511"/>
      <c r="H175" s="511"/>
      <c r="I175" s="512"/>
      <c r="J175" s="513"/>
      <c r="K175" s="522"/>
      <c r="L175" s="841"/>
      <c r="M175" s="841"/>
      <c r="N175" s="842"/>
      <c r="O175" s="513"/>
      <c r="P175" s="841"/>
      <c r="Q175" s="513"/>
      <c r="R175" s="513"/>
      <c r="S175" s="513"/>
      <c r="T175" s="513"/>
      <c r="U175" s="513"/>
      <c r="V175" s="522"/>
      <c r="W175" s="843"/>
      <c r="X175" s="843"/>
      <c r="Y175" s="843"/>
      <c r="Z175" s="843"/>
      <c r="AA175" s="844"/>
      <c r="AB175" s="844"/>
      <c r="AC175" s="844"/>
      <c r="AD175" s="513"/>
      <c r="AE175" s="513"/>
      <c r="AF175" s="522"/>
      <c r="AG175" s="522"/>
      <c r="AH175" s="523"/>
    </row>
    <row r="176" ht="15.75" customHeight="1">
      <c r="B176" s="838"/>
      <c r="C176" s="839"/>
      <c r="D176" s="840"/>
      <c r="E176" s="509"/>
      <c r="F176" s="509"/>
      <c r="G176" s="511"/>
      <c r="H176" s="511"/>
      <c r="I176" s="512"/>
      <c r="J176" s="513"/>
      <c r="K176" s="522"/>
      <c r="L176" s="841"/>
      <c r="M176" s="841"/>
      <c r="N176" s="842"/>
      <c r="O176" s="513"/>
      <c r="P176" s="841"/>
      <c r="Q176" s="513"/>
      <c r="R176" s="513"/>
      <c r="S176" s="513"/>
      <c r="T176" s="513"/>
      <c r="U176" s="513"/>
      <c r="V176" s="522"/>
      <c r="W176" s="843"/>
      <c r="X176" s="843"/>
      <c r="Y176" s="843"/>
      <c r="Z176" s="843"/>
      <c r="AA176" s="844"/>
      <c r="AB176" s="844"/>
      <c r="AC176" s="844"/>
      <c r="AD176" s="513"/>
      <c r="AE176" s="513"/>
      <c r="AF176" s="522"/>
      <c r="AG176" s="522"/>
      <c r="AH176" s="523"/>
    </row>
    <row r="177" ht="15.75" customHeight="1">
      <c r="B177" s="838"/>
      <c r="C177" s="839"/>
      <c r="D177" s="840"/>
      <c r="E177" s="509"/>
      <c r="F177" s="509"/>
      <c r="G177" s="511"/>
      <c r="H177" s="511"/>
      <c r="I177" s="512"/>
      <c r="J177" s="513"/>
      <c r="K177" s="522"/>
      <c r="L177" s="841"/>
      <c r="M177" s="841"/>
      <c r="N177" s="842"/>
      <c r="O177" s="513"/>
      <c r="P177" s="841"/>
      <c r="Q177" s="513"/>
      <c r="R177" s="513"/>
      <c r="S177" s="513"/>
      <c r="T177" s="513"/>
      <c r="U177" s="513"/>
      <c r="V177" s="522"/>
      <c r="W177" s="843"/>
      <c r="X177" s="843"/>
      <c r="Y177" s="843"/>
      <c r="Z177" s="843"/>
      <c r="AA177" s="844"/>
      <c r="AB177" s="844"/>
      <c r="AC177" s="844"/>
      <c r="AD177" s="513"/>
      <c r="AE177" s="513"/>
      <c r="AF177" s="522"/>
      <c r="AG177" s="522"/>
      <c r="AH177" s="523"/>
    </row>
    <row r="178" ht="15.75" customHeight="1">
      <c r="B178" s="838"/>
      <c r="C178" s="839"/>
      <c r="D178" s="840"/>
      <c r="E178" s="509"/>
      <c r="F178" s="509"/>
      <c r="G178" s="511"/>
      <c r="H178" s="511"/>
      <c r="I178" s="512"/>
      <c r="J178" s="513"/>
      <c r="K178" s="522"/>
      <c r="L178" s="841"/>
      <c r="M178" s="841"/>
      <c r="N178" s="842"/>
      <c r="O178" s="513"/>
      <c r="P178" s="841"/>
      <c r="Q178" s="513"/>
      <c r="R178" s="513"/>
      <c r="S178" s="513"/>
      <c r="T178" s="513"/>
      <c r="U178" s="513"/>
      <c r="V178" s="522"/>
      <c r="W178" s="843"/>
      <c r="X178" s="843"/>
      <c r="Y178" s="843"/>
      <c r="Z178" s="843"/>
      <c r="AA178" s="844"/>
      <c r="AB178" s="844"/>
      <c r="AC178" s="844"/>
      <c r="AD178" s="513"/>
      <c r="AE178" s="513"/>
      <c r="AF178" s="522"/>
      <c r="AG178" s="522"/>
      <c r="AH178" s="523"/>
    </row>
    <row r="179" ht="15.75" customHeight="1">
      <c r="B179" s="838"/>
      <c r="C179" s="839"/>
      <c r="D179" s="840"/>
      <c r="E179" s="509"/>
      <c r="F179" s="509"/>
      <c r="G179" s="511"/>
      <c r="H179" s="511"/>
      <c r="I179" s="512"/>
      <c r="J179" s="513"/>
      <c r="K179" s="522"/>
      <c r="L179" s="841"/>
      <c r="M179" s="841"/>
      <c r="N179" s="842"/>
      <c r="O179" s="513"/>
      <c r="P179" s="841"/>
      <c r="Q179" s="513"/>
      <c r="R179" s="513"/>
      <c r="S179" s="513"/>
      <c r="T179" s="513"/>
      <c r="U179" s="513"/>
      <c r="V179" s="522"/>
      <c r="W179" s="843"/>
      <c r="X179" s="843"/>
      <c r="Y179" s="843"/>
      <c r="Z179" s="843"/>
      <c r="AA179" s="844"/>
      <c r="AB179" s="844"/>
      <c r="AC179" s="844"/>
      <c r="AD179" s="513"/>
      <c r="AE179" s="513"/>
      <c r="AF179" s="522"/>
      <c r="AG179" s="522"/>
      <c r="AH179" s="523"/>
    </row>
    <row r="180" ht="15.75" customHeight="1">
      <c r="B180" s="838"/>
      <c r="C180" s="839"/>
      <c r="D180" s="840"/>
      <c r="E180" s="509"/>
      <c r="F180" s="509"/>
      <c r="G180" s="511"/>
      <c r="H180" s="511"/>
      <c r="I180" s="512"/>
      <c r="J180" s="513"/>
      <c r="K180" s="522"/>
      <c r="L180" s="841"/>
      <c r="M180" s="841"/>
      <c r="N180" s="842"/>
      <c r="O180" s="513"/>
      <c r="P180" s="841"/>
      <c r="Q180" s="513"/>
      <c r="R180" s="513"/>
      <c r="S180" s="513"/>
      <c r="T180" s="513"/>
      <c r="U180" s="513"/>
      <c r="V180" s="522"/>
      <c r="W180" s="843"/>
      <c r="X180" s="843"/>
      <c r="Y180" s="843"/>
      <c r="Z180" s="843"/>
      <c r="AA180" s="844"/>
      <c r="AB180" s="844"/>
      <c r="AC180" s="844"/>
      <c r="AD180" s="513"/>
      <c r="AE180" s="513"/>
      <c r="AF180" s="522"/>
      <c r="AG180" s="522"/>
      <c r="AH180" s="523"/>
    </row>
    <row r="181" ht="15.75" customHeight="1">
      <c r="B181" s="838"/>
      <c r="C181" s="839"/>
      <c r="D181" s="840"/>
      <c r="E181" s="509"/>
      <c r="F181" s="509"/>
      <c r="G181" s="511"/>
      <c r="H181" s="511"/>
      <c r="I181" s="512"/>
      <c r="J181" s="513"/>
      <c r="K181" s="522"/>
      <c r="L181" s="841"/>
      <c r="M181" s="841"/>
      <c r="N181" s="842"/>
      <c r="O181" s="513"/>
      <c r="P181" s="841"/>
      <c r="Q181" s="513"/>
      <c r="R181" s="513"/>
      <c r="S181" s="513"/>
      <c r="T181" s="513"/>
      <c r="U181" s="513"/>
      <c r="V181" s="522"/>
      <c r="W181" s="843"/>
      <c r="X181" s="843"/>
      <c r="Y181" s="843"/>
      <c r="Z181" s="843"/>
      <c r="AA181" s="844"/>
      <c r="AB181" s="844"/>
      <c r="AC181" s="844"/>
      <c r="AD181" s="513"/>
      <c r="AE181" s="513"/>
      <c r="AF181" s="522"/>
      <c r="AG181" s="522"/>
      <c r="AH181" s="523"/>
    </row>
    <row r="182" ht="15.75" customHeight="1">
      <c r="B182" s="838"/>
      <c r="C182" s="839"/>
      <c r="D182" s="840"/>
      <c r="E182" s="509"/>
      <c r="F182" s="509"/>
      <c r="G182" s="511"/>
      <c r="H182" s="511"/>
      <c r="I182" s="512"/>
      <c r="J182" s="513"/>
      <c r="K182" s="522"/>
      <c r="L182" s="841"/>
      <c r="M182" s="841"/>
      <c r="N182" s="842"/>
      <c r="O182" s="513"/>
      <c r="P182" s="841"/>
      <c r="Q182" s="513"/>
      <c r="R182" s="513"/>
      <c r="S182" s="513"/>
      <c r="T182" s="513"/>
      <c r="U182" s="513"/>
      <c r="V182" s="522"/>
      <c r="W182" s="843"/>
      <c r="X182" s="843"/>
      <c r="Y182" s="843"/>
      <c r="Z182" s="843"/>
      <c r="AA182" s="844"/>
      <c r="AB182" s="844"/>
      <c r="AC182" s="844"/>
      <c r="AD182" s="513"/>
      <c r="AE182" s="513"/>
      <c r="AF182" s="522"/>
      <c r="AG182" s="522"/>
      <c r="AH182" s="523"/>
    </row>
    <row r="183" ht="15.75" customHeight="1">
      <c r="B183" s="838"/>
      <c r="C183" s="839"/>
      <c r="D183" s="840"/>
      <c r="E183" s="509"/>
      <c r="F183" s="509"/>
      <c r="G183" s="511"/>
      <c r="H183" s="511"/>
      <c r="I183" s="512"/>
      <c r="J183" s="513"/>
      <c r="K183" s="522"/>
      <c r="L183" s="841"/>
      <c r="M183" s="841"/>
      <c r="N183" s="842"/>
      <c r="O183" s="513"/>
      <c r="P183" s="841"/>
      <c r="Q183" s="513"/>
      <c r="R183" s="513"/>
      <c r="S183" s="513"/>
      <c r="T183" s="513"/>
      <c r="U183" s="513"/>
      <c r="V183" s="522"/>
      <c r="W183" s="843"/>
      <c r="X183" s="843"/>
      <c r="Y183" s="843"/>
      <c r="Z183" s="843"/>
      <c r="AA183" s="844"/>
      <c r="AB183" s="844"/>
      <c r="AC183" s="844"/>
      <c r="AD183" s="513"/>
      <c r="AE183" s="513"/>
      <c r="AF183" s="522"/>
      <c r="AG183" s="522"/>
      <c r="AH183" s="523"/>
    </row>
    <row r="184" ht="15.75" customHeight="1">
      <c r="B184" s="838"/>
      <c r="C184" s="839"/>
      <c r="D184" s="840"/>
      <c r="E184" s="509"/>
      <c r="F184" s="509"/>
      <c r="G184" s="511"/>
      <c r="H184" s="511"/>
      <c r="I184" s="512"/>
      <c r="J184" s="513"/>
      <c r="K184" s="522"/>
      <c r="L184" s="841"/>
      <c r="M184" s="841"/>
      <c r="N184" s="842"/>
      <c r="O184" s="513"/>
      <c r="P184" s="841"/>
      <c r="Q184" s="513"/>
      <c r="R184" s="513"/>
      <c r="S184" s="513"/>
      <c r="T184" s="513"/>
      <c r="U184" s="513"/>
      <c r="V184" s="522"/>
      <c r="W184" s="843"/>
      <c r="X184" s="843"/>
      <c r="Y184" s="843"/>
      <c r="Z184" s="843"/>
      <c r="AA184" s="844"/>
      <c r="AB184" s="844"/>
      <c r="AC184" s="844"/>
      <c r="AD184" s="513"/>
      <c r="AE184" s="513"/>
      <c r="AF184" s="522"/>
      <c r="AG184" s="522"/>
      <c r="AH184" s="523"/>
    </row>
    <row r="185" ht="15.75" customHeight="1">
      <c r="B185" s="838"/>
      <c r="C185" s="839"/>
      <c r="D185" s="840"/>
      <c r="E185" s="509"/>
      <c r="F185" s="509"/>
      <c r="G185" s="511"/>
      <c r="H185" s="511"/>
      <c r="I185" s="512"/>
      <c r="J185" s="513"/>
      <c r="K185" s="522"/>
      <c r="L185" s="841"/>
      <c r="M185" s="841"/>
      <c r="N185" s="842"/>
      <c r="O185" s="513"/>
      <c r="P185" s="841"/>
      <c r="Q185" s="513"/>
      <c r="R185" s="513"/>
      <c r="S185" s="513"/>
      <c r="T185" s="513"/>
      <c r="U185" s="513"/>
      <c r="V185" s="522"/>
      <c r="W185" s="843"/>
      <c r="X185" s="843"/>
      <c r="Y185" s="843"/>
      <c r="Z185" s="843"/>
      <c r="AA185" s="844"/>
      <c r="AB185" s="844"/>
      <c r="AC185" s="844"/>
      <c r="AD185" s="513"/>
      <c r="AE185" s="513"/>
      <c r="AF185" s="522"/>
      <c r="AG185" s="522"/>
      <c r="AH185" s="523"/>
    </row>
    <row r="186" ht="15.75" customHeight="1">
      <c r="B186" s="838"/>
      <c r="C186" s="839"/>
      <c r="D186" s="840"/>
      <c r="E186" s="509"/>
      <c r="F186" s="509"/>
      <c r="G186" s="511"/>
      <c r="H186" s="511"/>
      <c r="I186" s="512"/>
      <c r="J186" s="513"/>
      <c r="K186" s="522"/>
      <c r="L186" s="841"/>
      <c r="M186" s="841"/>
      <c r="N186" s="842"/>
      <c r="O186" s="513"/>
      <c r="P186" s="841"/>
      <c r="Q186" s="513"/>
      <c r="R186" s="513"/>
      <c r="S186" s="513"/>
      <c r="T186" s="513"/>
      <c r="U186" s="513"/>
      <c r="V186" s="522"/>
      <c r="W186" s="843"/>
      <c r="X186" s="843"/>
      <c r="Y186" s="843"/>
      <c r="Z186" s="843"/>
      <c r="AA186" s="844"/>
      <c r="AB186" s="844"/>
      <c r="AC186" s="844"/>
      <c r="AD186" s="513"/>
      <c r="AE186" s="513"/>
      <c r="AF186" s="522"/>
      <c r="AG186" s="522"/>
      <c r="AH186" s="523"/>
    </row>
    <row r="187" ht="15.75" customHeight="1">
      <c r="B187" s="838"/>
      <c r="C187" s="839"/>
      <c r="D187" s="840"/>
      <c r="E187" s="509"/>
      <c r="F187" s="509"/>
      <c r="G187" s="511"/>
      <c r="H187" s="511"/>
      <c r="I187" s="512"/>
      <c r="J187" s="513"/>
      <c r="K187" s="522"/>
      <c r="L187" s="841"/>
      <c r="M187" s="841"/>
      <c r="N187" s="842"/>
      <c r="O187" s="513"/>
      <c r="P187" s="841"/>
      <c r="Q187" s="513"/>
      <c r="R187" s="513"/>
      <c r="S187" s="513"/>
      <c r="T187" s="513"/>
      <c r="U187" s="513"/>
      <c r="V187" s="522"/>
      <c r="W187" s="843"/>
      <c r="X187" s="843"/>
      <c r="Y187" s="843"/>
      <c r="Z187" s="843"/>
      <c r="AA187" s="844"/>
      <c r="AB187" s="844"/>
      <c r="AC187" s="844"/>
      <c r="AD187" s="513"/>
      <c r="AE187" s="513"/>
      <c r="AF187" s="522"/>
      <c r="AG187" s="522"/>
      <c r="AH187" s="523"/>
    </row>
    <row r="188" ht="15.75" customHeight="1">
      <c r="B188" s="838"/>
      <c r="C188" s="839"/>
      <c r="D188" s="840"/>
      <c r="E188" s="509"/>
      <c r="F188" s="509"/>
      <c r="G188" s="511"/>
      <c r="H188" s="511"/>
      <c r="I188" s="512"/>
      <c r="J188" s="513"/>
      <c r="K188" s="522"/>
      <c r="L188" s="841"/>
      <c r="M188" s="841"/>
      <c r="N188" s="842"/>
      <c r="O188" s="513"/>
      <c r="P188" s="841"/>
      <c r="Q188" s="513"/>
      <c r="R188" s="513"/>
      <c r="S188" s="513"/>
      <c r="T188" s="513"/>
      <c r="U188" s="513"/>
      <c r="V188" s="522"/>
      <c r="W188" s="843"/>
      <c r="X188" s="843"/>
      <c r="Y188" s="843"/>
      <c r="Z188" s="843"/>
      <c r="AA188" s="844"/>
      <c r="AB188" s="844"/>
      <c r="AC188" s="844"/>
      <c r="AD188" s="513"/>
      <c r="AE188" s="513"/>
      <c r="AF188" s="522"/>
      <c r="AG188" s="522"/>
      <c r="AH188" s="523"/>
    </row>
    <row r="189" ht="15.75" customHeight="1">
      <c r="B189" s="838"/>
      <c r="C189" s="839"/>
      <c r="D189" s="840"/>
      <c r="E189" s="509"/>
      <c r="F189" s="509"/>
      <c r="G189" s="511"/>
      <c r="H189" s="511"/>
      <c r="I189" s="512"/>
      <c r="J189" s="513"/>
      <c r="K189" s="522"/>
      <c r="L189" s="841"/>
      <c r="M189" s="841"/>
      <c r="N189" s="842"/>
      <c r="O189" s="513"/>
      <c r="P189" s="841"/>
      <c r="Q189" s="513"/>
      <c r="R189" s="513"/>
      <c r="S189" s="513"/>
      <c r="T189" s="513"/>
      <c r="U189" s="513"/>
      <c r="V189" s="522"/>
      <c r="W189" s="843"/>
      <c r="X189" s="843"/>
      <c r="Y189" s="843"/>
      <c r="Z189" s="843"/>
      <c r="AA189" s="844"/>
      <c r="AB189" s="844"/>
      <c r="AC189" s="844"/>
      <c r="AD189" s="513"/>
      <c r="AE189" s="513"/>
      <c r="AF189" s="522"/>
      <c r="AG189" s="522"/>
      <c r="AH189" s="523"/>
    </row>
    <row r="190" ht="15.75" customHeight="1">
      <c r="B190" s="838"/>
      <c r="C190" s="839"/>
      <c r="D190" s="840"/>
      <c r="E190" s="509"/>
      <c r="F190" s="509"/>
      <c r="G190" s="511"/>
      <c r="H190" s="511"/>
      <c r="I190" s="512"/>
      <c r="J190" s="513"/>
      <c r="K190" s="522"/>
      <c r="L190" s="841"/>
      <c r="M190" s="841"/>
      <c r="N190" s="842"/>
      <c r="O190" s="513"/>
      <c r="P190" s="841"/>
      <c r="Q190" s="513"/>
      <c r="R190" s="513"/>
      <c r="S190" s="513"/>
      <c r="T190" s="513"/>
      <c r="U190" s="513"/>
      <c r="V190" s="522"/>
      <c r="W190" s="843"/>
      <c r="X190" s="843"/>
      <c r="Y190" s="843"/>
      <c r="Z190" s="843"/>
      <c r="AA190" s="844"/>
      <c r="AB190" s="844"/>
      <c r="AC190" s="844"/>
      <c r="AD190" s="513"/>
      <c r="AE190" s="513"/>
      <c r="AF190" s="522"/>
      <c r="AG190" s="522"/>
      <c r="AH190" s="523"/>
    </row>
    <row r="191" ht="15.75" customHeight="1">
      <c r="B191" s="838"/>
      <c r="C191" s="839"/>
      <c r="D191" s="840"/>
      <c r="E191" s="509"/>
      <c r="F191" s="509"/>
      <c r="G191" s="511"/>
      <c r="H191" s="511"/>
      <c r="I191" s="512"/>
      <c r="J191" s="513"/>
      <c r="K191" s="522"/>
      <c r="L191" s="841"/>
      <c r="M191" s="841"/>
      <c r="N191" s="842"/>
      <c r="O191" s="513"/>
      <c r="P191" s="841"/>
      <c r="Q191" s="513"/>
      <c r="R191" s="513"/>
      <c r="S191" s="513"/>
      <c r="T191" s="513"/>
      <c r="U191" s="513"/>
      <c r="V191" s="522"/>
      <c r="W191" s="843"/>
      <c r="X191" s="843"/>
      <c r="Y191" s="843"/>
      <c r="Z191" s="843"/>
      <c r="AA191" s="844"/>
      <c r="AB191" s="844"/>
      <c r="AC191" s="844"/>
      <c r="AD191" s="513"/>
      <c r="AE191" s="513"/>
      <c r="AF191" s="522"/>
      <c r="AG191" s="522"/>
      <c r="AH191" s="523"/>
    </row>
    <row r="192" ht="15.75" customHeight="1">
      <c r="B192" s="838"/>
      <c r="C192" s="839"/>
      <c r="D192" s="840"/>
      <c r="E192" s="509"/>
      <c r="F192" s="509"/>
      <c r="G192" s="511"/>
      <c r="H192" s="511"/>
      <c r="I192" s="512"/>
      <c r="J192" s="513"/>
      <c r="K192" s="522"/>
      <c r="L192" s="841"/>
      <c r="M192" s="841"/>
      <c r="N192" s="842"/>
      <c r="O192" s="513"/>
      <c r="P192" s="841"/>
      <c r="Q192" s="513"/>
      <c r="R192" s="513"/>
      <c r="S192" s="513"/>
      <c r="T192" s="513"/>
      <c r="U192" s="513"/>
      <c r="V192" s="522"/>
      <c r="W192" s="843"/>
      <c r="X192" s="843"/>
      <c r="Y192" s="843"/>
      <c r="Z192" s="843"/>
      <c r="AA192" s="844"/>
      <c r="AB192" s="844"/>
      <c r="AC192" s="844"/>
      <c r="AD192" s="513"/>
      <c r="AE192" s="513"/>
      <c r="AF192" s="522"/>
      <c r="AG192" s="522"/>
      <c r="AH192" s="523"/>
    </row>
    <row r="193" ht="15.75" customHeight="1">
      <c r="B193" s="838"/>
      <c r="C193" s="839"/>
      <c r="D193" s="840"/>
      <c r="E193" s="509"/>
      <c r="F193" s="509"/>
      <c r="G193" s="511"/>
      <c r="H193" s="511"/>
      <c r="I193" s="512"/>
      <c r="J193" s="513"/>
      <c r="K193" s="522"/>
      <c r="L193" s="841"/>
      <c r="M193" s="841"/>
      <c r="N193" s="842"/>
      <c r="O193" s="513"/>
      <c r="P193" s="841"/>
      <c r="Q193" s="513"/>
      <c r="R193" s="513"/>
      <c r="S193" s="513"/>
      <c r="T193" s="513"/>
      <c r="U193" s="513"/>
      <c r="V193" s="522"/>
      <c r="W193" s="843"/>
      <c r="X193" s="843"/>
      <c r="Y193" s="843"/>
      <c r="Z193" s="843"/>
      <c r="AA193" s="844"/>
      <c r="AB193" s="844"/>
      <c r="AC193" s="844"/>
      <c r="AD193" s="513"/>
      <c r="AE193" s="513"/>
      <c r="AF193" s="522"/>
      <c r="AG193" s="522"/>
      <c r="AH193" s="523"/>
    </row>
    <row r="194" ht="15.75" customHeight="1">
      <c r="B194" s="838"/>
      <c r="C194" s="839"/>
      <c r="D194" s="840"/>
      <c r="E194" s="509"/>
      <c r="F194" s="509"/>
      <c r="G194" s="511"/>
      <c r="H194" s="511"/>
      <c r="I194" s="512"/>
      <c r="J194" s="513"/>
      <c r="K194" s="522"/>
      <c r="L194" s="841"/>
      <c r="M194" s="841"/>
      <c r="N194" s="842"/>
      <c r="O194" s="513"/>
      <c r="P194" s="841"/>
      <c r="Q194" s="513"/>
      <c r="R194" s="513"/>
      <c r="S194" s="513"/>
      <c r="T194" s="513"/>
      <c r="U194" s="513"/>
      <c r="V194" s="522"/>
      <c r="W194" s="843"/>
      <c r="X194" s="843"/>
      <c r="Y194" s="843"/>
      <c r="Z194" s="843"/>
      <c r="AA194" s="844"/>
      <c r="AB194" s="844"/>
      <c r="AC194" s="844"/>
      <c r="AD194" s="513"/>
      <c r="AE194" s="513"/>
      <c r="AF194" s="522"/>
      <c r="AG194" s="522"/>
      <c r="AH194" s="523"/>
    </row>
    <row r="195" ht="15.75" customHeight="1">
      <c r="B195" s="838"/>
      <c r="C195" s="839"/>
      <c r="D195" s="840"/>
      <c r="E195" s="509"/>
      <c r="F195" s="509"/>
      <c r="G195" s="511"/>
      <c r="H195" s="511"/>
      <c r="I195" s="512"/>
      <c r="J195" s="513"/>
      <c r="K195" s="522"/>
      <c r="L195" s="841"/>
      <c r="M195" s="841"/>
      <c r="N195" s="842"/>
      <c r="O195" s="513"/>
      <c r="P195" s="841"/>
      <c r="Q195" s="513"/>
      <c r="R195" s="513"/>
      <c r="S195" s="513"/>
      <c r="T195" s="513"/>
      <c r="U195" s="513"/>
      <c r="V195" s="522"/>
      <c r="W195" s="843"/>
      <c r="X195" s="843"/>
      <c r="Y195" s="843"/>
      <c r="Z195" s="843"/>
      <c r="AA195" s="844"/>
      <c r="AB195" s="844"/>
      <c r="AC195" s="844"/>
      <c r="AD195" s="513"/>
      <c r="AE195" s="513"/>
      <c r="AF195" s="522"/>
      <c r="AG195" s="522"/>
      <c r="AH195" s="523"/>
    </row>
    <row r="196" ht="15.75" customHeight="1">
      <c r="B196" s="838"/>
      <c r="C196" s="839"/>
      <c r="D196" s="840"/>
      <c r="E196" s="509"/>
      <c r="F196" s="509"/>
      <c r="G196" s="511"/>
      <c r="H196" s="511"/>
      <c r="I196" s="512"/>
      <c r="J196" s="513"/>
      <c r="K196" s="522"/>
      <c r="L196" s="841"/>
      <c r="M196" s="841"/>
      <c r="N196" s="842"/>
      <c r="O196" s="513"/>
      <c r="P196" s="841"/>
      <c r="Q196" s="513"/>
      <c r="R196" s="513"/>
      <c r="S196" s="513"/>
      <c r="T196" s="513"/>
      <c r="U196" s="513"/>
      <c r="V196" s="522"/>
      <c r="W196" s="843"/>
      <c r="X196" s="843"/>
      <c r="Y196" s="843"/>
      <c r="Z196" s="843"/>
      <c r="AA196" s="844"/>
      <c r="AB196" s="844"/>
      <c r="AC196" s="844"/>
      <c r="AD196" s="513"/>
      <c r="AE196" s="513"/>
      <c r="AF196" s="522"/>
      <c r="AG196" s="522"/>
      <c r="AH196" s="523"/>
    </row>
    <row r="197" ht="15.75" customHeight="1">
      <c r="B197" s="838"/>
      <c r="C197" s="839"/>
      <c r="D197" s="840"/>
      <c r="E197" s="509"/>
      <c r="F197" s="509"/>
      <c r="G197" s="511"/>
      <c r="H197" s="511"/>
      <c r="I197" s="512"/>
      <c r="J197" s="513"/>
      <c r="K197" s="522"/>
      <c r="L197" s="841"/>
      <c r="M197" s="841"/>
      <c r="N197" s="842"/>
      <c r="O197" s="513"/>
      <c r="P197" s="841"/>
      <c r="Q197" s="513"/>
      <c r="R197" s="513"/>
      <c r="S197" s="513"/>
      <c r="T197" s="513"/>
      <c r="U197" s="513"/>
      <c r="V197" s="522"/>
      <c r="W197" s="843"/>
      <c r="X197" s="843"/>
      <c r="Y197" s="843"/>
      <c r="Z197" s="843"/>
      <c r="AA197" s="844"/>
      <c r="AB197" s="844"/>
      <c r="AC197" s="844"/>
      <c r="AD197" s="513"/>
      <c r="AE197" s="513"/>
      <c r="AF197" s="522"/>
      <c r="AG197" s="522"/>
      <c r="AH197" s="523"/>
    </row>
    <row r="198" ht="15.75" customHeight="1">
      <c r="B198" s="838"/>
      <c r="C198" s="839"/>
      <c r="D198" s="840"/>
      <c r="E198" s="509"/>
      <c r="F198" s="509"/>
      <c r="G198" s="511"/>
      <c r="H198" s="511"/>
      <c r="I198" s="512"/>
      <c r="J198" s="513"/>
      <c r="K198" s="522"/>
      <c r="L198" s="841"/>
      <c r="M198" s="841"/>
      <c r="N198" s="842"/>
      <c r="O198" s="513"/>
      <c r="P198" s="841"/>
      <c r="Q198" s="513"/>
      <c r="R198" s="513"/>
      <c r="S198" s="513"/>
      <c r="T198" s="513"/>
      <c r="U198" s="513"/>
      <c r="V198" s="522"/>
      <c r="W198" s="843"/>
      <c r="X198" s="843"/>
      <c r="Y198" s="843"/>
      <c r="Z198" s="843"/>
      <c r="AA198" s="844"/>
      <c r="AB198" s="844"/>
      <c r="AC198" s="844"/>
      <c r="AD198" s="513"/>
      <c r="AE198" s="513"/>
      <c r="AF198" s="522"/>
      <c r="AG198" s="522"/>
      <c r="AH198" s="523"/>
    </row>
    <row r="199" ht="15.75" customHeight="1">
      <c r="B199" s="838"/>
      <c r="C199" s="839"/>
      <c r="D199" s="840"/>
      <c r="E199" s="509"/>
      <c r="F199" s="509"/>
      <c r="G199" s="511"/>
      <c r="H199" s="511"/>
      <c r="I199" s="512"/>
      <c r="J199" s="513"/>
      <c r="K199" s="522"/>
      <c r="L199" s="841"/>
      <c r="M199" s="841"/>
      <c r="N199" s="842"/>
      <c r="O199" s="513"/>
      <c r="P199" s="841"/>
      <c r="Q199" s="513"/>
      <c r="R199" s="513"/>
      <c r="S199" s="513"/>
      <c r="T199" s="513"/>
      <c r="U199" s="513"/>
      <c r="V199" s="522"/>
      <c r="W199" s="843"/>
      <c r="X199" s="843"/>
      <c r="Y199" s="843"/>
      <c r="Z199" s="843"/>
      <c r="AA199" s="844"/>
      <c r="AB199" s="844"/>
      <c r="AC199" s="844"/>
      <c r="AD199" s="513"/>
      <c r="AE199" s="513"/>
      <c r="AF199" s="522"/>
      <c r="AG199" s="522"/>
      <c r="AH199" s="523"/>
    </row>
    <row r="200" ht="15.75" customHeight="1">
      <c r="B200" s="838"/>
      <c r="C200" s="839"/>
      <c r="D200" s="840"/>
      <c r="E200" s="509"/>
      <c r="F200" s="509"/>
      <c r="G200" s="511"/>
      <c r="H200" s="511"/>
      <c r="I200" s="512"/>
      <c r="J200" s="513"/>
      <c r="K200" s="522"/>
      <c r="L200" s="841"/>
      <c r="M200" s="841"/>
      <c r="N200" s="842"/>
      <c r="O200" s="513"/>
      <c r="P200" s="841"/>
      <c r="Q200" s="513"/>
      <c r="R200" s="513"/>
      <c r="S200" s="513"/>
      <c r="T200" s="513"/>
      <c r="U200" s="513"/>
      <c r="V200" s="522"/>
      <c r="W200" s="843"/>
      <c r="X200" s="843"/>
      <c r="Y200" s="843"/>
      <c r="Z200" s="843"/>
      <c r="AA200" s="844"/>
      <c r="AB200" s="844"/>
      <c r="AC200" s="844"/>
      <c r="AD200" s="513"/>
      <c r="AE200" s="513"/>
      <c r="AF200" s="522"/>
      <c r="AG200" s="522"/>
      <c r="AH200" s="523"/>
    </row>
    <row r="201" ht="15.75" customHeight="1">
      <c r="B201" s="838"/>
      <c r="C201" s="839"/>
      <c r="D201" s="840"/>
      <c r="E201" s="509"/>
      <c r="F201" s="509"/>
      <c r="G201" s="511"/>
      <c r="H201" s="511"/>
      <c r="I201" s="512"/>
      <c r="J201" s="513"/>
      <c r="K201" s="522"/>
      <c r="L201" s="841"/>
      <c r="M201" s="841"/>
      <c r="N201" s="842"/>
      <c r="O201" s="513"/>
      <c r="P201" s="841"/>
      <c r="Q201" s="513"/>
      <c r="R201" s="513"/>
      <c r="S201" s="513"/>
      <c r="T201" s="513"/>
      <c r="U201" s="513"/>
      <c r="V201" s="522"/>
      <c r="W201" s="843"/>
      <c r="X201" s="843"/>
      <c r="Y201" s="843"/>
      <c r="Z201" s="843"/>
      <c r="AA201" s="844"/>
      <c r="AB201" s="844"/>
      <c r="AC201" s="844"/>
      <c r="AD201" s="513"/>
      <c r="AE201" s="513"/>
      <c r="AF201" s="522"/>
      <c r="AG201" s="522"/>
      <c r="AH201" s="523"/>
    </row>
    <row r="202" ht="15.75" customHeight="1">
      <c r="B202" s="838"/>
      <c r="C202" s="839"/>
      <c r="D202" s="840"/>
      <c r="E202" s="509"/>
      <c r="F202" s="509"/>
      <c r="G202" s="511"/>
      <c r="H202" s="511"/>
      <c r="I202" s="512"/>
      <c r="J202" s="513"/>
      <c r="K202" s="522"/>
      <c r="L202" s="841"/>
      <c r="M202" s="841"/>
      <c r="N202" s="842"/>
      <c r="O202" s="513"/>
      <c r="P202" s="841"/>
      <c r="Q202" s="513"/>
      <c r="R202" s="513"/>
      <c r="S202" s="513"/>
      <c r="T202" s="513"/>
      <c r="U202" s="513"/>
      <c r="V202" s="522"/>
      <c r="W202" s="843"/>
      <c r="X202" s="843"/>
      <c r="Y202" s="843"/>
      <c r="Z202" s="843"/>
      <c r="AA202" s="844"/>
      <c r="AB202" s="844"/>
      <c r="AC202" s="844"/>
      <c r="AD202" s="513"/>
      <c r="AE202" s="513"/>
      <c r="AF202" s="522"/>
      <c r="AG202" s="522"/>
      <c r="AH202" s="523"/>
    </row>
    <row r="203" ht="15.75" customHeight="1">
      <c r="B203" s="838"/>
      <c r="C203" s="839"/>
      <c r="D203" s="840"/>
      <c r="E203" s="509"/>
      <c r="F203" s="509"/>
      <c r="G203" s="511"/>
      <c r="H203" s="511"/>
      <c r="I203" s="512"/>
      <c r="J203" s="513"/>
      <c r="K203" s="522"/>
      <c r="L203" s="841"/>
      <c r="M203" s="841"/>
      <c r="N203" s="842"/>
      <c r="O203" s="513"/>
      <c r="P203" s="841"/>
      <c r="Q203" s="513"/>
      <c r="R203" s="513"/>
      <c r="S203" s="513"/>
      <c r="T203" s="513"/>
      <c r="U203" s="513"/>
      <c r="V203" s="522"/>
      <c r="W203" s="843"/>
      <c r="X203" s="843"/>
      <c r="Y203" s="843"/>
      <c r="Z203" s="843"/>
      <c r="AA203" s="844"/>
      <c r="AB203" s="844"/>
      <c r="AC203" s="844"/>
      <c r="AD203" s="513"/>
      <c r="AE203" s="513"/>
      <c r="AF203" s="522"/>
      <c r="AG203" s="522"/>
      <c r="AH203" s="523"/>
    </row>
    <row r="204" ht="15.75" customHeight="1">
      <c r="B204" s="838"/>
      <c r="C204" s="839"/>
      <c r="D204" s="840"/>
      <c r="E204" s="509"/>
      <c r="F204" s="509"/>
      <c r="G204" s="511"/>
      <c r="H204" s="511"/>
      <c r="I204" s="512"/>
      <c r="J204" s="513"/>
      <c r="K204" s="522"/>
      <c r="L204" s="841"/>
      <c r="M204" s="841"/>
      <c r="N204" s="842"/>
      <c r="O204" s="513"/>
      <c r="P204" s="841"/>
      <c r="Q204" s="513"/>
      <c r="R204" s="513"/>
      <c r="S204" s="513"/>
      <c r="T204" s="513"/>
      <c r="U204" s="513"/>
      <c r="V204" s="522"/>
      <c r="W204" s="843"/>
      <c r="X204" s="843"/>
      <c r="Y204" s="843"/>
      <c r="Z204" s="843"/>
      <c r="AA204" s="844"/>
      <c r="AB204" s="844"/>
      <c r="AC204" s="844"/>
      <c r="AD204" s="513"/>
      <c r="AE204" s="513"/>
      <c r="AF204" s="522"/>
      <c r="AG204" s="522"/>
      <c r="AH204" s="523"/>
    </row>
    <row r="205" ht="15.75" customHeight="1">
      <c r="B205" s="838"/>
      <c r="C205" s="839"/>
      <c r="D205" s="840"/>
      <c r="E205" s="509"/>
      <c r="F205" s="509"/>
      <c r="G205" s="511"/>
      <c r="H205" s="511"/>
      <c r="I205" s="512"/>
      <c r="J205" s="513"/>
      <c r="K205" s="522"/>
      <c r="L205" s="841"/>
      <c r="M205" s="841"/>
      <c r="N205" s="842"/>
      <c r="O205" s="513"/>
      <c r="P205" s="841"/>
      <c r="Q205" s="513"/>
      <c r="R205" s="513"/>
      <c r="S205" s="513"/>
      <c r="T205" s="513"/>
      <c r="U205" s="513"/>
      <c r="V205" s="522"/>
      <c r="W205" s="843"/>
      <c r="X205" s="843"/>
      <c r="Y205" s="843"/>
      <c r="Z205" s="843"/>
      <c r="AA205" s="844"/>
      <c r="AB205" s="844"/>
      <c r="AC205" s="844"/>
      <c r="AD205" s="513"/>
      <c r="AE205" s="513"/>
      <c r="AF205" s="522"/>
      <c r="AG205" s="522"/>
      <c r="AH205" s="523"/>
    </row>
    <row r="206" ht="15.75" customHeight="1">
      <c r="B206" s="838"/>
      <c r="C206" s="839"/>
      <c r="D206" s="840"/>
      <c r="E206" s="509"/>
      <c r="F206" s="509"/>
      <c r="G206" s="511"/>
      <c r="H206" s="511"/>
      <c r="I206" s="512"/>
      <c r="J206" s="513"/>
      <c r="K206" s="522"/>
      <c r="L206" s="841"/>
      <c r="M206" s="841"/>
      <c r="N206" s="842"/>
      <c r="O206" s="513"/>
      <c r="P206" s="841"/>
      <c r="Q206" s="513"/>
      <c r="R206" s="513"/>
      <c r="S206" s="513"/>
      <c r="T206" s="513"/>
      <c r="U206" s="513"/>
      <c r="V206" s="522"/>
      <c r="W206" s="843"/>
      <c r="X206" s="843"/>
      <c r="Y206" s="843"/>
      <c r="Z206" s="843"/>
      <c r="AA206" s="844"/>
      <c r="AB206" s="844"/>
      <c r="AC206" s="844"/>
      <c r="AD206" s="513"/>
      <c r="AE206" s="513"/>
      <c r="AF206" s="522"/>
      <c r="AG206" s="522"/>
      <c r="AH206" s="523"/>
    </row>
    <row r="207" ht="15.75" customHeight="1">
      <c r="B207" s="838"/>
      <c r="C207" s="839"/>
      <c r="D207" s="840"/>
      <c r="E207" s="509"/>
      <c r="F207" s="509"/>
      <c r="G207" s="511"/>
      <c r="H207" s="511"/>
      <c r="I207" s="512"/>
      <c r="J207" s="513"/>
      <c r="K207" s="522"/>
      <c r="L207" s="841"/>
      <c r="M207" s="841"/>
      <c r="N207" s="842"/>
      <c r="O207" s="513"/>
      <c r="P207" s="841"/>
      <c r="Q207" s="513"/>
      <c r="R207" s="513"/>
      <c r="S207" s="513"/>
      <c r="T207" s="513"/>
      <c r="U207" s="513"/>
      <c r="V207" s="522"/>
      <c r="W207" s="843"/>
      <c r="X207" s="843"/>
      <c r="Y207" s="843"/>
      <c r="Z207" s="843"/>
      <c r="AA207" s="844"/>
      <c r="AB207" s="844"/>
      <c r="AC207" s="844"/>
      <c r="AD207" s="513"/>
      <c r="AE207" s="513"/>
      <c r="AF207" s="522"/>
      <c r="AG207" s="522"/>
      <c r="AH207" s="523"/>
    </row>
    <row r="208" ht="15.75" customHeight="1">
      <c r="B208" s="838"/>
      <c r="C208" s="839"/>
      <c r="D208" s="840"/>
      <c r="E208" s="509"/>
      <c r="F208" s="509"/>
      <c r="G208" s="511"/>
      <c r="H208" s="511"/>
      <c r="I208" s="512"/>
      <c r="J208" s="513"/>
      <c r="K208" s="522"/>
      <c r="L208" s="841"/>
      <c r="M208" s="841"/>
      <c r="N208" s="842"/>
      <c r="O208" s="513"/>
      <c r="P208" s="841"/>
      <c r="Q208" s="513"/>
      <c r="R208" s="513"/>
      <c r="S208" s="513"/>
      <c r="T208" s="513"/>
      <c r="U208" s="513"/>
      <c r="V208" s="522"/>
      <c r="W208" s="843"/>
      <c r="X208" s="843"/>
      <c r="Y208" s="843"/>
      <c r="Z208" s="843"/>
      <c r="AA208" s="844"/>
      <c r="AB208" s="844"/>
      <c r="AC208" s="844"/>
      <c r="AD208" s="513"/>
      <c r="AE208" s="513"/>
      <c r="AF208" s="522"/>
      <c r="AG208" s="522"/>
      <c r="AH208" s="523"/>
    </row>
    <row r="209" ht="15.75" customHeight="1">
      <c r="B209" s="838"/>
      <c r="C209" s="839"/>
      <c r="D209" s="840"/>
      <c r="E209" s="509"/>
      <c r="F209" s="509"/>
      <c r="G209" s="511"/>
      <c r="H209" s="511"/>
      <c r="I209" s="512"/>
      <c r="J209" s="513"/>
      <c r="K209" s="522"/>
      <c r="L209" s="841"/>
      <c r="M209" s="841"/>
      <c r="N209" s="842"/>
      <c r="O209" s="513"/>
      <c r="P209" s="841"/>
      <c r="Q209" s="513"/>
      <c r="R209" s="513"/>
      <c r="S209" s="513"/>
      <c r="T209" s="513"/>
      <c r="U209" s="513"/>
      <c r="V209" s="522"/>
      <c r="W209" s="843"/>
      <c r="X209" s="843"/>
      <c r="Y209" s="843"/>
      <c r="Z209" s="843"/>
      <c r="AA209" s="844"/>
      <c r="AB209" s="844"/>
      <c r="AC209" s="844"/>
      <c r="AD209" s="513"/>
      <c r="AE209" s="513"/>
      <c r="AF209" s="522"/>
      <c r="AG209" s="522"/>
      <c r="AH209" s="523"/>
    </row>
    <row r="210" ht="15.75" customHeight="1">
      <c r="B210" s="838"/>
      <c r="C210" s="839"/>
      <c r="D210" s="840"/>
      <c r="E210" s="509"/>
      <c r="F210" s="509"/>
      <c r="G210" s="511"/>
      <c r="H210" s="511"/>
      <c r="I210" s="512"/>
      <c r="J210" s="513"/>
      <c r="K210" s="522"/>
      <c r="L210" s="841"/>
      <c r="M210" s="841"/>
      <c r="N210" s="842"/>
      <c r="O210" s="513"/>
      <c r="P210" s="841"/>
      <c r="Q210" s="513"/>
      <c r="R210" s="513"/>
      <c r="S210" s="513"/>
      <c r="T210" s="513"/>
      <c r="U210" s="513"/>
      <c r="V210" s="522"/>
      <c r="W210" s="843"/>
      <c r="X210" s="843"/>
      <c r="Y210" s="843"/>
      <c r="Z210" s="843"/>
      <c r="AA210" s="844"/>
      <c r="AB210" s="844"/>
      <c r="AC210" s="844"/>
      <c r="AD210" s="513"/>
      <c r="AE210" s="513"/>
      <c r="AF210" s="522"/>
      <c r="AG210" s="522"/>
      <c r="AH210" s="523"/>
    </row>
    <row r="211" ht="15.75" customHeight="1">
      <c r="B211" s="838"/>
      <c r="C211" s="839"/>
      <c r="D211" s="840"/>
      <c r="E211" s="509"/>
      <c r="F211" s="509"/>
      <c r="G211" s="511"/>
      <c r="H211" s="511"/>
      <c r="I211" s="512"/>
      <c r="J211" s="513"/>
      <c r="K211" s="522"/>
      <c r="L211" s="841"/>
      <c r="M211" s="841"/>
      <c r="N211" s="842"/>
      <c r="O211" s="513"/>
      <c r="P211" s="841"/>
      <c r="Q211" s="513"/>
      <c r="R211" s="513"/>
      <c r="S211" s="513"/>
      <c r="T211" s="513"/>
      <c r="U211" s="513"/>
      <c r="V211" s="522"/>
      <c r="W211" s="843"/>
      <c r="X211" s="843"/>
      <c r="Y211" s="843"/>
      <c r="Z211" s="843"/>
      <c r="AA211" s="844"/>
      <c r="AB211" s="844"/>
      <c r="AC211" s="844"/>
      <c r="AD211" s="513"/>
      <c r="AE211" s="513"/>
      <c r="AF211" s="522"/>
      <c r="AG211" s="522"/>
      <c r="AH211" s="523"/>
    </row>
    <row r="212" ht="15.75" customHeight="1">
      <c r="B212" s="838"/>
      <c r="C212" s="839"/>
      <c r="D212" s="840"/>
      <c r="E212" s="509"/>
      <c r="F212" s="509"/>
      <c r="G212" s="511"/>
      <c r="H212" s="511"/>
      <c r="I212" s="512"/>
      <c r="J212" s="513"/>
      <c r="K212" s="522"/>
      <c r="L212" s="841"/>
      <c r="M212" s="841"/>
      <c r="N212" s="842"/>
      <c r="O212" s="513"/>
      <c r="P212" s="841"/>
      <c r="Q212" s="513"/>
      <c r="R212" s="513"/>
      <c r="S212" s="513"/>
      <c r="T212" s="513"/>
      <c r="U212" s="513"/>
      <c r="V212" s="522"/>
      <c r="W212" s="843"/>
      <c r="X212" s="843"/>
      <c r="Y212" s="843"/>
      <c r="Z212" s="843"/>
      <c r="AA212" s="844"/>
      <c r="AB212" s="844"/>
      <c r="AC212" s="844"/>
      <c r="AD212" s="513"/>
      <c r="AE212" s="513"/>
      <c r="AF212" s="522"/>
      <c r="AG212" s="522"/>
      <c r="AH212" s="523"/>
    </row>
    <row r="213" ht="15.75" customHeight="1">
      <c r="B213" s="838"/>
      <c r="C213" s="839"/>
      <c r="D213" s="840"/>
      <c r="E213" s="509"/>
      <c r="F213" s="509"/>
      <c r="G213" s="511"/>
      <c r="H213" s="511"/>
      <c r="I213" s="512"/>
      <c r="J213" s="513"/>
      <c r="K213" s="522"/>
      <c r="L213" s="841"/>
      <c r="M213" s="841"/>
      <c r="N213" s="842"/>
      <c r="O213" s="513"/>
      <c r="P213" s="841"/>
      <c r="Q213" s="513"/>
      <c r="R213" s="513"/>
      <c r="S213" s="513"/>
      <c r="T213" s="513"/>
      <c r="U213" s="513"/>
      <c r="V213" s="522"/>
      <c r="W213" s="843"/>
      <c r="X213" s="843"/>
      <c r="Y213" s="843"/>
      <c r="Z213" s="843"/>
      <c r="AA213" s="844"/>
      <c r="AB213" s="844"/>
      <c r="AC213" s="844"/>
      <c r="AD213" s="513"/>
      <c r="AE213" s="513"/>
      <c r="AF213" s="522"/>
      <c r="AG213" s="522"/>
      <c r="AH213" s="523"/>
    </row>
    <row r="214" ht="15.75" customHeight="1">
      <c r="B214" s="838"/>
      <c r="C214" s="839"/>
      <c r="D214" s="840"/>
      <c r="E214" s="509"/>
      <c r="F214" s="509"/>
      <c r="G214" s="511"/>
      <c r="H214" s="511"/>
      <c r="I214" s="512"/>
      <c r="J214" s="513"/>
      <c r="K214" s="522"/>
      <c r="L214" s="841"/>
      <c r="M214" s="841"/>
      <c r="N214" s="842"/>
      <c r="O214" s="513"/>
      <c r="P214" s="841"/>
      <c r="Q214" s="513"/>
      <c r="R214" s="513"/>
      <c r="S214" s="513"/>
      <c r="T214" s="513"/>
      <c r="U214" s="513"/>
      <c r="V214" s="522"/>
      <c r="W214" s="843"/>
      <c r="X214" s="843"/>
      <c r="Y214" s="843"/>
      <c r="Z214" s="843"/>
      <c r="AA214" s="844"/>
      <c r="AB214" s="844"/>
      <c r="AC214" s="844"/>
      <c r="AD214" s="513"/>
      <c r="AE214" s="513"/>
      <c r="AF214" s="522"/>
      <c r="AG214" s="522"/>
      <c r="AH214" s="523"/>
    </row>
    <row r="215" ht="15.75" customHeight="1">
      <c r="B215" s="838"/>
      <c r="C215" s="839"/>
      <c r="D215" s="840"/>
      <c r="E215" s="509"/>
      <c r="F215" s="509"/>
      <c r="G215" s="511"/>
      <c r="H215" s="511"/>
      <c r="I215" s="512"/>
      <c r="J215" s="513"/>
      <c r="K215" s="522"/>
      <c r="L215" s="841"/>
      <c r="M215" s="841"/>
      <c r="N215" s="842"/>
      <c r="O215" s="513"/>
      <c r="P215" s="841"/>
      <c r="Q215" s="513"/>
      <c r="R215" s="513"/>
      <c r="S215" s="513"/>
      <c r="T215" s="513"/>
      <c r="U215" s="513"/>
      <c r="V215" s="522"/>
      <c r="W215" s="843"/>
      <c r="X215" s="843"/>
      <c r="Y215" s="843"/>
      <c r="Z215" s="843"/>
      <c r="AA215" s="844"/>
      <c r="AB215" s="844"/>
      <c r="AC215" s="844"/>
      <c r="AD215" s="513"/>
      <c r="AE215" s="513"/>
      <c r="AF215" s="522"/>
      <c r="AG215" s="522"/>
      <c r="AH215" s="523"/>
    </row>
    <row r="216" ht="15.75" customHeight="1">
      <c r="B216" s="838"/>
      <c r="C216" s="839"/>
      <c r="D216" s="840"/>
      <c r="E216" s="509"/>
      <c r="F216" s="509"/>
      <c r="G216" s="511"/>
      <c r="H216" s="511"/>
      <c r="I216" s="512"/>
      <c r="J216" s="513"/>
      <c r="K216" s="522"/>
      <c r="L216" s="841"/>
      <c r="M216" s="841"/>
      <c r="N216" s="842"/>
      <c r="O216" s="513"/>
      <c r="P216" s="841"/>
      <c r="Q216" s="513"/>
      <c r="R216" s="513"/>
      <c r="S216" s="513"/>
      <c r="T216" s="513"/>
      <c r="U216" s="513"/>
      <c r="V216" s="522"/>
      <c r="W216" s="843"/>
      <c r="X216" s="843"/>
      <c r="Y216" s="843"/>
      <c r="Z216" s="843"/>
      <c r="AA216" s="844"/>
      <c r="AB216" s="844"/>
      <c r="AC216" s="844"/>
      <c r="AD216" s="513"/>
      <c r="AE216" s="513"/>
      <c r="AF216" s="522"/>
      <c r="AG216" s="522"/>
      <c r="AH216" s="523"/>
    </row>
    <row r="217" ht="15.75" customHeight="1">
      <c r="B217" s="838"/>
      <c r="C217" s="839"/>
      <c r="D217" s="840"/>
      <c r="E217" s="509"/>
      <c r="F217" s="509"/>
      <c r="G217" s="511"/>
      <c r="H217" s="511"/>
      <c r="I217" s="512"/>
      <c r="J217" s="513"/>
      <c r="K217" s="522"/>
      <c r="L217" s="841"/>
      <c r="M217" s="841"/>
      <c r="N217" s="842"/>
      <c r="O217" s="513"/>
      <c r="P217" s="841"/>
      <c r="Q217" s="513"/>
      <c r="R217" s="513"/>
      <c r="S217" s="513"/>
      <c r="T217" s="513"/>
      <c r="U217" s="513"/>
      <c r="V217" s="522"/>
      <c r="W217" s="843"/>
      <c r="X217" s="843"/>
      <c r="Y217" s="843"/>
      <c r="Z217" s="843"/>
      <c r="AA217" s="844"/>
      <c r="AB217" s="844"/>
      <c r="AC217" s="844"/>
      <c r="AD217" s="513"/>
      <c r="AE217" s="513"/>
      <c r="AF217" s="522"/>
      <c r="AG217" s="522"/>
      <c r="AH217" s="523"/>
    </row>
    <row r="218" ht="15.75" customHeight="1">
      <c r="B218" s="838"/>
      <c r="C218" s="839"/>
      <c r="D218" s="840"/>
      <c r="E218" s="509"/>
      <c r="F218" s="509"/>
      <c r="G218" s="511"/>
      <c r="H218" s="511"/>
      <c r="I218" s="512"/>
      <c r="J218" s="513"/>
      <c r="K218" s="522"/>
      <c r="L218" s="841"/>
      <c r="M218" s="841"/>
      <c r="N218" s="842"/>
      <c r="O218" s="513"/>
      <c r="P218" s="841"/>
      <c r="Q218" s="513"/>
      <c r="R218" s="513"/>
      <c r="S218" s="513"/>
      <c r="T218" s="513"/>
      <c r="U218" s="513"/>
      <c r="V218" s="522"/>
      <c r="W218" s="843"/>
      <c r="X218" s="843"/>
      <c r="Y218" s="843"/>
      <c r="Z218" s="843"/>
      <c r="AA218" s="844"/>
      <c r="AB218" s="844"/>
      <c r="AC218" s="844"/>
      <c r="AD218" s="513"/>
      <c r="AE218" s="513"/>
      <c r="AF218" s="522"/>
      <c r="AG218" s="522"/>
      <c r="AH218" s="523"/>
    </row>
    <row r="219" ht="15.75" customHeight="1">
      <c r="B219" s="838"/>
      <c r="C219" s="839"/>
      <c r="D219" s="840"/>
      <c r="E219" s="509"/>
      <c r="F219" s="509"/>
      <c r="G219" s="511"/>
      <c r="H219" s="511"/>
      <c r="I219" s="512"/>
      <c r="J219" s="513"/>
      <c r="K219" s="522"/>
      <c r="L219" s="841"/>
      <c r="M219" s="841"/>
      <c r="N219" s="842"/>
      <c r="O219" s="513"/>
      <c r="P219" s="841"/>
      <c r="Q219" s="513"/>
      <c r="R219" s="513"/>
      <c r="S219" s="513"/>
      <c r="T219" s="513"/>
      <c r="U219" s="513"/>
      <c r="V219" s="522"/>
      <c r="W219" s="843"/>
      <c r="X219" s="843"/>
      <c r="Y219" s="843"/>
      <c r="Z219" s="843"/>
      <c r="AA219" s="844"/>
      <c r="AB219" s="844"/>
      <c r="AC219" s="844"/>
      <c r="AD219" s="513"/>
      <c r="AE219" s="513"/>
      <c r="AF219" s="522"/>
      <c r="AG219" s="522"/>
      <c r="AH219" s="523"/>
    </row>
    <row r="220" ht="15.75" customHeight="1">
      <c r="B220" s="838"/>
      <c r="C220" s="839"/>
      <c r="D220" s="840"/>
      <c r="E220" s="509"/>
      <c r="F220" s="509"/>
      <c r="G220" s="511"/>
      <c r="H220" s="511"/>
      <c r="I220" s="512"/>
      <c r="J220" s="513"/>
      <c r="K220" s="522"/>
      <c r="L220" s="841"/>
      <c r="M220" s="841"/>
      <c r="N220" s="842"/>
      <c r="O220" s="513"/>
      <c r="P220" s="841"/>
      <c r="Q220" s="513"/>
      <c r="R220" s="513"/>
      <c r="S220" s="513"/>
      <c r="T220" s="513"/>
      <c r="U220" s="513"/>
      <c r="V220" s="522"/>
      <c r="W220" s="843"/>
      <c r="X220" s="843"/>
      <c r="Y220" s="843"/>
      <c r="Z220" s="843"/>
      <c r="AA220" s="844"/>
      <c r="AB220" s="844"/>
      <c r="AC220" s="844"/>
      <c r="AD220" s="513"/>
      <c r="AE220" s="513"/>
      <c r="AF220" s="522"/>
      <c r="AG220" s="522"/>
      <c r="AH220" s="523"/>
    </row>
    <row r="221" ht="15.75" customHeight="1">
      <c r="B221" s="838"/>
      <c r="C221" s="839"/>
      <c r="D221" s="840"/>
      <c r="E221" s="509"/>
      <c r="F221" s="509"/>
      <c r="G221" s="511"/>
      <c r="H221" s="511"/>
      <c r="I221" s="512"/>
      <c r="J221" s="513"/>
      <c r="K221" s="522"/>
      <c r="L221" s="841"/>
      <c r="M221" s="841"/>
      <c r="N221" s="842"/>
      <c r="O221" s="513"/>
      <c r="P221" s="841"/>
      <c r="Q221" s="513"/>
      <c r="R221" s="513"/>
      <c r="S221" s="513"/>
      <c r="T221" s="513"/>
      <c r="U221" s="513"/>
      <c r="V221" s="522"/>
      <c r="W221" s="843"/>
      <c r="X221" s="843"/>
      <c r="Y221" s="843"/>
      <c r="Z221" s="843"/>
      <c r="AA221" s="844"/>
      <c r="AB221" s="844"/>
      <c r="AC221" s="844"/>
      <c r="AD221" s="513"/>
      <c r="AE221" s="513"/>
      <c r="AF221" s="522"/>
      <c r="AG221" s="522"/>
      <c r="AH221" s="523"/>
    </row>
    <row r="222" ht="15.75" customHeight="1">
      <c r="B222" s="838"/>
      <c r="C222" s="839"/>
      <c r="D222" s="840"/>
      <c r="E222" s="509"/>
      <c r="F222" s="509"/>
      <c r="G222" s="511"/>
      <c r="H222" s="511"/>
      <c r="I222" s="512"/>
      <c r="J222" s="513"/>
      <c r="K222" s="522"/>
      <c r="L222" s="841"/>
      <c r="M222" s="841"/>
      <c r="N222" s="842"/>
      <c r="O222" s="513"/>
      <c r="P222" s="841"/>
      <c r="Q222" s="513"/>
      <c r="R222" s="513"/>
      <c r="S222" s="513"/>
      <c r="T222" s="513"/>
      <c r="U222" s="513"/>
      <c r="V222" s="522"/>
      <c r="W222" s="843"/>
      <c r="X222" s="843"/>
      <c r="Y222" s="843"/>
      <c r="Z222" s="843"/>
      <c r="AA222" s="844"/>
      <c r="AB222" s="844"/>
      <c r="AC222" s="844"/>
      <c r="AD222" s="513"/>
      <c r="AE222" s="513"/>
      <c r="AF222" s="522"/>
      <c r="AG222" s="522"/>
      <c r="AH222" s="523"/>
    </row>
    <row r="223" ht="15.75" customHeight="1">
      <c r="B223" s="838"/>
      <c r="C223" s="839"/>
      <c r="D223" s="840"/>
      <c r="E223" s="509"/>
      <c r="F223" s="509"/>
      <c r="G223" s="511"/>
      <c r="H223" s="511"/>
      <c r="I223" s="512"/>
      <c r="J223" s="513"/>
      <c r="K223" s="522"/>
      <c r="L223" s="841"/>
      <c r="M223" s="841"/>
      <c r="N223" s="842"/>
      <c r="O223" s="513"/>
      <c r="P223" s="841"/>
      <c r="Q223" s="513"/>
      <c r="R223" s="513"/>
      <c r="S223" s="513"/>
      <c r="T223" s="513"/>
      <c r="U223" s="513"/>
      <c r="V223" s="522"/>
      <c r="W223" s="843"/>
      <c r="X223" s="843"/>
      <c r="Y223" s="843"/>
      <c r="Z223" s="843"/>
      <c r="AA223" s="844"/>
      <c r="AB223" s="844"/>
      <c r="AC223" s="844"/>
      <c r="AD223" s="513"/>
      <c r="AE223" s="513"/>
      <c r="AF223" s="522"/>
      <c r="AG223" s="522"/>
      <c r="AH223" s="523"/>
    </row>
    <row r="224" ht="15.75" customHeight="1">
      <c r="B224" s="838"/>
      <c r="C224" s="839"/>
      <c r="D224" s="840"/>
      <c r="E224" s="509"/>
      <c r="F224" s="509"/>
      <c r="G224" s="511"/>
      <c r="H224" s="511"/>
      <c r="I224" s="512"/>
      <c r="J224" s="513"/>
      <c r="K224" s="522"/>
      <c r="L224" s="841"/>
      <c r="M224" s="841"/>
      <c r="N224" s="842"/>
      <c r="O224" s="513"/>
      <c r="P224" s="841"/>
      <c r="Q224" s="513"/>
      <c r="R224" s="513"/>
      <c r="S224" s="513"/>
      <c r="T224" s="513"/>
      <c r="U224" s="513"/>
      <c r="V224" s="522"/>
      <c r="W224" s="843"/>
      <c r="X224" s="843"/>
      <c r="Y224" s="843"/>
      <c r="Z224" s="843"/>
      <c r="AA224" s="844"/>
      <c r="AB224" s="844"/>
      <c r="AC224" s="844"/>
      <c r="AD224" s="513"/>
      <c r="AE224" s="513"/>
      <c r="AF224" s="522"/>
      <c r="AG224" s="522"/>
      <c r="AH224" s="523"/>
    </row>
    <row r="225" ht="15.75" customHeight="1">
      <c r="B225" s="838"/>
      <c r="C225" s="839"/>
      <c r="D225" s="840"/>
      <c r="E225" s="509"/>
      <c r="F225" s="509"/>
      <c r="G225" s="511"/>
      <c r="H225" s="511"/>
      <c r="I225" s="512"/>
      <c r="J225" s="513"/>
      <c r="K225" s="522"/>
      <c r="L225" s="841"/>
      <c r="M225" s="841"/>
      <c r="N225" s="842"/>
      <c r="O225" s="513"/>
      <c r="P225" s="841"/>
      <c r="Q225" s="513"/>
      <c r="R225" s="513"/>
      <c r="S225" s="513"/>
      <c r="T225" s="513"/>
      <c r="U225" s="513"/>
      <c r="V225" s="522"/>
      <c r="W225" s="843"/>
      <c r="X225" s="843"/>
      <c r="Y225" s="843"/>
      <c r="Z225" s="843"/>
      <c r="AA225" s="844"/>
      <c r="AB225" s="844"/>
      <c r="AC225" s="844"/>
      <c r="AD225" s="513"/>
      <c r="AE225" s="513"/>
      <c r="AF225" s="522"/>
      <c r="AG225" s="522"/>
      <c r="AH225" s="523"/>
    </row>
    <row r="226" ht="15.75" customHeight="1">
      <c r="B226" s="838"/>
      <c r="C226" s="839"/>
      <c r="D226" s="840"/>
      <c r="E226" s="509"/>
      <c r="F226" s="509"/>
      <c r="G226" s="511"/>
      <c r="H226" s="511"/>
      <c r="I226" s="512"/>
      <c r="J226" s="513"/>
      <c r="K226" s="522"/>
      <c r="L226" s="841"/>
      <c r="M226" s="841"/>
      <c r="N226" s="842"/>
      <c r="O226" s="513"/>
      <c r="P226" s="841"/>
      <c r="Q226" s="513"/>
      <c r="R226" s="513"/>
      <c r="S226" s="513"/>
      <c r="T226" s="513"/>
      <c r="U226" s="513"/>
      <c r="V226" s="522"/>
      <c r="W226" s="843"/>
      <c r="X226" s="843"/>
      <c r="Y226" s="843"/>
      <c r="Z226" s="843"/>
      <c r="AA226" s="844"/>
      <c r="AB226" s="844"/>
      <c r="AC226" s="844"/>
      <c r="AD226" s="513"/>
      <c r="AE226" s="513"/>
      <c r="AF226" s="522"/>
      <c r="AG226" s="522"/>
      <c r="AH226" s="523"/>
    </row>
    <row r="227" ht="15.75" customHeight="1">
      <c r="B227" s="838"/>
      <c r="C227" s="839"/>
      <c r="D227" s="840"/>
      <c r="E227" s="509"/>
      <c r="F227" s="509"/>
      <c r="G227" s="511"/>
      <c r="H227" s="511"/>
      <c r="I227" s="512"/>
      <c r="J227" s="513"/>
      <c r="K227" s="522"/>
      <c r="L227" s="841"/>
      <c r="M227" s="841"/>
      <c r="N227" s="842"/>
      <c r="O227" s="513"/>
      <c r="P227" s="841"/>
      <c r="Q227" s="513"/>
      <c r="R227" s="513"/>
      <c r="S227" s="513"/>
      <c r="T227" s="513"/>
      <c r="U227" s="513"/>
      <c r="V227" s="522"/>
      <c r="W227" s="843"/>
      <c r="X227" s="843"/>
      <c r="Y227" s="843"/>
      <c r="Z227" s="843"/>
      <c r="AA227" s="844"/>
      <c r="AB227" s="844"/>
      <c r="AC227" s="844"/>
      <c r="AD227" s="513"/>
      <c r="AE227" s="513"/>
      <c r="AF227" s="522"/>
      <c r="AG227" s="522"/>
      <c r="AH227" s="523"/>
    </row>
    <row r="228" ht="15.75" customHeight="1">
      <c r="B228" s="838"/>
      <c r="C228" s="839"/>
      <c r="D228" s="840"/>
      <c r="E228" s="509"/>
      <c r="F228" s="509"/>
      <c r="G228" s="511"/>
      <c r="H228" s="511"/>
      <c r="I228" s="512"/>
      <c r="J228" s="513"/>
      <c r="K228" s="522"/>
      <c r="L228" s="841"/>
      <c r="M228" s="841"/>
      <c r="N228" s="842"/>
      <c r="O228" s="513"/>
      <c r="P228" s="841"/>
      <c r="Q228" s="513"/>
      <c r="R228" s="513"/>
      <c r="S228" s="513"/>
      <c r="T228" s="513"/>
      <c r="U228" s="513"/>
      <c r="V228" s="522"/>
      <c r="W228" s="843"/>
      <c r="X228" s="843"/>
      <c r="Y228" s="843"/>
      <c r="Z228" s="843"/>
      <c r="AA228" s="844"/>
      <c r="AB228" s="844"/>
      <c r="AC228" s="844"/>
      <c r="AD228" s="513"/>
      <c r="AE228" s="513"/>
      <c r="AF228" s="522"/>
      <c r="AG228" s="522"/>
      <c r="AH228" s="523"/>
    </row>
    <row r="229" ht="15.75" customHeight="1">
      <c r="B229" s="838"/>
      <c r="C229" s="839"/>
      <c r="D229" s="840"/>
      <c r="E229" s="509"/>
      <c r="F229" s="509"/>
      <c r="G229" s="511"/>
      <c r="H229" s="511"/>
      <c r="I229" s="512"/>
      <c r="J229" s="513"/>
      <c r="K229" s="522"/>
      <c r="L229" s="841"/>
      <c r="M229" s="841"/>
      <c r="N229" s="842"/>
      <c r="O229" s="513"/>
      <c r="P229" s="841"/>
      <c r="Q229" s="513"/>
      <c r="R229" s="513"/>
      <c r="S229" s="513"/>
      <c r="T229" s="513"/>
      <c r="U229" s="513"/>
      <c r="V229" s="522"/>
      <c r="W229" s="843"/>
      <c r="X229" s="843"/>
      <c r="Y229" s="843"/>
      <c r="Z229" s="843"/>
      <c r="AA229" s="844"/>
      <c r="AB229" s="844"/>
      <c r="AC229" s="844"/>
      <c r="AD229" s="513"/>
      <c r="AE229" s="513"/>
      <c r="AF229" s="522"/>
      <c r="AG229" s="522"/>
      <c r="AH229" s="523"/>
    </row>
    <row r="230" ht="15.75" customHeight="1">
      <c r="B230" s="838"/>
      <c r="C230" s="839"/>
      <c r="D230" s="840"/>
      <c r="E230" s="509"/>
      <c r="F230" s="509"/>
      <c r="G230" s="511"/>
      <c r="H230" s="511"/>
      <c r="I230" s="512"/>
      <c r="J230" s="513"/>
      <c r="K230" s="522"/>
      <c r="L230" s="841"/>
      <c r="M230" s="841"/>
      <c r="N230" s="842"/>
      <c r="O230" s="513"/>
      <c r="P230" s="841"/>
      <c r="Q230" s="513"/>
      <c r="R230" s="513"/>
      <c r="S230" s="513"/>
      <c r="T230" s="513"/>
      <c r="U230" s="513"/>
      <c r="V230" s="522"/>
      <c r="W230" s="843"/>
      <c r="X230" s="843"/>
      <c r="Y230" s="843"/>
      <c r="Z230" s="843"/>
      <c r="AA230" s="844"/>
      <c r="AB230" s="844"/>
      <c r="AC230" s="844"/>
      <c r="AD230" s="513"/>
      <c r="AE230" s="513"/>
      <c r="AF230" s="522"/>
      <c r="AG230" s="522"/>
      <c r="AH230" s="523"/>
    </row>
    <row r="231" ht="15.75" customHeight="1">
      <c r="B231" s="838"/>
      <c r="C231" s="839"/>
      <c r="D231" s="840"/>
      <c r="E231" s="509"/>
      <c r="F231" s="509"/>
      <c r="G231" s="511"/>
      <c r="H231" s="511"/>
      <c r="I231" s="512"/>
      <c r="J231" s="513"/>
      <c r="K231" s="522"/>
      <c r="L231" s="841"/>
      <c r="M231" s="841"/>
      <c r="N231" s="842"/>
      <c r="O231" s="513"/>
      <c r="P231" s="841"/>
      <c r="Q231" s="513"/>
      <c r="R231" s="513"/>
      <c r="S231" s="513"/>
      <c r="T231" s="513"/>
      <c r="U231" s="513"/>
      <c r="V231" s="522"/>
      <c r="W231" s="843"/>
      <c r="X231" s="843"/>
      <c r="Y231" s="843"/>
      <c r="Z231" s="843"/>
      <c r="AA231" s="844"/>
      <c r="AB231" s="844"/>
      <c r="AC231" s="844"/>
      <c r="AD231" s="513"/>
      <c r="AE231" s="513"/>
      <c r="AF231" s="522"/>
      <c r="AG231" s="522"/>
      <c r="AH231" s="523"/>
    </row>
    <row r="232" ht="15.75" customHeight="1">
      <c r="B232" s="838"/>
      <c r="C232" s="839"/>
      <c r="D232" s="840"/>
      <c r="E232" s="509"/>
      <c r="F232" s="509"/>
      <c r="G232" s="511"/>
      <c r="H232" s="511"/>
      <c r="I232" s="512"/>
      <c r="J232" s="513"/>
      <c r="K232" s="522"/>
      <c r="L232" s="841"/>
      <c r="M232" s="841"/>
      <c r="N232" s="842"/>
      <c r="O232" s="513"/>
      <c r="P232" s="841"/>
      <c r="Q232" s="513"/>
      <c r="R232" s="513"/>
      <c r="S232" s="513"/>
      <c r="T232" s="513"/>
      <c r="U232" s="513"/>
      <c r="V232" s="522"/>
      <c r="W232" s="843"/>
      <c r="X232" s="843"/>
      <c r="Y232" s="843"/>
      <c r="Z232" s="843"/>
      <c r="AA232" s="844"/>
      <c r="AB232" s="844"/>
      <c r="AC232" s="844"/>
      <c r="AD232" s="513"/>
      <c r="AE232" s="513"/>
      <c r="AF232" s="522"/>
      <c r="AG232" s="522"/>
      <c r="AH232" s="523"/>
    </row>
    <row r="233" ht="15.75" customHeight="1">
      <c r="B233" s="838"/>
      <c r="C233" s="839"/>
      <c r="D233" s="840"/>
      <c r="E233" s="509"/>
      <c r="F233" s="509"/>
      <c r="G233" s="511"/>
      <c r="H233" s="511"/>
      <c r="I233" s="512"/>
      <c r="J233" s="513"/>
      <c r="K233" s="522"/>
      <c r="L233" s="841"/>
      <c r="M233" s="841"/>
      <c r="N233" s="842"/>
      <c r="O233" s="513"/>
      <c r="P233" s="841"/>
      <c r="Q233" s="513"/>
      <c r="R233" s="513"/>
      <c r="S233" s="513"/>
      <c r="T233" s="513"/>
      <c r="U233" s="513"/>
      <c r="V233" s="522"/>
      <c r="W233" s="843"/>
      <c r="X233" s="843"/>
      <c r="Y233" s="843"/>
      <c r="Z233" s="843"/>
      <c r="AA233" s="844"/>
      <c r="AB233" s="844"/>
      <c r="AC233" s="844"/>
      <c r="AD233" s="513"/>
      <c r="AE233" s="513"/>
      <c r="AF233" s="522"/>
      <c r="AG233" s="522"/>
      <c r="AH233" s="523"/>
    </row>
    <row r="234" ht="15.75" customHeight="1">
      <c r="B234" s="838"/>
      <c r="C234" s="839"/>
      <c r="D234" s="840"/>
      <c r="E234" s="509"/>
      <c r="F234" s="509"/>
      <c r="G234" s="511"/>
      <c r="H234" s="511"/>
      <c r="I234" s="512"/>
      <c r="J234" s="513"/>
      <c r="K234" s="522"/>
      <c r="L234" s="841"/>
      <c r="M234" s="841"/>
      <c r="N234" s="842"/>
      <c r="O234" s="513"/>
      <c r="P234" s="841"/>
      <c r="Q234" s="513"/>
      <c r="R234" s="513"/>
      <c r="S234" s="513"/>
      <c r="T234" s="513"/>
      <c r="U234" s="513"/>
      <c r="V234" s="522"/>
      <c r="W234" s="843"/>
      <c r="X234" s="843"/>
      <c r="Y234" s="843"/>
      <c r="Z234" s="843"/>
      <c r="AA234" s="844"/>
      <c r="AB234" s="844"/>
      <c r="AC234" s="844"/>
      <c r="AD234" s="513"/>
      <c r="AE234" s="513"/>
      <c r="AF234" s="522"/>
      <c r="AG234" s="522"/>
      <c r="AH234" s="523"/>
    </row>
    <row r="235" ht="15.75" customHeight="1">
      <c r="B235" s="838"/>
      <c r="C235" s="839"/>
      <c r="D235" s="840"/>
      <c r="E235" s="509"/>
      <c r="F235" s="509"/>
      <c r="G235" s="511"/>
      <c r="H235" s="511"/>
      <c r="I235" s="512"/>
      <c r="J235" s="513"/>
      <c r="K235" s="522"/>
      <c r="L235" s="841"/>
      <c r="M235" s="841"/>
      <c r="N235" s="842"/>
      <c r="O235" s="513"/>
      <c r="P235" s="841"/>
      <c r="Q235" s="513"/>
      <c r="R235" s="513"/>
      <c r="S235" s="513"/>
      <c r="T235" s="513"/>
      <c r="U235" s="513"/>
      <c r="V235" s="522"/>
      <c r="W235" s="843"/>
      <c r="X235" s="843"/>
      <c r="Y235" s="843"/>
      <c r="Z235" s="843"/>
      <c r="AA235" s="844"/>
      <c r="AB235" s="844"/>
      <c r="AC235" s="844"/>
      <c r="AD235" s="513"/>
      <c r="AE235" s="513"/>
      <c r="AF235" s="522"/>
      <c r="AG235" s="522"/>
      <c r="AH235" s="523"/>
    </row>
    <row r="236" ht="15.75" customHeight="1">
      <c r="B236" s="838"/>
      <c r="C236" s="839"/>
      <c r="D236" s="840"/>
      <c r="E236" s="509"/>
      <c r="F236" s="509"/>
      <c r="G236" s="511"/>
      <c r="H236" s="511"/>
      <c r="I236" s="512"/>
      <c r="J236" s="513"/>
      <c r="K236" s="522"/>
      <c r="L236" s="841"/>
      <c r="M236" s="841"/>
      <c r="N236" s="842"/>
      <c r="O236" s="513"/>
      <c r="P236" s="841"/>
      <c r="Q236" s="513"/>
      <c r="R236" s="513"/>
      <c r="S236" s="513"/>
      <c r="T236" s="513"/>
      <c r="U236" s="513"/>
      <c r="V236" s="522"/>
      <c r="W236" s="843"/>
      <c r="X236" s="843"/>
      <c r="Y236" s="843"/>
      <c r="Z236" s="843"/>
      <c r="AA236" s="844"/>
      <c r="AB236" s="844"/>
      <c r="AC236" s="844"/>
      <c r="AD236" s="513"/>
      <c r="AE236" s="513"/>
      <c r="AF236" s="522"/>
      <c r="AG236" s="522"/>
      <c r="AH236" s="523"/>
    </row>
    <row r="237" ht="15.75" customHeight="1">
      <c r="B237" s="838"/>
      <c r="C237" s="839"/>
      <c r="D237" s="840"/>
      <c r="E237" s="509"/>
      <c r="F237" s="509"/>
      <c r="G237" s="511"/>
      <c r="H237" s="511"/>
      <c r="I237" s="512"/>
      <c r="J237" s="513"/>
      <c r="K237" s="522"/>
      <c r="L237" s="841"/>
      <c r="M237" s="841"/>
      <c r="N237" s="842"/>
      <c r="O237" s="513"/>
      <c r="P237" s="841"/>
      <c r="Q237" s="513"/>
      <c r="R237" s="513"/>
      <c r="S237" s="513"/>
      <c r="T237" s="513"/>
      <c r="U237" s="513"/>
      <c r="V237" s="522"/>
      <c r="W237" s="843"/>
      <c r="X237" s="843"/>
      <c r="Y237" s="843"/>
      <c r="Z237" s="843"/>
      <c r="AA237" s="844"/>
      <c r="AB237" s="844"/>
      <c r="AC237" s="844"/>
      <c r="AD237" s="513"/>
      <c r="AE237" s="513"/>
      <c r="AF237" s="522"/>
      <c r="AG237" s="522"/>
      <c r="AH237" s="523"/>
    </row>
    <row r="238" ht="15.75" customHeight="1">
      <c r="B238" s="838"/>
      <c r="C238" s="839"/>
      <c r="D238" s="840"/>
      <c r="E238" s="509"/>
      <c r="F238" s="509"/>
      <c r="G238" s="511"/>
      <c r="H238" s="511"/>
      <c r="I238" s="512"/>
      <c r="J238" s="513"/>
      <c r="K238" s="522"/>
      <c r="L238" s="841"/>
      <c r="M238" s="841"/>
      <c r="N238" s="842"/>
      <c r="O238" s="513"/>
      <c r="P238" s="841"/>
      <c r="Q238" s="513"/>
      <c r="R238" s="513"/>
      <c r="S238" s="513"/>
      <c r="T238" s="513"/>
      <c r="U238" s="513"/>
      <c r="V238" s="522"/>
      <c r="W238" s="843"/>
      <c r="X238" s="843"/>
      <c r="Y238" s="843"/>
      <c r="Z238" s="843"/>
      <c r="AA238" s="844"/>
      <c r="AB238" s="844"/>
      <c r="AC238" s="844"/>
      <c r="AD238" s="513"/>
      <c r="AE238" s="513"/>
      <c r="AF238" s="522"/>
      <c r="AG238" s="522"/>
      <c r="AH238" s="523"/>
    </row>
    <row r="239" ht="15.75" customHeight="1">
      <c r="B239" s="838"/>
      <c r="C239" s="839"/>
      <c r="D239" s="840"/>
      <c r="E239" s="509"/>
      <c r="F239" s="509"/>
      <c r="G239" s="511"/>
      <c r="H239" s="511"/>
      <c r="I239" s="512"/>
      <c r="J239" s="513"/>
      <c r="K239" s="522"/>
      <c r="L239" s="841"/>
      <c r="M239" s="841"/>
      <c r="N239" s="842"/>
      <c r="O239" s="513"/>
      <c r="P239" s="841"/>
      <c r="Q239" s="513"/>
      <c r="R239" s="513"/>
      <c r="S239" s="513"/>
      <c r="T239" s="513"/>
      <c r="U239" s="513"/>
      <c r="V239" s="522"/>
      <c r="W239" s="843"/>
      <c r="X239" s="843"/>
      <c r="Y239" s="843"/>
      <c r="Z239" s="843"/>
      <c r="AA239" s="844"/>
      <c r="AB239" s="844"/>
      <c r="AC239" s="844"/>
      <c r="AD239" s="513"/>
      <c r="AE239" s="513"/>
      <c r="AF239" s="522"/>
      <c r="AG239" s="522"/>
      <c r="AH239" s="523"/>
    </row>
    <row r="240" ht="15.75" customHeight="1">
      <c r="B240" s="838"/>
      <c r="C240" s="839"/>
      <c r="D240" s="840"/>
      <c r="E240" s="509"/>
      <c r="F240" s="509"/>
      <c r="G240" s="511"/>
      <c r="H240" s="511"/>
      <c r="I240" s="512"/>
      <c r="J240" s="513"/>
      <c r="K240" s="522"/>
      <c r="L240" s="841"/>
      <c r="M240" s="841"/>
      <c r="N240" s="842"/>
      <c r="O240" s="513"/>
      <c r="P240" s="841"/>
      <c r="Q240" s="513"/>
      <c r="R240" s="513"/>
      <c r="S240" s="513"/>
      <c r="T240" s="513"/>
      <c r="U240" s="513"/>
      <c r="V240" s="522"/>
      <c r="W240" s="843"/>
      <c r="X240" s="843"/>
      <c r="Y240" s="843"/>
      <c r="Z240" s="843"/>
      <c r="AA240" s="844"/>
      <c r="AB240" s="844"/>
      <c r="AC240" s="844"/>
      <c r="AD240" s="513"/>
      <c r="AE240" s="513"/>
      <c r="AF240" s="522"/>
      <c r="AG240" s="522"/>
      <c r="AH240" s="523"/>
    </row>
    <row r="241" ht="15.75" customHeight="1">
      <c r="B241" s="838"/>
      <c r="C241" s="839"/>
      <c r="D241" s="840"/>
      <c r="E241" s="509"/>
      <c r="F241" s="509"/>
      <c r="G241" s="511"/>
      <c r="H241" s="511"/>
      <c r="I241" s="512"/>
      <c r="J241" s="513"/>
      <c r="K241" s="522"/>
      <c r="L241" s="841"/>
      <c r="M241" s="841"/>
      <c r="N241" s="842"/>
      <c r="O241" s="513"/>
      <c r="P241" s="841"/>
      <c r="Q241" s="513"/>
      <c r="R241" s="513"/>
      <c r="S241" s="513"/>
      <c r="T241" s="513"/>
      <c r="U241" s="513"/>
      <c r="V241" s="522"/>
      <c r="W241" s="843"/>
      <c r="X241" s="843"/>
      <c r="Y241" s="843"/>
      <c r="Z241" s="843"/>
      <c r="AA241" s="844"/>
      <c r="AB241" s="844"/>
      <c r="AC241" s="844"/>
      <c r="AD241" s="513"/>
      <c r="AE241" s="513"/>
      <c r="AF241" s="522"/>
      <c r="AG241" s="522"/>
      <c r="AH241" s="523"/>
    </row>
    <row r="242" ht="15.75" customHeight="1">
      <c r="B242" s="838"/>
      <c r="C242" s="839"/>
      <c r="D242" s="840"/>
      <c r="E242" s="509"/>
      <c r="F242" s="509"/>
      <c r="G242" s="511"/>
      <c r="H242" s="511"/>
      <c r="I242" s="512"/>
      <c r="J242" s="513"/>
      <c r="K242" s="522"/>
      <c r="L242" s="841"/>
      <c r="M242" s="841"/>
      <c r="N242" s="842"/>
      <c r="O242" s="513"/>
      <c r="P242" s="841"/>
      <c r="Q242" s="513"/>
      <c r="R242" s="513"/>
      <c r="S242" s="513"/>
      <c r="T242" s="513"/>
      <c r="U242" s="513"/>
      <c r="V242" s="522"/>
      <c r="W242" s="843"/>
      <c r="X242" s="843"/>
      <c r="Y242" s="843"/>
      <c r="Z242" s="843"/>
      <c r="AA242" s="844"/>
      <c r="AB242" s="844"/>
      <c r="AC242" s="844"/>
      <c r="AD242" s="513"/>
      <c r="AE242" s="513"/>
      <c r="AF242" s="522"/>
      <c r="AG242" s="522"/>
      <c r="AH242" s="523"/>
    </row>
    <row r="243" ht="15.75" customHeight="1">
      <c r="B243" s="838"/>
      <c r="C243" s="839"/>
      <c r="D243" s="840"/>
      <c r="E243" s="509"/>
      <c r="F243" s="509"/>
      <c r="G243" s="511"/>
      <c r="H243" s="511"/>
      <c r="I243" s="512"/>
      <c r="J243" s="513"/>
      <c r="K243" s="522"/>
      <c r="L243" s="841"/>
      <c r="M243" s="841"/>
      <c r="N243" s="842"/>
      <c r="O243" s="513"/>
      <c r="P243" s="841"/>
      <c r="Q243" s="513"/>
      <c r="R243" s="513"/>
      <c r="S243" s="513"/>
      <c r="T243" s="513"/>
      <c r="U243" s="513"/>
      <c r="V243" s="522"/>
      <c r="W243" s="843"/>
      <c r="X243" s="843"/>
      <c r="Y243" s="843"/>
      <c r="Z243" s="843"/>
      <c r="AA243" s="844"/>
      <c r="AB243" s="844"/>
      <c r="AC243" s="844"/>
      <c r="AD243" s="513"/>
      <c r="AE243" s="513"/>
      <c r="AF243" s="522"/>
      <c r="AG243" s="522"/>
      <c r="AH243" s="523"/>
    </row>
    <row r="244" ht="15.75" customHeight="1">
      <c r="B244" s="838"/>
      <c r="C244" s="839"/>
      <c r="D244" s="840"/>
      <c r="E244" s="509"/>
      <c r="F244" s="509"/>
      <c r="G244" s="511"/>
      <c r="H244" s="511"/>
      <c r="I244" s="512"/>
      <c r="J244" s="513"/>
      <c r="K244" s="522"/>
      <c r="L244" s="841"/>
      <c r="M244" s="841"/>
      <c r="N244" s="842"/>
      <c r="O244" s="513"/>
      <c r="P244" s="841"/>
      <c r="Q244" s="513"/>
      <c r="R244" s="513"/>
      <c r="S244" s="513"/>
      <c r="T244" s="513"/>
      <c r="U244" s="513"/>
      <c r="V244" s="522"/>
      <c r="W244" s="843"/>
      <c r="X244" s="843"/>
      <c r="Y244" s="843"/>
      <c r="Z244" s="843"/>
      <c r="AA244" s="844"/>
      <c r="AB244" s="844"/>
      <c r="AC244" s="844"/>
      <c r="AD244" s="513"/>
      <c r="AE244" s="513"/>
      <c r="AF244" s="522"/>
      <c r="AG244" s="522"/>
      <c r="AH244" s="523"/>
    </row>
    <row r="245" ht="15.75" customHeight="1">
      <c r="B245" s="838"/>
      <c r="C245" s="839"/>
      <c r="D245" s="840"/>
      <c r="E245" s="509"/>
      <c r="F245" s="509"/>
      <c r="G245" s="511"/>
      <c r="H245" s="511"/>
      <c r="I245" s="512"/>
      <c r="J245" s="513"/>
      <c r="K245" s="522"/>
      <c r="L245" s="841"/>
      <c r="M245" s="841"/>
      <c r="N245" s="842"/>
      <c r="O245" s="513"/>
      <c r="P245" s="841"/>
      <c r="Q245" s="513"/>
      <c r="R245" s="513"/>
      <c r="S245" s="513"/>
      <c r="T245" s="513"/>
      <c r="U245" s="513"/>
      <c r="V245" s="522"/>
      <c r="W245" s="843"/>
      <c r="X245" s="843"/>
      <c r="Y245" s="843"/>
      <c r="Z245" s="843"/>
      <c r="AA245" s="844"/>
      <c r="AB245" s="844"/>
      <c r="AC245" s="844"/>
      <c r="AD245" s="513"/>
      <c r="AE245" s="513"/>
      <c r="AF245" s="522"/>
      <c r="AG245" s="522"/>
      <c r="AH245" s="523"/>
    </row>
    <row r="246" ht="15.75" customHeight="1">
      <c r="B246" s="838"/>
      <c r="C246" s="839"/>
      <c r="D246" s="840"/>
      <c r="E246" s="509"/>
      <c r="F246" s="509"/>
      <c r="G246" s="511"/>
      <c r="H246" s="511"/>
      <c r="I246" s="512"/>
      <c r="J246" s="513"/>
      <c r="K246" s="522"/>
      <c r="L246" s="841"/>
      <c r="M246" s="841"/>
      <c r="N246" s="842"/>
      <c r="O246" s="513"/>
      <c r="P246" s="841"/>
      <c r="Q246" s="513"/>
      <c r="R246" s="513"/>
      <c r="S246" s="513"/>
      <c r="T246" s="513"/>
      <c r="U246" s="513"/>
      <c r="V246" s="522"/>
      <c r="W246" s="843"/>
      <c r="X246" s="843"/>
      <c r="Y246" s="843"/>
      <c r="Z246" s="843"/>
      <c r="AA246" s="844"/>
      <c r="AB246" s="844"/>
      <c r="AC246" s="844"/>
      <c r="AD246" s="513"/>
      <c r="AE246" s="513"/>
      <c r="AF246" s="522"/>
      <c r="AG246" s="522"/>
      <c r="AH246" s="523"/>
    </row>
    <row r="247" ht="15.75" customHeight="1">
      <c r="B247" s="838"/>
      <c r="C247" s="839"/>
      <c r="D247" s="840"/>
      <c r="E247" s="509"/>
      <c r="F247" s="509"/>
      <c r="G247" s="511"/>
      <c r="H247" s="511"/>
      <c r="I247" s="512"/>
      <c r="J247" s="513"/>
      <c r="K247" s="522"/>
      <c r="L247" s="841"/>
      <c r="M247" s="841"/>
      <c r="N247" s="842"/>
      <c r="O247" s="513"/>
      <c r="P247" s="841"/>
      <c r="Q247" s="513"/>
      <c r="R247" s="513"/>
      <c r="S247" s="513"/>
      <c r="T247" s="513"/>
      <c r="U247" s="513"/>
      <c r="V247" s="522"/>
      <c r="W247" s="843"/>
      <c r="X247" s="843"/>
      <c r="Y247" s="843"/>
      <c r="Z247" s="843"/>
      <c r="AA247" s="844"/>
      <c r="AB247" s="844"/>
      <c r="AC247" s="844"/>
      <c r="AD247" s="513"/>
      <c r="AE247" s="513"/>
      <c r="AF247" s="522"/>
      <c r="AG247" s="522"/>
      <c r="AH247" s="523"/>
    </row>
    <row r="248" ht="15.75" customHeight="1">
      <c r="B248" s="838"/>
      <c r="C248" s="839"/>
      <c r="D248" s="840"/>
      <c r="E248" s="509"/>
      <c r="F248" s="509"/>
      <c r="G248" s="511"/>
      <c r="H248" s="511"/>
      <c r="I248" s="512"/>
      <c r="J248" s="513"/>
      <c r="K248" s="522"/>
      <c r="L248" s="841"/>
      <c r="M248" s="841"/>
      <c r="N248" s="842"/>
      <c r="O248" s="513"/>
      <c r="P248" s="841"/>
      <c r="Q248" s="513"/>
      <c r="R248" s="513"/>
      <c r="S248" s="513"/>
      <c r="T248" s="513"/>
      <c r="U248" s="513"/>
      <c r="V248" s="522"/>
      <c r="W248" s="843"/>
      <c r="X248" s="843"/>
      <c r="Y248" s="843"/>
      <c r="Z248" s="843"/>
      <c r="AA248" s="844"/>
      <c r="AB248" s="844"/>
      <c r="AC248" s="844"/>
      <c r="AD248" s="513"/>
      <c r="AE248" s="513"/>
      <c r="AF248" s="522"/>
      <c r="AG248" s="522"/>
      <c r="AH248" s="523"/>
    </row>
    <row r="249" ht="15.75" customHeight="1">
      <c r="B249" s="838"/>
      <c r="C249" s="839"/>
      <c r="D249" s="840"/>
      <c r="E249" s="509"/>
      <c r="F249" s="509"/>
      <c r="G249" s="511"/>
      <c r="H249" s="511"/>
      <c r="I249" s="512"/>
      <c r="J249" s="513"/>
      <c r="K249" s="522"/>
      <c r="L249" s="841"/>
      <c r="M249" s="841"/>
      <c r="N249" s="842"/>
      <c r="O249" s="513"/>
      <c r="P249" s="841"/>
      <c r="Q249" s="513"/>
      <c r="R249" s="513"/>
      <c r="S249" s="513"/>
      <c r="T249" s="513"/>
      <c r="U249" s="513"/>
      <c r="V249" s="522"/>
      <c r="W249" s="843"/>
      <c r="X249" s="843"/>
      <c r="Y249" s="843"/>
      <c r="Z249" s="843"/>
      <c r="AA249" s="844"/>
      <c r="AB249" s="844"/>
      <c r="AC249" s="844"/>
      <c r="AD249" s="513"/>
      <c r="AE249" s="513"/>
      <c r="AF249" s="522"/>
      <c r="AG249" s="522"/>
      <c r="AH249" s="523"/>
    </row>
    <row r="250" ht="15.75" customHeight="1">
      <c r="B250" s="838"/>
      <c r="C250" s="839"/>
      <c r="D250" s="840"/>
      <c r="E250" s="509"/>
      <c r="F250" s="509"/>
      <c r="G250" s="511"/>
      <c r="H250" s="511"/>
      <c r="I250" s="512"/>
      <c r="J250" s="513"/>
      <c r="K250" s="522"/>
      <c r="L250" s="841"/>
      <c r="M250" s="841"/>
      <c r="N250" s="842"/>
      <c r="O250" s="513"/>
      <c r="P250" s="841"/>
      <c r="Q250" s="513"/>
      <c r="R250" s="513"/>
      <c r="S250" s="513"/>
      <c r="T250" s="513"/>
      <c r="U250" s="513"/>
      <c r="V250" s="522"/>
      <c r="W250" s="843"/>
      <c r="X250" s="843"/>
      <c r="Y250" s="843"/>
      <c r="Z250" s="843"/>
      <c r="AA250" s="844"/>
      <c r="AB250" s="844"/>
      <c r="AC250" s="844"/>
      <c r="AD250" s="513"/>
      <c r="AE250" s="513"/>
      <c r="AF250" s="522"/>
      <c r="AG250" s="522"/>
      <c r="AH250" s="523"/>
    </row>
    <row r="251" ht="15.75" customHeight="1">
      <c r="B251" s="838"/>
      <c r="C251" s="839"/>
      <c r="D251" s="840"/>
      <c r="E251" s="509"/>
      <c r="F251" s="509"/>
      <c r="G251" s="511"/>
      <c r="H251" s="511"/>
      <c r="I251" s="512"/>
      <c r="J251" s="513"/>
      <c r="K251" s="522"/>
      <c r="L251" s="841"/>
      <c r="M251" s="841"/>
      <c r="N251" s="842"/>
      <c r="O251" s="513"/>
      <c r="P251" s="841"/>
      <c r="Q251" s="513"/>
      <c r="R251" s="513"/>
      <c r="S251" s="513"/>
      <c r="T251" s="513"/>
      <c r="U251" s="513"/>
      <c r="V251" s="522"/>
      <c r="W251" s="843"/>
      <c r="X251" s="843"/>
      <c r="Y251" s="843"/>
      <c r="Z251" s="843"/>
      <c r="AA251" s="844"/>
      <c r="AB251" s="844"/>
      <c r="AC251" s="844"/>
      <c r="AD251" s="513"/>
      <c r="AE251" s="513"/>
      <c r="AF251" s="522"/>
      <c r="AG251" s="522"/>
      <c r="AH251" s="523"/>
    </row>
    <row r="252" ht="15.75" customHeight="1">
      <c r="B252" s="838"/>
      <c r="C252" s="839"/>
      <c r="D252" s="840"/>
      <c r="E252" s="509"/>
      <c r="F252" s="509"/>
      <c r="G252" s="511"/>
      <c r="H252" s="511"/>
      <c r="I252" s="512"/>
      <c r="J252" s="513"/>
      <c r="K252" s="522"/>
      <c r="L252" s="841"/>
      <c r="M252" s="841"/>
      <c r="N252" s="842"/>
      <c r="O252" s="513"/>
      <c r="P252" s="841"/>
      <c r="Q252" s="513"/>
      <c r="R252" s="513"/>
      <c r="S252" s="513"/>
      <c r="T252" s="513"/>
      <c r="U252" s="513"/>
      <c r="V252" s="522"/>
      <c r="W252" s="843"/>
      <c r="X252" s="843"/>
      <c r="Y252" s="843"/>
      <c r="Z252" s="843"/>
      <c r="AA252" s="844"/>
      <c r="AB252" s="844"/>
      <c r="AC252" s="844"/>
      <c r="AD252" s="513"/>
      <c r="AE252" s="513"/>
      <c r="AF252" s="522"/>
      <c r="AG252" s="522"/>
      <c r="AH252" s="523"/>
    </row>
    <row r="253" ht="15.75" customHeight="1">
      <c r="B253" s="838"/>
      <c r="C253" s="839"/>
      <c r="D253" s="840"/>
      <c r="E253" s="509"/>
      <c r="F253" s="509"/>
      <c r="G253" s="511"/>
      <c r="H253" s="511"/>
      <c r="I253" s="512"/>
      <c r="J253" s="513"/>
      <c r="K253" s="522"/>
      <c r="L253" s="841"/>
      <c r="M253" s="841"/>
      <c r="N253" s="842"/>
      <c r="O253" s="513"/>
      <c r="P253" s="841"/>
      <c r="Q253" s="513"/>
      <c r="R253" s="513"/>
      <c r="S253" s="513"/>
      <c r="T253" s="513"/>
      <c r="U253" s="513"/>
      <c r="V253" s="522"/>
      <c r="W253" s="843"/>
      <c r="X253" s="843"/>
      <c r="Y253" s="843"/>
      <c r="Z253" s="843"/>
      <c r="AA253" s="844"/>
      <c r="AB253" s="844"/>
      <c r="AC253" s="844"/>
      <c r="AD253" s="513"/>
      <c r="AE253" s="513"/>
      <c r="AF253" s="522"/>
      <c r="AG253" s="522"/>
      <c r="AH253" s="523"/>
    </row>
    <row r="254" ht="15.75" customHeight="1">
      <c r="B254" s="838"/>
      <c r="C254" s="839"/>
      <c r="D254" s="840"/>
      <c r="E254" s="509"/>
      <c r="F254" s="509"/>
      <c r="G254" s="511"/>
      <c r="H254" s="511"/>
      <c r="I254" s="512"/>
      <c r="J254" s="513"/>
      <c r="K254" s="522"/>
      <c r="L254" s="841"/>
      <c r="M254" s="841"/>
      <c r="N254" s="842"/>
      <c r="O254" s="513"/>
      <c r="P254" s="841"/>
      <c r="Q254" s="513"/>
      <c r="R254" s="513"/>
      <c r="S254" s="513"/>
      <c r="T254" s="513"/>
      <c r="U254" s="513"/>
      <c r="V254" s="522"/>
      <c r="W254" s="843"/>
      <c r="X254" s="843"/>
      <c r="Y254" s="843"/>
      <c r="Z254" s="843"/>
      <c r="AA254" s="844"/>
      <c r="AB254" s="844"/>
      <c r="AC254" s="844"/>
      <c r="AD254" s="513"/>
      <c r="AE254" s="513"/>
      <c r="AF254" s="522"/>
      <c r="AG254" s="522"/>
      <c r="AH254" s="523"/>
    </row>
    <row r="255" ht="15.75" customHeight="1">
      <c r="B255" s="838"/>
      <c r="C255" s="839"/>
      <c r="D255" s="840"/>
      <c r="E255" s="509"/>
      <c r="F255" s="509"/>
      <c r="G255" s="511"/>
      <c r="H255" s="511"/>
      <c r="I255" s="512"/>
      <c r="J255" s="513"/>
      <c r="K255" s="522"/>
      <c r="L255" s="841"/>
      <c r="M255" s="841"/>
      <c r="N255" s="842"/>
      <c r="O255" s="513"/>
      <c r="P255" s="841"/>
      <c r="Q255" s="513"/>
      <c r="R255" s="513"/>
      <c r="S255" s="513"/>
      <c r="T255" s="513"/>
      <c r="U255" s="513"/>
      <c r="V255" s="522"/>
      <c r="W255" s="843"/>
      <c r="X255" s="843"/>
      <c r="Y255" s="843"/>
      <c r="Z255" s="843"/>
      <c r="AA255" s="844"/>
      <c r="AB255" s="844"/>
      <c r="AC255" s="844"/>
      <c r="AD255" s="513"/>
      <c r="AE255" s="513"/>
      <c r="AF255" s="522"/>
      <c r="AG255" s="522"/>
      <c r="AH255" s="523"/>
    </row>
    <row r="256" ht="15.75" customHeight="1">
      <c r="B256" s="838"/>
      <c r="C256" s="839"/>
      <c r="D256" s="840"/>
      <c r="E256" s="509"/>
      <c r="F256" s="509"/>
      <c r="G256" s="511"/>
      <c r="H256" s="511"/>
      <c r="I256" s="512"/>
      <c r="J256" s="513"/>
      <c r="K256" s="522"/>
      <c r="L256" s="841"/>
      <c r="M256" s="841"/>
      <c r="N256" s="842"/>
      <c r="O256" s="513"/>
      <c r="P256" s="841"/>
      <c r="Q256" s="513"/>
      <c r="R256" s="513"/>
      <c r="S256" s="513"/>
      <c r="T256" s="513"/>
      <c r="U256" s="513"/>
      <c r="V256" s="522"/>
      <c r="W256" s="843"/>
      <c r="X256" s="843"/>
      <c r="Y256" s="843"/>
      <c r="Z256" s="843"/>
      <c r="AA256" s="844"/>
      <c r="AB256" s="844"/>
      <c r="AC256" s="844"/>
      <c r="AD256" s="513"/>
      <c r="AE256" s="513"/>
      <c r="AF256" s="522"/>
      <c r="AG256" s="522"/>
      <c r="AH256" s="523"/>
    </row>
    <row r="257" ht="15.75" customHeight="1">
      <c r="B257" s="838"/>
      <c r="C257" s="839"/>
      <c r="D257" s="840"/>
      <c r="E257" s="509"/>
      <c r="F257" s="509"/>
      <c r="G257" s="511"/>
      <c r="H257" s="511"/>
      <c r="I257" s="512"/>
      <c r="J257" s="513"/>
      <c r="K257" s="522"/>
      <c r="L257" s="841"/>
      <c r="M257" s="841"/>
      <c r="N257" s="842"/>
      <c r="O257" s="513"/>
      <c r="P257" s="841"/>
      <c r="Q257" s="513"/>
      <c r="R257" s="513"/>
      <c r="S257" s="513"/>
      <c r="T257" s="513"/>
      <c r="U257" s="513"/>
      <c r="V257" s="522"/>
      <c r="W257" s="843"/>
      <c r="X257" s="843"/>
      <c r="Y257" s="843"/>
      <c r="Z257" s="843"/>
      <c r="AA257" s="844"/>
      <c r="AB257" s="844"/>
      <c r="AC257" s="844"/>
      <c r="AD257" s="513"/>
      <c r="AE257" s="513"/>
      <c r="AF257" s="522"/>
      <c r="AG257" s="522"/>
      <c r="AH257" s="523"/>
    </row>
    <row r="258" ht="15.75" customHeight="1">
      <c r="B258" s="838"/>
      <c r="C258" s="839"/>
      <c r="D258" s="840"/>
      <c r="E258" s="509"/>
      <c r="F258" s="509"/>
      <c r="G258" s="511"/>
      <c r="H258" s="511"/>
      <c r="I258" s="512"/>
      <c r="J258" s="513"/>
      <c r="K258" s="522"/>
      <c r="L258" s="841"/>
      <c r="M258" s="841"/>
      <c r="N258" s="842"/>
      <c r="O258" s="513"/>
      <c r="P258" s="841"/>
      <c r="Q258" s="513"/>
      <c r="R258" s="513"/>
      <c r="S258" s="513"/>
      <c r="T258" s="513"/>
      <c r="U258" s="513"/>
      <c r="V258" s="522"/>
      <c r="W258" s="843"/>
      <c r="X258" s="843"/>
      <c r="Y258" s="843"/>
      <c r="Z258" s="843"/>
      <c r="AA258" s="844"/>
      <c r="AB258" s="844"/>
      <c r="AC258" s="844"/>
      <c r="AD258" s="513"/>
      <c r="AE258" s="513"/>
      <c r="AF258" s="522"/>
      <c r="AG258" s="522"/>
      <c r="AH258" s="523"/>
    </row>
    <row r="259" ht="15.75" customHeight="1">
      <c r="B259" s="838"/>
      <c r="C259" s="839"/>
      <c r="D259" s="840"/>
      <c r="E259" s="509"/>
      <c r="F259" s="509"/>
      <c r="G259" s="511"/>
      <c r="H259" s="511"/>
      <c r="I259" s="512"/>
      <c r="J259" s="513"/>
      <c r="K259" s="522"/>
      <c r="L259" s="841"/>
      <c r="M259" s="841"/>
      <c r="N259" s="842"/>
      <c r="O259" s="513"/>
      <c r="P259" s="841"/>
      <c r="Q259" s="513"/>
      <c r="R259" s="513"/>
      <c r="S259" s="513"/>
      <c r="T259" s="513"/>
      <c r="U259" s="513"/>
      <c r="V259" s="522"/>
      <c r="W259" s="843"/>
      <c r="X259" s="843"/>
      <c r="Y259" s="843"/>
      <c r="Z259" s="843"/>
      <c r="AA259" s="844"/>
      <c r="AB259" s="844"/>
      <c r="AC259" s="844"/>
      <c r="AD259" s="513"/>
      <c r="AE259" s="513"/>
      <c r="AF259" s="522"/>
      <c r="AG259" s="522"/>
      <c r="AH259" s="523"/>
    </row>
    <row r="260" ht="15.75" customHeight="1">
      <c r="B260" s="838"/>
      <c r="C260" s="839"/>
      <c r="D260" s="840"/>
      <c r="E260" s="509"/>
      <c r="F260" s="509"/>
      <c r="G260" s="511"/>
      <c r="H260" s="511"/>
      <c r="I260" s="512"/>
      <c r="J260" s="513"/>
      <c r="K260" s="522"/>
      <c r="L260" s="841"/>
      <c r="M260" s="841"/>
      <c r="N260" s="842"/>
      <c r="O260" s="513"/>
      <c r="P260" s="841"/>
      <c r="Q260" s="513"/>
      <c r="R260" s="513"/>
      <c r="S260" s="513"/>
      <c r="T260" s="513"/>
      <c r="U260" s="513"/>
      <c r="V260" s="522"/>
      <c r="W260" s="843"/>
      <c r="X260" s="843"/>
      <c r="Y260" s="843"/>
      <c r="Z260" s="843"/>
      <c r="AA260" s="844"/>
      <c r="AB260" s="844"/>
      <c r="AC260" s="844"/>
      <c r="AD260" s="513"/>
      <c r="AE260" s="513"/>
      <c r="AF260" s="522"/>
      <c r="AG260" s="522"/>
      <c r="AH260" s="523"/>
    </row>
    <row r="261" ht="15.75" customHeight="1">
      <c r="B261" s="838"/>
      <c r="C261" s="839"/>
      <c r="D261" s="840"/>
      <c r="E261" s="509"/>
      <c r="F261" s="509"/>
      <c r="G261" s="511"/>
      <c r="H261" s="511"/>
      <c r="I261" s="512"/>
      <c r="J261" s="513"/>
      <c r="K261" s="522"/>
      <c r="L261" s="841"/>
      <c r="M261" s="841"/>
      <c r="N261" s="842"/>
      <c r="O261" s="513"/>
      <c r="P261" s="841"/>
      <c r="Q261" s="513"/>
      <c r="R261" s="513"/>
      <c r="S261" s="513"/>
      <c r="T261" s="513"/>
      <c r="U261" s="513"/>
      <c r="V261" s="522"/>
      <c r="W261" s="843"/>
      <c r="X261" s="843"/>
      <c r="Y261" s="843"/>
      <c r="Z261" s="843"/>
      <c r="AA261" s="844"/>
      <c r="AB261" s="844"/>
      <c r="AC261" s="844"/>
      <c r="AD261" s="513"/>
      <c r="AE261" s="513"/>
      <c r="AF261" s="522"/>
      <c r="AG261" s="522"/>
      <c r="AH261" s="523"/>
    </row>
    <row r="262" ht="15.75" customHeight="1">
      <c r="B262" s="838"/>
      <c r="C262" s="839"/>
      <c r="D262" s="840"/>
      <c r="E262" s="509"/>
      <c r="F262" s="509"/>
      <c r="G262" s="511"/>
      <c r="H262" s="511"/>
      <c r="I262" s="512"/>
      <c r="J262" s="513"/>
      <c r="K262" s="522"/>
      <c r="L262" s="841"/>
      <c r="M262" s="841"/>
      <c r="N262" s="842"/>
      <c r="O262" s="513"/>
      <c r="P262" s="841"/>
      <c r="Q262" s="513"/>
      <c r="R262" s="513"/>
      <c r="S262" s="513"/>
      <c r="T262" s="513"/>
      <c r="U262" s="513"/>
      <c r="V262" s="522"/>
      <c r="W262" s="843"/>
      <c r="X262" s="843"/>
      <c r="Y262" s="843"/>
      <c r="Z262" s="843"/>
      <c r="AA262" s="844"/>
      <c r="AB262" s="844"/>
      <c r="AC262" s="844"/>
      <c r="AD262" s="513"/>
      <c r="AE262" s="513"/>
      <c r="AF262" s="522"/>
      <c r="AG262" s="522"/>
      <c r="AH262" s="523"/>
    </row>
    <row r="263" ht="15.75" customHeight="1">
      <c r="B263" s="838"/>
      <c r="C263" s="839"/>
      <c r="D263" s="840"/>
      <c r="E263" s="509"/>
      <c r="F263" s="509"/>
      <c r="G263" s="511"/>
      <c r="H263" s="511"/>
      <c r="I263" s="512"/>
      <c r="J263" s="513"/>
      <c r="K263" s="522"/>
      <c r="L263" s="841"/>
      <c r="M263" s="841"/>
      <c r="N263" s="842"/>
      <c r="O263" s="513"/>
      <c r="P263" s="841"/>
      <c r="Q263" s="513"/>
      <c r="R263" s="513"/>
      <c r="S263" s="513"/>
      <c r="T263" s="513"/>
      <c r="U263" s="513"/>
      <c r="V263" s="522"/>
      <c r="W263" s="843"/>
      <c r="X263" s="843"/>
      <c r="Y263" s="843"/>
      <c r="Z263" s="843"/>
      <c r="AA263" s="844"/>
      <c r="AB263" s="844"/>
      <c r="AC263" s="844"/>
      <c r="AD263" s="513"/>
      <c r="AE263" s="513"/>
      <c r="AF263" s="522"/>
      <c r="AG263" s="522"/>
      <c r="AH263" s="523"/>
    </row>
    <row r="264" ht="15.75" customHeight="1">
      <c r="B264" s="838"/>
      <c r="C264" s="839"/>
      <c r="D264" s="840"/>
      <c r="E264" s="509"/>
      <c r="F264" s="509"/>
      <c r="G264" s="511"/>
      <c r="H264" s="511"/>
      <c r="I264" s="512"/>
      <c r="J264" s="513"/>
      <c r="K264" s="522"/>
      <c r="L264" s="841"/>
      <c r="M264" s="841"/>
      <c r="N264" s="842"/>
      <c r="O264" s="513"/>
      <c r="P264" s="841"/>
      <c r="Q264" s="513"/>
      <c r="R264" s="513"/>
      <c r="S264" s="513"/>
      <c r="T264" s="513"/>
      <c r="U264" s="513"/>
      <c r="V264" s="522"/>
      <c r="W264" s="843"/>
      <c r="X264" s="843"/>
      <c r="Y264" s="843"/>
      <c r="Z264" s="843"/>
      <c r="AA264" s="844"/>
      <c r="AB264" s="844"/>
      <c r="AC264" s="844"/>
      <c r="AD264" s="513"/>
      <c r="AE264" s="513"/>
      <c r="AF264" s="522"/>
      <c r="AG264" s="522"/>
      <c r="AH264" s="523"/>
    </row>
    <row r="265" ht="15.75" customHeight="1">
      <c r="B265" s="838"/>
      <c r="C265" s="839"/>
      <c r="D265" s="840"/>
      <c r="E265" s="509"/>
      <c r="F265" s="509"/>
      <c r="G265" s="511"/>
      <c r="H265" s="511"/>
      <c r="I265" s="512"/>
      <c r="J265" s="513"/>
      <c r="K265" s="522"/>
      <c r="L265" s="841"/>
      <c r="M265" s="841"/>
      <c r="N265" s="842"/>
      <c r="O265" s="513"/>
      <c r="P265" s="841"/>
      <c r="Q265" s="513"/>
      <c r="R265" s="513"/>
      <c r="S265" s="513"/>
      <c r="T265" s="513"/>
      <c r="U265" s="513"/>
      <c r="V265" s="522"/>
      <c r="W265" s="843"/>
      <c r="X265" s="843"/>
      <c r="Y265" s="843"/>
      <c r="Z265" s="843"/>
      <c r="AA265" s="844"/>
      <c r="AB265" s="844"/>
      <c r="AC265" s="844"/>
      <c r="AD265" s="513"/>
      <c r="AE265" s="513"/>
      <c r="AF265" s="522"/>
      <c r="AG265" s="522"/>
      <c r="AH265" s="523"/>
    </row>
    <row r="266" ht="15.75" customHeight="1">
      <c r="B266" s="838"/>
      <c r="C266" s="839"/>
      <c r="D266" s="840"/>
      <c r="E266" s="509"/>
      <c r="F266" s="509"/>
      <c r="G266" s="511"/>
      <c r="H266" s="511"/>
      <c r="I266" s="512"/>
      <c r="J266" s="513"/>
      <c r="K266" s="522"/>
      <c r="L266" s="841"/>
      <c r="M266" s="841"/>
      <c r="N266" s="842"/>
      <c r="O266" s="513"/>
      <c r="P266" s="841"/>
      <c r="Q266" s="513"/>
      <c r="R266" s="513"/>
      <c r="S266" s="513"/>
      <c r="T266" s="513"/>
      <c r="U266" s="513"/>
      <c r="V266" s="522"/>
      <c r="W266" s="843"/>
      <c r="X266" s="843"/>
      <c r="Y266" s="843"/>
      <c r="Z266" s="843"/>
      <c r="AA266" s="844"/>
      <c r="AB266" s="844"/>
      <c r="AC266" s="844"/>
      <c r="AD266" s="513"/>
      <c r="AE266" s="513"/>
      <c r="AF266" s="522"/>
      <c r="AG266" s="522"/>
      <c r="AH266" s="523"/>
    </row>
    <row r="267" ht="15.75" customHeight="1">
      <c r="B267" s="838"/>
      <c r="C267" s="839"/>
      <c r="D267" s="840"/>
      <c r="E267" s="509"/>
      <c r="F267" s="509"/>
      <c r="G267" s="511"/>
      <c r="H267" s="511"/>
      <c r="I267" s="512"/>
      <c r="J267" s="513"/>
      <c r="K267" s="522"/>
      <c r="L267" s="841"/>
      <c r="M267" s="841"/>
      <c r="N267" s="842"/>
      <c r="O267" s="513"/>
      <c r="P267" s="841"/>
      <c r="Q267" s="513"/>
      <c r="R267" s="513"/>
      <c r="S267" s="513"/>
      <c r="T267" s="513"/>
      <c r="U267" s="513"/>
      <c r="V267" s="522"/>
      <c r="W267" s="843"/>
      <c r="X267" s="843"/>
      <c r="Y267" s="843"/>
      <c r="Z267" s="843"/>
      <c r="AA267" s="844"/>
      <c r="AB267" s="844"/>
      <c r="AC267" s="844"/>
      <c r="AD267" s="513"/>
      <c r="AE267" s="513"/>
      <c r="AF267" s="522"/>
      <c r="AG267" s="522"/>
      <c r="AH267" s="523"/>
    </row>
    <row r="268" ht="15.75" customHeight="1">
      <c r="B268" s="838"/>
      <c r="C268" s="839"/>
      <c r="D268" s="840"/>
      <c r="E268" s="509"/>
      <c r="F268" s="509"/>
      <c r="G268" s="511"/>
      <c r="H268" s="511"/>
      <c r="I268" s="512"/>
      <c r="J268" s="513"/>
      <c r="K268" s="522"/>
      <c r="L268" s="841"/>
      <c r="M268" s="841"/>
      <c r="N268" s="842"/>
      <c r="O268" s="513"/>
      <c r="P268" s="841"/>
      <c r="Q268" s="513"/>
      <c r="R268" s="513"/>
      <c r="S268" s="513"/>
      <c r="T268" s="513"/>
      <c r="U268" s="513"/>
      <c r="V268" s="522"/>
      <c r="W268" s="843"/>
      <c r="X268" s="843"/>
      <c r="Y268" s="843"/>
      <c r="Z268" s="843"/>
      <c r="AA268" s="844"/>
      <c r="AB268" s="844"/>
      <c r="AC268" s="844"/>
      <c r="AD268" s="513"/>
      <c r="AE268" s="513"/>
      <c r="AF268" s="522"/>
      <c r="AG268" s="522"/>
      <c r="AH268" s="523"/>
    </row>
    <row r="269" ht="15.75" customHeight="1">
      <c r="B269" s="838"/>
      <c r="C269" s="839"/>
      <c r="D269" s="840"/>
      <c r="E269" s="509"/>
      <c r="F269" s="509"/>
      <c r="G269" s="511"/>
      <c r="H269" s="511"/>
      <c r="I269" s="512"/>
      <c r="J269" s="513"/>
      <c r="K269" s="522"/>
      <c r="L269" s="841"/>
      <c r="M269" s="841"/>
      <c r="N269" s="842"/>
      <c r="O269" s="513"/>
      <c r="P269" s="841"/>
      <c r="Q269" s="513"/>
      <c r="R269" s="513"/>
      <c r="S269" s="513"/>
      <c r="T269" s="513"/>
      <c r="U269" s="513"/>
      <c r="V269" s="522"/>
      <c r="W269" s="843"/>
      <c r="X269" s="843"/>
      <c r="Y269" s="843"/>
      <c r="Z269" s="843"/>
      <c r="AA269" s="844"/>
      <c r="AB269" s="844"/>
      <c r="AC269" s="844"/>
      <c r="AD269" s="513"/>
      <c r="AE269" s="513"/>
      <c r="AF269" s="522"/>
      <c r="AG269" s="522"/>
      <c r="AH269" s="523"/>
    </row>
    <row r="270" ht="15.75" customHeight="1">
      <c r="B270" s="838"/>
      <c r="C270" s="839"/>
      <c r="D270" s="840"/>
      <c r="E270" s="509"/>
      <c r="F270" s="509"/>
      <c r="G270" s="511"/>
      <c r="H270" s="511"/>
      <c r="I270" s="512"/>
      <c r="J270" s="513"/>
      <c r="K270" s="522"/>
      <c r="L270" s="841"/>
      <c r="M270" s="841"/>
      <c r="N270" s="842"/>
      <c r="O270" s="513"/>
      <c r="P270" s="841"/>
      <c r="Q270" s="513"/>
      <c r="R270" s="513"/>
      <c r="S270" s="513"/>
      <c r="T270" s="513"/>
      <c r="U270" s="513"/>
      <c r="V270" s="522"/>
      <c r="W270" s="843"/>
      <c r="X270" s="843"/>
      <c r="Y270" s="843"/>
      <c r="Z270" s="843"/>
      <c r="AA270" s="844"/>
      <c r="AB270" s="844"/>
      <c r="AC270" s="844"/>
      <c r="AD270" s="513"/>
      <c r="AE270" s="513"/>
      <c r="AF270" s="522"/>
      <c r="AG270" s="522"/>
      <c r="AH270" s="523"/>
    </row>
    <row r="271" ht="15.75" customHeight="1">
      <c r="B271" s="838"/>
      <c r="C271" s="839"/>
      <c r="D271" s="840"/>
      <c r="E271" s="509"/>
      <c r="F271" s="509"/>
      <c r="G271" s="511"/>
      <c r="H271" s="511"/>
      <c r="I271" s="512"/>
      <c r="J271" s="513"/>
      <c r="K271" s="522"/>
      <c r="L271" s="841"/>
      <c r="M271" s="841"/>
      <c r="N271" s="842"/>
      <c r="O271" s="513"/>
      <c r="P271" s="841"/>
      <c r="Q271" s="513"/>
      <c r="R271" s="513"/>
      <c r="S271" s="513"/>
      <c r="T271" s="513"/>
      <c r="U271" s="513"/>
      <c r="V271" s="522"/>
      <c r="W271" s="843"/>
      <c r="X271" s="843"/>
      <c r="Y271" s="843"/>
      <c r="Z271" s="843"/>
      <c r="AA271" s="844"/>
      <c r="AB271" s="844"/>
      <c r="AC271" s="844"/>
      <c r="AD271" s="513"/>
      <c r="AE271" s="513"/>
      <c r="AF271" s="522"/>
      <c r="AG271" s="522"/>
      <c r="AH271" s="523"/>
    </row>
    <row r="272" ht="15.75" customHeight="1">
      <c r="B272" s="838"/>
      <c r="C272" s="839"/>
      <c r="D272" s="840"/>
      <c r="E272" s="509"/>
      <c r="F272" s="509"/>
      <c r="G272" s="511"/>
      <c r="H272" s="511"/>
      <c r="I272" s="512"/>
      <c r="J272" s="513"/>
      <c r="K272" s="522"/>
      <c r="L272" s="841"/>
      <c r="M272" s="841"/>
      <c r="N272" s="842"/>
      <c r="O272" s="513"/>
      <c r="P272" s="841"/>
      <c r="Q272" s="513"/>
      <c r="R272" s="513"/>
      <c r="S272" s="513"/>
      <c r="T272" s="513"/>
      <c r="U272" s="513"/>
      <c r="V272" s="522"/>
      <c r="W272" s="843"/>
      <c r="X272" s="843"/>
      <c r="Y272" s="843"/>
      <c r="Z272" s="843"/>
      <c r="AA272" s="844"/>
      <c r="AB272" s="844"/>
      <c r="AC272" s="844"/>
      <c r="AD272" s="513"/>
      <c r="AE272" s="513"/>
      <c r="AF272" s="522"/>
      <c r="AG272" s="522"/>
      <c r="AH272" s="523"/>
    </row>
    <row r="273" ht="15.75" customHeight="1">
      <c r="B273" s="838"/>
      <c r="C273" s="839"/>
      <c r="D273" s="840"/>
      <c r="E273" s="509"/>
      <c r="F273" s="509"/>
      <c r="G273" s="511"/>
      <c r="H273" s="511"/>
      <c r="I273" s="512"/>
      <c r="J273" s="513"/>
      <c r="K273" s="522"/>
      <c r="L273" s="841"/>
      <c r="M273" s="841"/>
      <c r="N273" s="842"/>
      <c r="O273" s="513"/>
      <c r="P273" s="841"/>
      <c r="Q273" s="513"/>
      <c r="R273" s="513"/>
      <c r="S273" s="513"/>
      <c r="T273" s="513"/>
      <c r="U273" s="513"/>
      <c r="V273" s="522"/>
      <c r="W273" s="843"/>
      <c r="X273" s="843"/>
      <c r="Y273" s="843"/>
      <c r="Z273" s="843"/>
      <c r="AA273" s="844"/>
      <c r="AB273" s="844"/>
      <c r="AC273" s="844"/>
      <c r="AD273" s="513"/>
      <c r="AE273" s="513"/>
      <c r="AF273" s="522"/>
      <c r="AG273" s="522"/>
      <c r="AH273" s="523"/>
    </row>
    <row r="274" ht="15.75" customHeight="1">
      <c r="B274" s="838"/>
      <c r="C274" s="839"/>
      <c r="D274" s="840"/>
      <c r="E274" s="509"/>
      <c r="F274" s="509"/>
      <c r="G274" s="511"/>
      <c r="H274" s="511"/>
      <c r="I274" s="512"/>
      <c r="J274" s="513"/>
      <c r="K274" s="522"/>
      <c r="L274" s="841"/>
      <c r="M274" s="841"/>
      <c r="N274" s="842"/>
      <c r="O274" s="513"/>
      <c r="P274" s="841"/>
      <c r="Q274" s="513"/>
      <c r="R274" s="513"/>
      <c r="S274" s="513"/>
      <c r="T274" s="513"/>
      <c r="U274" s="513"/>
      <c r="V274" s="522"/>
      <c r="W274" s="843"/>
      <c r="X274" s="843"/>
      <c r="Y274" s="843"/>
      <c r="Z274" s="843"/>
      <c r="AA274" s="844"/>
      <c r="AB274" s="844"/>
      <c r="AC274" s="844"/>
      <c r="AD274" s="513"/>
      <c r="AE274" s="513"/>
      <c r="AF274" s="522"/>
      <c r="AG274" s="522"/>
      <c r="AH274" s="523"/>
    </row>
    <row r="275" ht="15.75" customHeight="1">
      <c r="B275" s="838"/>
      <c r="C275" s="839"/>
      <c r="D275" s="840"/>
      <c r="E275" s="509"/>
      <c r="F275" s="509"/>
      <c r="G275" s="511"/>
      <c r="H275" s="511"/>
      <c r="I275" s="512"/>
      <c r="J275" s="513"/>
      <c r="K275" s="522"/>
      <c r="L275" s="841"/>
      <c r="M275" s="841"/>
      <c r="N275" s="842"/>
      <c r="O275" s="513"/>
      <c r="P275" s="841"/>
      <c r="Q275" s="513"/>
      <c r="R275" s="513"/>
      <c r="S275" s="513"/>
      <c r="T275" s="513"/>
      <c r="U275" s="513"/>
      <c r="V275" s="522"/>
      <c r="W275" s="843"/>
      <c r="X275" s="843"/>
      <c r="Y275" s="843"/>
      <c r="Z275" s="843"/>
      <c r="AA275" s="844"/>
      <c r="AB275" s="844"/>
      <c r="AC275" s="844"/>
      <c r="AD275" s="513"/>
      <c r="AE275" s="513"/>
      <c r="AF275" s="522"/>
      <c r="AG275" s="522"/>
      <c r="AH275" s="523"/>
    </row>
    <row r="276" ht="15.75" customHeight="1">
      <c r="B276" s="838"/>
      <c r="C276" s="839"/>
      <c r="D276" s="840"/>
      <c r="E276" s="509"/>
      <c r="F276" s="509"/>
      <c r="G276" s="511"/>
      <c r="H276" s="511"/>
      <c r="I276" s="512"/>
      <c r="J276" s="513"/>
      <c r="K276" s="522"/>
      <c r="L276" s="841"/>
      <c r="M276" s="841"/>
      <c r="N276" s="842"/>
      <c r="O276" s="513"/>
      <c r="P276" s="841"/>
      <c r="Q276" s="513"/>
      <c r="R276" s="513"/>
      <c r="S276" s="513"/>
      <c r="T276" s="513"/>
      <c r="U276" s="513"/>
      <c r="V276" s="522"/>
      <c r="W276" s="843"/>
      <c r="X276" s="843"/>
      <c r="Y276" s="843"/>
      <c r="Z276" s="843"/>
      <c r="AA276" s="844"/>
      <c r="AB276" s="844"/>
      <c r="AC276" s="844"/>
      <c r="AD276" s="513"/>
      <c r="AE276" s="513"/>
      <c r="AF276" s="522"/>
      <c r="AG276" s="522"/>
      <c r="AH276" s="523"/>
    </row>
    <row r="277" ht="15.75" customHeight="1">
      <c r="B277" s="838"/>
      <c r="C277" s="839"/>
      <c r="D277" s="840"/>
      <c r="E277" s="509"/>
      <c r="F277" s="509"/>
      <c r="G277" s="511"/>
      <c r="H277" s="511"/>
      <c r="I277" s="512"/>
      <c r="J277" s="513"/>
      <c r="K277" s="522"/>
      <c r="L277" s="841"/>
      <c r="M277" s="841"/>
      <c r="N277" s="842"/>
      <c r="O277" s="513"/>
      <c r="P277" s="841"/>
      <c r="Q277" s="513"/>
      <c r="R277" s="513"/>
      <c r="S277" s="513"/>
      <c r="T277" s="513"/>
      <c r="U277" s="513"/>
      <c r="V277" s="522"/>
      <c r="W277" s="843"/>
      <c r="X277" s="843"/>
      <c r="Y277" s="843"/>
      <c r="Z277" s="843"/>
      <c r="AA277" s="844"/>
      <c r="AB277" s="844"/>
      <c r="AC277" s="844"/>
      <c r="AD277" s="513"/>
      <c r="AE277" s="513"/>
      <c r="AF277" s="522"/>
      <c r="AG277" s="522"/>
      <c r="AH277" s="523"/>
    </row>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N35:N37"/>
    <mergeCell ref="Y35:Y37"/>
  </mergeCells>
  <conditionalFormatting sqref="K2:K10 K12:K19 K21:K53 K56:K58 K61:K65 K67:K68 K74:K77">
    <cfRule type="colorScale" priority="1">
      <colorScale>
        <cfvo type="min"/>
        <cfvo type="percentile" val="50"/>
        <cfvo type="max"/>
        <color rgb="FFE67C73"/>
        <color rgb="FFFFE599"/>
        <color rgb="FF57BB8A"/>
      </colorScale>
    </cfRule>
  </conditionalFormatting>
  <dataValidations>
    <dataValidation type="list" allowBlank="1" showErrorMessage="1" sqref="E25:E39 G25:J49 J50:J53 J56:J58 J61:J65 J74:J77">
      <formula1>"аудит,договор,Ремонт,согласование,хоумстейджинг,закупка,комплектация,фотосессия,обработка фото,объявление,синхронизация с РК,Выполнено"</formula1>
    </dataValidation>
    <dataValidation type="list" allowBlank="1" showErrorMessage="1" sqref="AG25:AG53 AG56:AG58 AG61:AG65 AG74:AG77">
      <formula1>"да,нет"</formula1>
    </dataValidation>
    <dataValidation type="list" allowBlank="1" showErrorMessage="1" sqref="O25:P39 O49:P49 P51:P65 P74:P77">
      <formula1>"Дина,Нина,Алеся,нет"</formula1>
    </dataValidation>
    <dataValidation type="list" allowBlank="1" showErrorMessage="1" sqref="O50:O113">
      <formula1>"мави,соб"</formula1>
    </dataValidation>
    <dataValidation type="list" allowBlank="1" showErrorMessage="1" sqref="AE50:AE117">
      <formula1>"выполнено,не выполнено,не в полном объеме"</formula1>
    </dataValidation>
  </dataValidations>
  <hyperlinks>
    <hyperlink r:id="rId2" ref="N25"/>
    <hyperlink r:id="rId3" location="gid=0" ref="N26"/>
    <hyperlink r:id="rId4" ref="W26"/>
    <hyperlink r:id="rId5" ref="X26"/>
    <hyperlink r:id="rId6" ref="N27"/>
    <hyperlink r:id="rId7" ref="W27"/>
    <hyperlink r:id="rId8" ref="X27"/>
    <hyperlink r:id="rId9" ref="N28"/>
    <hyperlink r:id="rId10" ref="N29"/>
    <hyperlink r:id="rId11" ref="W29"/>
    <hyperlink r:id="rId12" ref="X29"/>
    <hyperlink r:id="rId13" ref="Y29"/>
    <hyperlink r:id="rId14" ref="N30"/>
    <hyperlink r:id="rId15" ref="W30"/>
    <hyperlink r:id="rId16" ref="X30"/>
    <hyperlink r:id="rId17" ref="N31"/>
    <hyperlink r:id="rId18" ref="W31"/>
    <hyperlink r:id="rId19" ref="X31"/>
    <hyperlink r:id="rId20" location="gid=0" ref="N32"/>
    <hyperlink r:id="rId21" ref="W32"/>
    <hyperlink r:id="rId22" ref="X32"/>
    <hyperlink r:id="rId23" location="gid=0" ref="N33"/>
    <hyperlink r:id="rId24" ref="W33"/>
    <hyperlink r:id="rId25" ref="X33"/>
    <hyperlink r:id="rId26" ref="N34"/>
    <hyperlink r:id="rId27" ref="W34"/>
    <hyperlink r:id="rId28" ref="X34"/>
    <hyperlink r:id="rId29" location="gid=0" ref="N35"/>
    <hyperlink r:id="rId30" ref="W35"/>
    <hyperlink r:id="rId31" ref="Y35"/>
    <hyperlink r:id="rId32" ref="W36"/>
    <hyperlink r:id="rId33" ref="W37"/>
    <hyperlink r:id="rId34" location="gid=691998796" ref="N38"/>
    <hyperlink r:id="rId35" ref="W38"/>
    <hyperlink r:id="rId36" ref="X38"/>
    <hyperlink r:id="rId37" ref="N39"/>
    <hyperlink r:id="rId38" location="gid=0" ref="N40"/>
    <hyperlink r:id="rId39" location="gid=0" ref="P40"/>
    <hyperlink r:id="rId40" ref="W40"/>
    <hyperlink r:id="rId41" ref="X40"/>
    <hyperlink r:id="rId42" ref="Y40"/>
    <hyperlink r:id="rId43" ref="W41"/>
    <hyperlink r:id="rId44" ref="Y41"/>
    <hyperlink r:id="rId45" ref="W42"/>
    <hyperlink r:id="rId46" ref="X42"/>
    <hyperlink r:id="rId47" ref="Y42"/>
    <hyperlink r:id="rId48" ref="W43"/>
    <hyperlink r:id="rId49" ref="X43"/>
    <hyperlink r:id="rId50" ref="Y43"/>
    <hyperlink r:id="rId51" ref="W44"/>
    <hyperlink r:id="rId52" ref="Y44"/>
    <hyperlink r:id="rId53" ref="W45"/>
    <hyperlink r:id="rId54" ref="X45"/>
    <hyperlink r:id="rId55" ref="Y45"/>
    <hyperlink r:id="rId56" ref="W46"/>
    <hyperlink r:id="rId57" ref="W47"/>
    <hyperlink r:id="rId58" ref="W48"/>
    <hyperlink r:id="rId59" location="gid=3500227" ref="N49"/>
    <hyperlink r:id="rId60" ref="W49"/>
    <hyperlink r:id="rId61" ref="N50"/>
    <hyperlink r:id="rId62" ref="W50"/>
    <hyperlink r:id="rId63" location="gid=0" ref="N52"/>
    <hyperlink r:id="rId64" location="gid=0" ref="N53"/>
  </hyperlinks>
  <drawing r:id="rId65"/>
  <legacyDrawing r:id="rId6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0"/>
  <cols>
    <col customWidth="1" min="1" max="1" width="1.5"/>
    <col customWidth="1" min="2" max="2" width="7.38"/>
    <col customWidth="1" min="3" max="3" width="14.5"/>
    <col customWidth="1" min="4" max="4" width="4.13"/>
    <col customWidth="1" hidden="1" min="5" max="5" width="8.25"/>
    <col customWidth="1" min="6" max="6" width="7.0"/>
    <col customWidth="1" min="7" max="7" width="6.13"/>
    <col customWidth="1" min="8" max="8" width="6.25"/>
    <col customWidth="1" min="9" max="9" width="7.5"/>
    <col customWidth="1" min="10" max="10" width="7.25"/>
    <col customWidth="1" min="11" max="14" width="6.5"/>
    <col customWidth="1" min="15" max="46" width="2.5"/>
  </cols>
  <sheetData>
    <row r="1" ht="9.75" customHeight="1">
      <c r="A1" s="845"/>
      <c r="B1" s="845"/>
      <c r="C1" s="846"/>
      <c r="D1" s="847"/>
      <c r="E1" s="848"/>
      <c r="F1" s="849" t="s">
        <v>1025</v>
      </c>
      <c r="G1" s="850" t="s">
        <v>1025</v>
      </c>
      <c r="H1" s="850" t="s">
        <v>1026</v>
      </c>
      <c r="I1" s="850" t="s">
        <v>1026</v>
      </c>
      <c r="J1" s="850" t="s">
        <v>1026</v>
      </c>
      <c r="K1" s="850"/>
      <c r="L1" s="850"/>
      <c r="M1" s="850"/>
      <c r="N1" s="850"/>
      <c r="O1" s="850"/>
      <c r="P1" s="850"/>
      <c r="Q1" s="850"/>
      <c r="R1" s="851"/>
      <c r="AE1" s="850"/>
      <c r="AF1" s="850"/>
      <c r="AG1" s="850"/>
      <c r="AH1" s="851"/>
    </row>
    <row r="2" ht="15.75" customHeight="1">
      <c r="A2" s="852"/>
      <c r="B2" s="852"/>
      <c r="C2" s="853"/>
      <c r="D2" s="854"/>
      <c r="E2" s="855" t="s">
        <v>1027</v>
      </c>
      <c r="F2" s="856" t="s">
        <v>1028</v>
      </c>
      <c r="G2" s="857"/>
      <c r="H2" s="858"/>
      <c r="I2" s="859" t="s">
        <v>1029</v>
      </c>
      <c r="J2" s="860"/>
      <c r="K2" s="861" t="s">
        <v>1030</v>
      </c>
      <c r="L2" s="860"/>
      <c r="M2" s="862" t="s">
        <v>1031</v>
      </c>
      <c r="N2" s="860"/>
      <c r="O2" s="863" t="s">
        <v>1032</v>
      </c>
      <c r="P2" s="864"/>
      <c r="Q2" s="864"/>
      <c r="R2" s="864"/>
      <c r="S2" s="864"/>
      <c r="T2" s="864"/>
      <c r="U2" s="864"/>
      <c r="V2" s="864"/>
      <c r="W2" s="864"/>
      <c r="X2" s="864"/>
      <c r="Y2" s="864"/>
      <c r="Z2" s="864"/>
      <c r="AA2" s="864"/>
      <c r="AB2" s="864"/>
      <c r="AC2" s="864"/>
      <c r="AD2" s="865"/>
      <c r="AE2" s="863" t="s">
        <v>1033</v>
      </c>
      <c r="AF2" s="864"/>
      <c r="AG2" s="864"/>
      <c r="AH2" s="864"/>
      <c r="AI2" s="864"/>
      <c r="AJ2" s="864"/>
      <c r="AK2" s="864"/>
      <c r="AL2" s="864"/>
      <c r="AM2" s="864"/>
      <c r="AN2" s="864"/>
      <c r="AO2" s="864"/>
      <c r="AP2" s="864"/>
      <c r="AQ2" s="864"/>
      <c r="AR2" s="864"/>
      <c r="AS2" s="864"/>
      <c r="AT2" s="865"/>
    </row>
    <row r="3" ht="24.75" customHeight="1">
      <c r="A3" s="866"/>
      <c r="B3" s="867" t="s">
        <v>903</v>
      </c>
      <c r="C3" s="868" t="s">
        <v>303</v>
      </c>
      <c r="D3" s="869" t="s">
        <v>1034</v>
      </c>
      <c r="E3" s="870" t="s">
        <v>1035</v>
      </c>
      <c r="F3" s="871" t="s">
        <v>1036</v>
      </c>
      <c r="G3" s="872" t="s">
        <v>1037</v>
      </c>
      <c r="H3" s="873" t="s">
        <v>1038</v>
      </c>
      <c r="I3" s="874" t="s">
        <v>1036</v>
      </c>
      <c r="J3" s="875" t="s">
        <v>1037</v>
      </c>
      <c r="K3" s="876"/>
      <c r="L3" s="876"/>
      <c r="M3" s="877"/>
      <c r="N3" s="877"/>
      <c r="O3" s="878">
        <v>1.0</v>
      </c>
      <c r="P3" s="878">
        <v>2.0</v>
      </c>
      <c r="Q3" s="879">
        <v>3.0</v>
      </c>
      <c r="R3" s="878">
        <v>4.0</v>
      </c>
      <c r="S3" s="878">
        <v>5.0</v>
      </c>
      <c r="T3" s="880" t="s">
        <v>1039</v>
      </c>
      <c r="U3" s="881">
        <v>6.0</v>
      </c>
      <c r="V3" s="878">
        <v>7.0</v>
      </c>
      <c r="W3" s="878">
        <v>8.0</v>
      </c>
      <c r="X3" s="878">
        <v>9.0</v>
      </c>
      <c r="Y3" s="882" t="s">
        <v>1040</v>
      </c>
      <c r="Z3" s="878">
        <v>10.0</v>
      </c>
      <c r="AA3" s="878">
        <v>11.0</v>
      </c>
      <c r="AB3" s="878">
        <v>12.0</v>
      </c>
      <c r="AC3" s="878">
        <v>13.0</v>
      </c>
      <c r="AD3" s="883" t="s">
        <v>1041</v>
      </c>
      <c r="AE3" s="884">
        <v>1.0</v>
      </c>
      <c r="AF3" s="884">
        <v>2.0</v>
      </c>
      <c r="AG3" s="885">
        <v>3.0</v>
      </c>
      <c r="AH3" s="884">
        <v>4.0</v>
      </c>
      <c r="AI3" s="884">
        <v>5.0</v>
      </c>
      <c r="AJ3" s="886" t="s">
        <v>1042</v>
      </c>
      <c r="AK3" s="881">
        <v>6.0</v>
      </c>
      <c r="AL3" s="878">
        <v>7.0</v>
      </c>
      <c r="AM3" s="878">
        <v>8.0</v>
      </c>
      <c r="AN3" s="878">
        <v>9.0</v>
      </c>
      <c r="AO3" s="883" t="s">
        <v>1043</v>
      </c>
      <c r="AP3" s="878">
        <v>10.0</v>
      </c>
      <c r="AQ3" s="878">
        <v>11.0</v>
      </c>
      <c r="AR3" s="878">
        <v>12.0</v>
      </c>
      <c r="AS3" s="878">
        <v>13.0</v>
      </c>
      <c r="AT3" s="887" t="s">
        <v>1041</v>
      </c>
    </row>
    <row r="4" ht="15.0" customHeight="1">
      <c r="A4" s="888"/>
      <c r="B4" s="889" t="s">
        <v>23</v>
      </c>
      <c r="C4" s="890" t="s">
        <v>1044</v>
      </c>
      <c r="D4" s="891">
        <v>45129.0</v>
      </c>
      <c r="E4" s="892">
        <f t="shared" ref="E4:E18" si="1">F4+I4+K4+M4</f>
        <v>2</v>
      </c>
      <c r="F4" s="893">
        <f>IFERROR(VLOOKUP(C4,'Лист20'!$A$1:$C1088,2,0),0)</f>
        <v>0</v>
      </c>
      <c r="G4" s="894">
        <f>IFERROR(VLOOKUP(C4,'Лист20'!$A$1:$C1088,3,0),0)</f>
        <v>0</v>
      </c>
      <c r="H4" s="895" t="b">
        <v>0</v>
      </c>
      <c r="I4" s="896">
        <v>2.0</v>
      </c>
      <c r="J4" s="897">
        <v>9.0</v>
      </c>
      <c r="K4" s="898"/>
      <c r="L4" s="898"/>
      <c r="M4" s="898"/>
      <c r="N4" s="898"/>
      <c r="O4" s="899"/>
      <c r="P4" s="900"/>
      <c r="Q4" s="900"/>
      <c r="R4" s="901"/>
      <c r="S4" s="902"/>
      <c r="T4" s="903">
        <f t="shared" ref="T4:T18" si="2">SUM(O4:S4)</f>
        <v>0</v>
      </c>
      <c r="U4" s="902"/>
      <c r="V4" s="902"/>
      <c r="W4" s="902"/>
      <c r="X4" s="902"/>
      <c r="Y4" s="904">
        <f t="shared" ref="Y4:Y18" si="3">SUM(U4:X4)</f>
        <v>0</v>
      </c>
      <c r="Z4" s="902"/>
      <c r="AA4" s="902"/>
      <c r="AB4" s="905"/>
      <c r="AC4" s="905"/>
      <c r="AD4" s="906"/>
      <c r="AE4" s="907">
        <f>COUNTIF('выгрузка отзывов'!$B$34:$B$39,C4)</f>
        <v>0</v>
      </c>
      <c r="AF4" s="908">
        <f>COUNTIF('выгрузка отзывов'!$B$25:$B$33,C4)</f>
        <v>0</v>
      </c>
      <c r="AG4" s="908">
        <f>COUNTIF('выгрузка отзывов'!$B$18:$B$24,C4)</f>
        <v>0</v>
      </c>
      <c r="AH4" s="908">
        <f>COUNTIF('выгрузка отзывов'!$B$11:$B$17,C4)</f>
        <v>0</v>
      </c>
      <c r="AI4" s="908">
        <f>COUNTIF('выгрузка отзывов'!$B$8:$B$10,C4)</f>
        <v>0</v>
      </c>
      <c r="AJ4" s="909">
        <f t="shared" ref="AJ4:AJ31" si="4">SUM(AE4:AI4)</f>
        <v>0</v>
      </c>
      <c r="AK4" s="908">
        <f>COUNTIF('выгрузка отзывов'!$B$2:$B$7,$C4)</f>
        <v>0</v>
      </c>
      <c r="AL4" s="908">
        <f>COUNTIF('выгрузка отзывов'!$B$2:$B$7,$C4)</f>
        <v>0</v>
      </c>
      <c r="AM4" s="908">
        <f>COUNTIF('выгрузка отзывов'!$B$2:$B$7,$C4)</f>
        <v>0</v>
      </c>
      <c r="AN4" s="902"/>
      <c r="AO4" s="902">
        <f t="shared" ref="AO4:AO18" si="5">SUM(AK4:AN4)</f>
        <v>0</v>
      </c>
      <c r="AP4" s="902"/>
      <c r="AQ4" s="902"/>
      <c r="AR4" s="905"/>
      <c r="AS4" s="905"/>
      <c r="AT4" s="910"/>
    </row>
    <row r="5" ht="15.0" customHeight="1">
      <c r="A5" s="911"/>
      <c r="B5" s="889" t="s">
        <v>23</v>
      </c>
      <c r="C5" s="912" t="str">
        <f>'1. Справочник'!C3</f>
        <v>WS F 907</v>
      </c>
      <c r="D5" s="913">
        <v>45161.0</v>
      </c>
      <c r="E5" s="914">
        <f t="shared" si="1"/>
        <v>8</v>
      </c>
      <c r="F5" s="915">
        <f>IFERROR(VLOOKUP(C5,'Лист20'!$A$1:$C1088,2,0),0)</f>
        <v>0</v>
      </c>
      <c r="G5" s="916">
        <f>IFERROR(VLOOKUP(C5,'Лист20'!$A$1:$C1088,3,0),0)</f>
        <v>0</v>
      </c>
      <c r="H5" s="917" t="b">
        <v>1</v>
      </c>
      <c r="I5" s="918">
        <v>8.0</v>
      </c>
      <c r="J5" s="919">
        <v>9.2</v>
      </c>
      <c r="K5" s="919"/>
      <c r="L5" s="919"/>
      <c r="M5" s="919"/>
      <c r="N5" s="919"/>
      <c r="O5" s="920"/>
      <c r="P5" s="921"/>
      <c r="Q5" s="921"/>
      <c r="R5" s="922"/>
      <c r="S5" s="922"/>
      <c r="T5" s="903">
        <f t="shared" si="2"/>
        <v>0</v>
      </c>
      <c r="U5" s="922"/>
      <c r="V5" s="922"/>
      <c r="W5" s="922"/>
      <c r="X5" s="922"/>
      <c r="Y5" s="904">
        <f t="shared" si="3"/>
        <v>0</v>
      </c>
      <c r="Z5" s="922"/>
      <c r="AA5" s="922"/>
      <c r="AB5" s="923"/>
      <c r="AC5" s="923"/>
      <c r="AD5" s="924"/>
      <c r="AE5" s="925">
        <f>COUNTIF('выгрузка отзывов'!$B$34:$B$39,C5)</f>
        <v>0</v>
      </c>
      <c r="AF5" s="926">
        <f>COUNTIF('выгрузка отзывов'!$B$25:$B$33,C5)</f>
        <v>0</v>
      </c>
      <c r="AG5" s="926">
        <f>COUNTIF('выгрузка отзывов'!$B$18:$B$24,C5)</f>
        <v>0</v>
      </c>
      <c r="AH5" s="902">
        <f>COUNTIF('выгрузка отзывов'!$B$11:$B$17,C5)</f>
        <v>0</v>
      </c>
      <c r="AI5" s="902">
        <f>COUNTIF('выгрузка отзывов'!$B$8:$B$10,C5)</f>
        <v>0</v>
      </c>
      <c r="AJ5" s="927">
        <f t="shared" si="4"/>
        <v>0</v>
      </c>
      <c r="AK5" s="922">
        <f>COUNTIF('выгрузка отзывов'!$B$2:$B$7,$C5)</f>
        <v>0</v>
      </c>
      <c r="AL5" s="922">
        <f>COUNTIF('выгрузка отзывов'!$B$2:$B$7,$C5)</f>
        <v>0</v>
      </c>
      <c r="AM5" s="922">
        <f>COUNTIF('выгрузка отзывов'!$B$2:$B$7,$C5)</f>
        <v>0</v>
      </c>
      <c r="AN5" s="922"/>
      <c r="AO5" s="902">
        <f t="shared" si="5"/>
        <v>0</v>
      </c>
      <c r="AP5" s="922"/>
      <c r="AQ5" s="922"/>
      <c r="AR5" s="923"/>
      <c r="AS5" s="923"/>
      <c r="AT5" s="928"/>
    </row>
    <row r="6" ht="15.0" customHeight="1">
      <c r="A6" s="911"/>
      <c r="B6" s="889" t="s">
        <v>23</v>
      </c>
      <c r="C6" s="912" t="str">
        <f>'1. Справочник'!C4</f>
        <v>WS В 212</v>
      </c>
      <c r="D6" s="913">
        <v>45129.0</v>
      </c>
      <c r="E6" s="914">
        <f t="shared" si="1"/>
        <v>14</v>
      </c>
      <c r="F6" s="929">
        <f>IFERROR(VLOOKUP(C6,'Лист20'!$A$1:$C1088,2,0),0)</f>
        <v>0</v>
      </c>
      <c r="G6" s="916">
        <f>IFERROR(VLOOKUP(C6,'Лист20'!$A$1:$C1088,3,0),0)</f>
        <v>0</v>
      </c>
      <c r="H6" s="917" t="b">
        <v>0</v>
      </c>
      <c r="I6" s="918">
        <v>14.0</v>
      </c>
      <c r="J6" s="919">
        <v>9.8</v>
      </c>
      <c r="K6" s="919"/>
      <c r="L6" s="919"/>
      <c r="M6" s="919"/>
      <c r="N6" s="919"/>
      <c r="O6" s="920"/>
      <c r="P6" s="921"/>
      <c r="Q6" s="921"/>
      <c r="R6" s="922"/>
      <c r="S6" s="922"/>
      <c r="T6" s="903">
        <f t="shared" si="2"/>
        <v>0</v>
      </c>
      <c r="U6" s="922"/>
      <c r="V6" s="922"/>
      <c r="W6" s="922"/>
      <c r="X6" s="922"/>
      <c r="Y6" s="904">
        <f t="shared" si="3"/>
        <v>0</v>
      </c>
      <c r="Z6" s="922"/>
      <c r="AA6" s="922"/>
      <c r="AB6" s="923"/>
      <c r="AC6" s="923"/>
      <c r="AD6" s="924"/>
      <c r="AE6" s="920">
        <f>COUNTIF('выгрузка отзывов'!$B$34:$B$39,C6)</f>
        <v>0</v>
      </c>
      <c r="AF6" s="921">
        <f>COUNTIF('выгрузка отзывов'!$B$25:$B$33,C6)</f>
        <v>0</v>
      </c>
      <c r="AG6" s="921">
        <f>COUNTIF('выгрузка отзывов'!$B$18:$B$24,C6)</f>
        <v>0</v>
      </c>
      <c r="AH6" s="922">
        <f>COUNTIF('выгрузка отзывов'!$B$11:$B$17,C6)</f>
        <v>0</v>
      </c>
      <c r="AI6" s="922">
        <f>COUNTIF('выгрузка отзывов'!$B$8:$B$10,C6)</f>
        <v>0</v>
      </c>
      <c r="AJ6" s="927">
        <f t="shared" si="4"/>
        <v>0</v>
      </c>
      <c r="AK6" s="922">
        <f>COUNTIF('выгрузка отзывов'!$B$2:$B$7,$C6)</f>
        <v>0</v>
      </c>
      <c r="AL6" s="922">
        <f>COUNTIF('выгрузка отзывов'!$B$2:$B$7,$C6)</f>
        <v>0</v>
      </c>
      <c r="AM6" s="922">
        <f>COUNTIF('выгрузка отзывов'!$B$2:$B$7,$C6)</f>
        <v>0</v>
      </c>
      <c r="AN6" s="922"/>
      <c r="AO6" s="902">
        <f t="shared" si="5"/>
        <v>0</v>
      </c>
      <c r="AP6" s="922"/>
      <c r="AQ6" s="922"/>
      <c r="AR6" s="923"/>
      <c r="AS6" s="923"/>
      <c r="AT6" s="928"/>
    </row>
    <row r="7" ht="15.0" customHeight="1">
      <c r="A7" s="911"/>
      <c r="B7" s="889" t="s">
        <v>23</v>
      </c>
      <c r="C7" s="912" t="str">
        <f>'1. Справочник'!C5</f>
        <v>WS В 1510</v>
      </c>
      <c r="D7" s="913">
        <v>45283.0</v>
      </c>
      <c r="E7" s="914">
        <f t="shared" si="1"/>
        <v>4</v>
      </c>
      <c r="F7" s="929">
        <f>IFERROR(VLOOKUP(C7,'Лист20'!$A$1:$C1088,2,0),0)</f>
        <v>0</v>
      </c>
      <c r="G7" s="930">
        <f>IFERROR(VLOOKUP(C7,'Лист20'!$A$1:$C1088,3,0),0)</f>
        <v>0</v>
      </c>
      <c r="H7" s="917" t="b">
        <v>1</v>
      </c>
      <c r="I7" s="918">
        <v>4.0</v>
      </c>
      <c r="J7" s="919">
        <v>9.5</v>
      </c>
      <c r="K7" s="919"/>
      <c r="L7" s="919"/>
      <c r="M7" s="919"/>
      <c r="N7" s="919"/>
      <c r="O7" s="920"/>
      <c r="P7" s="921"/>
      <c r="Q7" s="921"/>
      <c r="R7" s="922"/>
      <c r="S7" s="922"/>
      <c r="T7" s="903">
        <f t="shared" si="2"/>
        <v>0</v>
      </c>
      <c r="U7" s="922"/>
      <c r="V7" s="922"/>
      <c r="W7" s="922"/>
      <c r="X7" s="922"/>
      <c r="Y7" s="904">
        <f t="shared" si="3"/>
        <v>0</v>
      </c>
      <c r="Z7" s="922"/>
      <c r="AA7" s="922"/>
      <c r="AB7" s="923"/>
      <c r="AC7" s="923"/>
      <c r="AD7" s="924"/>
      <c r="AE7" s="920">
        <f>COUNTIF('выгрузка отзывов'!$B$34:$B$39,C7)</f>
        <v>0</v>
      </c>
      <c r="AF7" s="921">
        <f>COUNTIF('выгрузка отзывов'!$B$25:$B$33,C7)</f>
        <v>0</v>
      </c>
      <c r="AG7" s="921">
        <f>COUNTIF('выгрузка отзывов'!$B$18:$B$24,C7)</f>
        <v>0</v>
      </c>
      <c r="AH7" s="922">
        <f>COUNTIF('выгрузка отзывов'!$B$11:$B$17,C7)</f>
        <v>0</v>
      </c>
      <c r="AI7" s="922">
        <f>COUNTIF('выгрузка отзывов'!$B$8:$B$10,C7)</f>
        <v>0</v>
      </c>
      <c r="AJ7" s="927">
        <f t="shared" si="4"/>
        <v>0</v>
      </c>
      <c r="AK7" s="922">
        <f>COUNTIF('выгрузка отзывов'!$B$2:$B$7,$C7)</f>
        <v>0</v>
      </c>
      <c r="AL7" s="922">
        <f>COUNTIF('выгрузка отзывов'!$B$2:$B$7,$C7)</f>
        <v>0</v>
      </c>
      <c r="AM7" s="922">
        <f>COUNTIF('выгрузка отзывов'!$B$2:$B$7,$C7)</f>
        <v>0</v>
      </c>
      <c r="AN7" s="922"/>
      <c r="AO7" s="902">
        <f t="shared" si="5"/>
        <v>0</v>
      </c>
      <c r="AP7" s="922"/>
      <c r="AQ7" s="922"/>
      <c r="AR7" s="923"/>
      <c r="AS7" s="923"/>
      <c r="AT7" s="928"/>
    </row>
    <row r="8" ht="15.0" customHeight="1">
      <c r="A8" s="931"/>
      <c r="B8" s="889" t="s">
        <v>23</v>
      </c>
      <c r="C8" s="912" t="str">
        <f>'1. Справочник'!C6</f>
        <v>WS В 807</v>
      </c>
      <c r="D8" s="932" t="s">
        <v>1045</v>
      </c>
      <c r="E8" s="914">
        <f t="shared" si="1"/>
        <v>0</v>
      </c>
      <c r="F8" s="929">
        <f>IFERROR(VLOOKUP(C8,'Лист20'!$A$1:$C1088,2,0),0)</f>
        <v>0</v>
      </c>
      <c r="G8" s="930">
        <f>IFERROR(VLOOKUP(C8,'Лист20'!$A$1:$C1088,3,0),0)</f>
        <v>0</v>
      </c>
      <c r="H8" s="917" t="b">
        <v>0</v>
      </c>
      <c r="I8" s="918"/>
      <c r="J8" s="919"/>
      <c r="K8" s="919"/>
      <c r="L8" s="919"/>
      <c r="M8" s="919"/>
      <c r="N8" s="919"/>
      <c r="O8" s="920"/>
      <c r="P8" s="921"/>
      <c r="Q8" s="921"/>
      <c r="R8" s="922"/>
      <c r="S8" s="922"/>
      <c r="T8" s="903">
        <f t="shared" si="2"/>
        <v>0</v>
      </c>
      <c r="U8" s="922"/>
      <c r="V8" s="922"/>
      <c r="W8" s="922"/>
      <c r="X8" s="922"/>
      <c r="Y8" s="904">
        <f t="shared" si="3"/>
        <v>0</v>
      </c>
      <c r="Z8" s="922"/>
      <c r="AA8" s="922"/>
      <c r="AB8" s="923"/>
      <c r="AC8" s="923"/>
      <c r="AD8" s="924"/>
      <c r="AE8" s="920">
        <f>COUNTIF('выгрузка отзывов'!$B$34:$B$39,C8)</f>
        <v>0</v>
      </c>
      <c r="AF8" s="921">
        <f>COUNTIF('выгрузка отзывов'!$B$25:$B$33,C8)</f>
        <v>0</v>
      </c>
      <c r="AG8" s="921">
        <f>COUNTIF('выгрузка отзывов'!$B$18:$B$24,C8)</f>
        <v>0</v>
      </c>
      <c r="AH8" s="922">
        <f>COUNTIF('выгрузка отзывов'!$B$11:$B$17,C8)</f>
        <v>0</v>
      </c>
      <c r="AI8" s="922">
        <f>COUNTIF('выгрузка отзывов'!$B$8:$B$10,C8)</f>
        <v>0</v>
      </c>
      <c r="AJ8" s="927">
        <f t="shared" si="4"/>
        <v>0</v>
      </c>
      <c r="AK8" s="922">
        <f>COUNTIF('выгрузка отзывов'!$B$2:$B$7,$C8)</f>
        <v>0</v>
      </c>
      <c r="AL8" s="922">
        <f>COUNTIF('выгрузка отзывов'!$B$2:$B$7,$C8)</f>
        <v>0</v>
      </c>
      <c r="AM8" s="922">
        <f>COUNTIF('выгрузка отзывов'!$B$2:$B$7,$C8)</f>
        <v>0</v>
      </c>
      <c r="AN8" s="922"/>
      <c r="AO8" s="902">
        <f t="shared" si="5"/>
        <v>0</v>
      </c>
      <c r="AP8" s="922"/>
      <c r="AQ8" s="922"/>
      <c r="AR8" s="923"/>
      <c r="AS8" s="923"/>
      <c r="AT8" s="928"/>
    </row>
    <row r="9" ht="15.0" customHeight="1">
      <c r="A9" s="931"/>
      <c r="B9" s="889" t="s">
        <v>23</v>
      </c>
      <c r="C9" s="912" t="s">
        <v>1046</v>
      </c>
      <c r="D9" s="913">
        <v>45374.0</v>
      </c>
      <c r="E9" s="914">
        <f t="shared" si="1"/>
        <v>1</v>
      </c>
      <c r="F9" s="929">
        <f>IFERROR(VLOOKUP(C9,'Лист20'!$A$1:$C1088,2,0),0)</f>
        <v>0</v>
      </c>
      <c r="G9" s="933">
        <f>IFERROR(VLOOKUP(C9,'Лист20'!$A$1:$C1088,3,0),0)</f>
        <v>0</v>
      </c>
      <c r="H9" s="917" t="b">
        <v>1</v>
      </c>
      <c r="I9" s="918">
        <v>1.0</v>
      </c>
      <c r="J9" s="919">
        <v>10.0</v>
      </c>
      <c r="K9" s="919"/>
      <c r="L9" s="919"/>
      <c r="M9" s="919"/>
      <c r="N9" s="919"/>
      <c r="O9" s="920"/>
      <c r="P9" s="921"/>
      <c r="Q9" s="921"/>
      <c r="R9" s="922"/>
      <c r="S9" s="922"/>
      <c r="T9" s="903">
        <f t="shared" si="2"/>
        <v>0</v>
      </c>
      <c r="U9" s="922"/>
      <c r="V9" s="922"/>
      <c r="W9" s="922"/>
      <c r="X9" s="922"/>
      <c r="Y9" s="904">
        <f t="shared" si="3"/>
        <v>0</v>
      </c>
      <c r="Z9" s="922"/>
      <c r="AA9" s="922"/>
      <c r="AB9" s="923"/>
      <c r="AC9" s="923"/>
      <c r="AD9" s="924"/>
      <c r="AE9" s="920">
        <f>COUNTIF('выгрузка отзывов'!$B$34:$B$39,C9)</f>
        <v>0</v>
      </c>
      <c r="AF9" s="921">
        <f>COUNTIF('выгрузка отзывов'!$B$25:$B$33,C9)</f>
        <v>1</v>
      </c>
      <c r="AG9" s="921">
        <f>COUNTIF('выгрузка отзывов'!$B$18:$B$24,C9)</f>
        <v>0</v>
      </c>
      <c r="AH9" s="922">
        <f>COUNTIF('выгрузка отзывов'!$B$11:$B$17,C9)</f>
        <v>0</v>
      </c>
      <c r="AI9" s="922">
        <f>COUNTIF('выгрузка отзывов'!$B$8:$B$10,C9)</f>
        <v>0</v>
      </c>
      <c r="AJ9" s="927">
        <f t="shared" si="4"/>
        <v>1</v>
      </c>
      <c r="AK9" s="922">
        <f>COUNTIF('выгрузка отзывов'!$B$2:$B$7,$C9)</f>
        <v>0</v>
      </c>
      <c r="AL9" s="922">
        <f>COUNTIF('выгрузка отзывов'!$B$2:$B$7,$C9)</f>
        <v>0</v>
      </c>
      <c r="AM9" s="922">
        <f>COUNTIF('выгрузка отзывов'!$B$2:$B$7,$C9)</f>
        <v>0</v>
      </c>
      <c r="AN9" s="922"/>
      <c r="AO9" s="902">
        <f t="shared" si="5"/>
        <v>0</v>
      </c>
      <c r="AP9" s="922"/>
      <c r="AQ9" s="922"/>
      <c r="AR9" s="923"/>
      <c r="AS9" s="923"/>
      <c r="AT9" s="928"/>
    </row>
    <row r="10" ht="15.0" customHeight="1">
      <c r="A10" s="911"/>
      <c r="B10" s="889" t="s">
        <v>23</v>
      </c>
      <c r="C10" s="912" t="str">
        <f>'1. Справочник'!C8</f>
        <v>WS A 409</v>
      </c>
      <c r="D10" s="913">
        <v>45448.0</v>
      </c>
      <c r="E10" s="914">
        <f t="shared" si="1"/>
        <v>0</v>
      </c>
      <c r="F10" s="929">
        <f>IFERROR(VLOOKUP(C10,'Лист20'!$A$1:$C1088,2,0),0)</f>
        <v>0</v>
      </c>
      <c r="G10" s="933">
        <f>IFERROR(VLOOKUP(C10,'Лист20'!$A$1:$C1088,3,0),0)</f>
        <v>0</v>
      </c>
      <c r="H10" s="917" t="b">
        <v>1</v>
      </c>
      <c r="I10" s="934">
        <v>0.0</v>
      </c>
      <c r="J10" s="935"/>
      <c r="K10" s="936"/>
      <c r="L10" s="936"/>
      <c r="M10" s="936"/>
      <c r="N10" s="936"/>
      <c r="O10" s="920"/>
      <c r="P10" s="921"/>
      <c r="Q10" s="921"/>
      <c r="R10" s="922"/>
      <c r="S10" s="922"/>
      <c r="T10" s="903">
        <f t="shared" si="2"/>
        <v>0</v>
      </c>
      <c r="U10" s="922"/>
      <c r="V10" s="922"/>
      <c r="W10" s="922"/>
      <c r="X10" s="922"/>
      <c r="Y10" s="904">
        <f t="shared" si="3"/>
        <v>0</v>
      </c>
      <c r="Z10" s="922"/>
      <c r="AA10" s="922"/>
      <c r="AB10" s="923"/>
      <c r="AC10" s="923"/>
      <c r="AD10" s="924"/>
      <c r="AE10" s="920">
        <f>COUNTIF('выгрузка отзывов'!$B$34:$B$39,C10)</f>
        <v>0</v>
      </c>
      <c r="AF10" s="921">
        <f>COUNTIF('выгрузка отзывов'!$B$25:$B$33,C10)</f>
        <v>0</v>
      </c>
      <c r="AG10" s="921">
        <f>COUNTIF('выгрузка отзывов'!$B$18:$B$24,C10)</f>
        <v>0</v>
      </c>
      <c r="AH10" s="922">
        <f>COUNTIF('выгрузка отзывов'!$B$11:$B$17,C10)</f>
        <v>0</v>
      </c>
      <c r="AI10" s="922">
        <f>COUNTIF('выгрузка отзывов'!$B$8:$B$10,C10)</f>
        <v>0</v>
      </c>
      <c r="AJ10" s="927">
        <f t="shared" si="4"/>
        <v>0</v>
      </c>
      <c r="AK10" s="922">
        <f>COUNTIF('выгрузка отзывов'!$B$2:$B$7,$C10)</f>
        <v>0</v>
      </c>
      <c r="AL10" s="922">
        <f>COUNTIF('выгрузка отзывов'!$B$2:$B$7,$C10)</f>
        <v>0</v>
      </c>
      <c r="AM10" s="922">
        <f>COUNTIF('выгрузка отзывов'!$B$2:$B$7,$C10)</f>
        <v>0</v>
      </c>
      <c r="AN10" s="922"/>
      <c r="AO10" s="902">
        <f t="shared" si="5"/>
        <v>0</v>
      </c>
      <c r="AP10" s="922"/>
      <c r="AQ10" s="922"/>
      <c r="AR10" s="923"/>
      <c r="AS10" s="923"/>
      <c r="AT10" s="928"/>
    </row>
    <row r="11" ht="15.0" customHeight="1">
      <c r="A11" s="911"/>
      <c r="B11" s="889" t="s">
        <v>23</v>
      </c>
      <c r="C11" s="912" t="str">
        <f>'1. Справочник'!C9</f>
        <v>WS A 608</v>
      </c>
      <c r="D11" s="913">
        <v>45448.0</v>
      </c>
      <c r="E11" s="914">
        <f t="shared" si="1"/>
        <v>0</v>
      </c>
      <c r="F11" s="929">
        <f>IFERROR(VLOOKUP(C11,'Лист20'!$A$1:$C1088,2,0),0)</f>
        <v>0</v>
      </c>
      <c r="G11" s="933">
        <f>IFERROR(VLOOKUP(C11,'Лист20'!$A$1:$C1088,3,0),0)</f>
        <v>0</v>
      </c>
      <c r="H11" s="917" t="b">
        <v>1</v>
      </c>
      <c r="I11" s="934">
        <v>0.0</v>
      </c>
      <c r="J11" s="935"/>
      <c r="K11" s="936"/>
      <c r="L11" s="936"/>
      <c r="M11" s="936"/>
      <c r="N11" s="936"/>
      <c r="O11" s="920"/>
      <c r="P11" s="921"/>
      <c r="Q11" s="921"/>
      <c r="R11" s="922"/>
      <c r="S11" s="922"/>
      <c r="T11" s="903">
        <f t="shared" si="2"/>
        <v>0</v>
      </c>
      <c r="U11" s="922"/>
      <c r="V11" s="922"/>
      <c r="W11" s="922"/>
      <c r="X11" s="922"/>
      <c r="Y11" s="904">
        <f t="shared" si="3"/>
        <v>0</v>
      </c>
      <c r="Z11" s="922"/>
      <c r="AA11" s="922"/>
      <c r="AB11" s="923"/>
      <c r="AC11" s="923"/>
      <c r="AD11" s="924"/>
      <c r="AE11" s="920">
        <f>COUNTIF('выгрузка отзывов'!$B$34:$B$39,C11)</f>
        <v>0</v>
      </c>
      <c r="AF11" s="921">
        <f>COUNTIF('выгрузка отзывов'!$B$25:$B$33,C11)</f>
        <v>0</v>
      </c>
      <c r="AG11" s="921">
        <f>COUNTIF('выгрузка отзывов'!$B$18:$B$24,C11)</f>
        <v>0</v>
      </c>
      <c r="AH11" s="922">
        <f>COUNTIF('выгрузка отзывов'!$B$11:$B$17,C11)</f>
        <v>0</v>
      </c>
      <c r="AI11" s="922">
        <f>COUNTIF('выгрузка отзывов'!$B$8:$B$10,C11)</f>
        <v>0</v>
      </c>
      <c r="AJ11" s="927">
        <f t="shared" si="4"/>
        <v>0</v>
      </c>
      <c r="AK11" s="922">
        <f>COUNTIF('выгрузка отзывов'!$B$2:$B$7,$C11)</f>
        <v>0</v>
      </c>
      <c r="AL11" s="922">
        <f>COUNTIF('выгрузка отзывов'!$B$2:$B$7,$C11)</f>
        <v>0</v>
      </c>
      <c r="AM11" s="922">
        <f>COUNTIF('выгрузка отзывов'!$B$2:$B$7,$C11)</f>
        <v>0</v>
      </c>
      <c r="AN11" s="922"/>
      <c r="AO11" s="902">
        <f t="shared" si="5"/>
        <v>0</v>
      </c>
      <c r="AP11" s="922"/>
      <c r="AQ11" s="922"/>
      <c r="AR11" s="923"/>
      <c r="AS11" s="923"/>
      <c r="AT11" s="928"/>
    </row>
    <row r="12" ht="15.0" customHeight="1">
      <c r="A12" s="911"/>
      <c r="B12" s="889" t="s">
        <v>23</v>
      </c>
      <c r="C12" s="912" t="str">
        <f>'1. Справочник'!C10</f>
        <v>WS A907</v>
      </c>
      <c r="D12" s="913">
        <v>45448.0</v>
      </c>
      <c r="E12" s="914">
        <f t="shared" si="1"/>
        <v>4</v>
      </c>
      <c r="F12" s="929">
        <f>IFERROR(VLOOKUP(C12,'Лист20'!$A$1:$C1088,2,0),0)</f>
        <v>0</v>
      </c>
      <c r="G12" s="933">
        <f>IFERROR(VLOOKUP(C12,'Лист20'!$A$1:$C1088,3,0),0)</f>
        <v>0</v>
      </c>
      <c r="H12" s="937" t="b">
        <v>0</v>
      </c>
      <c r="I12" s="918">
        <v>4.0</v>
      </c>
      <c r="J12" s="919">
        <v>9.8</v>
      </c>
      <c r="K12" s="919"/>
      <c r="L12" s="919"/>
      <c r="M12" s="919"/>
      <c r="N12" s="919"/>
      <c r="O12" s="920"/>
      <c r="P12" s="921"/>
      <c r="Q12" s="921"/>
      <c r="R12" s="922"/>
      <c r="S12" s="922"/>
      <c r="T12" s="903">
        <f t="shared" si="2"/>
        <v>0</v>
      </c>
      <c r="U12" s="922"/>
      <c r="V12" s="922"/>
      <c r="W12" s="922"/>
      <c r="X12" s="922"/>
      <c r="Y12" s="904">
        <f t="shared" si="3"/>
        <v>0</v>
      </c>
      <c r="Z12" s="922"/>
      <c r="AA12" s="922"/>
      <c r="AB12" s="923"/>
      <c r="AC12" s="923"/>
      <c r="AD12" s="924"/>
      <c r="AE12" s="920">
        <f>COUNTIF('выгрузка отзывов'!$B$34:$B$39,C12)</f>
        <v>0</v>
      </c>
      <c r="AF12" s="921">
        <f>COUNTIF('выгрузка отзывов'!$B$25:$B$33,C12)</f>
        <v>0</v>
      </c>
      <c r="AG12" s="921">
        <f>COUNTIF('выгрузка отзывов'!$B$18:$B$24,C12)</f>
        <v>0</v>
      </c>
      <c r="AH12" s="922">
        <f>COUNTIF('выгрузка отзывов'!$B$11:$B$17,C12)</f>
        <v>0</v>
      </c>
      <c r="AI12" s="922">
        <f>COUNTIF('выгрузка отзывов'!$B$8:$B$10,C12)</f>
        <v>0</v>
      </c>
      <c r="AJ12" s="927">
        <f t="shared" si="4"/>
        <v>0</v>
      </c>
      <c r="AK12" s="922">
        <f>COUNTIF('выгрузка отзывов'!$B$2:$B$7,$C12)</f>
        <v>0</v>
      </c>
      <c r="AL12" s="922">
        <f>COUNTIF('выгрузка отзывов'!$B$2:$B$7,$C12)</f>
        <v>0</v>
      </c>
      <c r="AM12" s="922">
        <f>COUNTIF('выгрузка отзывов'!$B$2:$B$7,$C12)</f>
        <v>0</v>
      </c>
      <c r="AN12" s="922"/>
      <c r="AO12" s="902">
        <f t="shared" si="5"/>
        <v>0</v>
      </c>
      <c r="AP12" s="922"/>
      <c r="AQ12" s="922"/>
      <c r="AR12" s="923"/>
      <c r="AS12" s="923"/>
      <c r="AT12" s="928"/>
    </row>
    <row r="13" ht="15.0" customHeight="1">
      <c r="A13" s="911"/>
      <c r="B13" s="889" t="s">
        <v>23</v>
      </c>
      <c r="C13" s="912" t="str">
        <f>'1. Справочник'!C11</f>
        <v>WS Е804</v>
      </c>
      <c r="D13" s="913">
        <v>45449.0</v>
      </c>
      <c r="E13" s="914">
        <f t="shared" si="1"/>
        <v>4</v>
      </c>
      <c r="F13" s="929">
        <f>IFERROR(VLOOKUP(C13,'Лист20'!$A$1:$C1088,2,0),0)</f>
        <v>0</v>
      </c>
      <c r="G13" s="933">
        <f>IFERROR(VLOOKUP(C13,'Лист20'!$A$1:$C1088,3,0),0)</f>
        <v>0</v>
      </c>
      <c r="H13" s="917" t="b">
        <v>1</v>
      </c>
      <c r="I13" s="918">
        <v>4.0</v>
      </c>
      <c r="J13" s="919">
        <v>9.7</v>
      </c>
      <c r="K13" s="919"/>
      <c r="L13" s="919"/>
      <c r="M13" s="919"/>
      <c r="N13" s="919"/>
      <c r="O13" s="920"/>
      <c r="P13" s="921"/>
      <c r="Q13" s="921"/>
      <c r="R13" s="922"/>
      <c r="S13" s="922"/>
      <c r="T13" s="903">
        <f t="shared" si="2"/>
        <v>0</v>
      </c>
      <c r="U13" s="922"/>
      <c r="V13" s="922"/>
      <c r="W13" s="922"/>
      <c r="X13" s="922"/>
      <c r="Y13" s="904">
        <f t="shared" si="3"/>
        <v>0</v>
      </c>
      <c r="Z13" s="922"/>
      <c r="AA13" s="922"/>
      <c r="AB13" s="923"/>
      <c r="AC13" s="923"/>
      <c r="AD13" s="924"/>
      <c r="AE13" s="920">
        <f>COUNTIF('выгрузка отзывов'!$B$34:$B$39,C13)</f>
        <v>0</v>
      </c>
      <c r="AF13" s="921">
        <f>COUNTIF('выгрузка отзывов'!$B$25:$B$33,C13)</f>
        <v>0</v>
      </c>
      <c r="AG13" s="921">
        <f>COUNTIF('выгрузка отзывов'!$B$18:$B$24,C13)</f>
        <v>0</v>
      </c>
      <c r="AH13" s="922">
        <f>COUNTIF('выгрузка отзывов'!$B$11:$B$17,C13)</f>
        <v>0</v>
      </c>
      <c r="AI13" s="922">
        <f>COUNTIF('выгрузка отзывов'!$B$8:$B$10,C13)</f>
        <v>0</v>
      </c>
      <c r="AJ13" s="927">
        <f t="shared" si="4"/>
        <v>0</v>
      </c>
      <c r="AK13" s="922">
        <f>COUNTIF('выгрузка отзывов'!$B$2:$B$7,$C13)</f>
        <v>0</v>
      </c>
      <c r="AL13" s="922">
        <f>COUNTIF('выгрузка отзывов'!$B$2:$B$7,$C13)</f>
        <v>0</v>
      </c>
      <c r="AM13" s="922">
        <f>COUNTIF('выгрузка отзывов'!$B$2:$B$7,$C13)</f>
        <v>0</v>
      </c>
      <c r="AN13" s="922"/>
      <c r="AO13" s="902">
        <f t="shared" si="5"/>
        <v>0</v>
      </c>
      <c r="AP13" s="922"/>
      <c r="AQ13" s="922"/>
      <c r="AR13" s="923"/>
      <c r="AS13" s="923"/>
      <c r="AT13" s="928"/>
    </row>
    <row r="14" ht="15.0" customHeight="1">
      <c r="A14" s="911"/>
      <c r="B14" s="889" t="s">
        <v>23</v>
      </c>
      <c r="C14" s="912" t="str">
        <f>'1. Справочник'!C12</f>
        <v>WS E704</v>
      </c>
      <c r="D14" s="913">
        <v>45448.0</v>
      </c>
      <c r="E14" s="914">
        <f t="shared" si="1"/>
        <v>11</v>
      </c>
      <c r="F14" s="929">
        <f>IFERROR(VLOOKUP(C14,'Лист20'!$A$1:$C1088,2,0),0)</f>
        <v>0</v>
      </c>
      <c r="G14" s="933">
        <f>IFERROR(VLOOKUP(C14,'Лист20'!$A$1:$C1088,3,0),0)</f>
        <v>0</v>
      </c>
      <c r="H14" s="917" t="b">
        <v>1</v>
      </c>
      <c r="I14" s="918">
        <v>11.0</v>
      </c>
      <c r="J14" s="919">
        <v>9.9</v>
      </c>
      <c r="K14" s="919"/>
      <c r="L14" s="919"/>
      <c r="M14" s="919"/>
      <c r="N14" s="919"/>
      <c r="O14" s="920"/>
      <c r="P14" s="921"/>
      <c r="Q14" s="921"/>
      <c r="R14" s="922"/>
      <c r="S14" s="922"/>
      <c r="T14" s="903">
        <f t="shared" si="2"/>
        <v>0</v>
      </c>
      <c r="U14" s="922"/>
      <c r="V14" s="922"/>
      <c r="W14" s="922"/>
      <c r="X14" s="922"/>
      <c r="Y14" s="904">
        <f t="shared" si="3"/>
        <v>0</v>
      </c>
      <c r="Z14" s="922"/>
      <c r="AA14" s="922"/>
      <c r="AB14" s="923"/>
      <c r="AC14" s="923"/>
      <c r="AD14" s="924"/>
      <c r="AE14" s="920">
        <f>COUNTIF('выгрузка отзывов'!$B$34:$B$39,C14)</f>
        <v>0</v>
      </c>
      <c r="AF14" s="921">
        <f>COUNTIF('выгрузка отзывов'!$B$25:$B$33,C14)</f>
        <v>0</v>
      </c>
      <c r="AG14" s="921">
        <f>COUNTIF('выгрузка отзывов'!$B$18:$B$24,C14)</f>
        <v>0</v>
      </c>
      <c r="AH14" s="922">
        <f>COUNTIF('выгрузка отзывов'!$B$11:$B$17,C14)</f>
        <v>0</v>
      </c>
      <c r="AI14" s="922">
        <f>COUNTIF('выгрузка отзывов'!$B$8:$B$10,C14)</f>
        <v>0</v>
      </c>
      <c r="AJ14" s="927">
        <f t="shared" si="4"/>
        <v>0</v>
      </c>
      <c r="AK14" s="922">
        <f>COUNTIF('выгрузка отзывов'!$B$2:$B$7,$C14)</f>
        <v>0</v>
      </c>
      <c r="AL14" s="922">
        <f>COUNTIF('выгрузка отзывов'!$B$2:$B$7,$C14)</f>
        <v>0</v>
      </c>
      <c r="AM14" s="922">
        <f>COUNTIF('выгрузка отзывов'!$B$2:$B$7,$C14)</f>
        <v>0</v>
      </c>
      <c r="AN14" s="922"/>
      <c r="AO14" s="902">
        <f t="shared" si="5"/>
        <v>0</v>
      </c>
      <c r="AP14" s="922"/>
      <c r="AQ14" s="922"/>
      <c r="AR14" s="923"/>
      <c r="AS14" s="923"/>
      <c r="AT14" s="928"/>
    </row>
    <row r="15" ht="15.0" customHeight="1">
      <c r="A15" s="911"/>
      <c r="B15" s="889" t="s">
        <v>23</v>
      </c>
      <c r="C15" s="912" t="str">
        <f>'1. Справочник'!C13</f>
        <v>WS A805</v>
      </c>
      <c r="D15" s="938" t="s">
        <v>1047</v>
      </c>
      <c r="E15" s="914">
        <f t="shared" si="1"/>
        <v>0</v>
      </c>
      <c r="F15" s="929">
        <f>IFERROR(VLOOKUP(C15,'Лист20'!$A$1:$C1088,2,0),0)</f>
        <v>0</v>
      </c>
      <c r="G15" s="933">
        <f>IFERROR(VLOOKUP(C15,'Лист20'!$A$1:$C1088,3,0),0)</f>
        <v>0</v>
      </c>
      <c r="H15" s="917" t="b">
        <v>0</v>
      </c>
      <c r="I15" s="934">
        <v>0.0</v>
      </c>
      <c r="J15" s="935"/>
      <c r="K15" s="936"/>
      <c r="L15" s="936"/>
      <c r="M15" s="936"/>
      <c r="N15" s="936"/>
      <c r="O15" s="920"/>
      <c r="P15" s="921"/>
      <c r="Q15" s="921"/>
      <c r="R15" s="922"/>
      <c r="S15" s="922"/>
      <c r="T15" s="903">
        <f t="shared" si="2"/>
        <v>0</v>
      </c>
      <c r="U15" s="922"/>
      <c r="V15" s="922"/>
      <c r="W15" s="922"/>
      <c r="X15" s="922"/>
      <c r="Y15" s="904">
        <f t="shared" si="3"/>
        <v>0</v>
      </c>
      <c r="Z15" s="922"/>
      <c r="AA15" s="922"/>
      <c r="AB15" s="923"/>
      <c r="AC15" s="923"/>
      <c r="AD15" s="924"/>
      <c r="AE15" s="920">
        <f>COUNTIF('выгрузка отзывов'!$B$34:$B$39,C15)</f>
        <v>0</v>
      </c>
      <c r="AF15" s="921">
        <f>COUNTIF('выгрузка отзывов'!$B$25:$B$33,C15)</f>
        <v>0</v>
      </c>
      <c r="AG15" s="921">
        <f>COUNTIF('выгрузка отзывов'!$B$18:$B$24,C15)</f>
        <v>0</v>
      </c>
      <c r="AH15" s="922">
        <f>COUNTIF('выгрузка отзывов'!$B$11:$B$17,C15)</f>
        <v>0</v>
      </c>
      <c r="AI15" s="922">
        <f>COUNTIF('выгрузка отзывов'!$B$8:$B$10,C15)</f>
        <v>0</v>
      </c>
      <c r="AJ15" s="927">
        <f t="shared" si="4"/>
        <v>0</v>
      </c>
      <c r="AK15" s="922">
        <f>COUNTIF('выгрузка отзывов'!$B$2:$B$7,$C15)</f>
        <v>0</v>
      </c>
      <c r="AL15" s="922">
        <f>COUNTIF('выгрузка отзывов'!$B$2:$B$7,$C15)</f>
        <v>0</v>
      </c>
      <c r="AM15" s="922">
        <f>COUNTIF('выгрузка отзывов'!$B$2:$B$7,$C15)</f>
        <v>0</v>
      </c>
      <c r="AN15" s="922"/>
      <c r="AO15" s="902">
        <f t="shared" si="5"/>
        <v>0</v>
      </c>
      <c r="AP15" s="922"/>
      <c r="AQ15" s="922"/>
      <c r="AR15" s="923"/>
      <c r="AS15" s="923"/>
      <c r="AT15" s="928"/>
    </row>
    <row r="16" ht="15.0" customHeight="1">
      <c r="A16" s="931"/>
      <c r="B16" s="889" t="s">
        <v>23</v>
      </c>
      <c r="C16" s="912" t="str">
        <f>'1. Справочник'!C14</f>
        <v>WS F1103</v>
      </c>
      <c r="D16" s="938" t="s">
        <v>1047</v>
      </c>
      <c r="E16" s="914">
        <f t="shared" si="1"/>
        <v>0</v>
      </c>
      <c r="F16" s="929">
        <f>IFERROR(VLOOKUP(C16,'Лист20'!$A$1:$C1088,2,0),0)</f>
        <v>0</v>
      </c>
      <c r="G16" s="933">
        <f>IFERROR(VLOOKUP(C16,'Лист20'!$A$1:$C1088,3,0),0)</f>
        <v>0</v>
      </c>
      <c r="H16" s="937" t="b">
        <v>0</v>
      </c>
      <c r="I16" s="934">
        <v>0.0</v>
      </c>
      <c r="J16" s="935"/>
      <c r="K16" s="936"/>
      <c r="L16" s="936"/>
      <c r="M16" s="936"/>
      <c r="N16" s="936"/>
      <c r="O16" s="920"/>
      <c r="P16" s="921"/>
      <c r="Q16" s="921"/>
      <c r="R16" s="922"/>
      <c r="S16" s="922"/>
      <c r="T16" s="903">
        <f t="shared" si="2"/>
        <v>0</v>
      </c>
      <c r="U16" s="922"/>
      <c r="V16" s="922"/>
      <c r="W16" s="922"/>
      <c r="X16" s="922"/>
      <c r="Y16" s="904">
        <f t="shared" si="3"/>
        <v>0</v>
      </c>
      <c r="Z16" s="922"/>
      <c r="AA16" s="922"/>
      <c r="AB16" s="923"/>
      <c r="AC16" s="923"/>
      <c r="AD16" s="924"/>
      <c r="AE16" s="920">
        <f>COUNTIF('выгрузка отзывов'!$B$34:$B$39,C16)</f>
        <v>0</v>
      </c>
      <c r="AF16" s="921">
        <f>COUNTIF('выгрузка отзывов'!$B$25:$B$33,C16)</f>
        <v>0</v>
      </c>
      <c r="AG16" s="921">
        <f>COUNTIF('выгрузка отзывов'!$B$18:$B$24,C16)</f>
        <v>0</v>
      </c>
      <c r="AH16" s="922">
        <f>COUNTIF('выгрузка отзывов'!$B$11:$B$17,C16)</f>
        <v>0</v>
      </c>
      <c r="AI16" s="922">
        <f>COUNTIF('выгрузка отзывов'!$B$8:$B$10,C16)</f>
        <v>0</v>
      </c>
      <c r="AJ16" s="927">
        <f t="shared" si="4"/>
        <v>0</v>
      </c>
      <c r="AK16" s="922">
        <f>COUNTIF('выгрузка отзывов'!$B$2:$B$7,$C16)</f>
        <v>0</v>
      </c>
      <c r="AL16" s="922"/>
      <c r="AM16" s="922"/>
      <c r="AN16" s="922"/>
      <c r="AO16" s="902">
        <f t="shared" si="5"/>
        <v>0</v>
      </c>
      <c r="AP16" s="922"/>
      <c r="AQ16" s="922"/>
      <c r="AR16" s="923"/>
      <c r="AS16" s="923"/>
      <c r="AT16" s="928"/>
    </row>
    <row r="17" ht="15.0" customHeight="1">
      <c r="A17" s="931"/>
      <c r="B17" s="889" t="s">
        <v>23</v>
      </c>
      <c r="C17" s="912" t="str">
        <f>'1. Справочник'!C15</f>
        <v>WS F1008</v>
      </c>
      <c r="D17" s="939">
        <v>45992.0</v>
      </c>
      <c r="E17" s="914">
        <f t="shared" si="1"/>
        <v>0</v>
      </c>
      <c r="F17" s="929">
        <f>IFERROR(VLOOKUP(C17,'Лист20'!$A$1:$C1088,2,0),0)</f>
        <v>0</v>
      </c>
      <c r="G17" s="933">
        <f>IFERROR(VLOOKUP(C17,'Лист20'!$A$1:$C1088,3,0),0)</f>
        <v>0</v>
      </c>
      <c r="H17" s="917" t="b">
        <v>0</v>
      </c>
      <c r="I17" s="940"/>
      <c r="J17" s="941"/>
      <c r="K17" s="942"/>
      <c r="L17" s="942"/>
      <c r="M17" s="942"/>
      <c r="N17" s="942"/>
      <c r="O17" s="920"/>
      <c r="P17" s="921"/>
      <c r="Q17" s="921"/>
      <c r="R17" s="922"/>
      <c r="S17" s="922"/>
      <c r="T17" s="903">
        <f t="shared" si="2"/>
        <v>0</v>
      </c>
      <c r="U17" s="922"/>
      <c r="V17" s="922"/>
      <c r="W17" s="922"/>
      <c r="X17" s="922"/>
      <c r="Y17" s="904">
        <f t="shared" si="3"/>
        <v>0</v>
      </c>
      <c r="Z17" s="922"/>
      <c r="AA17" s="922"/>
      <c r="AB17" s="923"/>
      <c r="AC17" s="923"/>
      <c r="AD17" s="924"/>
      <c r="AE17" s="920">
        <f>COUNTIF('выгрузка отзывов'!$B$34:$B$39,C17)</f>
        <v>0</v>
      </c>
      <c r="AF17" s="921">
        <f>COUNTIF('выгрузка отзывов'!$B$25:$B$33,C17)</f>
        <v>0</v>
      </c>
      <c r="AG17" s="921">
        <f>COUNTIF('выгрузка отзывов'!$B$18:$B$24,C17)</f>
        <v>0</v>
      </c>
      <c r="AH17" s="922">
        <f>COUNTIF('выгрузка отзывов'!$B$11:$B$17,C17)</f>
        <v>0</v>
      </c>
      <c r="AI17" s="922">
        <f>COUNTIF('выгрузка отзывов'!$B$8:$B$10,C17)</f>
        <v>0</v>
      </c>
      <c r="AJ17" s="927">
        <f t="shared" si="4"/>
        <v>0</v>
      </c>
      <c r="AK17" s="922">
        <f>COUNTIF('выгрузка отзывов'!$B$2:$B$7,$C17)</f>
        <v>0</v>
      </c>
      <c r="AL17" s="922"/>
      <c r="AM17" s="922"/>
      <c r="AN17" s="922"/>
      <c r="AO17" s="902">
        <f t="shared" si="5"/>
        <v>0</v>
      </c>
      <c r="AP17" s="922"/>
      <c r="AQ17" s="922"/>
      <c r="AR17" s="923"/>
      <c r="AS17" s="923"/>
      <c r="AT17" s="928"/>
    </row>
    <row r="18" ht="15.0" customHeight="1">
      <c r="A18" s="931"/>
      <c r="B18" s="943" t="s">
        <v>58</v>
      </c>
      <c r="C18" s="912" t="s">
        <v>1048</v>
      </c>
      <c r="D18" s="913">
        <v>45611.0</v>
      </c>
      <c r="E18" s="914">
        <f t="shared" si="1"/>
        <v>1</v>
      </c>
      <c r="F18" s="929">
        <f>IFERROR(VLOOKUP(C18,'Лист20'!$A$1:$C1088,2,0),0)</f>
        <v>0</v>
      </c>
      <c r="G18" s="933">
        <f>IFERROR(VLOOKUP(C18,'Лист20'!$A$1:$C1088,3,0),0)</f>
        <v>0</v>
      </c>
      <c r="H18" s="944" t="b">
        <v>1</v>
      </c>
      <c r="I18" s="940">
        <v>1.0</v>
      </c>
      <c r="J18" s="941">
        <v>10.0</v>
      </c>
      <c r="K18" s="942"/>
      <c r="L18" s="942"/>
      <c r="M18" s="942"/>
      <c r="N18" s="942"/>
      <c r="O18" s="920"/>
      <c r="P18" s="921"/>
      <c r="Q18" s="921"/>
      <c r="R18" s="922"/>
      <c r="S18" s="922"/>
      <c r="T18" s="903">
        <f t="shared" si="2"/>
        <v>0</v>
      </c>
      <c r="U18" s="922"/>
      <c r="V18" s="922"/>
      <c r="W18" s="922"/>
      <c r="X18" s="922"/>
      <c r="Y18" s="904">
        <f t="shared" si="3"/>
        <v>0</v>
      </c>
      <c r="Z18" s="922"/>
      <c r="AA18" s="922"/>
      <c r="AB18" s="923"/>
      <c r="AC18" s="923"/>
      <c r="AD18" s="924"/>
      <c r="AE18" s="920">
        <f>COUNTIF('выгрузка отзывов'!$B$34:$B$39,C18)</f>
        <v>0</v>
      </c>
      <c r="AF18" s="921">
        <f>COUNTIF('выгрузка отзывов'!$B$25:$B$33,C18)</f>
        <v>1</v>
      </c>
      <c r="AG18" s="921">
        <f>COUNTIF('выгрузка отзывов'!$B$18:$B$24,C18)</f>
        <v>0</v>
      </c>
      <c r="AH18" s="922">
        <f>COUNTIF('выгрузка отзывов'!$B$11:$B$17,C18)</f>
        <v>0</v>
      </c>
      <c r="AI18" s="922">
        <f>COUNTIF('выгрузка отзывов'!$B$8:$B$10,C18)</f>
        <v>0</v>
      </c>
      <c r="AJ18" s="927">
        <f t="shared" si="4"/>
        <v>1</v>
      </c>
      <c r="AK18" s="922">
        <f>COUNTIF('выгрузка отзывов'!$B$2:$B$7,$C18)</f>
        <v>0</v>
      </c>
      <c r="AL18" s="922"/>
      <c r="AM18" s="922"/>
      <c r="AN18" s="922"/>
      <c r="AO18" s="902">
        <f t="shared" si="5"/>
        <v>0</v>
      </c>
      <c r="AP18" s="922"/>
      <c r="AQ18" s="922"/>
      <c r="AR18" s="923"/>
      <c r="AS18" s="923"/>
      <c r="AT18" s="928"/>
    </row>
    <row r="19" ht="15.0" customHeight="1">
      <c r="A19" s="931"/>
      <c r="B19" s="943" t="s">
        <v>58</v>
      </c>
      <c r="C19" s="912" t="s">
        <v>1049</v>
      </c>
      <c r="D19" s="913"/>
      <c r="E19" s="945"/>
      <c r="F19" s="929"/>
      <c r="G19" s="933"/>
      <c r="H19" s="937" t="b">
        <v>0</v>
      </c>
      <c r="I19" s="934"/>
      <c r="J19" s="935"/>
      <c r="K19" s="936"/>
      <c r="L19" s="936"/>
      <c r="M19" s="936"/>
      <c r="N19" s="936"/>
      <c r="O19" s="920"/>
      <c r="P19" s="921"/>
      <c r="Q19" s="921"/>
      <c r="R19" s="922"/>
      <c r="S19" s="922"/>
      <c r="T19" s="903"/>
      <c r="U19" s="922"/>
      <c r="V19" s="922"/>
      <c r="W19" s="922"/>
      <c r="X19" s="922"/>
      <c r="Y19" s="904"/>
      <c r="Z19" s="922"/>
      <c r="AA19" s="922"/>
      <c r="AB19" s="923"/>
      <c r="AC19" s="923"/>
      <c r="AD19" s="924"/>
      <c r="AE19" s="920">
        <f>COUNTIF('выгрузка отзывов'!$B$34:$B$39,C19)</f>
        <v>0</v>
      </c>
      <c r="AF19" s="921">
        <f>COUNTIF('выгрузка отзывов'!$B$25:$B$33,C19)</f>
        <v>0</v>
      </c>
      <c r="AG19" s="921">
        <f>COUNTIF('выгрузка отзывов'!$B$18:$B$24,C19)</f>
        <v>1</v>
      </c>
      <c r="AH19" s="922">
        <f>COUNTIF('выгрузка отзывов'!$B$11:$B$17,C19)</f>
        <v>0</v>
      </c>
      <c r="AI19" s="922">
        <f>COUNTIF('выгрузка отзывов'!$B$8:$B$10,C19)</f>
        <v>0</v>
      </c>
      <c r="AJ19" s="927">
        <f t="shared" si="4"/>
        <v>1</v>
      </c>
      <c r="AK19" s="922">
        <f>COUNTIF('выгрузка отзывов'!$B$2:$B$7,$C19)</f>
        <v>0</v>
      </c>
      <c r="AL19" s="922"/>
      <c r="AM19" s="922"/>
      <c r="AN19" s="922"/>
      <c r="AO19" s="902"/>
      <c r="AP19" s="922"/>
      <c r="AQ19" s="922"/>
      <c r="AR19" s="923"/>
      <c r="AS19" s="923"/>
      <c r="AT19" s="928"/>
    </row>
    <row r="20" ht="15.0" customHeight="1">
      <c r="A20" s="931"/>
      <c r="B20" s="943" t="s">
        <v>58</v>
      </c>
      <c r="C20" s="912" t="s">
        <v>1050</v>
      </c>
      <c r="D20" s="913"/>
      <c r="E20" s="945"/>
      <c r="F20" s="929"/>
      <c r="G20" s="933"/>
      <c r="H20" s="937" t="b">
        <v>0</v>
      </c>
      <c r="I20" s="934"/>
      <c r="J20" s="935"/>
      <c r="K20" s="936"/>
      <c r="L20" s="936"/>
      <c r="M20" s="936"/>
      <c r="N20" s="936"/>
      <c r="O20" s="920"/>
      <c r="P20" s="921"/>
      <c r="Q20" s="921"/>
      <c r="R20" s="922"/>
      <c r="S20" s="922"/>
      <c r="T20" s="903"/>
      <c r="U20" s="922"/>
      <c r="V20" s="922"/>
      <c r="W20" s="922"/>
      <c r="X20" s="922"/>
      <c r="Y20" s="904"/>
      <c r="Z20" s="922"/>
      <c r="AA20" s="922"/>
      <c r="AB20" s="923"/>
      <c r="AC20" s="923"/>
      <c r="AD20" s="924"/>
      <c r="AE20" s="920">
        <f>COUNTIF('выгрузка отзывов'!$B$34:$B$39,C20)</f>
        <v>0</v>
      </c>
      <c r="AF20" s="921">
        <f>COUNTIF('выгрузка отзывов'!$B$25:$B$33,C20)</f>
        <v>0</v>
      </c>
      <c r="AG20" s="921">
        <f>COUNTIF('выгрузка отзывов'!$B$18:$B$24,C20)</f>
        <v>0</v>
      </c>
      <c r="AH20" s="922">
        <f>COUNTIF('выгрузка отзывов'!$B$11:$B$17,C20)</f>
        <v>0</v>
      </c>
      <c r="AI20" s="922">
        <f>COUNTIF('выгрузка отзывов'!$B$8:$B$10,C20)</f>
        <v>0</v>
      </c>
      <c r="AJ20" s="927">
        <f t="shared" si="4"/>
        <v>0</v>
      </c>
      <c r="AK20" s="922">
        <f>COUNTIF('выгрузка отзывов'!$B$2:$B$7,$C20)</f>
        <v>1</v>
      </c>
      <c r="AL20" s="922"/>
      <c r="AM20" s="922"/>
      <c r="AN20" s="922"/>
      <c r="AO20" s="902"/>
      <c r="AP20" s="922"/>
      <c r="AQ20" s="922"/>
      <c r="AR20" s="923"/>
      <c r="AS20" s="923"/>
      <c r="AT20" s="928"/>
    </row>
    <row r="21" ht="15.0" customHeight="1">
      <c r="A21" s="931"/>
      <c r="B21" s="943" t="s">
        <v>58</v>
      </c>
      <c r="C21" s="912" t="s">
        <v>1051</v>
      </c>
      <c r="D21" s="913">
        <v>45566.0</v>
      </c>
      <c r="E21" s="914">
        <f t="shared" ref="E21:E47" si="6">F21+I21+K21+M21</f>
        <v>0</v>
      </c>
      <c r="F21" s="929">
        <f>IFERROR(VLOOKUP(C21,'Лист20'!$A$1:$C1088,2,0),0)</f>
        <v>0</v>
      </c>
      <c r="G21" s="933">
        <f>IFERROR(VLOOKUP(C21,'Лист20'!$A$1:$C1088,3,0),0)</f>
        <v>0</v>
      </c>
      <c r="H21" s="937" t="b">
        <v>0</v>
      </c>
      <c r="I21" s="934">
        <v>0.0</v>
      </c>
      <c r="J21" s="935"/>
      <c r="K21" s="936"/>
      <c r="L21" s="936"/>
      <c r="M21" s="936"/>
      <c r="N21" s="936"/>
      <c r="O21" s="920"/>
      <c r="P21" s="921"/>
      <c r="Q21" s="921"/>
      <c r="R21" s="922"/>
      <c r="S21" s="922"/>
      <c r="T21" s="903">
        <f t="shared" ref="T21:T31" si="7">SUM(O21:S21)</f>
        <v>0</v>
      </c>
      <c r="U21" s="922"/>
      <c r="V21" s="922"/>
      <c r="W21" s="922"/>
      <c r="X21" s="922"/>
      <c r="Y21" s="904">
        <f t="shared" ref="Y21:Y31" si="8">SUM(U21:X21)</f>
        <v>0</v>
      </c>
      <c r="Z21" s="922"/>
      <c r="AA21" s="922"/>
      <c r="AB21" s="923"/>
      <c r="AC21" s="923"/>
      <c r="AD21" s="924"/>
      <c r="AE21" s="920">
        <f>COUNTIF('выгрузка отзывов'!$B$34:$B$39,C21)</f>
        <v>1</v>
      </c>
      <c r="AF21" s="921">
        <f>COUNTIF('выгрузка отзывов'!$B$25:$B$33,C21)</f>
        <v>0</v>
      </c>
      <c r="AG21" s="921">
        <f>COUNTIF('выгрузка отзывов'!$B$18:$B$24,C21)</f>
        <v>0</v>
      </c>
      <c r="AH21" s="922">
        <f>COUNTIF('выгрузка отзывов'!$B$11:$B$17,C21)</f>
        <v>0</v>
      </c>
      <c r="AI21" s="922">
        <f>COUNTIF('выгрузка отзывов'!$B$8:$B$10,C21)</f>
        <v>0</v>
      </c>
      <c r="AJ21" s="927">
        <f t="shared" si="4"/>
        <v>1</v>
      </c>
      <c r="AK21" s="922">
        <f>COUNTIF('выгрузка отзывов'!$B$2:$B$7,$C21)</f>
        <v>0</v>
      </c>
      <c r="AL21" s="922"/>
      <c r="AM21" s="922"/>
      <c r="AN21" s="922"/>
      <c r="AO21" s="902">
        <f t="shared" ref="AO21:AO31" si="9">SUM(AK21:AN21)</f>
        <v>0</v>
      </c>
      <c r="AP21" s="922"/>
      <c r="AQ21" s="922"/>
      <c r="AR21" s="923"/>
      <c r="AS21" s="923"/>
      <c r="AT21" s="928"/>
    </row>
    <row r="22" ht="15.0" customHeight="1">
      <c r="A22" s="931"/>
      <c r="B22" s="943" t="s">
        <v>58</v>
      </c>
      <c r="C22" s="912" t="str">
        <f>'1. Справочник'!C18</f>
        <v>Steps1123</v>
      </c>
      <c r="D22" s="913">
        <v>45748.0</v>
      </c>
      <c r="E22" s="914">
        <f t="shared" si="6"/>
        <v>0</v>
      </c>
      <c r="F22" s="929">
        <f>IFERROR(VLOOKUP(C22,'Лист20'!$A$1:$C1088,2,0),0)</f>
        <v>0</v>
      </c>
      <c r="G22" s="933">
        <f>IFERROR(VLOOKUP(C22,'Лист20'!$A$1:$C1088,3,0),0)</f>
        <v>0</v>
      </c>
      <c r="H22" s="937" t="b">
        <v>0</v>
      </c>
      <c r="I22" s="934">
        <v>0.0</v>
      </c>
      <c r="J22" s="935"/>
      <c r="K22" s="936"/>
      <c r="L22" s="936"/>
      <c r="M22" s="936"/>
      <c r="N22" s="936"/>
      <c r="O22" s="920"/>
      <c r="P22" s="921"/>
      <c r="Q22" s="921"/>
      <c r="R22" s="922"/>
      <c r="S22" s="922"/>
      <c r="T22" s="903">
        <f t="shared" si="7"/>
        <v>0</v>
      </c>
      <c r="U22" s="922"/>
      <c r="V22" s="922"/>
      <c r="W22" s="922"/>
      <c r="X22" s="922"/>
      <c r="Y22" s="904">
        <f t="shared" si="8"/>
        <v>0</v>
      </c>
      <c r="Z22" s="922"/>
      <c r="AA22" s="922"/>
      <c r="AB22" s="923"/>
      <c r="AC22" s="923"/>
      <c r="AD22" s="924"/>
      <c r="AE22" s="920">
        <f>COUNTIF('выгрузка отзывов'!$B$34:$B$39,C22)</f>
        <v>0</v>
      </c>
      <c r="AF22" s="921">
        <f>COUNTIF('выгрузка отзывов'!$B$25:$B$33,C22)</f>
        <v>0</v>
      </c>
      <c r="AG22" s="921">
        <f>COUNTIF('выгрузка отзывов'!$B$18:$B$24,C22)</f>
        <v>0</v>
      </c>
      <c r="AH22" s="922">
        <f>COUNTIF('выгрузка отзывов'!$B$11:$B$17,C22)</f>
        <v>0</v>
      </c>
      <c r="AI22" s="922">
        <f>COUNTIF('выгрузка отзывов'!$B$8:$B$10,C22)</f>
        <v>0</v>
      </c>
      <c r="AJ22" s="927">
        <f t="shared" si="4"/>
        <v>0</v>
      </c>
      <c r="AK22" s="922">
        <f>COUNTIF('выгрузка отзывов'!$B$2:$B$7,$C22)</f>
        <v>0</v>
      </c>
      <c r="AL22" s="922"/>
      <c r="AM22" s="922"/>
      <c r="AN22" s="922"/>
      <c r="AO22" s="902">
        <f t="shared" si="9"/>
        <v>0</v>
      </c>
      <c r="AP22" s="922"/>
      <c r="AQ22" s="922"/>
      <c r="AR22" s="923"/>
      <c r="AS22" s="923"/>
      <c r="AT22" s="928"/>
    </row>
    <row r="23" ht="15.0" customHeight="1">
      <c r="A23" s="931"/>
      <c r="B23" s="943" t="s">
        <v>58</v>
      </c>
      <c r="C23" s="912" t="s">
        <v>1052</v>
      </c>
      <c r="D23" s="939">
        <v>45992.0</v>
      </c>
      <c r="E23" s="914">
        <f t="shared" si="6"/>
        <v>0</v>
      </c>
      <c r="F23" s="929">
        <f>IFERROR(VLOOKUP(C23,'Лист20'!$A$1:$C1088,2,0),0)</f>
        <v>0</v>
      </c>
      <c r="G23" s="933">
        <f>IFERROR(VLOOKUP(C23,'Лист20'!$A$1:$C1088,3,0),0)</f>
        <v>0</v>
      </c>
      <c r="H23" s="917" t="b">
        <v>0</v>
      </c>
      <c r="I23" s="918"/>
      <c r="J23" s="919"/>
      <c r="K23" s="919"/>
      <c r="L23" s="919"/>
      <c r="M23" s="919"/>
      <c r="N23" s="919"/>
      <c r="O23" s="946"/>
      <c r="P23" s="947"/>
      <c r="Q23" s="947"/>
      <c r="R23" s="922"/>
      <c r="S23" s="922"/>
      <c r="T23" s="903">
        <f t="shared" si="7"/>
        <v>0</v>
      </c>
      <c r="U23" s="922"/>
      <c r="V23" s="922"/>
      <c r="W23" s="922"/>
      <c r="X23" s="922"/>
      <c r="Y23" s="904">
        <f t="shared" si="8"/>
        <v>0</v>
      </c>
      <c r="Z23" s="922"/>
      <c r="AA23" s="922"/>
      <c r="AB23" s="923"/>
      <c r="AC23" s="923"/>
      <c r="AD23" s="924"/>
      <c r="AE23" s="946">
        <f>COUNTIF('выгрузка отзывов'!$B$34:$B$39,C23)</f>
        <v>0</v>
      </c>
      <c r="AF23" s="947">
        <f>COUNTIF('выгрузка отзывов'!$B$25:$B$33,C23)</f>
        <v>0</v>
      </c>
      <c r="AG23" s="947">
        <f>COUNTIF('выгрузка отзывов'!$B$18:$B$24,C23)</f>
        <v>0</v>
      </c>
      <c r="AH23" s="922">
        <f>COUNTIF('выгрузка отзывов'!$B$11:$B$17,C23)</f>
        <v>0</v>
      </c>
      <c r="AI23" s="922">
        <f>COUNTIF('выгрузка отзывов'!$B$8:$B$10,C23)</f>
        <v>1</v>
      </c>
      <c r="AJ23" s="927">
        <f t="shared" si="4"/>
        <v>1</v>
      </c>
      <c r="AK23" s="922">
        <f>COUNTIF('выгрузка отзывов'!$B$2:$B$7,$C23)</f>
        <v>0</v>
      </c>
      <c r="AL23" s="922"/>
      <c r="AM23" s="922"/>
      <c r="AN23" s="922"/>
      <c r="AO23" s="902">
        <f t="shared" si="9"/>
        <v>0</v>
      </c>
      <c r="AP23" s="922"/>
      <c r="AQ23" s="922"/>
      <c r="AR23" s="923"/>
      <c r="AS23" s="923"/>
      <c r="AT23" s="928"/>
    </row>
    <row r="24" ht="15.0" customHeight="1">
      <c r="A24" s="931"/>
      <c r="B24" s="943" t="s">
        <v>58</v>
      </c>
      <c r="C24" s="948" t="str">
        <f>'1. Справочник'!C20</f>
        <v>OBT 2906</v>
      </c>
      <c r="D24" s="939">
        <v>45993.0</v>
      </c>
      <c r="E24" s="914">
        <f t="shared" si="6"/>
        <v>0</v>
      </c>
      <c r="F24" s="929">
        <f>IFERROR(VLOOKUP(C24,'Лист20'!$A$1:$C1088,2,0),0)</f>
        <v>0</v>
      </c>
      <c r="G24" s="933">
        <f>IFERROR(VLOOKUP(C24,'Лист20'!$A$1:$C1088,3,0),0)</f>
        <v>0</v>
      </c>
      <c r="H24" s="917"/>
      <c r="I24" s="918"/>
      <c r="J24" s="919"/>
      <c r="K24" s="919"/>
      <c r="L24" s="919"/>
      <c r="M24" s="919"/>
      <c r="N24" s="919"/>
      <c r="O24" s="920"/>
      <c r="P24" s="921"/>
      <c r="Q24" s="921"/>
      <c r="R24" s="922"/>
      <c r="S24" s="922"/>
      <c r="T24" s="903">
        <f t="shared" si="7"/>
        <v>0</v>
      </c>
      <c r="U24" s="922"/>
      <c r="V24" s="922"/>
      <c r="W24" s="922"/>
      <c r="X24" s="922"/>
      <c r="Y24" s="904">
        <f t="shared" si="8"/>
        <v>0</v>
      </c>
      <c r="Z24" s="922"/>
      <c r="AA24" s="922"/>
      <c r="AB24" s="923"/>
      <c r="AC24" s="923"/>
      <c r="AD24" s="924"/>
      <c r="AE24" s="920">
        <f>COUNTIF('выгрузка отзывов'!$B$34:$B$39,C24)</f>
        <v>0</v>
      </c>
      <c r="AF24" s="921">
        <f>COUNTIF('выгрузка отзывов'!$B$25:$B$33,C24)</f>
        <v>0</v>
      </c>
      <c r="AG24" s="921">
        <f>COUNTIF('выгрузка отзывов'!$B$18:$B$24,C24)</f>
        <v>0</v>
      </c>
      <c r="AH24" s="922">
        <f>COUNTIF('выгрузка отзывов'!$B$11:$B$17,C24)</f>
        <v>0</v>
      </c>
      <c r="AI24" s="922">
        <f>COUNTIF('выгрузка отзывов'!$B$8:$B$10,C24)</f>
        <v>0</v>
      </c>
      <c r="AJ24" s="927">
        <f t="shared" si="4"/>
        <v>0</v>
      </c>
      <c r="AK24" s="922">
        <f>COUNTIF('выгрузка отзывов'!$B$2:$B$7,$C24)</f>
        <v>0</v>
      </c>
      <c r="AL24" s="922"/>
      <c r="AM24" s="922"/>
      <c r="AN24" s="922"/>
      <c r="AO24" s="902">
        <f t="shared" si="9"/>
        <v>0</v>
      </c>
      <c r="AP24" s="922"/>
      <c r="AQ24" s="922"/>
      <c r="AR24" s="923"/>
      <c r="AS24" s="923"/>
      <c r="AT24" s="928"/>
    </row>
    <row r="25" ht="15.0" customHeight="1">
      <c r="A25" s="931"/>
      <c r="B25" s="943" t="s">
        <v>58</v>
      </c>
      <c r="C25" s="948" t="s">
        <v>1053</v>
      </c>
      <c r="D25" s="939">
        <v>45994.0</v>
      </c>
      <c r="E25" s="914">
        <f t="shared" si="6"/>
        <v>0</v>
      </c>
      <c r="F25" s="929">
        <f>IFERROR(VLOOKUP(C25,'Лист20'!$A$1:$C1088,2,0),0)</f>
        <v>0</v>
      </c>
      <c r="G25" s="933">
        <f>IFERROR(VLOOKUP(C25,'Лист20'!$A$1:$C1088,3,0),0)</f>
        <v>0</v>
      </c>
      <c r="H25" s="917"/>
      <c r="I25" s="918"/>
      <c r="J25" s="919"/>
      <c r="K25" s="919"/>
      <c r="L25" s="919"/>
      <c r="M25" s="919"/>
      <c r="N25" s="919"/>
      <c r="O25" s="920"/>
      <c r="P25" s="921"/>
      <c r="Q25" s="921"/>
      <c r="R25" s="922"/>
      <c r="S25" s="922"/>
      <c r="T25" s="903">
        <f t="shared" si="7"/>
        <v>0</v>
      </c>
      <c r="U25" s="922"/>
      <c r="V25" s="922"/>
      <c r="W25" s="922"/>
      <c r="X25" s="922"/>
      <c r="Y25" s="904">
        <f t="shared" si="8"/>
        <v>0</v>
      </c>
      <c r="Z25" s="922"/>
      <c r="AA25" s="922"/>
      <c r="AB25" s="923"/>
      <c r="AC25" s="923"/>
      <c r="AD25" s="924"/>
      <c r="AE25" s="920">
        <f>COUNTIF('выгрузка отзывов'!$B$34:$B$39,C25)</f>
        <v>0</v>
      </c>
      <c r="AF25" s="921">
        <f>COUNTIF('выгрузка отзывов'!$B$25:$B$33,C25)</f>
        <v>1</v>
      </c>
      <c r="AG25" s="921">
        <f>COUNTIF('выгрузка отзывов'!$B$18:$B$24,C25)</f>
        <v>0</v>
      </c>
      <c r="AH25" s="922">
        <f>COUNTIF('выгрузка отзывов'!$B$11:$B$17,C25)</f>
        <v>0</v>
      </c>
      <c r="AI25" s="922">
        <f>COUNTIF('выгрузка отзывов'!$B$8:$B$10,C25)</f>
        <v>0</v>
      </c>
      <c r="AJ25" s="927">
        <f t="shared" si="4"/>
        <v>1</v>
      </c>
      <c r="AK25" s="922">
        <f>COUNTIF('выгрузка отзывов'!$B$2:$B$7,$C25)</f>
        <v>0</v>
      </c>
      <c r="AL25" s="922"/>
      <c r="AM25" s="922"/>
      <c r="AN25" s="922"/>
      <c r="AO25" s="902">
        <f t="shared" si="9"/>
        <v>0</v>
      </c>
      <c r="AP25" s="922"/>
      <c r="AQ25" s="922"/>
      <c r="AR25" s="923"/>
      <c r="AS25" s="923"/>
      <c r="AT25" s="928"/>
    </row>
    <row r="26" ht="15.0" customHeight="1">
      <c r="A26" s="931"/>
      <c r="B26" s="943" t="s">
        <v>58</v>
      </c>
      <c r="C26" s="949" t="str">
        <f>'1. Справочник'!C22</f>
        <v>OBT 2910</v>
      </c>
      <c r="D26" s="950">
        <v>45995.0</v>
      </c>
      <c r="E26" s="951">
        <f t="shared" si="6"/>
        <v>0</v>
      </c>
      <c r="F26" s="952">
        <f>IFERROR(VLOOKUP(C26,'Лист20'!$A$1:$C1088,2,0),0)</f>
        <v>0</v>
      </c>
      <c r="G26" s="953">
        <f>IFERROR(VLOOKUP(C26,'Лист20'!$A$1:$C1088,3,0),0)</f>
        <v>0</v>
      </c>
      <c r="H26" s="954"/>
      <c r="I26" s="955"/>
      <c r="J26" s="956"/>
      <c r="K26" s="956"/>
      <c r="L26" s="956"/>
      <c r="M26" s="956"/>
      <c r="N26" s="956"/>
      <c r="O26" s="920"/>
      <c r="P26" s="921"/>
      <c r="Q26" s="921"/>
      <c r="R26" s="922"/>
      <c r="S26" s="922"/>
      <c r="T26" s="903">
        <f t="shared" si="7"/>
        <v>0</v>
      </c>
      <c r="U26" s="922"/>
      <c r="V26" s="922"/>
      <c r="W26" s="922"/>
      <c r="X26" s="922"/>
      <c r="Y26" s="904">
        <f t="shared" si="8"/>
        <v>0</v>
      </c>
      <c r="Z26" s="922"/>
      <c r="AA26" s="922"/>
      <c r="AB26" s="923"/>
      <c r="AC26" s="923"/>
      <c r="AD26" s="924"/>
      <c r="AE26" s="920">
        <f>COUNTIF('выгрузка отзывов'!$B$34:$B$39,C26)</f>
        <v>0</v>
      </c>
      <c r="AF26" s="921">
        <f>COUNTIF('выгрузка отзывов'!$B$25:$B$33,C26)</f>
        <v>0</v>
      </c>
      <c r="AG26" s="921">
        <f>COUNTIF('выгрузка отзывов'!$B$18:$B$24,C26)</f>
        <v>0</v>
      </c>
      <c r="AH26" s="922">
        <f>COUNTIF('выгрузка отзывов'!$B$11:$B$17,C26)</f>
        <v>0</v>
      </c>
      <c r="AI26" s="922">
        <f>COUNTIF('выгрузка отзывов'!$B$8:$B$10,C26)</f>
        <v>0</v>
      </c>
      <c r="AJ26" s="927">
        <f t="shared" si="4"/>
        <v>0</v>
      </c>
      <c r="AK26" s="922">
        <f>COUNTIF('выгрузка отзывов'!$B$2:$B$7,$C26)</f>
        <v>0</v>
      </c>
      <c r="AL26" s="922"/>
      <c r="AM26" s="922"/>
      <c r="AN26" s="922"/>
      <c r="AO26" s="902">
        <f t="shared" si="9"/>
        <v>0</v>
      </c>
      <c r="AP26" s="922"/>
      <c r="AQ26" s="922"/>
      <c r="AR26" s="923"/>
      <c r="AS26" s="923"/>
      <c r="AT26" s="928"/>
    </row>
    <row r="27" ht="15.0" hidden="1" customHeight="1">
      <c r="A27" s="931"/>
      <c r="B27" s="957" t="s">
        <v>177</v>
      </c>
      <c r="C27" s="958" t="str">
        <f>'1. Справочник'!C68</f>
        <v>Пиросмани 162</v>
      </c>
      <c r="D27" s="959"/>
      <c r="E27" s="960">
        <f t="shared" si="6"/>
        <v>0</v>
      </c>
      <c r="F27" s="961"/>
      <c r="G27" s="962"/>
      <c r="H27" s="963"/>
      <c r="I27" s="964"/>
      <c r="J27" s="965"/>
      <c r="K27" s="965"/>
      <c r="L27" s="965"/>
      <c r="M27" s="965"/>
      <c r="N27" s="965"/>
      <c r="O27" s="920"/>
      <c r="P27" s="921"/>
      <c r="Q27" s="921"/>
      <c r="R27" s="922"/>
      <c r="S27" s="922"/>
      <c r="T27" s="903">
        <f t="shared" si="7"/>
        <v>0</v>
      </c>
      <c r="U27" s="922"/>
      <c r="V27" s="922"/>
      <c r="W27" s="922"/>
      <c r="X27" s="922">
        <f>SUMIF('Заполняемость'!$C$8:$C1088,$C27,'Заполняемость'!$T$8:$T1088)</f>
        <v>0</v>
      </c>
      <c r="Y27" s="904">
        <f t="shared" si="8"/>
        <v>0</v>
      </c>
      <c r="Z27" s="922">
        <f>SUMIF('Заполняемость'!$C$8:$C1088,$C27,'Заполняемость'!$T$8:$T1088)</f>
        <v>0</v>
      </c>
      <c r="AA27" s="922">
        <f>SUMIF('Заполняемость'!$C$8:$C1088,$C27,'Заполняемость'!$Z$8:$Z1088)</f>
        <v>0</v>
      </c>
      <c r="AB27" s="923"/>
      <c r="AC27" s="923"/>
      <c r="AD27" s="924"/>
      <c r="AE27" s="920">
        <f>COUNTIF('выгрузка отзывов'!$B$34:$B$39,C27)</f>
        <v>0</v>
      </c>
      <c r="AF27" s="921">
        <f>COUNTIF('выгрузка отзывов'!$B$34:$B$39,C27)</f>
        <v>0</v>
      </c>
      <c r="AG27" s="921">
        <f>COUNTIF('выгрузка отзывов'!$B$18:$B$24,C27)</f>
        <v>0</v>
      </c>
      <c r="AH27" s="922">
        <f>COUNTIF('выгрузка отзывов'!$B$11:$B$17,C27)</f>
        <v>0</v>
      </c>
      <c r="AI27" s="922">
        <f>COUNTIF('выгрузка отзывов'!$B$8:$B$10,C27)</f>
        <v>0</v>
      </c>
      <c r="AJ27" s="927">
        <f t="shared" si="4"/>
        <v>0</v>
      </c>
      <c r="AK27" s="922">
        <f>COUNTIF('выгрузка отзывов'!$B$2:$B$7,$C27)</f>
        <v>0</v>
      </c>
      <c r="AL27" s="922"/>
      <c r="AM27" s="922"/>
      <c r="AN27" s="922">
        <f>SUMIF('Заполняемость'!$C$8:$C1088,$C27,'Заполняемость'!$T$8:$T1088)</f>
        <v>0</v>
      </c>
      <c r="AO27" s="902">
        <f t="shared" si="9"/>
        <v>0</v>
      </c>
      <c r="AP27" s="922">
        <f>SUMIF('Заполняемость'!$C$8:$C1088,$C27,'Заполняемость'!$T$8:$T1088)</f>
        <v>0</v>
      </c>
      <c r="AQ27" s="922">
        <f>SUMIF('Заполняемость'!$C$8:$C1088,$C27,'Заполняемость'!$Z$8:$Z1088)</f>
        <v>0</v>
      </c>
      <c r="AR27" s="923"/>
      <c r="AS27" s="923"/>
      <c r="AT27" s="928"/>
    </row>
    <row r="28" ht="15.0" hidden="1" customHeight="1">
      <c r="A28" s="931"/>
      <c r="B28" s="957" t="s">
        <v>177</v>
      </c>
      <c r="C28" s="958" t="str">
        <f>'1. Справочник'!C69</f>
        <v>Пиросмани 181</v>
      </c>
      <c r="D28" s="959"/>
      <c r="E28" s="960">
        <f t="shared" si="6"/>
        <v>0</v>
      </c>
      <c r="F28" s="961">
        <v>0.0</v>
      </c>
      <c r="G28" s="962"/>
      <c r="H28" s="963"/>
      <c r="I28" s="964"/>
      <c r="J28" s="965"/>
      <c r="K28" s="965"/>
      <c r="L28" s="965"/>
      <c r="M28" s="965"/>
      <c r="N28" s="965"/>
      <c r="O28" s="920"/>
      <c r="P28" s="921"/>
      <c r="Q28" s="921"/>
      <c r="R28" s="922"/>
      <c r="S28" s="922"/>
      <c r="T28" s="903">
        <f t="shared" si="7"/>
        <v>0</v>
      </c>
      <c r="U28" s="922"/>
      <c r="V28" s="922"/>
      <c r="W28" s="922"/>
      <c r="X28" s="922">
        <f>SUMIF('Заполняемость'!$C$8:$C1088,$C28,'Заполняемость'!$T$8:$T1088)</f>
        <v>0</v>
      </c>
      <c r="Y28" s="904">
        <f t="shared" si="8"/>
        <v>0</v>
      </c>
      <c r="Z28" s="922">
        <f>SUMIF('Заполняемость'!$C$8:$C1088,$C28,'Заполняемость'!$T$8:$T1088)</f>
        <v>0</v>
      </c>
      <c r="AA28" s="922">
        <f>SUMIF('Заполняемость'!$C$8:$C1088,$C28,'Заполняемость'!$Z$8:$Z1088)</f>
        <v>0</v>
      </c>
      <c r="AB28" s="923"/>
      <c r="AC28" s="923"/>
      <c r="AD28" s="924"/>
      <c r="AE28" s="920">
        <f>COUNTIF('выгрузка отзывов'!$B$34:$B$39,C28)</f>
        <v>0</v>
      </c>
      <c r="AF28" s="921">
        <f>COUNTIF('выгрузка отзывов'!$B$34:$B$39,C28)</f>
        <v>0</v>
      </c>
      <c r="AG28" s="921">
        <f>COUNTIF('выгрузка отзывов'!$B$18:$B$24,C28)</f>
        <v>0</v>
      </c>
      <c r="AH28" s="922">
        <f>COUNTIF('выгрузка отзывов'!$B$11:$B$17,C28)</f>
        <v>0</v>
      </c>
      <c r="AI28" s="922">
        <f>COUNTIF('выгрузка отзывов'!$B$8:$B$10,C28)</f>
        <v>0</v>
      </c>
      <c r="AJ28" s="927">
        <f t="shared" si="4"/>
        <v>0</v>
      </c>
      <c r="AK28" s="922">
        <f>COUNTIF('выгрузка отзывов'!$B$2:$B$7,$C28)</f>
        <v>0</v>
      </c>
      <c r="AL28" s="922"/>
      <c r="AM28" s="922"/>
      <c r="AN28" s="922">
        <f>SUMIF('Заполняемость'!$C$8:$C1088,$C28,'Заполняемость'!$T$8:$T1088)</f>
        <v>0</v>
      </c>
      <c r="AO28" s="902">
        <f t="shared" si="9"/>
        <v>0</v>
      </c>
      <c r="AP28" s="922">
        <f>SUMIF('Заполняемость'!$C$8:$C1088,$C28,'Заполняемость'!$T$8:$T1088)</f>
        <v>0</v>
      </c>
      <c r="AQ28" s="922">
        <f>SUMIF('Заполняемость'!$C$8:$C1088,$C28,'Заполняемость'!$Z$8:$Z1088)</f>
        <v>0</v>
      </c>
      <c r="AR28" s="923"/>
      <c r="AS28" s="923"/>
      <c r="AT28" s="928"/>
    </row>
    <row r="29" ht="15.0" hidden="1" customHeight="1">
      <c r="A29" s="931"/>
      <c r="B29" s="957" t="s">
        <v>177</v>
      </c>
      <c r="C29" s="958" t="str">
        <f>'1. Справочник'!C70</f>
        <v>Pollo 2-2</v>
      </c>
      <c r="D29" s="959"/>
      <c r="E29" s="960">
        <f t="shared" si="6"/>
        <v>0</v>
      </c>
      <c r="F29" s="961">
        <v>0.0</v>
      </c>
      <c r="G29" s="962"/>
      <c r="H29" s="963"/>
      <c r="I29" s="964"/>
      <c r="J29" s="965"/>
      <c r="K29" s="965"/>
      <c r="L29" s="965"/>
      <c r="M29" s="965"/>
      <c r="N29" s="965"/>
      <c r="O29" s="920"/>
      <c r="P29" s="921"/>
      <c r="Q29" s="921"/>
      <c r="R29" s="922"/>
      <c r="S29" s="922"/>
      <c r="T29" s="903">
        <f t="shared" si="7"/>
        <v>0</v>
      </c>
      <c r="U29" s="922"/>
      <c r="V29" s="922"/>
      <c r="W29" s="922"/>
      <c r="X29" s="922">
        <f>SUMIF('Заполняемость'!$C$8:$C1088,$C29,'Заполняемость'!$T$8:$T1088)</f>
        <v>0</v>
      </c>
      <c r="Y29" s="904">
        <f t="shared" si="8"/>
        <v>0</v>
      </c>
      <c r="Z29" s="922">
        <f>SUMIF('Заполняемость'!$C$8:$C1088,$C29,'Заполняемость'!$T$8:$T1088)</f>
        <v>0</v>
      </c>
      <c r="AA29" s="922">
        <f>SUMIF('Заполняемость'!$C$8:$C1088,$C29,'Заполняемость'!$Z$8:$Z1088)</f>
        <v>0</v>
      </c>
      <c r="AB29" s="923"/>
      <c r="AC29" s="923"/>
      <c r="AD29" s="924"/>
      <c r="AE29" s="920">
        <f>COUNTIF('выгрузка отзывов'!$B$34:$B$39,C29)</f>
        <v>0</v>
      </c>
      <c r="AF29" s="921">
        <f>COUNTIF('выгрузка отзывов'!$B$34:$B$39,C29)</f>
        <v>0</v>
      </c>
      <c r="AG29" s="921">
        <f>COUNTIF('выгрузка отзывов'!$B$18:$B$24,C29)</f>
        <v>0</v>
      </c>
      <c r="AH29" s="922">
        <f>COUNTIF('выгрузка отзывов'!$B$11:$B$17,C29)</f>
        <v>0</v>
      </c>
      <c r="AI29" s="922">
        <f>COUNTIF('выгрузка отзывов'!$B$8:$B$10,C29)</f>
        <v>0</v>
      </c>
      <c r="AJ29" s="927">
        <f t="shared" si="4"/>
        <v>0</v>
      </c>
      <c r="AK29" s="922">
        <f>COUNTIF('выгрузка отзывов'!$B$2:$B$7,$C29)</f>
        <v>0</v>
      </c>
      <c r="AL29" s="922"/>
      <c r="AM29" s="922"/>
      <c r="AN29" s="922">
        <f>SUMIF('Заполняемость'!$C$8:$C1088,$C29,'Заполняемость'!$T$8:$T1088)</f>
        <v>0</v>
      </c>
      <c r="AO29" s="902">
        <f t="shared" si="9"/>
        <v>0</v>
      </c>
      <c r="AP29" s="922">
        <f>SUMIF('Заполняемость'!$C$8:$C1088,$C29,'Заполняемость'!$T$8:$T1088)</f>
        <v>0</v>
      </c>
      <c r="AQ29" s="922">
        <f>SUMIF('Заполняемость'!$C$8:$C1088,$C29,'Заполняемость'!$Z$8:$Z1088)</f>
        <v>0</v>
      </c>
      <c r="AR29" s="923"/>
      <c r="AS29" s="923"/>
      <c r="AT29" s="928"/>
    </row>
    <row r="30" ht="15.0" hidden="1" customHeight="1">
      <c r="A30" s="911"/>
      <c r="B30" s="957" t="s">
        <v>177</v>
      </c>
      <c r="C30" s="958" t="str">
        <f>'1. Справочник'!C71</f>
        <v>Pollo 3-5</v>
      </c>
      <c r="D30" s="966"/>
      <c r="E30" s="960">
        <f t="shared" si="6"/>
        <v>0</v>
      </c>
      <c r="F30" s="961">
        <v>0.0</v>
      </c>
      <c r="G30" s="967" t="str">
        <f>VLOOKUP(C30,'Лист20'!$A$1:$C1088,3,0)</f>
        <v>#NAME?</v>
      </c>
      <c r="H30" s="968"/>
      <c r="I30" s="969"/>
      <c r="J30" s="970"/>
      <c r="K30" s="970"/>
      <c r="L30" s="970"/>
      <c r="M30" s="970"/>
      <c r="N30" s="970"/>
      <c r="O30" s="920"/>
      <c r="P30" s="921"/>
      <c r="Q30" s="921"/>
      <c r="R30" s="922">
        <f>SUMIF('Заполняемость'!$C$8:$C1088,C30,'Заполняемость'!$E$8:$E1088)</f>
        <v>1</v>
      </c>
      <c r="S30" s="922">
        <f>SUMIF('Заполняемость'!$C$8:$C1088,$C30,'Заполняемость'!$H$8:$H1088)</f>
        <v>0</v>
      </c>
      <c r="T30" s="903">
        <f t="shared" si="7"/>
        <v>1</v>
      </c>
      <c r="U30" s="922">
        <f>SUMIF('Заполняемость'!$C$8:$C1088,$C30,'Заполняемость'!$K$8:$K1088)</f>
        <v>0</v>
      </c>
      <c r="V30" s="922">
        <f>SUMIF('Заполняемость'!$C$8:$C1088,$C30,'Заполняемость'!$N$8:$N1088)</f>
        <v>0</v>
      </c>
      <c r="W30" s="922">
        <f>SUMIF('Заполняемость'!$C$8:$C1088,$C30,'Заполняемость'!$Q$8:$Q1088)</f>
        <v>0</v>
      </c>
      <c r="X30" s="922">
        <f>SUMIF('Заполняемость'!$C$8:$C1088,$C30,'Заполняемость'!$T$8:$T1088)</f>
        <v>0</v>
      </c>
      <c r="Y30" s="904">
        <f t="shared" si="8"/>
        <v>0</v>
      </c>
      <c r="Z30" s="922">
        <f>SUMIF('Заполняемость'!$C$8:$C1088,$C30,'Заполняемость'!$T$8:$T1088)</f>
        <v>0</v>
      </c>
      <c r="AA30" s="922">
        <f>SUMIF('Заполняемость'!$C$8:$C1088,$C30,'Заполняемость'!$Z$8:$Z1088)</f>
        <v>0</v>
      </c>
      <c r="AB30" s="923"/>
      <c r="AC30" s="923"/>
      <c r="AD30" s="924"/>
      <c r="AE30" s="920">
        <f>COUNTIF('выгрузка отзывов'!$B$34:$B$39,C30)</f>
        <v>0</v>
      </c>
      <c r="AF30" s="921">
        <f>COUNTIF('выгрузка отзывов'!$B$34:$B$39,C30)</f>
        <v>0</v>
      </c>
      <c r="AG30" s="921">
        <f>COUNTIF('выгрузка отзывов'!$B$18:$B$24,C30)</f>
        <v>0</v>
      </c>
      <c r="AH30" s="922">
        <f>COUNTIF('выгрузка отзывов'!$B$11:$B$17,C30)</f>
        <v>0</v>
      </c>
      <c r="AI30" s="922">
        <f>COUNTIF('выгрузка отзывов'!$B$8:$B$10,C30)</f>
        <v>0</v>
      </c>
      <c r="AJ30" s="927">
        <f t="shared" si="4"/>
        <v>0</v>
      </c>
      <c r="AK30" s="922">
        <f>COUNTIF('выгрузка отзывов'!$B$2:$B$7,$C30)</f>
        <v>0</v>
      </c>
      <c r="AL30" s="922">
        <f>SUMIF('Заполняемость'!$C$8:$C1088,$C30,'Заполняемость'!$N$8:$N1088)</f>
        <v>0</v>
      </c>
      <c r="AM30" s="922">
        <f>SUMIF('Заполняемость'!$C$8:$C1088,$C30,'Заполняемость'!$Q$8:$Q1088)</f>
        <v>0</v>
      </c>
      <c r="AN30" s="922">
        <f>SUMIF('Заполняемость'!$C$8:$C1088,$C30,'Заполняемость'!$T$8:$T1088)</f>
        <v>0</v>
      </c>
      <c r="AO30" s="902">
        <f t="shared" si="9"/>
        <v>0</v>
      </c>
      <c r="AP30" s="922">
        <f>SUMIF('Заполняемость'!$C$8:$C1088,$C30,'Заполняемость'!$T$8:$T1088)</f>
        <v>0</v>
      </c>
      <c r="AQ30" s="922">
        <f>SUMIF('Заполняемость'!$C$8:$C1088,$C30,'Заполняемость'!$Z$8:$Z1088)</f>
        <v>0</v>
      </c>
      <c r="AR30" s="923"/>
      <c r="AS30" s="923"/>
      <c r="AT30" s="928"/>
    </row>
    <row r="31" ht="15.0" hidden="1" customHeight="1">
      <c r="A31" s="911"/>
      <c r="B31" s="957" t="s">
        <v>177</v>
      </c>
      <c r="C31" s="958" t="str">
        <f>'1. Справочник'!C72</f>
        <v>Polo 4-12</v>
      </c>
      <c r="D31" s="966"/>
      <c r="E31" s="960">
        <f t="shared" si="6"/>
        <v>0</v>
      </c>
      <c r="F31" s="961">
        <v>0.0</v>
      </c>
      <c r="G31" s="967" t="str">
        <f>VLOOKUP(C31,'Лист20'!$A$1:$C1088,3,0)</f>
        <v>#NAME?</v>
      </c>
      <c r="H31" s="968"/>
      <c r="I31" s="969"/>
      <c r="J31" s="970"/>
      <c r="K31" s="970"/>
      <c r="L31" s="970"/>
      <c r="M31" s="971"/>
      <c r="N31" s="971"/>
      <c r="O31" s="972"/>
      <c r="P31" s="973"/>
      <c r="Q31" s="973"/>
      <c r="R31" s="974">
        <f>SUMIF('Заполняемость'!$C$8:$C1088,C31,'Заполняемость'!$E$8:$E1088)</f>
        <v>0</v>
      </c>
      <c r="S31" s="974">
        <f>SUMIF('Заполняемость'!$C$8:$C1088,$C31,'Заполняемость'!$H$8:$H1088)</f>
        <v>0</v>
      </c>
      <c r="T31" s="975">
        <f t="shared" si="7"/>
        <v>0</v>
      </c>
      <c r="U31" s="974">
        <f>SUMIF('Заполняемость'!$C$8:$C1088,$C31,'Заполняемость'!$K$8:$K1088)</f>
        <v>0</v>
      </c>
      <c r="V31" s="974">
        <f>SUMIF('Заполняемость'!$C$8:$C1088,$C31,'Заполняемость'!$N$8:$N1088)</f>
        <v>0</v>
      </c>
      <c r="W31" s="974">
        <f>SUMIF('Заполняемость'!$C$8:$C1088,$C31,'Заполняемость'!$Q$8:$Q1088)</f>
        <v>0</v>
      </c>
      <c r="X31" s="974">
        <f>SUMIF('Заполняемость'!$C$8:$C1088,$C31,'Заполняемость'!$T$8:$T1088)</f>
        <v>0</v>
      </c>
      <c r="Y31" s="976">
        <f t="shared" si="8"/>
        <v>0</v>
      </c>
      <c r="Z31" s="974">
        <f>SUMIF('Заполняемость'!$C$8:$C1088,$C31,'Заполняемость'!$T$8:$T1088)</f>
        <v>0</v>
      </c>
      <c r="AA31" s="974">
        <f>SUMIF('Заполняемость'!$C$8:$C1088,$C31,'Заполняемость'!$Z$8:$Z1088)</f>
        <v>0</v>
      </c>
      <c r="AB31" s="977"/>
      <c r="AC31" s="977"/>
      <c r="AD31" s="978"/>
      <c r="AE31" s="972">
        <f>COUNTIF('выгрузка отзывов'!$B$34:$B$39,C31)</f>
        <v>0</v>
      </c>
      <c r="AF31" s="973">
        <f>COUNTIF('выгрузка отзывов'!$B$34:$B$39,C31)</f>
        <v>0</v>
      </c>
      <c r="AG31" s="973">
        <f>COUNTIF('выгрузка отзывов'!$B$18:$B$24,C31)</f>
        <v>0</v>
      </c>
      <c r="AH31" s="974">
        <f>COUNTIF('выгрузка отзывов'!$B$11:$B$17,C31)</f>
        <v>0</v>
      </c>
      <c r="AI31" s="974">
        <f>COUNTIF('выгрузка отзывов'!$B$8:$B$10,C31)</f>
        <v>0</v>
      </c>
      <c r="AJ31" s="927">
        <f t="shared" si="4"/>
        <v>0</v>
      </c>
      <c r="AK31" s="974">
        <f>COUNTIF('выгрузка отзывов'!$B$2:$B$7,$C31)</f>
        <v>0</v>
      </c>
      <c r="AL31" s="974">
        <f>SUMIF('Заполняемость'!$C$8:$C1088,$C31,'Заполняемость'!$N$8:$N1088)</f>
        <v>0</v>
      </c>
      <c r="AM31" s="974">
        <f>SUMIF('Заполняемость'!$C$8:$C1088,$C31,'Заполняемость'!$Q$8:$Q1088)</f>
        <v>0</v>
      </c>
      <c r="AN31" s="974">
        <f>SUMIF('Заполняемость'!$C$8:$C1088,$C31,'Заполняемость'!$T$8:$T1088)</f>
        <v>0</v>
      </c>
      <c r="AO31" s="979">
        <f t="shared" si="9"/>
        <v>0</v>
      </c>
      <c r="AP31" s="974">
        <f>SUMIF('Заполняемость'!$C$8:$C1088,$C31,'Заполняемость'!$T$8:$T1088)</f>
        <v>0</v>
      </c>
      <c r="AQ31" s="974">
        <f>SUMIF('Заполняемость'!$C$8:$C1088,$C31,'Заполняемость'!$Z$8:$Z1088)</f>
        <v>0</v>
      </c>
      <c r="AR31" s="977"/>
      <c r="AS31" s="977"/>
      <c r="AT31" s="980"/>
    </row>
    <row r="32" ht="15.0" customHeight="1">
      <c r="A32" s="981"/>
      <c r="B32" s="982"/>
      <c r="C32" s="983">
        <v>20.0</v>
      </c>
      <c r="D32" s="984"/>
      <c r="E32" s="985">
        <f t="shared" si="6"/>
        <v>49</v>
      </c>
      <c r="F32" s="986">
        <f>SUM(F4:F22)</f>
        <v>0</v>
      </c>
      <c r="G32" s="987"/>
      <c r="H32" s="988"/>
      <c r="I32" s="989">
        <f>SUM(I4:I22)</f>
        <v>49</v>
      </c>
      <c r="J32" s="990"/>
      <c r="K32" s="990"/>
      <c r="L32" s="990"/>
      <c r="M32" s="990"/>
      <c r="N32" s="990"/>
      <c r="O32" s="991">
        <f t="shared" ref="O32:AD32" si="10">SUM(O4:O21)</f>
        <v>0</v>
      </c>
      <c r="P32" s="992">
        <f t="shared" si="10"/>
        <v>0</v>
      </c>
      <c r="Q32" s="992">
        <f t="shared" si="10"/>
        <v>0</v>
      </c>
      <c r="R32" s="992">
        <f t="shared" si="10"/>
        <v>0</v>
      </c>
      <c r="S32" s="992">
        <f t="shared" si="10"/>
        <v>0</v>
      </c>
      <c r="T32" s="992">
        <f t="shared" si="10"/>
        <v>0</v>
      </c>
      <c r="U32" s="992">
        <f t="shared" si="10"/>
        <v>0</v>
      </c>
      <c r="V32" s="992">
        <f t="shared" si="10"/>
        <v>0</v>
      </c>
      <c r="W32" s="992">
        <f t="shared" si="10"/>
        <v>0</v>
      </c>
      <c r="X32" s="992">
        <f t="shared" si="10"/>
        <v>0</v>
      </c>
      <c r="Y32" s="992">
        <f t="shared" si="10"/>
        <v>0</v>
      </c>
      <c r="Z32" s="992">
        <f t="shared" si="10"/>
        <v>0</v>
      </c>
      <c r="AA32" s="992">
        <f t="shared" si="10"/>
        <v>0</v>
      </c>
      <c r="AB32" s="992">
        <f t="shared" si="10"/>
        <v>0</v>
      </c>
      <c r="AC32" s="992">
        <f t="shared" si="10"/>
        <v>0</v>
      </c>
      <c r="AD32" s="992">
        <f t="shared" si="10"/>
        <v>0</v>
      </c>
      <c r="AE32" s="992">
        <f t="shared" ref="AE32:AT32" si="11">SUM(AE4:AE26)</f>
        <v>1</v>
      </c>
      <c r="AF32" s="992">
        <f t="shared" si="11"/>
        <v>3</v>
      </c>
      <c r="AG32" s="992">
        <f t="shared" si="11"/>
        <v>1</v>
      </c>
      <c r="AH32" s="992">
        <f t="shared" si="11"/>
        <v>0</v>
      </c>
      <c r="AI32" s="992">
        <f t="shared" si="11"/>
        <v>1</v>
      </c>
      <c r="AJ32" s="992">
        <f t="shared" si="11"/>
        <v>6</v>
      </c>
      <c r="AK32" s="992">
        <f t="shared" si="11"/>
        <v>1</v>
      </c>
      <c r="AL32" s="992">
        <f t="shared" si="11"/>
        <v>0</v>
      </c>
      <c r="AM32" s="992">
        <f t="shared" si="11"/>
        <v>0</v>
      </c>
      <c r="AN32" s="992">
        <f t="shared" si="11"/>
        <v>0</v>
      </c>
      <c r="AO32" s="992">
        <f t="shared" si="11"/>
        <v>0</v>
      </c>
      <c r="AP32" s="992">
        <f t="shared" si="11"/>
        <v>0</v>
      </c>
      <c r="AQ32" s="992">
        <f t="shared" si="11"/>
        <v>0</v>
      </c>
      <c r="AR32" s="992">
        <f t="shared" si="11"/>
        <v>0</v>
      </c>
      <c r="AS32" s="992">
        <f t="shared" si="11"/>
        <v>0</v>
      </c>
      <c r="AT32" s="992">
        <f t="shared" si="11"/>
        <v>0</v>
      </c>
    </row>
    <row r="33" ht="15.0" customHeight="1">
      <c r="A33" s="888"/>
      <c r="B33" s="993" t="s">
        <v>99</v>
      </c>
      <c r="C33" s="994" t="s">
        <v>1054</v>
      </c>
      <c r="D33" s="995">
        <v>2024.0</v>
      </c>
      <c r="E33" s="960">
        <f t="shared" si="6"/>
        <v>4</v>
      </c>
      <c r="F33" s="996">
        <f>IFERROR(VLOOKUP(C33,'Лист20'!$A$1:$C1088,2,0),0)</f>
        <v>0</v>
      </c>
      <c r="G33" s="997">
        <f>IFERROR(VLOOKUP(C33,'Лист20'!$A$1:$C1088,3,0),0)</f>
        <v>0</v>
      </c>
      <c r="H33" s="998" t="b">
        <v>1</v>
      </c>
      <c r="I33" s="999">
        <v>4.0</v>
      </c>
      <c r="J33" s="1000">
        <v>10.0</v>
      </c>
      <c r="K33" s="1000"/>
      <c r="L33" s="1000"/>
      <c r="M33" s="1000"/>
      <c r="N33" s="1000"/>
      <c r="O33" s="925"/>
      <c r="P33" s="926"/>
      <c r="Q33" s="926"/>
      <c r="R33" s="902"/>
      <c r="S33" s="902"/>
      <c r="T33" s="903">
        <f t="shared" ref="T33:T42" si="12">SUM(O33:S33)</f>
        <v>0</v>
      </c>
      <c r="U33" s="902"/>
      <c r="V33" s="902"/>
      <c r="W33" s="902"/>
      <c r="X33" s="902"/>
      <c r="Y33" s="904">
        <f t="shared" ref="Y33:Y42" si="13">SUM(U33:X33)</f>
        <v>0</v>
      </c>
      <c r="Z33" s="902"/>
      <c r="AA33" s="902"/>
      <c r="AB33" s="905"/>
      <c r="AC33" s="905"/>
      <c r="AD33" s="1001"/>
      <c r="AE33" s="925">
        <f>COUNTIF('выгрузка отзывов'!$B$34:$B$39,C33)</f>
        <v>0</v>
      </c>
      <c r="AF33" s="926">
        <f>COUNTIF('выгрузка отзывов'!$B$25:$B$33,C33)</f>
        <v>0</v>
      </c>
      <c r="AG33" s="926">
        <f>COUNTIF('выгрузка отзывов'!$B$18:$B$24,C33)</f>
        <v>0</v>
      </c>
      <c r="AH33" s="902">
        <f>COUNTIF('выгрузка отзывов'!$B$11:$B$17,C33)</f>
        <v>1</v>
      </c>
      <c r="AI33" s="902">
        <f>COUNTIF('выгрузка отзывов'!$B$8:$B$10,C33)</f>
        <v>0</v>
      </c>
      <c r="AJ33" s="927">
        <f t="shared" ref="AJ33:AJ42" si="14">SUM(AE33:AI33)</f>
        <v>1</v>
      </c>
      <c r="AK33" s="902">
        <f>COUNTIF('выгрузка отзывов'!$B$2:$B$7,$C33)</f>
        <v>0</v>
      </c>
      <c r="AL33" s="902"/>
      <c r="AM33" s="902"/>
      <c r="AN33" s="902"/>
      <c r="AO33" s="902">
        <f t="shared" ref="AO33:AO42" si="15">SUM(AK33:AN33)</f>
        <v>0</v>
      </c>
      <c r="AP33" s="902"/>
      <c r="AQ33" s="902"/>
      <c r="AR33" s="905"/>
      <c r="AS33" s="905"/>
      <c r="AT33" s="910"/>
    </row>
    <row r="34" ht="15.0" customHeight="1">
      <c r="A34" s="911"/>
      <c r="B34" s="1002" t="s">
        <v>99</v>
      </c>
      <c r="C34" s="1003" t="str">
        <f>'1. Справочник'!C35</f>
        <v>С 1443</v>
      </c>
      <c r="D34" s="995">
        <v>2024.0</v>
      </c>
      <c r="E34" s="960">
        <f t="shared" si="6"/>
        <v>6</v>
      </c>
      <c r="F34" s="1004">
        <f>IFERROR(VLOOKUP(C34,'Лист20'!$A$1:$C1088,2,0),0)</f>
        <v>0</v>
      </c>
      <c r="G34" s="1005">
        <f>IFERROR(VLOOKUP(C34,'Лист20'!$A$1:$C1088,3,0),0)</f>
        <v>0</v>
      </c>
      <c r="H34" s="1006" t="b">
        <v>1</v>
      </c>
      <c r="I34" s="1007">
        <v>6.0</v>
      </c>
      <c r="J34" s="1008">
        <v>9.8</v>
      </c>
      <c r="K34" s="1008"/>
      <c r="L34" s="1008"/>
      <c r="M34" s="1008"/>
      <c r="N34" s="1008"/>
      <c r="O34" s="920"/>
      <c r="P34" s="921"/>
      <c r="Q34" s="921"/>
      <c r="R34" s="922"/>
      <c r="S34" s="922"/>
      <c r="T34" s="903">
        <f t="shared" si="12"/>
        <v>0</v>
      </c>
      <c r="U34" s="922"/>
      <c r="V34" s="922"/>
      <c r="W34" s="922"/>
      <c r="X34" s="922"/>
      <c r="Y34" s="904">
        <f t="shared" si="13"/>
        <v>0</v>
      </c>
      <c r="Z34" s="922"/>
      <c r="AA34" s="922"/>
      <c r="AB34" s="923"/>
      <c r="AC34" s="923"/>
      <c r="AD34" s="924"/>
      <c r="AE34" s="920">
        <f>COUNTIF('выгрузка отзывов'!$B$34:$B$39,C34)</f>
        <v>0</v>
      </c>
      <c r="AF34" s="921">
        <f>COUNTIF('выгрузка отзывов'!$B$25:$B$33,C34)</f>
        <v>0</v>
      </c>
      <c r="AG34" s="921">
        <f>COUNTIF('выгрузка отзывов'!$B$18:$B$24,C34)</f>
        <v>0</v>
      </c>
      <c r="AH34" s="922">
        <f>COUNTIF('выгрузка отзывов'!$B$11:$B$17,C34)</f>
        <v>0</v>
      </c>
      <c r="AI34" s="922">
        <f>COUNTIF('выгрузка отзывов'!$B$8:$B$10,C34)</f>
        <v>0</v>
      </c>
      <c r="AJ34" s="927">
        <f t="shared" si="14"/>
        <v>0</v>
      </c>
      <c r="AK34" s="922">
        <f>COUNTIF('выгрузка отзывов'!$B$2:$B$7,$C34)</f>
        <v>0</v>
      </c>
      <c r="AL34" s="922"/>
      <c r="AM34" s="922"/>
      <c r="AN34" s="922"/>
      <c r="AO34" s="902">
        <f t="shared" si="15"/>
        <v>0</v>
      </c>
      <c r="AP34" s="922"/>
      <c r="AQ34" s="922"/>
      <c r="AR34" s="923"/>
      <c r="AS34" s="923"/>
      <c r="AT34" s="928"/>
    </row>
    <row r="35" ht="15.0" customHeight="1">
      <c r="A35" s="911"/>
      <c r="B35" s="1002" t="s">
        <v>99</v>
      </c>
      <c r="C35" s="1003" t="str">
        <f>'1. Справочник'!C36</f>
        <v>C 4245</v>
      </c>
      <c r="D35" s="995">
        <v>2024.0</v>
      </c>
      <c r="E35" s="960">
        <f t="shared" si="6"/>
        <v>12</v>
      </c>
      <c r="F35" s="1009">
        <f>IFERROR(VLOOKUP(C35,'Лист20'!$A$1:$C1088,2,0),0)</f>
        <v>0</v>
      </c>
      <c r="G35" s="1005">
        <f>IFERROR(VLOOKUP(C35,'Лист20'!$A$1:$C1088,3,0),0)</f>
        <v>0</v>
      </c>
      <c r="H35" s="1006" t="b">
        <v>1</v>
      </c>
      <c r="I35" s="969">
        <v>12.0</v>
      </c>
      <c r="J35" s="970">
        <v>9.6</v>
      </c>
      <c r="K35" s="970"/>
      <c r="L35" s="970"/>
      <c r="M35" s="970"/>
      <c r="N35" s="970"/>
      <c r="O35" s="920"/>
      <c r="P35" s="921"/>
      <c r="Q35" s="921"/>
      <c r="R35" s="922"/>
      <c r="S35" s="922"/>
      <c r="T35" s="903">
        <f t="shared" si="12"/>
        <v>0</v>
      </c>
      <c r="U35" s="922"/>
      <c r="V35" s="922"/>
      <c r="W35" s="922"/>
      <c r="X35" s="922"/>
      <c r="Y35" s="904">
        <f t="shared" si="13"/>
        <v>0</v>
      </c>
      <c r="Z35" s="922"/>
      <c r="AA35" s="922"/>
      <c r="AB35" s="923"/>
      <c r="AC35" s="923"/>
      <c r="AD35" s="924"/>
      <c r="AE35" s="920">
        <f>COUNTIF('выгрузка отзывов'!$B$34:$B$39,C35)</f>
        <v>0</v>
      </c>
      <c r="AF35" s="921">
        <f>COUNTIF('выгрузка отзывов'!$B$25:$B$33,C35)</f>
        <v>0</v>
      </c>
      <c r="AG35" s="921">
        <f>COUNTIF('выгрузка отзывов'!$B$18:$B$24,C35)</f>
        <v>0</v>
      </c>
      <c r="AH35" s="922">
        <f>COUNTIF('выгрузка отзывов'!$B$11:$B$17,C35)</f>
        <v>0</v>
      </c>
      <c r="AI35" s="922">
        <f>COUNTIF('выгрузка отзывов'!$B$8:$B$10,C35)</f>
        <v>0</v>
      </c>
      <c r="AJ35" s="927">
        <f t="shared" si="14"/>
        <v>0</v>
      </c>
      <c r="AK35" s="922">
        <f>COUNTIF('выгрузка отзывов'!$B$2:$B$7,$C35)</f>
        <v>0</v>
      </c>
      <c r="AL35" s="922"/>
      <c r="AM35" s="922"/>
      <c r="AN35" s="922"/>
      <c r="AO35" s="902">
        <f t="shared" si="15"/>
        <v>0</v>
      </c>
      <c r="AP35" s="922"/>
      <c r="AQ35" s="922"/>
      <c r="AR35" s="923"/>
      <c r="AS35" s="923"/>
      <c r="AT35" s="928"/>
    </row>
    <row r="36" ht="15.0" customHeight="1">
      <c r="A36" s="911"/>
      <c r="B36" s="1002" t="s">
        <v>99</v>
      </c>
      <c r="C36" s="1003" t="str">
        <f>'1. Справочник'!C37</f>
        <v>А 4049</v>
      </c>
      <c r="D36" s="995">
        <v>2024.0</v>
      </c>
      <c r="E36" s="960">
        <f t="shared" si="6"/>
        <v>4</v>
      </c>
      <c r="F36" s="1010">
        <f>IFERROR(VLOOKUP(C36,'Лист20'!$A$1:$C1088,2,0),0)</f>
        <v>0</v>
      </c>
      <c r="G36" s="1011">
        <f>IFERROR(VLOOKUP(C36,'Лист20'!$A$1:$C1088,3,0),0)</f>
        <v>0</v>
      </c>
      <c r="H36" s="1006" t="b">
        <v>1</v>
      </c>
      <c r="I36" s="969">
        <v>4.0</v>
      </c>
      <c r="J36" s="970">
        <v>10.0</v>
      </c>
      <c r="K36" s="970"/>
      <c r="L36" s="970"/>
      <c r="M36" s="970"/>
      <c r="N36" s="970"/>
      <c r="O36" s="920"/>
      <c r="P36" s="921"/>
      <c r="Q36" s="921"/>
      <c r="R36" s="922"/>
      <c r="S36" s="922"/>
      <c r="T36" s="903">
        <f t="shared" si="12"/>
        <v>0</v>
      </c>
      <c r="U36" s="922"/>
      <c r="V36" s="922"/>
      <c r="W36" s="922"/>
      <c r="X36" s="922"/>
      <c r="Y36" s="904">
        <f t="shared" si="13"/>
        <v>0</v>
      </c>
      <c r="Z36" s="922"/>
      <c r="AA36" s="922"/>
      <c r="AB36" s="923"/>
      <c r="AC36" s="923"/>
      <c r="AD36" s="924"/>
      <c r="AE36" s="920">
        <f>COUNTIF('выгрузка отзывов'!$B$34:$B$39,C36)</f>
        <v>0</v>
      </c>
      <c r="AF36" s="921">
        <f>COUNTIF('выгрузка отзывов'!$B$25:$B$33,C36)</f>
        <v>0</v>
      </c>
      <c r="AG36" s="921">
        <f>COUNTIF('выгрузка отзывов'!$B$18:$B$24,C36)</f>
        <v>0</v>
      </c>
      <c r="AH36" s="922">
        <f>COUNTIF('выгрузка отзывов'!$B$11:$B$17,C36)</f>
        <v>0</v>
      </c>
      <c r="AI36" s="922">
        <f>COUNTIF('выгрузка отзывов'!$B$8:$B$10,C36)</f>
        <v>0</v>
      </c>
      <c r="AJ36" s="927">
        <f t="shared" si="14"/>
        <v>0</v>
      </c>
      <c r="AK36" s="922">
        <f>COUNTIF('выгрузка отзывов'!$B$2:$B$7,$C36)</f>
        <v>0</v>
      </c>
      <c r="AL36" s="922"/>
      <c r="AM36" s="922"/>
      <c r="AN36" s="922"/>
      <c r="AO36" s="902">
        <f t="shared" si="15"/>
        <v>0</v>
      </c>
      <c r="AP36" s="922"/>
      <c r="AQ36" s="922"/>
      <c r="AR36" s="923"/>
      <c r="AS36" s="923"/>
      <c r="AT36" s="928"/>
    </row>
    <row r="37" ht="15.0" customHeight="1">
      <c r="A37" s="911"/>
      <c r="B37" s="1002" t="s">
        <v>99</v>
      </c>
      <c r="C37" s="1012" t="str">
        <f>'1. Справочник'!C39</f>
        <v>С 2756</v>
      </c>
      <c r="D37" s="995">
        <v>2024.0</v>
      </c>
      <c r="E37" s="960">
        <f t="shared" si="6"/>
        <v>0</v>
      </c>
      <c r="F37" s="1013">
        <f>IFERROR(VLOOKUP(C37,'Лист20'!$A$1:$C1088,2,0),0)</f>
        <v>0</v>
      </c>
      <c r="G37" s="1014">
        <f>IFERROR(VLOOKUP(C37,'Лист20'!$A$1:$C1088,3,0),0)</f>
        <v>0</v>
      </c>
      <c r="H37" s="1006" t="b">
        <v>1</v>
      </c>
      <c r="I37" s="1015">
        <v>0.0</v>
      </c>
      <c r="J37" s="1016"/>
      <c r="K37" s="1017"/>
      <c r="L37" s="1017"/>
      <c r="M37" s="1017"/>
      <c r="N37" s="1017"/>
      <c r="O37" s="920"/>
      <c r="P37" s="921"/>
      <c r="Q37" s="921"/>
      <c r="R37" s="922"/>
      <c r="S37" s="922"/>
      <c r="T37" s="903">
        <f t="shared" si="12"/>
        <v>0</v>
      </c>
      <c r="U37" s="922"/>
      <c r="V37" s="922"/>
      <c r="W37" s="922"/>
      <c r="X37" s="922"/>
      <c r="Y37" s="904">
        <f t="shared" si="13"/>
        <v>0</v>
      </c>
      <c r="Z37" s="922"/>
      <c r="AA37" s="922"/>
      <c r="AB37" s="923"/>
      <c r="AC37" s="923"/>
      <c r="AD37" s="924"/>
      <c r="AE37" s="920">
        <f>COUNTIF('выгрузка отзывов'!$B$34:$B$39,C37)</f>
        <v>0</v>
      </c>
      <c r="AF37" s="921">
        <f>COUNTIF('выгрузка отзывов'!$B$25:$B$33,C37)</f>
        <v>0</v>
      </c>
      <c r="AG37" s="921">
        <f>COUNTIF('выгрузка отзывов'!$B$18:$B$24,C37)</f>
        <v>0</v>
      </c>
      <c r="AH37" s="922">
        <f>COUNTIF('выгрузка отзывов'!$B$11:$B$17,C37)</f>
        <v>0</v>
      </c>
      <c r="AI37" s="922">
        <f>COUNTIF('выгрузка отзывов'!$B$8:$B$10,C37)</f>
        <v>0</v>
      </c>
      <c r="AJ37" s="927">
        <f t="shared" si="14"/>
        <v>0</v>
      </c>
      <c r="AK37" s="922">
        <f>COUNTIF('выгрузка отзывов'!$B$2:$B$7,$C37)</f>
        <v>0</v>
      </c>
      <c r="AL37" s="922"/>
      <c r="AM37" s="922"/>
      <c r="AN37" s="922"/>
      <c r="AO37" s="902">
        <f t="shared" si="15"/>
        <v>0</v>
      </c>
      <c r="AP37" s="922"/>
      <c r="AQ37" s="922"/>
      <c r="AR37" s="923"/>
      <c r="AS37" s="923"/>
      <c r="AT37" s="928"/>
    </row>
    <row r="38" ht="15.0" customHeight="1">
      <c r="A38" s="911"/>
      <c r="B38" s="1002" t="s">
        <v>99</v>
      </c>
      <c r="C38" s="1003" t="s">
        <v>1055</v>
      </c>
      <c r="D38" s="995">
        <v>2024.0</v>
      </c>
      <c r="E38" s="960">
        <f t="shared" si="6"/>
        <v>10</v>
      </c>
      <c r="F38" s="1004">
        <f>IFERROR(VLOOKUP(C38,'Лист20'!$A$1:$C1088,2,0),0)</f>
        <v>0</v>
      </c>
      <c r="G38" s="1018">
        <f>IFERROR(VLOOKUP(C38,'Лист20'!$A$1:$C1088,3,0),0)</f>
        <v>0</v>
      </c>
      <c r="H38" s="1006" t="b">
        <v>1</v>
      </c>
      <c r="I38" s="1019">
        <v>10.0</v>
      </c>
      <c r="J38" s="1020">
        <v>9.6</v>
      </c>
      <c r="K38" s="1020"/>
      <c r="L38" s="1020"/>
      <c r="M38" s="1020"/>
      <c r="N38" s="1020"/>
      <c r="O38" s="1021"/>
      <c r="P38" s="1022"/>
      <c r="Q38" s="1022"/>
      <c r="R38" s="922"/>
      <c r="S38" s="922"/>
      <c r="T38" s="903">
        <f t="shared" si="12"/>
        <v>0</v>
      </c>
      <c r="U38" s="922"/>
      <c r="V38" s="922"/>
      <c r="W38" s="922"/>
      <c r="X38" s="922"/>
      <c r="Y38" s="904">
        <f t="shared" si="13"/>
        <v>0</v>
      </c>
      <c r="Z38" s="922"/>
      <c r="AA38" s="922"/>
      <c r="AB38" s="923"/>
      <c r="AC38" s="923"/>
      <c r="AD38" s="924"/>
      <c r="AE38" s="1021">
        <f>COUNTIF('выгрузка отзывов'!$B$34:$B$39,C38)</f>
        <v>0</v>
      </c>
      <c r="AF38" s="1022">
        <f>COUNTIF('выгрузка отзывов'!$B$25:$B$33,C38)</f>
        <v>0</v>
      </c>
      <c r="AG38" s="1022">
        <f>COUNTIF('выгрузка отзывов'!$B$18:$B$24,C38)</f>
        <v>0</v>
      </c>
      <c r="AH38" s="922">
        <f>COUNTIF('выгрузка отзывов'!$B$11:$B$17,C38)</f>
        <v>0</v>
      </c>
      <c r="AI38" s="922">
        <f>COUNTIF('выгрузка отзывов'!$B$8:$B$10,C38)</f>
        <v>0</v>
      </c>
      <c r="AJ38" s="927">
        <f t="shared" si="14"/>
        <v>0</v>
      </c>
      <c r="AK38" s="922">
        <f>COUNTIF('выгрузка отзывов'!$B$2:$B$7,$C38)</f>
        <v>1</v>
      </c>
      <c r="AL38" s="922"/>
      <c r="AM38" s="922"/>
      <c r="AN38" s="922"/>
      <c r="AO38" s="902">
        <f t="shared" si="15"/>
        <v>1</v>
      </c>
      <c r="AP38" s="922"/>
      <c r="AQ38" s="922"/>
      <c r="AR38" s="923"/>
      <c r="AS38" s="923"/>
      <c r="AT38" s="928"/>
    </row>
    <row r="39" ht="15.0" customHeight="1">
      <c r="A39" s="911"/>
      <c r="B39" s="1002" t="s">
        <v>99</v>
      </c>
      <c r="C39" s="1003" t="s">
        <v>1056</v>
      </c>
      <c r="D39" s="995"/>
      <c r="E39" s="960">
        <f t="shared" si="6"/>
        <v>4</v>
      </c>
      <c r="F39" s="1023">
        <f>IFERROR(VLOOKUP(C39,'Лист20'!$A$1:$C1088,2,0),0)</f>
        <v>0</v>
      </c>
      <c r="G39" s="1024">
        <f>IFERROR(VLOOKUP(C39,'Лист20'!$A$1:$C1088,3,0),0)</f>
        <v>0</v>
      </c>
      <c r="H39" s="1006" t="b">
        <v>1</v>
      </c>
      <c r="I39" s="1007">
        <v>4.0</v>
      </c>
      <c r="J39" s="1008">
        <v>9.9</v>
      </c>
      <c r="K39" s="1008"/>
      <c r="L39" s="1008"/>
      <c r="M39" s="1008"/>
      <c r="N39" s="1008"/>
      <c r="O39" s="920"/>
      <c r="P39" s="921"/>
      <c r="Q39" s="921"/>
      <c r="R39" s="922"/>
      <c r="S39" s="922"/>
      <c r="T39" s="903">
        <f t="shared" si="12"/>
        <v>0</v>
      </c>
      <c r="U39" s="922"/>
      <c r="V39" s="922"/>
      <c r="W39" s="922"/>
      <c r="X39" s="922"/>
      <c r="Y39" s="904">
        <f t="shared" si="13"/>
        <v>0</v>
      </c>
      <c r="Z39" s="922"/>
      <c r="AA39" s="922"/>
      <c r="AB39" s="923"/>
      <c r="AC39" s="923"/>
      <c r="AD39" s="924"/>
      <c r="AE39" s="920">
        <f>COUNTIF('выгрузка отзывов'!$B$34:$B$39,C39)</f>
        <v>0</v>
      </c>
      <c r="AF39" s="921">
        <f>COUNTIF('выгрузка отзывов'!$B$25:$B$33,C39)</f>
        <v>0</v>
      </c>
      <c r="AG39" s="921">
        <f>COUNTIF('выгрузка отзывов'!$B$18:$B$24,C39)</f>
        <v>0</v>
      </c>
      <c r="AH39" s="922">
        <f>COUNTIF('выгрузка отзывов'!$B$11:$B$17,C39)</f>
        <v>0</v>
      </c>
      <c r="AI39" s="922">
        <f>COUNTIF('выгрузка отзывов'!$B$8:$B$10,C39)</f>
        <v>0</v>
      </c>
      <c r="AJ39" s="927">
        <f t="shared" si="14"/>
        <v>0</v>
      </c>
      <c r="AK39" s="922">
        <f>COUNTIF('выгрузка отзывов'!$B$2:$B$7,$C39)</f>
        <v>0</v>
      </c>
      <c r="AL39" s="922"/>
      <c r="AM39" s="922"/>
      <c r="AN39" s="922"/>
      <c r="AO39" s="902">
        <f t="shared" si="15"/>
        <v>0</v>
      </c>
      <c r="AP39" s="922"/>
      <c r="AQ39" s="922"/>
      <c r="AR39" s="923"/>
      <c r="AS39" s="923"/>
      <c r="AT39" s="928"/>
    </row>
    <row r="40" ht="15.0" customHeight="1">
      <c r="A40" s="911"/>
      <c r="B40" s="1002" t="s">
        <v>99</v>
      </c>
      <c r="C40" s="1003" t="s">
        <v>1057</v>
      </c>
      <c r="D40" s="1025"/>
      <c r="E40" s="960">
        <f t="shared" si="6"/>
        <v>3</v>
      </c>
      <c r="F40" s="1023">
        <f>IFERROR(VLOOKUP(C40,'Лист20'!$A$1:$C1088,2,0),0)</f>
        <v>0</v>
      </c>
      <c r="G40" s="1024">
        <f>IFERROR(VLOOKUP(C40,'Лист20'!$A$1:$C1088,3,0),0)</f>
        <v>0</v>
      </c>
      <c r="H40" s="1026" t="b">
        <v>1</v>
      </c>
      <c r="I40" s="1007">
        <v>3.0</v>
      </c>
      <c r="J40" s="1008">
        <v>9.9</v>
      </c>
      <c r="K40" s="1008"/>
      <c r="L40" s="1008"/>
      <c r="M40" s="1008"/>
      <c r="N40" s="1008"/>
      <c r="O40" s="920"/>
      <c r="P40" s="921"/>
      <c r="Q40" s="921"/>
      <c r="R40" s="922"/>
      <c r="S40" s="922"/>
      <c r="T40" s="903">
        <f t="shared" si="12"/>
        <v>0</v>
      </c>
      <c r="U40" s="922"/>
      <c r="V40" s="922"/>
      <c r="W40" s="922"/>
      <c r="X40" s="922"/>
      <c r="Y40" s="904">
        <f t="shared" si="13"/>
        <v>0</v>
      </c>
      <c r="Z40" s="922"/>
      <c r="AA40" s="922"/>
      <c r="AB40" s="923"/>
      <c r="AC40" s="923"/>
      <c r="AD40" s="924"/>
      <c r="AE40" s="920">
        <f>COUNTIF('выгрузка отзывов'!$B$34:$B$39,C40)</f>
        <v>1</v>
      </c>
      <c r="AF40" s="921">
        <f>COUNTIF('выгрузка отзывов'!$B$25:$B$33,C40)</f>
        <v>0</v>
      </c>
      <c r="AG40" s="921">
        <f>COUNTIF('выгрузка отзывов'!$B$18:$B$24,C40)</f>
        <v>0</v>
      </c>
      <c r="AH40" s="922">
        <f>COUNTIF('выгрузка отзывов'!$B$11:$B$17,C40)</f>
        <v>0</v>
      </c>
      <c r="AI40" s="922">
        <f>COUNTIF('выгрузка отзывов'!$B$8:$B$10,C40)</f>
        <v>0</v>
      </c>
      <c r="AJ40" s="927">
        <f t="shared" si="14"/>
        <v>1</v>
      </c>
      <c r="AK40" s="922">
        <f>COUNTIF('выгрузка отзывов'!$B$2:$B$7,$C40)</f>
        <v>0</v>
      </c>
      <c r="AL40" s="922"/>
      <c r="AM40" s="922"/>
      <c r="AN40" s="922"/>
      <c r="AO40" s="902">
        <f t="shared" si="15"/>
        <v>0</v>
      </c>
      <c r="AP40" s="922"/>
      <c r="AQ40" s="922"/>
      <c r="AR40" s="923"/>
      <c r="AS40" s="923"/>
      <c r="AT40" s="928"/>
    </row>
    <row r="41" ht="15.0" customHeight="1">
      <c r="A41" s="911"/>
      <c r="B41" s="1002" t="s">
        <v>99</v>
      </c>
      <c r="C41" s="1003" t="s">
        <v>1058</v>
      </c>
      <c r="D41" s="1027" t="s">
        <v>967</v>
      </c>
      <c r="E41" s="960">
        <f t="shared" si="6"/>
        <v>3</v>
      </c>
      <c r="F41" s="1023">
        <f>IFERROR(VLOOKUP(C41,'Лист20'!$A$1:$C1088,2,0),0)</f>
        <v>0</v>
      </c>
      <c r="G41" s="1024">
        <f>IFERROR(VLOOKUP(C41,'Лист20'!$A$1:$C1088,3,0),0)</f>
        <v>0</v>
      </c>
      <c r="H41" s="1028" t="b">
        <v>1</v>
      </c>
      <c r="I41" s="1029">
        <v>3.0</v>
      </c>
      <c r="J41" s="1030">
        <v>9.1</v>
      </c>
      <c r="K41" s="1008"/>
      <c r="L41" s="1008"/>
      <c r="M41" s="1008"/>
      <c r="N41" s="1008"/>
      <c r="O41" s="920"/>
      <c r="P41" s="921"/>
      <c r="Q41" s="921"/>
      <c r="R41" s="922"/>
      <c r="S41" s="922"/>
      <c r="T41" s="903">
        <f t="shared" si="12"/>
        <v>0</v>
      </c>
      <c r="U41" s="922"/>
      <c r="V41" s="922"/>
      <c r="W41" s="922"/>
      <c r="X41" s="922"/>
      <c r="Y41" s="904">
        <f t="shared" si="13"/>
        <v>0</v>
      </c>
      <c r="Z41" s="922"/>
      <c r="AA41" s="922"/>
      <c r="AB41" s="923"/>
      <c r="AC41" s="923"/>
      <c r="AD41" s="924"/>
      <c r="AE41" s="920">
        <f>COUNTIF('выгрузка отзывов'!$B$34:$B$39,C41)</f>
        <v>2</v>
      </c>
      <c r="AF41" s="921">
        <f>COUNTIF('выгрузка отзывов'!$B$25:$B$33,C41)</f>
        <v>1</v>
      </c>
      <c r="AG41" s="921">
        <f>COUNTIF('выгрузка отзывов'!$B$18:$B$24,C41)</f>
        <v>0</v>
      </c>
      <c r="AH41" s="922">
        <f>COUNTIF('выгрузка отзывов'!$B$11:$B$17,C41)</f>
        <v>0</v>
      </c>
      <c r="AI41" s="922">
        <f>COUNTIF('выгрузка отзывов'!$B$8:$B$10,C41)</f>
        <v>0</v>
      </c>
      <c r="AJ41" s="927">
        <f t="shared" si="14"/>
        <v>3</v>
      </c>
      <c r="AK41" s="922">
        <f>COUNTIF('выгрузка отзывов'!$B$2:$B$7,$C41)</f>
        <v>1</v>
      </c>
      <c r="AL41" s="922"/>
      <c r="AM41" s="922"/>
      <c r="AN41" s="922"/>
      <c r="AO41" s="902">
        <f t="shared" si="15"/>
        <v>1</v>
      </c>
      <c r="AP41" s="922"/>
      <c r="AQ41" s="922"/>
      <c r="AR41" s="923"/>
      <c r="AS41" s="923"/>
      <c r="AT41" s="928"/>
    </row>
    <row r="42" ht="15.0" customHeight="1">
      <c r="A42" s="911"/>
      <c r="B42" s="1002" t="s">
        <v>99</v>
      </c>
      <c r="C42" s="1003" t="str">
        <f>'1. Справочник'!C44</f>
        <v>D2 503</v>
      </c>
      <c r="D42" s="1031" t="s">
        <v>1059</v>
      </c>
      <c r="E42" s="960">
        <f t="shared" si="6"/>
        <v>1</v>
      </c>
      <c r="F42" s="1023">
        <f>IFERROR(VLOOKUP(C42,'Лист20'!$A$1:$C1088,2,0),0)</f>
        <v>0</v>
      </c>
      <c r="G42" s="1024">
        <f>IFERROR(VLOOKUP(C42,'Лист20'!$A$1:$C1088,3,0),0)</f>
        <v>0</v>
      </c>
      <c r="H42" s="1006" t="b">
        <v>0</v>
      </c>
      <c r="I42" s="1029">
        <v>1.0</v>
      </c>
      <c r="J42" s="1030">
        <v>10.0</v>
      </c>
      <c r="K42" s="1008"/>
      <c r="L42" s="1008"/>
      <c r="M42" s="1008"/>
      <c r="N42" s="1008"/>
      <c r="O42" s="972"/>
      <c r="P42" s="973"/>
      <c r="Q42" s="973"/>
      <c r="R42" s="974"/>
      <c r="S42" s="974"/>
      <c r="T42" s="975">
        <f t="shared" si="12"/>
        <v>0</v>
      </c>
      <c r="U42" s="974"/>
      <c r="V42" s="974"/>
      <c r="W42" s="974"/>
      <c r="X42" s="974"/>
      <c r="Y42" s="976">
        <f t="shared" si="13"/>
        <v>0</v>
      </c>
      <c r="Z42" s="974"/>
      <c r="AA42" s="974"/>
      <c r="AB42" s="977"/>
      <c r="AC42" s="977"/>
      <c r="AD42" s="978"/>
      <c r="AE42" s="972">
        <f>COUNTIF('выгрузка отзывов'!$B$34:$B$39,C42)</f>
        <v>0</v>
      </c>
      <c r="AF42" s="973">
        <f>COUNTIF('выгрузка отзывов'!$B$25:$B$33,C42)</f>
        <v>0</v>
      </c>
      <c r="AG42" s="973">
        <f>COUNTIF('выгрузка отзывов'!$B$18:$B$24,C42)</f>
        <v>0</v>
      </c>
      <c r="AH42" s="974">
        <f>COUNTIF('выгрузка отзывов'!$B$11:$B$17,C42)</f>
        <v>0</v>
      </c>
      <c r="AI42" s="974">
        <f>COUNTIF('выгрузка отзывов'!$B$8:$B$10,C42)</f>
        <v>0</v>
      </c>
      <c r="AJ42" s="927">
        <f t="shared" si="14"/>
        <v>0</v>
      </c>
      <c r="AK42" s="974">
        <f>COUNTIF('выгрузка отзывов'!$B$2:$B$7,$C42)</f>
        <v>0</v>
      </c>
      <c r="AL42" s="974"/>
      <c r="AM42" s="974"/>
      <c r="AN42" s="974"/>
      <c r="AO42" s="979">
        <f t="shared" si="15"/>
        <v>0</v>
      </c>
      <c r="AP42" s="974"/>
      <c r="AQ42" s="974"/>
      <c r="AR42" s="977"/>
      <c r="AS42" s="977"/>
      <c r="AT42" s="980"/>
    </row>
    <row r="43" ht="15.0" customHeight="1">
      <c r="A43" s="1032"/>
      <c r="B43" s="1033"/>
      <c r="C43" s="1034">
        <v>12.0</v>
      </c>
      <c r="D43" s="984"/>
      <c r="E43" s="985">
        <f t="shared" si="6"/>
        <v>47</v>
      </c>
      <c r="F43" s="1035">
        <f>F37+F41+F40+F39+F38+F36+F35+F34+F33+F42</f>
        <v>0</v>
      </c>
      <c r="G43" s="1036"/>
      <c r="H43" s="1037"/>
      <c r="I43" s="1038">
        <f>SUM(I33:I42)</f>
        <v>47</v>
      </c>
      <c r="J43" s="1039"/>
      <c r="K43" s="1039"/>
      <c r="L43" s="1039"/>
      <c r="M43" s="1039"/>
      <c r="N43" s="1039"/>
      <c r="O43" s="1040">
        <f t="shared" ref="O43:AT43" si="16">SUM(O33:O42)</f>
        <v>0</v>
      </c>
      <c r="P43" s="1041">
        <f t="shared" si="16"/>
        <v>0</v>
      </c>
      <c r="Q43" s="1041">
        <f t="shared" si="16"/>
        <v>0</v>
      </c>
      <c r="R43" s="1041">
        <f t="shared" si="16"/>
        <v>0</v>
      </c>
      <c r="S43" s="1041">
        <f t="shared" si="16"/>
        <v>0</v>
      </c>
      <c r="T43" s="1041">
        <f t="shared" si="16"/>
        <v>0</v>
      </c>
      <c r="U43" s="1041">
        <f t="shared" si="16"/>
        <v>0</v>
      </c>
      <c r="V43" s="1041">
        <f t="shared" si="16"/>
        <v>0</v>
      </c>
      <c r="W43" s="1041">
        <f t="shared" si="16"/>
        <v>0</v>
      </c>
      <c r="X43" s="1041">
        <f t="shared" si="16"/>
        <v>0</v>
      </c>
      <c r="Y43" s="1041">
        <f t="shared" si="16"/>
        <v>0</v>
      </c>
      <c r="Z43" s="1041">
        <f t="shared" si="16"/>
        <v>0</v>
      </c>
      <c r="AA43" s="1041">
        <f t="shared" si="16"/>
        <v>0</v>
      </c>
      <c r="AB43" s="1041">
        <f t="shared" si="16"/>
        <v>0</v>
      </c>
      <c r="AC43" s="1041">
        <f t="shared" si="16"/>
        <v>0</v>
      </c>
      <c r="AD43" s="1041">
        <f t="shared" si="16"/>
        <v>0</v>
      </c>
      <c r="AE43" s="1041">
        <f t="shared" si="16"/>
        <v>3</v>
      </c>
      <c r="AF43" s="1041">
        <f t="shared" si="16"/>
        <v>1</v>
      </c>
      <c r="AG43" s="1041">
        <f t="shared" si="16"/>
        <v>0</v>
      </c>
      <c r="AH43" s="1041">
        <f t="shared" si="16"/>
        <v>1</v>
      </c>
      <c r="AI43" s="1041">
        <f t="shared" si="16"/>
        <v>0</v>
      </c>
      <c r="AJ43" s="1041">
        <f t="shared" si="16"/>
        <v>5</v>
      </c>
      <c r="AK43" s="1041">
        <f t="shared" si="16"/>
        <v>2</v>
      </c>
      <c r="AL43" s="1041">
        <f t="shared" si="16"/>
        <v>0</v>
      </c>
      <c r="AM43" s="1041">
        <f t="shared" si="16"/>
        <v>0</v>
      </c>
      <c r="AN43" s="1041">
        <f t="shared" si="16"/>
        <v>0</v>
      </c>
      <c r="AO43" s="1041">
        <f t="shared" si="16"/>
        <v>2</v>
      </c>
      <c r="AP43" s="1041">
        <f t="shared" si="16"/>
        <v>0</v>
      </c>
      <c r="AQ43" s="1041">
        <f t="shared" si="16"/>
        <v>0</v>
      </c>
      <c r="AR43" s="1041">
        <f t="shared" si="16"/>
        <v>0</v>
      </c>
      <c r="AS43" s="1041">
        <f t="shared" si="16"/>
        <v>0</v>
      </c>
      <c r="AT43" s="1041">
        <f t="shared" si="16"/>
        <v>0</v>
      </c>
    </row>
    <row r="44" ht="15.0" customHeight="1">
      <c r="A44" s="911"/>
      <c r="B44" s="1002" t="s">
        <v>146</v>
      </c>
      <c r="C44" s="1042" t="s">
        <v>1060</v>
      </c>
      <c r="D44" s="1043">
        <v>2024.0</v>
      </c>
      <c r="E44" s="960">
        <f t="shared" si="6"/>
        <v>0</v>
      </c>
      <c r="F44" s="1013">
        <f>IFERROR(VLOOKUP(C44,'Лист20'!$A$1:$C1088,2,0),0)</f>
        <v>0</v>
      </c>
      <c r="G44" s="1044">
        <f>IFERROR(VLOOKUP(C44,'Лист20'!$A$1:$C1088,3,0),0)</f>
        <v>0</v>
      </c>
      <c r="H44" s="1006" t="b">
        <v>1</v>
      </c>
      <c r="I44" s="1045">
        <v>0.0</v>
      </c>
      <c r="J44" s="1046"/>
      <c r="K44" s="1047"/>
      <c r="L44" s="1047"/>
      <c r="M44" s="1047"/>
      <c r="N44" s="1047"/>
      <c r="O44" s="925"/>
      <c r="P44" s="926"/>
      <c r="Q44" s="926"/>
      <c r="R44" s="902"/>
      <c r="S44" s="902"/>
      <c r="T44" s="903">
        <v>1.0</v>
      </c>
      <c r="U44" s="902"/>
      <c r="V44" s="902"/>
      <c r="W44" s="902"/>
      <c r="X44" s="902"/>
      <c r="Y44" s="904">
        <v>0.0</v>
      </c>
      <c r="Z44" s="902"/>
      <c r="AA44" s="902"/>
      <c r="AB44" s="905"/>
      <c r="AC44" s="905"/>
      <c r="AD44" s="1001"/>
      <c r="AE44" s="925">
        <f>COUNTIF('выгрузка отзывов'!$B$34:$B$39,C44)</f>
        <v>0</v>
      </c>
      <c r="AF44" s="926">
        <f>COUNTIF('выгрузка отзывов'!$B$25:$B$33,C44)</f>
        <v>0</v>
      </c>
      <c r="AG44" s="926">
        <f>COUNTIF('выгрузка отзывов'!$B$18:$B$24,C44)</f>
        <v>0</v>
      </c>
      <c r="AH44" s="902">
        <f>COUNTIF('выгрузка отзывов'!$B$11:$B$17,C44)</f>
        <v>1</v>
      </c>
      <c r="AI44" s="902">
        <f>COUNTIF('выгрузка отзывов'!$B$8:$B$10,C44)</f>
        <v>0</v>
      </c>
      <c r="AJ44" s="927">
        <f t="shared" ref="AJ44:AJ65" si="17">SUM(AE44:AI44)</f>
        <v>1</v>
      </c>
      <c r="AK44" s="902">
        <f>COUNTIF('выгрузка отзывов'!$B$2:$B$7,$C44)</f>
        <v>0</v>
      </c>
      <c r="AL44" s="902"/>
      <c r="AM44" s="902"/>
      <c r="AN44" s="902"/>
      <c r="AO44" s="902">
        <f t="shared" ref="AO44:AO47" si="18">SUM(AK44:AN44)</f>
        <v>0</v>
      </c>
      <c r="AP44" s="902"/>
      <c r="AQ44" s="902"/>
      <c r="AR44" s="905"/>
      <c r="AS44" s="905"/>
      <c r="AT44" s="910"/>
    </row>
    <row r="45" ht="15.0" customHeight="1">
      <c r="A45" s="911"/>
      <c r="B45" s="1002" t="s">
        <v>146</v>
      </c>
      <c r="C45" s="1042" t="s">
        <v>1061</v>
      </c>
      <c r="D45" s="995">
        <v>2024.0</v>
      </c>
      <c r="E45" s="960">
        <f t="shared" si="6"/>
        <v>0</v>
      </c>
      <c r="F45" s="1048">
        <f>IFERROR(VLOOKUP(C45,'Лист20'!$A$1:$C1088,2,0),0)</f>
        <v>0</v>
      </c>
      <c r="G45" s="1044">
        <f>IFERROR(VLOOKUP(C45,'Лист20'!$A$1:$C1088,3,0),0)</f>
        <v>0</v>
      </c>
      <c r="H45" s="1006" t="b">
        <v>1</v>
      </c>
      <c r="I45" s="1049">
        <v>0.0</v>
      </c>
      <c r="J45" s="1050"/>
      <c r="K45" s="1051"/>
      <c r="L45" s="1051"/>
      <c r="M45" s="1051"/>
      <c r="N45" s="1051"/>
      <c r="O45" s="920"/>
      <c r="P45" s="921"/>
      <c r="Q45" s="921"/>
      <c r="R45" s="922"/>
      <c r="S45" s="922"/>
      <c r="T45" s="903">
        <v>2.0</v>
      </c>
      <c r="U45" s="922"/>
      <c r="V45" s="922"/>
      <c r="W45" s="922"/>
      <c r="X45" s="922"/>
      <c r="Y45" s="904">
        <v>1.0</v>
      </c>
      <c r="Z45" s="922"/>
      <c r="AA45" s="922"/>
      <c r="AB45" s="923"/>
      <c r="AC45" s="923"/>
      <c r="AD45" s="924"/>
      <c r="AE45" s="920">
        <f>COUNTIF('выгрузка отзывов'!$B$34:$B$39,C45)</f>
        <v>0</v>
      </c>
      <c r="AF45" s="921">
        <f>COUNTIF('выгрузка отзывов'!$B$25:$B$33,C45)</f>
        <v>2</v>
      </c>
      <c r="AG45" s="921">
        <f>COUNTIF('выгрузка отзывов'!$B$18:$B$24,C45)</f>
        <v>1</v>
      </c>
      <c r="AH45" s="922">
        <f>COUNTIF('выгрузка отзывов'!$B$11:$B$17,C45)</f>
        <v>0</v>
      </c>
      <c r="AI45" s="922">
        <f>COUNTIF('выгрузка отзывов'!$B$8:$B$10,C45)</f>
        <v>1</v>
      </c>
      <c r="AJ45" s="927">
        <f t="shared" si="17"/>
        <v>4</v>
      </c>
      <c r="AK45" s="922">
        <f>COUNTIF('выгрузка отзывов'!$B$2:$B$7,$C45)</f>
        <v>0</v>
      </c>
      <c r="AL45" s="922"/>
      <c r="AM45" s="922"/>
      <c r="AN45" s="922"/>
      <c r="AO45" s="902">
        <f t="shared" si="18"/>
        <v>0</v>
      </c>
      <c r="AP45" s="922"/>
      <c r="AQ45" s="922"/>
      <c r="AR45" s="923"/>
      <c r="AS45" s="923"/>
      <c r="AT45" s="928"/>
    </row>
    <row r="46" ht="15.0" customHeight="1">
      <c r="A46" s="911"/>
      <c r="B46" s="1002" t="s">
        <v>146</v>
      </c>
      <c r="C46" s="1042" t="str">
        <f>'1. Справочник'!C47</f>
        <v>CM 1931</v>
      </c>
      <c r="D46" s="1052">
        <v>2024.0</v>
      </c>
      <c r="E46" s="960">
        <f t="shared" si="6"/>
        <v>7</v>
      </c>
      <c r="F46" s="1053">
        <f>IFERROR(VLOOKUP(C46,'Лист20'!$A$1:$C1088,2,0),0)</f>
        <v>0</v>
      </c>
      <c r="G46" s="1044">
        <f>IFERROR(VLOOKUP(C46,'Лист20'!$A$1:$C1088,3,0),0)</f>
        <v>0</v>
      </c>
      <c r="H46" s="1006" t="b">
        <v>1</v>
      </c>
      <c r="I46" s="969">
        <v>7.0</v>
      </c>
      <c r="J46" s="970">
        <v>9.9</v>
      </c>
      <c r="K46" s="971"/>
      <c r="L46" s="971"/>
      <c r="M46" s="971"/>
      <c r="N46" s="971"/>
      <c r="O46" s="920"/>
      <c r="P46" s="921"/>
      <c r="Q46" s="921"/>
      <c r="R46" s="922"/>
      <c r="S46" s="922"/>
      <c r="T46" s="903">
        <v>1.0</v>
      </c>
      <c r="U46" s="922"/>
      <c r="V46" s="922"/>
      <c r="W46" s="922"/>
      <c r="X46" s="922"/>
      <c r="Y46" s="904">
        <f>SUM(U46:X46)</f>
        <v>0</v>
      </c>
      <c r="Z46" s="922"/>
      <c r="AA46" s="922"/>
      <c r="AB46" s="923"/>
      <c r="AC46" s="923"/>
      <c r="AD46" s="924"/>
      <c r="AE46" s="920">
        <f>COUNTIF('выгрузка отзывов'!$B$34:$B$39,C46)</f>
        <v>0</v>
      </c>
      <c r="AF46" s="921">
        <f>COUNTIF('выгрузка отзывов'!$B$25:$B$33,C46)</f>
        <v>0</v>
      </c>
      <c r="AG46" s="921">
        <f>COUNTIF('выгрузка отзывов'!$B$18:$B$24,C46)</f>
        <v>0</v>
      </c>
      <c r="AH46" s="922">
        <f>COUNTIF('выгрузка отзывов'!$B$11:$B$17,C46)</f>
        <v>0</v>
      </c>
      <c r="AI46" s="922">
        <f>COUNTIF('выгрузка отзывов'!$B$8:$B$10,C46)</f>
        <v>0</v>
      </c>
      <c r="AJ46" s="927">
        <f t="shared" si="17"/>
        <v>0</v>
      </c>
      <c r="AK46" s="922">
        <f>COUNTIF('выгрузка отзывов'!$B$2:$B$7,$C46)</f>
        <v>0</v>
      </c>
      <c r="AL46" s="922"/>
      <c r="AM46" s="922"/>
      <c r="AN46" s="922"/>
      <c r="AO46" s="902">
        <f t="shared" si="18"/>
        <v>0</v>
      </c>
      <c r="AP46" s="922"/>
      <c r="AQ46" s="922"/>
      <c r="AR46" s="923"/>
      <c r="AS46" s="923"/>
      <c r="AT46" s="928"/>
    </row>
    <row r="47" ht="15.0" customHeight="1">
      <c r="A47" s="911"/>
      <c r="B47" s="1002" t="s">
        <v>146</v>
      </c>
      <c r="C47" s="1042" t="s">
        <v>1062</v>
      </c>
      <c r="D47" s="1054">
        <v>45931.0</v>
      </c>
      <c r="E47" s="960">
        <f t="shared" si="6"/>
        <v>0</v>
      </c>
      <c r="F47" s="1053">
        <f>IFERROR(VLOOKUP(C47,'Лист20'!$A$1:$C1088,2,0),0)</f>
        <v>0</v>
      </c>
      <c r="G47" s="1044">
        <f>IFERROR(VLOOKUP(C47,'Лист20'!$A$1:$C1088,3,0),0)</f>
        <v>0</v>
      </c>
      <c r="H47" s="1055" t="b">
        <v>1</v>
      </c>
      <c r="I47" s="1056"/>
      <c r="J47" s="1057"/>
      <c r="K47" s="1058"/>
      <c r="L47" s="1058"/>
      <c r="M47" s="1058"/>
      <c r="N47" s="1058"/>
      <c r="O47" s="920"/>
      <c r="P47" s="921"/>
      <c r="Q47" s="921"/>
      <c r="R47" s="922"/>
      <c r="S47" s="922"/>
      <c r="T47" s="903">
        <v>2.0</v>
      </c>
      <c r="U47" s="922"/>
      <c r="V47" s="922"/>
      <c r="W47" s="922"/>
      <c r="X47" s="922"/>
      <c r="Y47" s="904">
        <v>1.0</v>
      </c>
      <c r="Z47" s="922"/>
      <c r="AA47" s="922"/>
      <c r="AB47" s="923"/>
      <c r="AC47" s="923"/>
      <c r="AD47" s="924"/>
      <c r="AE47" s="920">
        <f>COUNTIF('выгрузка отзывов'!$B$34:$B$39,C47)</f>
        <v>0</v>
      </c>
      <c r="AF47" s="921">
        <f>COUNTIF('выгрузка отзывов'!$B$25:$B$33,C47)</f>
        <v>0</v>
      </c>
      <c r="AG47" s="921">
        <f>COUNTIF('выгрузка отзывов'!$B$18:$B$24,C47)</f>
        <v>1</v>
      </c>
      <c r="AH47" s="922">
        <f>COUNTIF('выгрузка отзывов'!$B$11:$B$17,C47)</f>
        <v>0</v>
      </c>
      <c r="AI47" s="922">
        <f>COUNTIF('выгрузка отзывов'!$B$8:$B$10,C47)</f>
        <v>0</v>
      </c>
      <c r="AJ47" s="927">
        <f t="shared" si="17"/>
        <v>1</v>
      </c>
      <c r="AK47" s="922">
        <f>COUNTIF('выгрузка отзывов'!$B$2:$B$7,$C47)</f>
        <v>0</v>
      </c>
      <c r="AL47" s="922"/>
      <c r="AM47" s="922"/>
      <c r="AN47" s="922"/>
      <c r="AO47" s="902">
        <f t="shared" si="18"/>
        <v>0</v>
      </c>
      <c r="AP47" s="922"/>
      <c r="AQ47" s="922"/>
      <c r="AR47" s="923"/>
      <c r="AS47" s="923"/>
      <c r="AT47" s="928"/>
    </row>
    <row r="48" ht="15.0" customHeight="1">
      <c r="A48" s="911"/>
      <c r="B48" s="1002" t="s">
        <v>146</v>
      </c>
      <c r="C48" s="1042" t="s">
        <v>1063</v>
      </c>
      <c r="D48" s="1025"/>
      <c r="E48" s="1059"/>
      <c r="F48" s="1060"/>
      <c r="G48" s="1061"/>
      <c r="H48" s="1055" t="b">
        <v>0</v>
      </c>
      <c r="I48" s="1056"/>
      <c r="J48" s="1057"/>
      <c r="K48" s="1058"/>
      <c r="L48" s="1058"/>
      <c r="M48" s="1058"/>
      <c r="N48" s="1058"/>
      <c r="O48" s="920"/>
      <c r="P48" s="921"/>
      <c r="Q48" s="921"/>
      <c r="R48" s="922"/>
      <c r="S48" s="922"/>
      <c r="T48" s="903">
        <v>4.0</v>
      </c>
      <c r="U48" s="922"/>
      <c r="V48" s="922"/>
      <c r="W48" s="922"/>
      <c r="X48" s="922"/>
      <c r="Y48" s="904">
        <v>3.0</v>
      </c>
      <c r="Z48" s="922"/>
      <c r="AA48" s="922"/>
      <c r="AB48" s="923"/>
      <c r="AC48" s="923"/>
      <c r="AD48" s="924"/>
      <c r="AE48" s="920">
        <f>COUNTIF('выгрузка отзывов'!$B$34:$B$39,C48)</f>
        <v>0</v>
      </c>
      <c r="AF48" s="921">
        <f>COUNTIF('выгрузка отзывов'!$B$25:$B$33,C48)</f>
        <v>1</v>
      </c>
      <c r="AG48" s="921">
        <f>COUNTIF('выгрузка отзывов'!$B$18:$B$24,C48)</f>
        <v>1</v>
      </c>
      <c r="AH48" s="922">
        <f>COUNTIF('выгрузка отзывов'!$B$11:$B$17,C48)</f>
        <v>0</v>
      </c>
      <c r="AI48" s="922">
        <f>COUNTIF('выгрузка отзывов'!$B$8:$B$10,C48)</f>
        <v>0</v>
      </c>
      <c r="AJ48" s="927">
        <f t="shared" si="17"/>
        <v>2</v>
      </c>
      <c r="AK48" s="922">
        <f>COUNTIF('выгрузка отзывов'!$B$2:$B$7,$C48)</f>
        <v>1</v>
      </c>
      <c r="AL48" s="922"/>
      <c r="AM48" s="922"/>
      <c r="AN48" s="922"/>
      <c r="AO48" s="902"/>
      <c r="AP48" s="922"/>
      <c r="AQ48" s="922"/>
      <c r="AR48" s="923"/>
      <c r="AS48" s="923"/>
      <c r="AT48" s="928"/>
    </row>
    <row r="49" ht="15.0" customHeight="1">
      <c r="A49" s="911"/>
      <c r="B49" s="1062" t="s">
        <v>146</v>
      </c>
      <c r="C49" s="1042" t="s">
        <v>1064</v>
      </c>
      <c r="D49" s="1025">
        <v>45772.0</v>
      </c>
      <c r="E49" s="960">
        <f t="shared" ref="E49:E54" si="19">F49+I49+K49+M49</f>
        <v>2</v>
      </c>
      <c r="F49" s="1060">
        <f>IFERROR(VLOOKUP(C49,'Лист20'!$A$1:$C1088,2,0),0)</f>
        <v>0</v>
      </c>
      <c r="G49" s="1061">
        <f>IFERROR(VLOOKUP(C49,'Лист20'!$A$1:$C1088,3,0),0)</f>
        <v>0</v>
      </c>
      <c r="H49" s="1055" t="b">
        <v>1</v>
      </c>
      <c r="I49" s="1056">
        <v>2.0</v>
      </c>
      <c r="J49" s="1057">
        <v>10.0</v>
      </c>
      <c r="K49" s="1057"/>
      <c r="L49" s="1057"/>
      <c r="M49" s="1057"/>
      <c r="N49" s="1057"/>
      <c r="O49" s="920"/>
      <c r="P49" s="921"/>
      <c r="Q49" s="921"/>
      <c r="R49" s="922"/>
      <c r="S49" s="922"/>
      <c r="T49" s="903">
        <f>SUM(O49:S49)</f>
        <v>0</v>
      </c>
      <c r="U49" s="922"/>
      <c r="V49" s="922"/>
      <c r="W49" s="922"/>
      <c r="X49" s="922"/>
      <c r="Y49" s="904">
        <f>SUM(U49:X49)</f>
        <v>0</v>
      </c>
      <c r="Z49" s="922"/>
      <c r="AA49" s="922"/>
      <c r="AB49" s="923"/>
      <c r="AC49" s="923"/>
      <c r="AD49" s="924"/>
      <c r="AE49" s="920">
        <f>COUNTIF('выгрузка отзывов'!$B$34:$B$39,C49)</f>
        <v>0</v>
      </c>
      <c r="AF49" s="921">
        <f>COUNTIF('выгрузка отзывов'!$B$25:$B$33,C49)</f>
        <v>0</v>
      </c>
      <c r="AG49" s="921">
        <f>COUNTIF('выгрузка отзывов'!$B$18:$B$24,C49)</f>
        <v>0</v>
      </c>
      <c r="AH49" s="922">
        <f>COUNTIF('выгрузка отзывов'!$B$11:$B$17,C49)</f>
        <v>0</v>
      </c>
      <c r="AI49" s="922">
        <f>COUNTIF('выгрузка отзывов'!$B$8:$B$10,C49)</f>
        <v>0</v>
      </c>
      <c r="AJ49" s="927">
        <f t="shared" si="17"/>
        <v>0</v>
      </c>
      <c r="AK49" s="922">
        <f>COUNTIF('выгрузка отзывов'!$B$2:$B$7,$C49)</f>
        <v>0</v>
      </c>
      <c r="AL49" s="922"/>
      <c r="AM49" s="922"/>
      <c r="AN49" s="922"/>
      <c r="AO49" s="902">
        <f>SUM(AK49:AN49)</f>
        <v>0</v>
      </c>
      <c r="AP49" s="922"/>
      <c r="AQ49" s="922"/>
      <c r="AR49" s="923"/>
      <c r="AS49" s="923"/>
      <c r="AT49" s="928"/>
    </row>
    <row r="50" ht="15.0" customHeight="1">
      <c r="A50" s="911"/>
      <c r="B50" s="1062" t="s">
        <v>146</v>
      </c>
      <c r="C50" s="1042" t="s">
        <v>1065</v>
      </c>
      <c r="D50" s="1025">
        <v>45772.0</v>
      </c>
      <c r="E50" s="960">
        <f t="shared" si="19"/>
        <v>0</v>
      </c>
      <c r="F50" s="1060">
        <f>IFERROR(VLOOKUP(C50,'Лист20'!$A$1:$C1088,2,0),0)</f>
        <v>0</v>
      </c>
      <c r="G50" s="1061">
        <f>IFERROR(VLOOKUP(C50,'Лист20'!$A$1:$C1088,3,0),0)</f>
        <v>0</v>
      </c>
      <c r="H50" s="1028" t="b">
        <v>1</v>
      </c>
      <c r="I50" s="1049">
        <v>0.0</v>
      </c>
      <c r="J50" s="1050"/>
      <c r="K50" s="1051"/>
      <c r="L50" s="1051"/>
      <c r="M50" s="1051"/>
      <c r="N50" s="1051"/>
      <c r="O50" s="920"/>
      <c r="P50" s="921"/>
      <c r="Q50" s="921"/>
      <c r="R50" s="922"/>
      <c r="S50" s="922"/>
      <c r="T50" s="903">
        <v>5.0</v>
      </c>
      <c r="U50" s="922"/>
      <c r="V50" s="922"/>
      <c r="W50" s="922"/>
      <c r="X50" s="922"/>
      <c r="Y50" s="904">
        <v>1.0</v>
      </c>
      <c r="Z50" s="922"/>
      <c r="AA50" s="922"/>
      <c r="AB50" s="923"/>
      <c r="AC50" s="923"/>
      <c r="AD50" s="924"/>
      <c r="AE50" s="920">
        <f>COUNTIF('выгрузка отзывов'!$B$34:$B$39,C50)</f>
        <v>0</v>
      </c>
      <c r="AF50" s="921">
        <f>COUNTIF('выгрузка отзывов'!$B$25:$B$33,C50)</f>
        <v>1</v>
      </c>
      <c r="AG50" s="921">
        <f>COUNTIF('выгрузка отзывов'!$B$18:$B$24,C50)</f>
        <v>2</v>
      </c>
      <c r="AH50" s="922">
        <f>COUNTIF('выгрузка отзывов'!$B$11:$B$17,C50)</f>
        <v>0</v>
      </c>
      <c r="AI50" s="922">
        <f>COUNTIF('выгрузка отзывов'!$B$8:$B$10,C50)</f>
        <v>1</v>
      </c>
      <c r="AJ50" s="927">
        <f t="shared" si="17"/>
        <v>4</v>
      </c>
      <c r="AK50" s="922">
        <f>COUNTIF('выгрузка отзывов'!$B$2:$B$7,$C50)</f>
        <v>1</v>
      </c>
      <c r="AL50" s="922"/>
      <c r="AM50" s="922"/>
      <c r="AN50" s="922"/>
      <c r="AO50" s="902">
        <v>2.0</v>
      </c>
      <c r="AP50" s="922"/>
      <c r="AQ50" s="922"/>
      <c r="AR50" s="923"/>
      <c r="AS50" s="923"/>
      <c r="AT50" s="928"/>
    </row>
    <row r="51" ht="15.0" customHeight="1">
      <c r="A51" s="911"/>
      <c r="B51" s="1063" t="s">
        <v>146</v>
      </c>
      <c r="C51" s="1042" t="s">
        <v>1066</v>
      </c>
      <c r="D51" s="1025">
        <v>45773.0</v>
      </c>
      <c r="E51" s="960">
        <f t="shared" si="19"/>
        <v>3</v>
      </c>
      <c r="F51" s="1060">
        <f>IFERROR(VLOOKUP(C51,'Лист20'!$A$1:$C1088,2,0),0)</f>
        <v>0</v>
      </c>
      <c r="G51" s="1061">
        <f>IFERROR(VLOOKUP(C51,'Лист20'!$A$1:$C1088,3,0),0)</f>
        <v>0</v>
      </c>
      <c r="H51" s="1006" t="b">
        <v>1</v>
      </c>
      <c r="I51" s="1064">
        <v>3.0</v>
      </c>
      <c r="J51" s="1065">
        <v>10.0</v>
      </c>
      <c r="K51" s="1057"/>
      <c r="L51" s="1057"/>
      <c r="M51" s="1057"/>
      <c r="N51" s="1057"/>
      <c r="O51" s="920"/>
      <c r="P51" s="921"/>
      <c r="Q51" s="921"/>
      <c r="R51" s="922"/>
      <c r="S51" s="922"/>
      <c r="T51" s="903">
        <v>1.0</v>
      </c>
      <c r="U51" s="922"/>
      <c r="V51" s="922"/>
      <c r="W51" s="922"/>
      <c r="X51" s="922"/>
      <c r="Y51" s="904">
        <f>SUM(U51:X51)</f>
        <v>0</v>
      </c>
      <c r="Z51" s="922"/>
      <c r="AA51" s="922"/>
      <c r="AB51" s="923"/>
      <c r="AC51" s="923"/>
      <c r="AD51" s="924"/>
      <c r="AE51" s="920">
        <f>COUNTIF('выгрузка отзывов'!$B$34:$B$39,C51)</f>
        <v>0</v>
      </c>
      <c r="AF51" s="921">
        <f>COUNTIF('выгрузка отзывов'!$B$25:$B$33,C51)</f>
        <v>0</v>
      </c>
      <c r="AG51" s="921">
        <f>COUNTIF('выгрузка отзывов'!$B$18:$B$24,C51)</f>
        <v>0</v>
      </c>
      <c r="AH51" s="922">
        <f>COUNTIF('выгрузка отзывов'!$B$11:$B$17,C51)</f>
        <v>1</v>
      </c>
      <c r="AI51" s="922">
        <f>COUNTIF('выгрузка отзывов'!$B$8:$B$10,C51)</f>
        <v>0</v>
      </c>
      <c r="AJ51" s="927">
        <f t="shared" si="17"/>
        <v>1</v>
      </c>
      <c r="AK51" s="922">
        <f>COUNTIF('выгрузка отзывов'!$B$2:$B$7,$C51)</f>
        <v>0</v>
      </c>
      <c r="AL51" s="922"/>
      <c r="AM51" s="922"/>
      <c r="AN51" s="922"/>
      <c r="AO51" s="902">
        <f>SUM(AK51:AN51)</f>
        <v>0</v>
      </c>
      <c r="AP51" s="922"/>
      <c r="AQ51" s="922"/>
      <c r="AR51" s="923"/>
      <c r="AS51" s="923"/>
      <c r="AT51" s="928"/>
    </row>
    <row r="52" ht="15.0" customHeight="1">
      <c r="A52" s="911"/>
      <c r="B52" s="1063" t="s">
        <v>146</v>
      </c>
      <c r="C52" s="1042" t="s">
        <v>1067</v>
      </c>
      <c r="D52" s="1025">
        <v>45774.0</v>
      </c>
      <c r="E52" s="960">
        <f t="shared" si="19"/>
        <v>0</v>
      </c>
      <c r="F52" s="1060">
        <f>IFERROR(VLOOKUP(C52,'Лист20'!$A$1:$C1088,2,0),0)</f>
        <v>0</v>
      </c>
      <c r="G52" s="1061">
        <f>IFERROR(VLOOKUP(C52,'Лист20'!$A$1:$C1088,3,0),0)</f>
        <v>0</v>
      </c>
      <c r="H52" s="1028" t="b">
        <v>1</v>
      </c>
      <c r="I52" s="1066"/>
      <c r="J52" s="1067"/>
      <c r="K52" s="1057"/>
      <c r="L52" s="1057"/>
      <c r="M52" s="1057"/>
      <c r="N52" s="1057"/>
      <c r="O52" s="920"/>
      <c r="P52" s="921"/>
      <c r="Q52" s="921"/>
      <c r="R52" s="922"/>
      <c r="S52" s="922"/>
      <c r="T52" s="903">
        <v>1.0</v>
      </c>
      <c r="U52" s="922"/>
      <c r="V52" s="922"/>
      <c r="W52" s="922"/>
      <c r="X52" s="922"/>
      <c r="Y52" s="904">
        <v>3.0</v>
      </c>
      <c r="Z52" s="922"/>
      <c r="AA52" s="922"/>
      <c r="AB52" s="923"/>
      <c r="AC52" s="923"/>
      <c r="AD52" s="924"/>
      <c r="AE52" s="920">
        <f>COUNTIF('выгрузка отзывов'!$B$34:$B$39,C52)</f>
        <v>0</v>
      </c>
      <c r="AF52" s="921">
        <f>COUNTIF('выгрузка отзывов'!$B$25:$B$33,C52)</f>
        <v>0</v>
      </c>
      <c r="AG52" s="921">
        <f>COUNTIF('выгрузка отзывов'!$B$18:$B$24,C52)</f>
        <v>0</v>
      </c>
      <c r="AH52" s="922">
        <f>COUNTIF('выгрузка отзывов'!$B$11:$B$17,C52)</f>
        <v>0</v>
      </c>
      <c r="AI52" s="922">
        <f>COUNTIF('выгрузка отзывов'!$B$8:$B$10,C52)</f>
        <v>0</v>
      </c>
      <c r="AJ52" s="927">
        <f t="shared" si="17"/>
        <v>0</v>
      </c>
      <c r="AK52" s="922">
        <f>COUNTIF('выгрузка отзывов'!$B$2:$B$7,$C52)</f>
        <v>1</v>
      </c>
      <c r="AL52" s="922"/>
      <c r="AM52" s="922"/>
      <c r="AN52" s="922"/>
      <c r="AO52" s="902">
        <v>3.0</v>
      </c>
      <c r="AP52" s="922"/>
      <c r="AQ52" s="922"/>
      <c r="AR52" s="923"/>
      <c r="AS52" s="923"/>
      <c r="AT52" s="928"/>
    </row>
    <row r="53" ht="15.0" customHeight="1">
      <c r="A53" s="1068"/>
      <c r="B53" s="1069" t="s">
        <v>146</v>
      </c>
      <c r="C53" s="1042" t="str">
        <f>'1. Справочник'!C65</f>
        <v>MZ 1408</v>
      </c>
      <c r="D53" s="1070" t="s">
        <v>1059</v>
      </c>
      <c r="E53" s="960">
        <f t="shared" si="19"/>
        <v>2</v>
      </c>
      <c r="F53" s="1060">
        <f>IFERROR(VLOOKUP(C53,'Лист20'!$A$1:$C1088,2,0),0)</f>
        <v>0</v>
      </c>
      <c r="G53" s="1061">
        <f>IFERROR(VLOOKUP(C53,'Лист20'!$A$1:$C1088,3,0),0)</f>
        <v>0</v>
      </c>
      <c r="H53" s="1006" t="b">
        <v>1</v>
      </c>
      <c r="I53" s="969">
        <v>2.0</v>
      </c>
      <c r="J53" s="970">
        <v>9.8</v>
      </c>
      <c r="K53" s="970"/>
      <c r="L53" s="970"/>
      <c r="M53" s="970"/>
      <c r="N53" s="970"/>
      <c r="O53" s="920"/>
      <c r="P53" s="921"/>
      <c r="Q53" s="921"/>
      <c r="R53" s="922"/>
      <c r="S53" s="922"/>
      <c r="T53" s="903">
        <v>1.0</v>
      </c>
      <c r="U53" s="922"/>
      <c r="V53" s="922"/>
      <c r="W53" s="922"/>
      <c r="X53" s="922"/>
      <c r="Y53" s="904">
        <v>1.0</v>
      </c>
      <c r="Z53" s="922"/>
      <c r="AA53" s="922"/>
      <c r="AB53" s="923"/>
      <c r="AC53" s="923"/>
      <c r="AD53" s="924"/>
      <c r="AE53" s="920">
        <f>COUNTIF('выгрузка отзывов'!$B$34:$B$39,C53)</f>
        <v>0</v>
      </c>
      <c r="AF53" s="921">
        <f>COUNTIF('выгрузка отзывов'!$B$25:$B$33,C53)</f>
        <v>0</v>
      </c>
      <c r="AG53" s="921">
        <f>COUNTIF('выгрузка отзывов'!$B$18:$B$24,C53)</f>
        <v>0</v>
      </c>
      <c r="AH53" s="922">
        <f>COUNTIF('выгрузка отзывов'!$B$11:$B$17,C53)</f>
        <v>0</v>
      </c>
      <c r="AI53" s="922">
        <f>COUNTIF('выгрузка отзывов'!$B$8:$B$10,C53)</f>
        <v>0</v>
      </c>
      <c r="AJ53" s="927">
        <f t="shared" si="17"/>
        <v>0</v>
      </c>
      <c r="AK53" s="922">
        <f>COUNTIF('выгрузка отзывов'!$B$2:$B$7,$C53)</f>
        <v>0</v>
      </c>
      <c r="AL53" s="922"/>
      <c r="AM53" s="922"/>
      <c r="AN53" s="922"/>
      <c r="AO53" s="902">
        <v>1.0</v>
      </c>
      <c r="AP53" s="922"/>
      <c r="AQ53" s="922"/>
      <c r="AR53" s="923"/>
      <c r="AS53" s="923"/>
      <c r="AT53" s="928"/>
    </row>
    <row r="54" ht="15.0" customHeight="1">
      <c r="A54" s="1068"/>
      <c r="B54" s="1069" t="s">
        <v>146</v>
      </c>
      <c r="C54" s="1071" t="str">
        <f>'1. Справочник'!C66</f>
        <v>MZ А 1113</v>
      </c>
      <c r="D54" s="966">
        <v>45931.0</v>
      </c>
      <c r="E54" s="960">
        <f t="shared" si="19"/>
        <v>0</v>
      </c>
      <c r="F54" s="1060">
        <f>IFERROR(VLOOKUP(C54,'Лист20'!$A$1:$C1088,2,0),0)</f>
        <v>0</v>
      </c>
      <c r="G54" s="1061">
        <f>IFERROR(VLOOKUP(C54,'Лист20'!$A$1:$C1088,3,0),0)</f>
        <v>0</v>
      </c>
      <c r="H54" s="1006" t="b">
        <v>0</v>
      </c>
      <c r="I54" s="969"/>
      <c r="J54" s="970"/>
      <c r="K54" s="970"/>
      <c r="L54" s="970"/>
      <c r="M54" s="970"/>
      <c r="N54" s="970"/>
      <c r="O54" s="920"/>
      <c r="P54" s="921"/>
      <c r="Q54" s="921"/>
      <c r="R54" s="922"/>
      <c r="S54" s="922"/>
      <c r="T54" s="903">
        <f>SUM(O54:S54)</f>
        <v>0</v>
      </c>
      <c r="U54" s="922"/>
      <c r="V54" s="922"/>
      <c r="W54" s="922"/>
      <c r="X54" s="922"/>
      <c r="Y54" s="904">
        <f>SUM(U54:X54)</f>
        <v>0</v>
      </c>
      <c r="Z54" s="922"/>
      <c r="AA54" s="922"/>
      <c r="AB54" s="923"/>
      <c r="AC54" s="923"/>
      <c r="AD54" s="924"/>
      <c r="AE54" s="920">
        <f>COUNTIF('выгрузка отзывов'!$B$34:$B$39,C54)</f>
        <v>0</v>
      </c>
      <c r="AF54" s="921">
        <f>COUNTIF('выгрузка отзывов'!$B$25:$B$33,C54)</f>
        <v>0</v>
      </c>
      <c r="AG54" s="921">
        <f>COUNTIF('выгрузка отзывов'!$B$18:$B$24,C54)</f>
        <v>0</v>
      </c>
      <c r="AH54" s="922">
        <f>COUNTIF('выгрузка отзывов'!$B$11:$B$17,C54)</f>
        <v>0</v>
      </c>
      <c r="AI54" s="922">
        <f>COUNTIF('выгрузка отзывов'!$B$8:$B$10,C54)</f>
        <v>0</v>
      </c>
      <c r="AJ54" s="927">
        <f t="shared" si="17"/>
        <v>0</v>
      </c>
      <c r="AK54" s="922">
        <f>COUNTIF('выгрузка отзывов'!$B$2:$B$7,$C54)</f>
        <v>0</v>
      </c>
      <c r="AL54" s="922"/>
      <c r="AM54" s="922"/>
      <c r="AN54" s="922"/>
      <c r="AO54" s="902">
        <f>SUM(AK54:AN54)</f>
        <v>0</v>
      </c>
      <c r="AP54" s="922"/>
      <c r="AQ54" s="922"/>
      <c r="AR54" s="923"/>
      <c r="AS54" s="923"/>
      <c r="AT54" s="928"/>
    </row>
    <row r="55" ht="15.0" customHeight="1">
      <c r="A55" s="1068"/>
      <c r="B55" s="1069" t="s">
        <v>146</v>
      </c>
      <c r="C55" s="1042" t="s">
        <v>1068</v>
      </c>
      <c r="D55" s="1070"/>
      <c r="E55" s="1059"/>
      <c r="F55" s="1060"/>
      <c r="G55" s="1061"/>
      <c r="H55" s="1006" t="b">
        <v>0</v>
      </c>
      <c r="I55" s="969"/>
      <c r="J55" s="970"/>
      <c r="K55" s="970"/>
      <c r="L55" s="970"/>
      <c r="M55" s="970"/>
      <c r="N55" s="970"/>
      <c r="O55" s="920"/>
      <c r="P55" s="921"/>
      <c r="Q55" s="921"/>
      <c r="R55" s="922"/>
      <c r="S55" s="922"/>
      <c r="T55" s="903"/>
      <c r="U55" s="922"/>
      <c r="V55" s="922"/>
      <c r="W55" s="922"/>
      <c r="X55" s="922"/>
      <c r="Y55" s="904"/>
      <c r="Z55" s="922"/>
      <c r="AA55" s="922"/>
      <c r="AB55" s="923"/>
      <c r="AC55" s="923"/>
      <c r="AD55" s="924"/>
      <c r="AE55" s="920">
        <f>COUNTIF('выгрузка отзывов'!$B$34:$B$39,C55)</f>
        <v>0</v>
      </c>
      <c r="AF55" s="921">
        <f>COUNTIF('выгрузка отзывов'!$B$25:$B$33,C55)</f>
        <v>0</v>
      </c>
      <c r="AG55" s="921">
        <f>COUNTIF('выгрузка отзывов'!$B$18:$B$24,C55)</f>
        <v>0</v>
      </c>
      <c r="AH55" s="922">
        <f>COUNTIF('выгрузка отзывов'!$B$11:$B$17,C55)</f>
        <v>1</v>
      </c>
      <c r="AI55" s="922">
        <f>COUNTIF('выгрузка отзывов'!$B$8:$B$10,C55)</f>
        <v>0</v>
      </c>
      <c r="AJ55" s="927">
        <f t="shared" si="17"/>
        <v>1</v>
      </c>
      <c r="AK55" s="922">
        <f>COUNTIF('выгрузка отзывов'!$B$2:$B$7,$C55)</f>
        <v>0</v>
      </c>
      <c r="AL55" s="922"/>
      <c r="AM55" s="922"/>
      <c r="AN55" s="922"/>
      <c r="AO55" s="902"/>
      <c r="AP55" s="922"/>
      <c r="AQ55" s="922"/>
      <c r="AR55" s="923"/>
      <c r="AS55" s="923"/>
      <c r="AT55" s="928"/>
    </row>
    <row r="56" ht="15.0" customHeight="1">
      <c r="A56" s="1068"/>
      <c r="B56" s="1069" t="s">
        <v>146</v>
      </c>
      <c r="C56" s="1042" t="s">
        <v>1069</v>
      </c>
      <c r="D56" s="1070"/>
      <c r="E56" s="1059"/>
      <c r="F56" s="1060"/>
      <c r="G56" s="1061"/>
      <c r="H56" s="1006" t="b">
        <v>1</v>
      </c>
      <c r="I56" s="969"/>
      <c r="J56" s="970"/>
      <c r="K56" s="970"/>
      <c r="L56" s="970"/>
      <c r="M56" s="970"/>
      <c r="N56" s="970"/>
      <c r="O56" s="920"/>
      <c r="P56" s="921"/>
      <c r="Q56" s="921"/>
      <c r="R56" s="922"/>
      <c r="S56" s="922"/>
      <c r="T56" s="903">
        <v>3.0</v>
      </c>
      <c r="U56" s="922"/>
      <c r="V56" s="922"/>
      <c r="W56" s="922"/>
      <c r="X56" s="922"/>
      <c r="Y56" s="904">
        <v>1.0</v>
      </c>
      <c r="Z56" s="922"/>
      <c r="AA56" s="922"/>
      <c r="AB56" s="923"/>
      <c r="AC56" s="923"/>
      <c r="AD56" s="924"/>
      <c r="AE56" s="920">
        <f>COUNTIF('выгрузка отзывов'!$B$34:$B$39,C56)</f>
        <v>1</v>
      </c>
      <c r="AF56" s="921">
        <f>COUNTIF('выгрузка отзывов'!$B$25:$B$33,C56)</f>
        <v>0</v>
      </c>
      <c r="AG56" s="921">
        <f>COUNTIF('выгрузка отзывов'!$B$18:$B$24,C56)</f>
        <v>1</v>
      </c>
      <c r="AH56" s="922">
        <f>COUNTIF('выгрузка отзывов'!$B$11:$B$17,C56)</f>
        <v>1</v>
      </c>
      <c r="AI56" s="922">
        <f>COUNTIF('выгрузка отзывов'!$B$8:$B$10,C56)</f>
        <v>0</v>
      </c>
      <c r="AJ56" s="927">
        <f t="shared" si="17"/>
        <v>3</v>
      </c>
      <c r="AK56" s="922">
        <f>COUNTIF('выгрузка отзывов'!$B$2:$B$7,$C56)</f>
        <v>0</v>
      </c>
      <c r="AL56" s="922"/>
      <c r="AM56" s="922"/>
      <c r="AN56" s="922"/>
      <c r="AO56" s="902"/>
      <c r="AP56" s="922"/>
      <c r="AQ56" s="922"/>
      <c r="AR56" s="923"/>
      <c r="AS56" s="923"/>
      <c r="AT56" s="928"/>
    </row>
    <row r="57" ht="15.0" customHeight="1">
      <c r="A57" s="1068"/>
      <c r="B57" s="1069" t="s">
        <v>146</v>
      </c>
      <c r="C57" s="1042" t="str">
        <f>'1. Справочник'!C60</f>
        <v>NW 2-5</v>
      </c>
      <c r="D57" s="1070" t="s">
        <v>1059</v>
      </c>
      <c r="E57" s="960">
        <f t="shared" ref="E57:E61" si="20">F57+I57+K57+M57</f>
        <v>0</v>
      </c>
      <c r="F57" s="1060">
        <f>IFERROR(VLOOKUP(C57,'Лист20'!$A$1:$C1088,2,0),0)</f>
        <v>0</v>
      </c>
      <c r="G57" s="1061">
        <f>IFERROR(VLOOKUP(C57,'Лист20'!$A$1:$C1088,3,0),0)</f>
        <v>0</v>
      </c>
      <c r="H57" s="1006" t="b">
        <v>0</v>
      </c>
      <c r="I57" s="969"/>
      <c r="J57" s="970"/>
      <c r="K57" s="970"/>
      <c r="L57" s="970"/>
      <c r="M57" s="970"/>
      <c r="N57" s="970"/>
      <c r="O57" s="920"/>
      <c r="P57" s="921"/>
      <c r="Q57" s="921"/>
      <c r="R57" s="922"/>
      <c r="S57" s="922"/>
      <c r="T57" s="903">
        <f t="shared" ref="T57:T61" si="21">SUM(O57:S57)</f>
        <v>0</v>
      </c>
      <c r="U57" s="922"/>
      <c r="V57" s="922"/>
      <c r="W57" s="922"/>
      <c r="X57" s="922"/>
      <c r="Y57" s="904">
        <f t="shared" ref="Y57:Y61" si="22">SUM(U57:X57)</f>
        <v>0</v>
      </c>
      <c r="Z57" s="922"/>
      <c r="AA57" s="922"/>
      <c r="AB57" s="923"/>
      <c r="AC57" s="923"/>
      <c r="AD57" s="924"/>
      <c r="AE57" s="920">
        <f>COUNTIF('выгрузка отзывов'!$B$34:$B$39,C57)</f>
        <v>0</v>
      </c>
      <c r="AF57" s="921">
        <f>COUNTIF('выгрузка отзывов'!$B$25:$B$33,C57)</f>
        <v>0</v>
      </c>
      <c r="AG57" s="921">
        <f>COUNTIF('выгрузка отзывов'!$B$18:$B$24,C57)</f>
        <v>0</v>
      </c>
      <c r="AH57" s="922">
        <f>COUNTIF('выгрузка отзывов'!$B$11:$B$17,C57)</f>
        <v>0</v>
      </c>
      <c r="AI57" s="922">
        <f>COUNTIF('выгрузка отзывов'!$B$8:$B$10,C57)</f>
        <v>0</v>
      </c>
      <c r="AJ57" s="927">
        <f t="shared" si="17"/>
        <v>0</v>
      </c>
      <c r="AK57" s="922">
        <f>COUNTIF('выгрузка отзывов'!$B$2:$B$7,$C57)</f>
        <v>0</v>
      </c>
      <c r="AL57" s="922"/>
      <c r="AM57" s="922"/>
      <c r="AN57" s="922"/>
      <c r="AO57" s="902">
        <f t="shared" ref="AO57:AO61" si="23">SUM(AK57:AN57)</f>
        <v>0</v>
      </c>
      <c r="AP57" s="922"/>
      <c r="AQ57" s="922"/>
      <c r="AR57" s="923"/>
      <c r="AS57" s="923"/>
      <c r="AT57" s="928"/>
    </row>
    <row r="58" ht="15.0" customHeight="1">
      <c r="A58" s="1068"/>
      <c r="B58" s="1069" t="s">
        <v>146</v>
      </c>
      <c r="C58" s="1042" t="str">
        <f>'1. Справочник'!C136</f>
        <v>NW 4-9</v>
      </c>
      <c r="D58" s="1070" t="s">
        <v>1059</v>
      </c>
      <c r="E58" s="960">
        <f t="shared" si="20"/>
        <v>1</v>
      </c>
      <c r="F58" s="1060">
        <f>IFERROR(VLOOKUP(C58,'Лист20'!$A$1:$C1088,2,0),0)</f>
        <v>0</v>
      </c>
      <c r="G58" s="1061">
        <f>IFERROR(VLOOKUP(C58,'Лист20'!$A$1:$C1088,3,0),0)</f>
        <v>0</v>
      </c>
      <c r="H58" s="1028" t="b">
        <v>1</v>
      </c>
      <c r="I58" s="969">
        <v>1.0</v>
      </c>
      <c r="J58" s="970">
        <v>10.0</v>
      </c>
      <c r="K58" s="970"/>
      <c r="L58" s="970"/>
      <c r="M58" s="970"/>
      <c r="N58" s="970"/>
      <c r="O58" s="920"/>
      <c r="P58" s="921"/>
      <c r="Q58" s="921"/>
      <c r="R58" s="922"/>
      <c r="S58" s="922"/>
      <c r="T58" s="903">
        <f t="shared" si="21"/>
        <v>0</v>
      </c>
      <c r="U58" s="922"/>
      <c r="V58" s="922"/>
      <c r="W58" s="922"/>
      <c r="X58" s="922"/>
      <c r="Y58" s="904">
        <f t="shared" si="22"/>
        <v>0</v>
      </c>
      <c r="Z58" s="922"/>
      <c r="AA58" s="922"/>
      <c r="AB58" s="923"/>
      <c r="AC58" s="923"/>
      <c r="AD58" s="924"/>
      <c r="AE58" s="920">
        <f>COUNTIF('выгрузка отзывов'!$B$34:$B$39,C58)</f>
        <v>0</v>
      </c>
      <c r="AF58" s="921">
        <f>COUNTIF('выгрузка отзывов'!$B$25:$B$33,C58)</f>
        <v>0</v>
      </c>
      <c r="AG58" s="921">
        <f>COUNTIF('выгрузка отзывов'!$B$18:$B$24,C58)</f>
        <v>0</v>
      </c>
      <c r="AH58" s="922">
        <f>COUNTIF('выгрузка отзывов'!$B$11:$B$17,C58)</f>
        <v>0</v>
      </c>
      <c r="AI58" s="922">
        <f>COUNTIF('выгрузка отзывов'!$B$8:$B$10,C58)</f>
        <v>0</v>
      </c>
      <c r="AJ58" s="927">
        <f t="shared" si="17"/>
        <v>0</v>
      </c>
      <c r="AK58" s="922">
        <f>COUNTIF('выгрузка отзывов'!$B$2:$B$7,$C58)</f>
        <v>0</v>
      </c>
      <c r="AL58" s="922"/>
      <c r="AM58" s="922"/>
      <c r="AN58" s="922"/>
      <c r="AO58" s="902">
        <f t="shared" si="23"/>
        <v>0</v>
      </c>
      <c r="AP58" s="922"/>
      <c r="AQ58" s="922"/>
      <c r="AR58" s="923"/>
      <c r="AS58" s="923"/>
      <c r="AT58" s="928"/>
    </row>
    <row r="59" ht="15.0" customHeight="1">
      <c r="A59" s="1068"/>
      <c r="B59" s="1069" t="s">
        <v>146</v>
      </c>
      <c r="C59" s="1042" t="str">
        <f>'1. Справочник'!C137</f>
        <v>NW 4-10</v>
      </c>
      <c r="D59" s="1070" t="s">
        <v>1059</v>
      </c>
      <c r="E59" s="960">
        <f t="shared" si="20"/>
        <v>3</v>
      </c>
      <c r="F59" s="1060">
        <f>IFERROR(VLOOKUP(C59,'Лист20'!$A$1:$C1088,2,0),0)</f>
        <v>0</v>
      </c>
      <c r="G59" s="1061">
        <f>IFERROR(VLOOKUP(C59,'Лист20'!$A$1:$C1088,3,0),0)</f>
        <v>0</v>
      </c>
      <c r="H59" s="1006" t="b">
        <v>0</v>
      </c>
      <c r="I59" s="969">
        <v>3.0</v>
      </c>
      <c r="J59" s="970">
        <v>10.0</v>
      </c>
      <c r="K59" s="970"/>
      <c r="L59" s="970"/>
      <c r="M59" s="970"/>
      <c r="N59" s="970"/>
      <c r="O59" s="920"/>
      <c r="P59" s="921"/>
      <c r="Q59" s="921"/>
      <c r="R59" s="922"/>
      <c r="S59" s="922"/>
      <c r="T59" s="903">
        <f t="shared" si="21"/>
        <v>0</v>
      </c>
      <c r="U59" s="922"/>
      <c r="V59" s="922"/>
      <c r="W59" s="922"/>
      <c r="X59" s="922"/>
      <c r="Y59" s="904">
        <f t="shared" si="22"/>
        <v>0</v>
      </c>
      <c r="Z59" s="922"/>
      <c r="AA59" s="922"/>
      <c r="AB59" s="923"/>
      <c r="AC59" s="923"/>
      <c r="AD59" s="924"/>
      <c r="AE59" s="920">
        <f>COUNTIF('выгрузка отзывов'!$B$34:$B$39,C59)</f>
        <v>0</v>
      </c>
      <c r="AF59" s="921">
        <f>COUNTIF('выгрузка отзывов'!$B$25:$B$33,C59)</f>
        <v>0</v>
      </c>
      <c r="AG59" s="921">
        <f>COUNTIF('выгрузка отзывов'!$B$18:$B$24,C59)</f>
        <v>0</v>
      </c>
      <c r="AH59" s="922">
        <f>COUNTIF('выгрузка отзывов'!$B$11:$B$17,C59)</f>
        <v>0</v>
      </c>
      <c r="AI59" s="922">
        <f>COUNTIF('выгрузка отзывов'!$B$8:$B$10,C59)</f>
        <v>0</v>
      </c>
      <c r="AJ59" s="927">
        <f t="shared" si="17"/>
        <v>0</v>
      </c>
      <c r="AK59" s="922">
        <f>COUNTIF('выгрузка отзывов'!$B$2:$B$7,$C59)</f>
        <v>0</v>
      </c>
      <c r="AL59" s="922"/>
      <c r="AM59" s="922"/>
      <c r="AN59" s="922"/>
      <c r="AO59" s="902">
        <f t="shared" si="23"/>
        <v>0</v>
      </c>
      <c r="AP59" s="922"/>
      <c r="AQ59" s="922"/>
      <c r="AR59" s="923"/>
      <c r="AS59" s="923"/>
      <c r="AT59" s="928"/>
    </row>
    <row r="60" ht="15.0" customHeight="1">
      <c r="A60" s="1068"/>
      <c r="B60" s="1069" t="s">
        <v>146</v>
      </c>
      <c r="C60" s="1042" t="str">
        <f>'1. Справочник'!C138</f>
        <v>NW 10-6</v>
      </c>
      <c r="D60" s="1070" t="s">
        <v>1059</v>
      </c>
      <c r="E60" s="960">
        <f t="shared" si="20"/>
        <v>1</v>
      </c>
      <c r="F60" s="1060">
        <f>IFERROR(VLOOKUP(C60,'Лист20'!$A$1:$C1088,2,0),0)</f>
        <v>0</v>
      </c>
      <c r="G60" s="1061">
        <f>IFERROR(VLOOKUP(C60,'Лист20'!$A$1:$C1088,3,0),0)</f>
        <v>0</v>
      </c>
      <c r="H60" s="1006" t="b">
        <v>1</v>
      </c>
      <c r="I60" s="969">
        <v>1.0</v>
      </c>
      <c r="J60" s="970">
        <v>10.0</v>
      </c>
      <c r="K60" s="970"/>
      <c r="L60" s="970"/>
      <c r="M60" s="970"/>
      <c r="N60" s="970"/>
      <c r="O60" s="920"/>
      <c r="P60" s="921"/>
      <c r="Q60" s="921"/>
      <c r="R60" s="922"/>
      <c r="S60" s="922"/>
      <c r="T60" s="903">
        <f t="shared" si="21"/>
        <v>0</v>
      </c>
      <c r="U60" s="922"/>
      <c r="V60" s="922"/>
      <c r="W60" s="922"/>
      <c r="X60" s="922"/>
      <c r="Y60" s="904">
        <f t="shared" si="22"/>
        <v>0</v>
      </c>
      <c r="Z60" s="922"/>
      <c r="AA60" s="922"/>
      <c r="AB60" s="923"/>
      <c r="AC60" s="923"/>
      <c r="AD60" s="924"/>
      <c r="AE60" s="920">
        <f>COUNTIF('выгрузка отзывов'!$B$34:$B$39,C60)</f>
        <v>0</v>
      </c>
      <c r="AF60" s="921">
        <f>COUNTIF('выгрузка отзывов'!$B$25:$B$33,C60)</f>
        <v>0</v>
      </c>
      <c r="AG60" s="921">
        <f>COUNTIF('выгрузка отзывов'!$B$18:$B$24,C60)</f>
        <v>0</v>
      </c>
      <c r="AH60" s="922">
        <f>COUNTIF('выгрузка отзывов'!$B$11:$B$17,C60)</f>
        <v>0</v>
      </c>
      <c r="AI60" s="922">
        <f>COUNTIF('выгрузка отзывов'!$B$8:$B$10,C60)</f>
        <v>0</v>
      </c>
      <c r="AJ60" s="927">
        <f t="shared" si="17"/>
        <v>0</v>
      </c>
      <c r="AK60" s="922">
        <f>COUNTIF('выгрузка отзывов'!$B$2:$B$7,$C60)</f>
        <v>0</v>
      </c>
      <c r="AL60" s="922"/>
      <c r="AM60" s="922"/>
      <c r="AN60" s="922"/>
      <c r="AO60" s="902">
        <f t="shared" si="23"/>
        <v>0</v>
      </c>
      <c r="AP60" s="922"/>
      <c r="AQ60" s="922"/>
      <c r="AR60" s="923"/>
      <c r="AS60" s="923"/>
      <c r="AT60" s="928"/>
    </row>
    <row r="61" ht="15.0" customHeight="1">
      <c r="A61" s="1068"/>
      <c r="B61" s="1069" t="s">
        <v>146</v>
      </c>
      <c r="C61" s="1042" t="str">
        <f>'1. Справочник'!C61</f>
        <v>NW 3-7</v>
      </c>
      <c r="D61" s="1070" t="s">
        <v>1059</v>
      </c>
      <c r="E61" s="960">
        <f t="shared" si="20"/>
        <v>0</v>
      </c>
      <c r="F61" s="1060">
        <f>IFERROR(VLOOKUP(C61,'Лист20'!$A$1:$C1088,2,0),0)</f>
        <v>0</v>
      </c>
      <c r="G61" s="1061">
        <f>IFERROR(VLOOKUP(C61,'Лист20'!$A$1:$C1088,3,0),0)</f>
        <v>0</v>
      </c>
      <c r="H61" s="1006" t="b">
        <v>1</v>
      </c>
      <c r="I61" s="969"/>
      <c r="J61" s="970"/>
      <c r="K61" s="970"/>
      <c r="L61" s="970"/>
      <c r="M61" s="970"/>
      <c r="N61" s="970"/>
      <c r="O61" s="920"/>
      <c r="P61" s="921"/>
      <c r="Q61" s="921"/>
      <c r="R61" s="922"/>
      <c r="S61" s="922"/>
      <c r="T61" s="903">
        <f t="shared" si="21"/>
        <v>0</v>
      </c>
      <c r="U61" s="922"/>
      <c r="V61" s="922"/>
      <c r="W61" s="922"/>
      <c r="X61" s="922"/>
      <c r="Y61" s="904">
        <f t="shared" si="22"/>
        <v>0</v>
      </c>
      <c r="Z61" s="922"/>
      <c r="AA61" s="922"/>
      <c r="AB61" s="923"/>
      <c r="AC61" s="923"/>
      <c r="AD61" s="924"/>
      <c r="AE61" s="920">
        <f>COUNTIF('выгрузка отзывов'!$B$34:$B$39,C61)</f>
        <v>0</v>
      </c>
      <c r="AF61" s="921">
        <f>COUNTIF('выгрузка отзывов'!$B$25:$B$33,C61)</f>
        <v>0</v>
      </c>
      <c r="AG61" s="921">
        <f>COUNTIF('выгрузка отзывов'!$B$18:$B$24,C61)</f>
        <v>0</v>
      </c>
      <c r="AH61" s="922">
        <f>COUNTIF('выгрузка отзывов'!$B$11:$B$17,C61)</f>
        <v>0</v>
      </c>
      <c r="AI61" s="922">
        <f>COUNTIF('выгрузка отзывов'!$B$8:$B$10,C61)</f>
        <v>0</v>
      </c>
      <c r="AJ61" s="927">
        <f t="shared" si="17"/>
        <v>0</v>
      </c>
      <c r="AK61" s="922">
        <f>COUNTIF('выгрузка отзывов'!$B$2:$B$7,$C61)</f>
        <v>0</v>
      </c>
      <c r="AL61" s="922"/>
      <c r="AM61" s="922"/>
      <c r="AN61" s="922"/>
      <c r="AO61" s="902">
        <f t="shared" si="23"/>
        <v>0</v>
      </c>
      <c r="AP61" s="922"/>
      <c r="AQ61" s="922"/>
      <c r="AR61" s="923"/>
      <c r="AS61" s="923"/>
      <c r="AT61" s="928"/>
    </row>
    <row r="62" ht="15.0" customHeight="1">
      <c r="A62" s="1068"/>
      <c r="B62" s="1069" t="s">
        <v>146</v>
      </c>
      <c r="C62" s="1042" t="s">
        <v>1070</v>
      </c>
      <c r="D62" s="1070"/>
      <c r="E62" s="1059"/>
      <c r="F62" s="1060"/>
      <c r="G62" s="1061"/>
      <c r="H62" s="1006" t="b">
        <v>0</v>
      </c>
      <c r="I62" s="969"/>
      <c r="J62" s="970"/>
      <c r="K62" s="970"/>
      <c r="L62" s="970"/>
      <c r="M62" s="970"/>
      <c r="N62" s="970"/>
      <c r="O62" s="920"/>
      <c r="P62" s="921"/>
      <c r="Q62" s="921"/>
      <c r="R62" s="922"/>
      <c r="S62" s="922"/>
      <c r="T62" s="903"/>
      <c r="U62" s="922"/>
      <c r="V62" s="922"/>
      <c r="W62" s="922"/>
      <c r="X62" s="922"/>
      <c r="Y62" s="904"/>
      <c r="Z62" s="922"/>
      <c r="AA62" s="922"/>
      <c r="AB62" s="923"/>
      <c r="AC62" s="923"/>
      <c r="AD62" s="924"/>
      <c r="AE62" s="920">
        <f>COUNTIF('выгрузка отзывов'!$B$34:$B$39,C62)</f>
        <v>0</v>
      </c>
      <c r="AF62" s="921">
        <f>COUNTIF('выгрузка отзывов'!$B$25:$B$33,C62)</f>
        <v>1</v>
      </c>
      <c r="AG62" s="921">
        <f>COUNTIF('выгрузка отзывов'!$B$18:$B$24,C62)</f>
        <v>0</v>
      </c>
      <c r="AH62" s="922">
        <f>COUNTIF('выгрузка отзывов'!$B$11:$B$17,C62)</f>
        <v>0</v>
      </c>
      <c r="AI62" s="922">
        <f>COUNTIF('выгрузка отзывов'!$B$8:$B$10,C62)</f>
        <v>0</v>
      </c>
      <c r="AJ62" s="927">
        <f t="shared" si="17"/>
        <v>1</v>
      </c>
      <c r="AK62" s="922">
        <f>COUNTIF('выгрузка отзывов'!$B$2:$B$7,$C62)</f>
        <v>0</v>
      </c>
      <c r="AL62" s="922"/>
      <c r="AM62" s="922"/>
      <c r="AN62" s="922"/>
      <c r="AO62" s="902"/>
      <c r="AP62" s="922"/>
      <c r="AQ62" s="922"/>
      <c r="AR62" s="923"/>
      <c r="AS62" s="923"/>
      <c r="AT62" s="928"/>
    </row>
    <row r="63" ht="15.0" customHeight="1">
      <c r="A63" s="911"/>
      <c r="B63" s="1062" t="s">
        <v>146</v>
      </c>
      <c r="C63" s="1042" t="s">
        <v>1071</v>
      </c>
      <c r="D63" s="995">
        <v>2024.0</v>
      </c>
      <c r="E63" s="960">
        <f t="shared" ref="E63:E104" si="24">F63+I63+K63+M63</f>
        <v>2</v>
      </c>
      <c r="F63" s="1060">
        <f>IFERROR(VLOOKUP(C63,'Лист20'!$A$1:$C1088,2,0),0)</f>
        <v>0</v>
      </c>
      <c r="G63" s="1061">
        <f>IFERROR(VLOOKUP(C63,'Лист20'!$A$1:$C1088,3,0),0)</f>
        <v>0</v>
      </c>
      <c r="H63" s="1006" t="b">
        <v>1</v>
      </c>
      <c r="I63" s="969">
        <v>2.0</v>
      </c>
      <c r="J63" s="970">
        <v>9.7</v>
      </c>
      <c r="K63" s="970"/>
      <c r="L63" s="970"/>
      <c r="M63" s="970"/>
      <c r="N63" s="970"/>
      <c r="O63" s="920"/>
      <c r="P63" s="921"/>
      <c r="Q63" s="921"/>
      <c r="R63" s="922"/>
      <c r="S63" s="922"/>
      <c r="T63" s="903">
        <f>SUM(O63:S63)</f>
        <v>0</v>
      </c>
      <c r="U63" s="922"/>
      <c r="V63" s="922"/>
      <c r="W63" s="922"/>
      <c r="X63" s="922"/>
      <c r="Y63" s="904">
        <f>SUM(U63:X63)</f>
        <v>0</v>
      </c>
      <c r="Z63" s="922"/>
      <c r="AA63" s="922"/>
      <c r="AB63" s="923"/>
      <c r="AC63" s="923"/>
      <c r="AD63" s="924"/>
      <c r="AE63" s="920">
        <f>COUNTIF('выгрузка отзывов'!$B$34:$B$39,C63)</f>
        <v>0</v>
      </c>
      <c r="AF63" s="921">
        <f>COUNTIF('выгрузка отзывов'!$B$25:$B$33,C63)</f>
        <v>0</v>
      </c>
      <c r="AG63" s="921">
        <f>COUNTIF('выгрузка отзывов'!$B$18:$B$24,C63)</f>
        <v>0</v>
      </c>
      <c r="AH63" s="922">
        <f>COUNTIF('выгрузка отзывов'!$B$11:$B$17,C63)</f>
        <v>1</v>
      </c>
      <c r="AI63" s="922">
        <f>COUNTIF('выгрузка отзывов'!$B$8:$B$10,C63)</f>
        <v>0</v>
      </c>
      <c r="AJ63" s="927">
        <f t="shared" si="17"/>
        <v>1</v>
      </c>
      <c r="AK63" s="922">
        <f>COUNTIF('выгрузка отзывов'!$B$2:$B$7,$C63)</f>
        <v>0</v>
      </c>
      <c r="AL63" s="922"/>
      <c r="AM63" s="922"/>
      <c r="AN63" s="922"/>
      <c r="AO63" s="902">
        <f t="shared" ref="AO63:AO66" si="25">SUM(AK63:AN63)</f>
        <v>0</v>
      </c>
      <c r="AP63" s="922"/>
      <c r="AQ63" s="922"/>
      <c r="AR63" s="923"/>
      <c r="AS63" s="923"/>
      <c r="AT63" s="928"/>
    </row>
    <row r="64" ht="15.0" customHeight="1">
      <c r="A64" s="1068"/>
      <c r="B64" s="1069" t="s">
        <v>146</v>
      </c>
      <c r="C64" s="1042" t="s">
        <v>1072</v>
      </c>
      <c r="D64" s="1070" t="s">
        <v>1047</v>
      </c>
      <c r="E64" s="960">
        <f t="shared" si="24"/>
        <v>2</v>
      </c>
      <c r="F64" s="1060">
        <f>IFERROR(VLOOKUP(C64,'Лист20'!$A$1:$C1088,2,0),0)</f>
        <v>0</v>
      </c>
      <c r="G64" s="1061">
        <f>IFERROR(VLOOKUP(C64,'Лист20'!$A$1:$C1088,3,0),0)</f>
        <v>0</v>
      </c>
      <c r="H64" s="998" t="b">
        <v>1</v>
      </c>
      <c r="I64" s="969">
        <v>2.0</v>
      </c>
      <c r="J64" s="970">
        <v>10.0</v>
      </c>
      <c r="K64" s="965"/>
      <c r="L64" s="965"/>
      <c r="M64" s="965"/>
      <c r="N64" s="965"/>
      <c r="O64" s="1072"/>
      <c r="P64" s="1073"/>
      <c r="Q64" s="1073"/>
      <c r="R64" s="922"/>
      <c r="S64" s="922"/>
      <c r="T64" s="903">
        <v>1.0</v>
      </c>
      <c r="U64" s="922"/>
      <c r="V64" s="922"/>
      <c r="W64" s="922"/>
      <c r="X64" s="922"/>
      <c r="Y64" s="904">
        <v>1.0</v>
      </c>
      <c r="Z64" s="922"/>
      <c r="AA64" s="922"/>
      <c r="AB64" s="923"/>
      <c r="AC64" s="923"/>
      <c r="AD64" s="924"/>
      <c r="AE64" s="1072">
        <f>COUNTIF('выгрузка отзывов'!$B$34:$B$39,C64)</f>
        <v>1</v>
      </c>
      <c r="AF64" s="1073">
        <f>COUNTIF('выгрузка отзывов'!$B$25:$B$33,C64)</f>
        <v>0</v>
      </c>
      <c r="AG64" s="1073">
        <f>COUNTIF('выгрузка отзывов'!$B$18:$B$24,C64)</f>
        <v>0</v>
      </c>
      <c r="AH64" s="922">
        <f>COUNTIF('выгрузка отзывов'!$B$11:$B$17,C64)</f>
        <v>0</v>
      </c>
      <c r="AI64" s="922">
        <f>COUNTIF('выгрузка отзывов'!$B$8:$B$10,C64)</f>
        <v>0</v>
      </c>
      <c r="AJ64" s="927">
        <f t="shared" si="17"/>
        <v>1</v>
      </c>
      <c r="AK64" s="922">
        <f>COUNTIF('выгрузка отзывов'!$B$2:$B$7,$C64)</f>
        <v>0</v>
      </c>
      <c r="AL64" s="922"/>
      <c r="AM64" s="922"/>
      <c r="AN64" s="922"/>
      <c r="AO64" s="902">
        <f t="shared" si="25"/>
        <v>0</v>
      </c>
      <c r="AP64" s="922"/>
      <c r="AQ64" s="922"/>
      <c r="AR64" s="923"/>
      <c r="AS64" s="923"/>
      <c r="AT64" s="928"/>
    </row>
    <row r="65" ht="15.0" customHeight="1">
      <c r="A65" s="911"/>
      <c r="B65" s="1062" t="s">
        <v>146</v>
      </c>
      <c r="C65" s="1042" t="s">
        <v>1073</v>
      </c>
      <c r="D65" s="995">
        <v>2024.0</v>
      </c>
      <c r="E65" s="960">
        <f t="shared" si="24"/>
        <v>0</v>
      </c>
      <c r="F65" s="1060">
        <f>IFERROR(VLOOKUP(C65,'Лист20'!$A$1:$C1088,2,0),0)</f>
        <v>0</v>
      </c>
      <c r="G65" s="1061">
        <f>IFERROR(VLOOKUP(C65,'Лист20'!$A$1:$C1088,3,0),0)</f>
        <v>0</v>
      </c>
      <c r="H65" s="1006" t="b">
        <v>1</v>
      </c>
      <c r="I65" s="969"/>
      <c r="J65" s="970"/>
      <c r="K65" s="1074"/>
      <c r="L65" s="1074"/>
      <c r="M65" s="1074"/>
      <c r="N65" s="1074"/>
      <c r="O65" s="972"/>
      <c r="P65" s="973"/>
      <c r="Q65" s="973"/>
      <c r="R65" s="974"/>
      <c r="S65" s="974"/>
      <c r="T65" s="975">
        <f t="shared" ref="T65:T66" si="27">SUM(O65:S65)</f>
        <v>0</v>
      </c>
      <c r="U65" s="974"/>
      <c r="V65" s="974"/>
      <c r="W65" s="974"/>
      <c r="X65" s="974"/>
      <c r="Y65" s="976">
        <f t="shared" ref="Y65:Y66" si="29">SUM(U65:X65)</f>
        <v>0</v>
      </c>
      <c r="Z65" s="974"/>
      <c r="AA65" s="974"/>
      <c r="AB65" s="977"/>
      <c r="AC65" s="977"/>
      <c r="AD65" s="978"/>
      <c r="AE65" s="972">
        <f>COUNTIF('выгрузка отзывов'!$B$34:$B$39,C65)</f>
        <v>0</v>
      </c>
      <c r="AF65" s="973">
        <f>COUNTIF('выгрузка отзывов'!$B$25:$B$33,C65)</f>
        <v>0</v>
      </c>
      <c r="AG65" s="973">
        <f>COUNTIF('выгрузка отзывов'!$B$18:$B$24,C65)</f>
        <v>0</v>
      </c>
      <c r="AH65" s="974">
        <f>COUNTIF('выгрузка отзывов'!$B$11:$B$17,C65)</f>
        <v>1</v>
      </c>
      <c r="AI65" s="974">
        <f>COUNTIF('выгрузка отзывов'!$B$8:$B$10,C65)</f>
        <v>0</v>
      </c>
      <c r="AJ65" s="927">
        <f t="shared" si="17"/>
        <v>1</v>
      </c>
      <c r="AK65" s="974">
        <f>COUNTIF('выгрузка отзывов'!$B$2:$B$7,$C65)</f>
        <v>0</v>
      </c>
      <c r="AL65" s="974"/>
      <c r="AM65" s="974"/>
      <c r="AN65" s="974"/>
      <c r="AO65" s="979">
        <f t="shared" si="25"/>
        <v>0</v>
      </c>
      <c r="AP65" s="974"/>
      <c r="AQ65" s="974"/>
      <c r="AR65" s="977"/>
      <c r="AS65" s="977"/>
      <c r="AT65" s="980"/>
    </row>
    <row r="66" ht="15.0" customHeight="1">
      <c r="A66" s="1032"/>
      <c r="B66" s="1033"/>
      <c r="C66" s="1034">
        <v>12.0</v>
      </c>
      <c r="D66" s="984"/>
      <c r="E66" s="985">
        <f t="shared" si="24"/>
        <v>23</v>
      </c>
      <c r="F66" s="1075"/>
      <c r="G66" s="1076"/>
      <c r="H66" s="1077"/>
      <c r="I66" s="1038">
        <f>SUM(I44:I65)</f>
        <v>23</v>
      </c>
      <c r="J66" s="1039"/>
      <c r="K66" s="1039"/>
      <c r="L66" s="1039"/>
      <c r="M66" s="1039"/>
      <c r="N66" s="1039"/>
      <c r="O66" s="1040">
        <f t="shared" ref="O66:S66" si="26">SUM(O44:O65)</f>
        <v>0</v>
      </c>
      <c r="P66" s="1041">
        <f t="shared" si="26"/>
        <v>0</v>
      </c>
      <c r="Q66" s="1041">
        <f t="shared" si="26"/>
        <v>0</v>
      </c>
      <c r="R66" s="1041">
        <f t="shared" si="26"/>
        <v>0</v>
      </c>
      <c r="S66" s="1041">
        <f t="shared" si="26"/>
        <v>0</v>
      </c>
      <c r="T66" s="1078">
        <f t="shared" si="27"/>
        <v>0</v>
      </c>
      <c r="U66" s="1041">
        <f t="shared" ref="U66:X66" si="28">SUM(U44:U65)</f>
        <v>0</v>
      </c>
      <c r="V66" s="1041">
        <f t="shared" si="28"/>
        <v>0</v>
      </c>
      <c r="W66" s="1041">
        <f t="shared" si="28"/>
        <v>0</v>
      </c>
      <c r="X66" s="1041">
        <f t="shared" si="28"/>
        <v>0</v>
      </c>
      <c r="Y66" s="1079">
        <f t="shared" si="29"/>
        <v>0</v>
      </c>
      <c r="Z66" s="1041">
        <f t="shared" ref="Z66:AA66" si="30">SUM(Z44:Z65)</f>
        <v>0</v>
      </c>
      <c r="AA66" s="1041">
        <f t="shared" si="30"/>
        <v>0</v>
      </c>
      <c r="AB66" s="1080"/>
      <c r="AC66" s="1080"/>
      <c r="AD66" s="1081">
        <f t="shared" ref="AD66:AN66" si="31">SUM(AD44:AD65)</f>
        <v>0</v>
      </c>
      <c r="AE66" s="1041">
        <f t="shared" si="31"/>
        <v>2</v>
      </c>
      <c r="AF66" s="1041">
        <f t="shared" si="31"/>
        <v>5</v>
      </c>
      <c r="AG66" s="1041">
        <f t="shared" si="31"/>
        <v>6</v>
      </c>
      <c r="AH66" s="1041">
        <f t="shared" si="31"/>
        <v>6</v>
      </c>
      <c r="AI66" s="1041">
        <f t="shared" si="31"/>
        <v>2</v>
      </c>
      <c r="AJ66" s="1082">
        <f t="shared" si="31"/>
        <v>21</v>
      </c>
      <c r="AK66" s="1041">
        <f t="shared" si="31"/>
        <v>3</v>
      </c>
      <c r="AL66" s="1041">
        <f t="shared" si="31"/>
        <v>0</v>
      </c>
      <c r="AM66" s="1041">
        <f t="shared" si="31"/>
        <v>0</v>
      </c>
      <c r="AN66" s="1041">
        <f t="shared" si="31"/>
        <v>0</v>
      </c>
      <c r="AO66" s="1083">
        <f t="shared" si="25"/>
        <v>3</v>
      </c>
      <c r="AP66" s="1041">
        <f t="shared" ref="AP66:AQ66" si="32">SUM(AP44:AP65)</f>
        <v>0</v>
      </c>
      <c r="AQ66" s="1041">
        <f t="shared" si="32"/>
        <v>0</v>
      </c>
      <c r="AR66" s="1080"/>
      <c r="AS66" s="1080"/>
      <c r="AT66" s="1084">
        <f>SUM(AT44:AT65)</f>
        <v>0</v>
      </c>
    </row>
    <row r="67" ht="15.0" hidden="1" customHeight="1">
      <c r="A67" s="888"/>
      <c r="B67" s="1085"/>
      <c r="C67" s="1086" t="str">
        <f>'1. Справочник'!C75</f>
        <v>DL 11-1112</v>
      </c>
      <c r="D67" s="1087"/>
      <c r="E67" s="1088" t="str">
        <f t="shared" si="24"/>
        <v>#NAME?</v>
      </c>
      <c r="F67" s="1089" t="str">
        <f>VLOOKUP(C67,'Лист20'!$A$1:$C1088,2,0)</f>
        <v>#NAME?</v>
      </c>
      <c r="G67" s="1090" t="str">
        <f>VLOOKUP(C67,'Лист20'!$A$1:$C1088,3,0)</f>
        <v>#NAME?</v>
      </c>
      <c r="H67" s="1091" t="b">
        <v>0</v>
      </c>
      <c r="I67" s="999"/>
      <c r="J67" s="1000"/>
      <c r="K67" s="1000"/>
      <c r="L67" s="1000"/>
      <c r="M67" s="1000"/>
      <c r="N67" s="1000"/>
      <c r="O67" s="925"/>
      <c r="P67" s="926"/>
      <c r="Q67" s="926"/>
      <c r="R67" s="902">
        <f>SUMIF('Заполняемость'!$C$8:$C1088,C67,'Заполняемость'!$E$8:$E1088)</f>
        <v>0</v>
      </c>
      <c r="S67" s="902">
        <f>SUMIF('Заполняемость'!$C$8:$C1088,$C67,'Заполняемость'!$H$8:$H1088)</f>
        <v>0</v>
      </c>
      <c r="T67" s="902"/>
      <c r="U67" s="902">
        <f>SUMIF('Заполняемость'!$C$8:$C1088,$C67,'Заполняемость'!$K$8:$K1088)</f>
        <v>2</v>
      </c>
      <c r="V67" s="902">
        <f>SUMIF('Заполняемость'!$C$8:$C1088,$C67,'Заполняемость'!$N$8:$N1088)</f>
        <v>3</v>
      </c>
      <c r="W67" s="902">
        <f>SUMIF('Заполняемость'!$C$8:$C1088,$C67,'Заполняемость'!$Q$8:$Q1088)</f>
        <v>1</v>
      </c>
      <c r="X67" s="902">
        <f>SUMIF('Заполняемость'!$C$8:$C1088,$C67,'Заполняемость'!$T$8:$T1088)</f>
        <v>0</v>
      </c>
      <c r="Y67" s="902"/>
      <c r="Z67" s="902">
        <f>SUMIF('Заполняемость'!$C$8:$C1088,$C67,'Заполняемость'!$T$8:$T1088)</f>
        <v>0</v>
      </c>
      <c r="AA67" s="902">
        <f>SUMIF('Заполняемость'!$C$8:$C1088,$C67,'Заполняемость'!$Z$8:$Z1088)</f>
        <v>0</v>
      </c>
      <c r="AB67" s="905"/>
      <c r="AC67" s="905"/>
      <c r="AD67" s="910"/>
      <c r="AE67" s="925"/>
      <c r="AF67" s="926"/>
      <c r="AG67" s="926"/>
      <c r="AH67" s="902">
        <f>SUMIF('Заполняемость'!$C$8:$C1088,S67,'Заполняемость'!$E$8:$E1088)</f>
        <v>0</v>
      </c>
      <c r="AI67" s="902">
        <f>SUMIF('Заполняемость'!$C$8:$C1088,$C67,'Заполняемость'!$H$8:$H1088)</f>
        <v>0</v>
      </c>
      <c r="AJ67" s="902"/>
      <c r="AK67" s="902">
        <f>SUMIF('Заполняемость'!$C$8:$C1088,$C67,'Заполняемость'!$K$8:$K1088)</f>
        <v>2</v>
      </c>
      <c r="AL67" s="902">
        <f>SUMIF('Заполняемость'!$C$8:$C1088,$C67,'Заполняемость'!$N$8:$N1088)</f>
        <v>3</v>
      </c>
      <c r="AM67" s="902">
        <f>SUMIF('Заполняемость'!$C$8:$C1088,$C67,'Заполняемость'!$Q$8:$Q1088)</f>
        <v>1</v>
      </c>
      <c r="AN67" s="902">
        <f>SUMIF('Заполняемость'!$C$8:$C1088,$C67,'Заполняемость'!$T$8:$T1088)</f>
        <v>0</v>
      </c>
      <c r="AO67" s="902"/>
      <c r="AP67" s="902">
        <f>SUMIF('Заполняемость'!$C$8:$C1088,$C67,'Заполняемость'!$T$8:$T1088)</f>
        <v>0</v>
      </c>
      <c r="AQ67" s="902">
        <f>SUMIF('Заполняемость'!$C$8:$C1088,$C67,'Заполняемость'!$Z$8:$Z1088)</f>
        <v>0</v>
      </c>
      <c r="AR67" s="905"/>
      <c r="AS67" s="905"/>
      <c r="AT67" s="910"/>
    </row>
    <row r="68" ht="15.0" hidden="1" customHeight="1">
      <c r="A68" s="911"/>
      <c r="B68" s="1092"/>
      <c r="C68" s="1093" t="str">
        <f>'1. Справочник'!C76</f>
        <v>DL 11-1305</v>
      </c>
      <c r="D68" s="1025"/>
      <c r="E68" s="1088" t="str">
        <f t="shared" si="24"/>
        <v>#NAME?</v>
      </c>
      <c r="F68" s="1094" t="str">
        <f>VLOOKUP(C68,'Лист20'!$A$1:$C1088,2,0)</f>
        <v>#NAME?</v>
      </c>
      <c r="G68" s="967" t="str">
        <f>VLOOKUP(C68,'Лист20'!$A$1:$C1088,3,0)</f>
        <v>#NAME?</v>
      </c>
      <c r="H68" s="1095" t="b">
        <v>0</v>
      </c>
      <c r="I68" s="969">
        <v>1.0</v>
      </c>
      <c r="J68" s="970">
        <v>10.0</v>
      </c>
      <c r="K68" s="970"/>
      <c r="L68" s="970"/>
      <c r="M68" s="970"/>
      <c r="N68" s="970"/>
      <c r="O68" s="920"/>
      <c r="P68" s="921"/>
      <c r="Q68" s="921"/>
      <c r="R68" s="922">
        <f>SUMIF('Заполняемость'!$C$8:$C1088,C68,'Заполняемость'!$E$8:$E1088)</f>
        <v>0</v>
      </c>
      <c r="S68" s="922">
        <f>SUMIF('Заполняемость'!$C$8:$C1088,$C68,'Заполняемость'!$H$8:$H1088)</f>
        <v>0</v>
      </c>
      <c r="T68" s="922"/>
      <c r="U68" s="922">
        <f>SUMIF('Заполняемость'!$C$8:$C1088,$C68,'Заполняемость'!$K$8:$K1088)</f>
        <v>4</v>
      </c>
      <c r="V68" s="922">
        <f>SUMIF('Заполняемость'!$C$8:$C1088,$C68,'Заполняемость'!$N$8:$N1088)</f>
        <v>4</v>
      </c>
      <c r="W68" s="922">
        <f>SUMIF('Заполняемость'!$C$8:$C1088,$C68,'Заполняемость'!$Q$8:$Q1088)</f>
        <v>1</v>
      </c>
      <c r="X68" s="922">
        <f>SUMIF('Заполняемость'!$C$8:$C1088,$C68,'Заполняемость'!$T$8:$T1088)</f>
        <v>0</v>
      </c>
      <c r="Y68" s="922"/>
      <c r="Z68" s="922">
        <f>SUMIF('Заполняемость'!$C$8:$C1088,$C68,'Заполняемость'!$T$8:$T1088)</f>
        <v>0</v>
      </c>
      <c r="AA68" s="922">
        <f>SUMIF('Заполняемость'!$C$8:$C1088,$C68,'Заполняемость'!$Z$8:$Z1088)</f>
        <v>0</v>
      </c>
      <c r="AB68" s="923"/>
      <c r="AC68" s="923"/>
      <c r="AD68" s="928"/>
      <c r="AE68" s="920"/>
      <c r="AF68" s="921"/>
      <c r="AG68" s="921"/>
      <c r="AH68" s="922">
        <f>SUMIF('Заполняемость'!$C$8:$C1088,S68,'Заполняемость'!$E$8:$E1088)</f>
        <v>0</v>
      </c>
      <c r="AI68" s="922">
        <f>SUMIF('Заполняемость'!$C$8:$C1088,$C68,'Заполняемость'!$H$8:$H1088)</f>
        <v>0</v>
      </c>
      <c r="AJ68" s="922"/>
      <c r="AK68" s="922">
        <f>SUMIF('Заполняемость'!$C$8:$C1088,$C68,'Заполняемость'!$K$8:$K1088)</f>
        <v>4</v>
      </c>
      <c r="AL68" s="922">
        <f>SUMIF('Заполняемость'!$C$8:$C1088,$C68,'Заполняемость'!$N$8:$N1088)</f>
        <v>4</v>
      </c>
      <c r="AM68" s="922">
        <f>SUMIF('Заполняемость'!$C$8:$C1088,$C68,'Заполняемость'!$Q$8:$Q1088)</f>
        <v>1</v>
      </c>
      <c r="AN68" s="922">
        <f>SUMIF('Заполняемость'!$C$8:$C1088,$C68,'Заполняемость'!$T$8:$T1088)</f>
        <v>0</v>
      </c>
      <c r="AO68" s="922"/>
      <c r="AP68" s="922">
        <f>SUMIF('Заполняемость'!$C$8:$C1088,$C68,'Заполняемость'!$T$8:$T1088)</f>
        <v>0</v>
      </c>
      <c r="AQ68" s="922">
        <f>SUMIF('Заполняемость'!$C$8:$C1088,$C68,'Заполняемость'!$Z$8:$Z1088)</f>
        <v>0</v>
      </c>
      <c r="AR68" s="923"/>
      <c r="AS68" s="923"/>
      <c r="AT68" s="928"/>
    </row>
    <row r="69" ht="15.0" hidden="1" customHeight="1">
      <c r="A69" s="911"/>
      <c r="B69" s="1092"/>
      <c r="C69" s="1093" t="str">
        <f>'1. Справочник'!C77</f>
        <v>DL 14-516</v>
      </c>
      <c r="D69" s="1025"/>
      <c r="E69" s="1088" t="str">
        <f t="shared" si="24"/>
        <v>#NAME?</v>
      </c>
      <c r="F69" s="1094" t="str">
        <f>VLOOKUP(C69,'Лист20'!$A$1:$C1088,2,0)</f>
        <v>#NAME?</v>
      </c>
      <c r="G69" s="1096" t="str">
        <f>VLOOKUP(C69,'Лист20'!$A$1:$C1088,3,0)</f>
        <v>#NAME?</v>
      </c>
      <c r="H69" s="1095" t="b">
        <v>1</v>
      </c>
      <c r="I69" s="969">
        <v>2.0</v>
      </c>
      <c r="J69" s="970">
        <v>10.0</v>
      </c>
      <c r="K69" s="970"/>
      <c r="L69" s="970"/>
      <c r="M69" s="970"/>
      <c r="N69" s="970"/>
      <c r="O69" s="920"/>
      <c r="P69" s="921"/>
      <c r="Q69" s="921"/>
      <c r="R69" s="922">
        <f>SUMIF('Заполняемость'!$C$8:$C1088,C69,'Заполняемость'!$E$8:$E1088)</f>
        <v>0</v>
      </c>
      <c r="S69" s="922">
        <f>SUMIF('Заполняемость'!$C$8:$C1088,$C69,'Заполняемость'!$H$8:$H1088)</f>
        <v>1</v>
      </c>
      <c r="T69" s="922"/>
      <c r="U69" s="922">
        <f>SUMIF('Заполняемость'!$C$8:$C1088,$C69,'Заполняемость'!$K$8:$K1088)</f>
        <v>2</v>
      </c>
      <c r="V69" s="922">
        <f>SUMIF('Заполняемость'!$C$8:$C1088,$C69,'Заполняемость'!$N$8:$N1088)</f>
        <v>3</v>
      </c>
      <c r="W69" s="922">
        <f>SUMIF('Заполняемость'!$C$8:$C1088,$C69,'Заполняемость'!$Q$8:$Q1088)</f>
        <v>2</v>
      </c>
      <c r="X69" s="922">
        <f>SUMIF('Заполняемость'!$C$8:$C1088,$C69,'Заполняемость'!$T$8:$T1088)</f>
        <v>0</v>
      </c>
      <c r="Y69" s="922"/>
      <c r="Z69" s="922">
        <f>SUMIF('Заполняемость'!$C$8:$C1088,$C69,'Заполняемость'!$T$8:$T1088)</f>
        <v>0</v>
      </c>
      <c r="AA69" s="922">
        <f>SUMIF('Заполняемость'!$C$8:$C1088,$C69,'Заполняемость'!$Z$8:$Z1088)</f>
        <v>0</v>
      </c>
      <c r="AB69" s="923"/>
      <c r="AC69" s="923"/>
      <c r="AD69" s="928"/>
      <c r="AE69" s="920"/>
      <c r="AF69" s="921"/>
      <c r="AG69" s="921"/>
      <c r="AH69" s="922">
        <f>SUMIF('Заполняемость'!$C$8:$C1088,S69,'Заполняемость'!$E$8:$E1088)</f>
        <v>0</v>
      </c>
      <c r="AI69" s="922">
        <f>SUMIF('Заполняемость'!$C$8:$C1088,$C69,'Заполняемость'!$H$8:$H1088)</f>
        <v>1</v>
      </c>
      <c r="AJ69" s="922"/>
      <c r="AK69" s="922">
        <f>SUMIF('Заполняемость'!$C$8:$C1088,$C69,'Заполняемость'!$K$8:$K1088)</f>
        <v>2</v>
      </c>
      <c r="AL69" s="922">
        <f>SUMIF('Заполняемость'!$C$8:$C1088,$C69,'Заполняемость'!$N$8:$N1088)</f>
        <v>3</v>
      </c>
      <c r="AM69" s="922">
        <f>SUMIF('Заполняемость'!$C$8:$C1088,$C69,'Заполняемость'!$Q$8:$Q1088)</f>
        <v>2</v>
      </c>
      <c r="AN69" s="922">
        <f>SUMIF('Заполняемость'!$C$8:$C1088,$C69,'Заполняемость'!$T$8:$T1088)</f>
        <v>0</v>
      </c>
      <c r="AO69" s="922"/>
      <c r="AP69" s="922">
        <f>SUMIF('Заполняемость'!$C$8:$C1088,$C69,'Заполняемость'!$T$8:$T1088)</f>
        <v>0</v>
      </c>
      <c r="AQ69" s="922">
        <f>SUMIF('Заполняемость'!$C$8:$C1088,$C69,'Заполняемость'!$Z$8:$Z1088)</f>
        <v>0</v>
      </c>
      <c r="AR69" s="923"/>
      <c r="AS69" s="923"/>
      <c r="AT69" s="928"/>
    </row>
    <row r="70" ht="15.0" hidden="1" customHeight="1">
      <c r="A70" s="911"/>
      <c r="B70" s="1092"/>
      <c r="C70" s="1093" t="str">
        <f>'1. Справочник'!C78</f>
        <v>DL 14-702</v>
      </c>
      <c r="D70" s="1025"/>
      <c r="E70" s="1088" t="str">
        <f t="shared" si="24"/>
        <v>#NAME?</v>
      </c>
      <c r="F70" s="1094" t="str">
        <f>VLOOKUP(C70,'Лист20'!$A$1:$C1088,2,0)</f>
        <v>#NAME?</v>
      </c>
      <c r="G70" s="1096" t="str">
        <f>VLOOKUP(C70,'Лист20'!$A$1:$C1088,3,0)</f>
        <v>#NAME?</v>
      </c>
      <c r="H70" s="1095" t="b">
        <v>0</v>
      </c>
      <c r="I70" s="969"/>
      <c r="J70" s="970"/>
      <c r="K70" s="970"/>
      <c r="L70" s="970"/>
      <c r="M70" s="970"/>
      <c r="N70" s="970"/>
      <c r="O70" s="920"/>
      <c r="P70" s="921"/>
      <c r="Q70" s="921"/>
      <c r="R70" s="922">
        <f>SUMIF('Заполняемость'!$C$8:$C1088,C70,'Заполняемость'!$E$8:$E1088)</f>
        <v>0</v>
      </c>
      <c r="S70" s="922">
        <f>SUMIF('Заполняемость'!$C$8:$C1088,$C70,'Заполняемость'!$H$8:$H1088)</f>
        <v>1</v>
      </c>
      <c r="T70" s="922"/>
      <c r="U70" s="922">
        <f>SUMIF('Заполняемость'!$C$8:$C1088,$C70,'Заполняемость'!$K$8:$K1088)</f>
        <v>3</v>
      </c>
      <c r="V70" s="922">
        <f>SUMIF('Заполняемость'!$C$8:$C1088,$C70,'Заполняемость'!$N$8:$N1088)</f>
        <v>6</v>
      </c>
      <c r="W70" s="922">
        <f>SUMIF('Заполняемость'!$C$8:$C1088,$C70,'Заполняемость'!$Q$8:$Q1088)</f>
        <v>0</v>
      </c>
      <c r="X70" s="922">
        <f>SUMIF('Заполняемость'!$C$8:$C1088,$C70,'Заполняемость'!$T$8:$T1088)</f>
        <v>0</v>
      </c>
      <c r="Y70" s="922"/>
      <c r="Z70" s="922">
        <f>SUMIF('Заполняемость'!$C$8:$C1088,$C70,'Заполняемость'!$T$8:$T1088)</f>
        <v>0</v>
      </c>
      <c r="AA70" s="922">
        <f>SUMIF('Заполняемость'!$C$8:$C1088,$C70,'Заполняемость'!$Z$8:$Z1088)</f>
        <v>0</v>
      </c>
      <c r="AB70" s="923"/>
      <c r="AC70" s="923"/>
      <c r="AD70" s="928"/>
      <c r="AE70" s="920"/>
      <c r="AF70" s="921"/>
      <c r="AG70" s="921"/>
      <c r="AH70" s="922">
        <f>SUMIF('Заполняемость'!$C$8:$C1088,S70,'Заполняемость'!$E$8:$E1088)</f>
        <v>0</v>
      </c>
      <c r="AI70" s="922">
        <f>SUMIF('Заполняемость'!$C$8:$C1088,$C70,'Заполняемость'!$H$8:$H1088)</f>
        <v>1</v>
      </c>
      <c r="AJ70" s="922"/>
      <c r="AK70" s="922">
        <f>SUMIF('Заполняемость'!$C$8:$C1088,$C70,'Заполняемость'!$K$8:$K1088)</f>
        <v>3</v>
      </c>
      <c r="AL70" s="922">
        <f>SUMIF('Заполняемость'!$C$8:$C1088,$C70,'Заполняемость'!$N$8:$N1088)</f>
        <v>6</v>
      </c>
      <c r="AM70" s="922">
        <f>SUMIF('Заполняемость'!$C$8:$C1088,$C70,'Заполняемость'!$Q$8:$Q1088)</f>
        <v>0</v>
      </c>
      <c r="AN70" s="922">
        <f>SUMIF('Заполняемость'!$C$8:$C1088,$C70,'Заполняемость'!$T$8:$T1088)</f>
        <v>0</v>
      </c>
      <c r="AO70" s="922"/>
      <c r="AP70" s="922">
        <f>SUMIF('Заполняемость'!$C$8:$C1088,$C70,'Заполняемость'!$T$8:$T1088)</f>
        <v>0</v>
      </c>
      <c r="AQ70" s="922">
        <f>SUMIF('Заполняемость'!$C$8:$C1088,$C70,'Заполняемость'!$Z$8:$Z1088)</f>
        <v>0</v>
      </c>
      <c r="AR70" s="923"/>
      <c r="AS70" s="923"/>
      <c r="AT70" s="928"/>
    </row>
    <row r="71" ht="15.0" hidden="1" customHeight="1">
      <c r="A71" s="911"/>
      <c r="B71" s="1092"/>
      <c r="C71" s="1093" t="str">
        <f>'1. Справочник'!C79</f>
        <v>DL 14-1214</v>
      </c>
      <c r="D71" s="1025"/>
      <c r="E71" s="1088" t="str">
        <f t="shared" si="24"/>
        <v>#NAME?</v>
      </c>
      <c r="F71" s="1094" t="str">
        <f>VLOOKUP(C71,'Лист20'!$A$1:$C1088,2,0)</f>
        <v>#NAME?</v>
      </c>
      <c r="G71" s="1096" t="str">
        <f>VLOOKUP(C71,'Лист20'!$A$1:$C1088,3,0)</f>
        <v>#NAME?</v>
      </c>
      <c r="H71" s="1095" t="b">
        <v>0</v>
      </c>
      <c r="I71" s="969"/>
      <c r="J71" s="970"/>
      <c r="K71" s="970"/>
      <c r="L71" s="970"/>
      <c r="M71" s="970"/>
      <c r="N71" s="970"/>
      <c r="O71" s="920"/>
      <c r="P71" s="921"/>
      <c r="Q71" s="921"/>
      <c r="R71" s="922">
        <f>SUMIF('Заполняемость'!$C$8:$C1088,C71,'Заполняемость'!$E$8:$E1088)</f>
        <v>0</v>
      </c>
      <c r="S71" s="922">
        <f>SUMIF('Заполняемость'!$C$8:$C1088,$C71,'Заполняемость'!$H$8:$H1088)</f>
        <v>0</v>
      </c>
      <c r="T71" s="922"/>
      <c r="U71" s="922">
        <f>SUMIF('Заполняемость'!$C$8:$C1088,$C71,'Заполняемость'!$K$8:$K1088)</f>
        <v>1</v>
      </c>
      <c r="V71" s="922">
        <f>SUMIF('Заполняемость'!$C$8:$C1088,$C71,'Заполняемость'!$N$8:$N1088)</f>
        <v>3</v>
      </c>
      <c r="W71" s="922">
        <f>SUMIF('Заполняемость'!$C$8:$C1088,$C71,'Заполняемость'!$Q$8:$Q1088)</f>
        <v>2</v>
      </c>
      <c r="X71" s="922">
        <f>SUMIF('Заполняемость'!$C$8:$C1088,$C71,'Заполняемость'!$T$8:$T1088)</f>
        <v>0</v>
      </c>
      <c r="Y71" s="922"/>
      <c r="Z71" s="922">
        <f>SUMIF('Заполняемость'!$C$8:$C1088,$C71,'Заполняемость'!$T$8:$T1088)</f>
        <v>0</v>
      </c>
      <c r="AA71" s="922">
        <f>SUMIF('Заполняемость'!$C$8:$C1088,$C71,'Заполняемость'!$Z$8:$Z1088)</f>
        <v>0</v>
      </c>
      <c r="AB71" s="923"/>
      <c r="AC71" s="923"/>
      <c r="AD71" s="928"/>
      <c r="AE71" s="920"/>
      <c r="AF71" s="921"/>
      <c r="AG71" s="921"/>
      <c r="AH71" s="922">
        <f>SUMIF('Заполняемость'!$C$8:$C1088,S71,'Заполняемость'!$E$8:$E1088)</f>
        <v>0</v>
      </c>
      <c r="AI71" s="922">
        <f>SUMIF('Заполняемость'!$C$8:$C1088,$C71,'Заполняемость'!$H$8:$H1088)</f>
        <v>0</v>
      </c>
      <c r="AJ71" s="922"/>
      <c r="AK71" s="922">
        <f>SUMIF('Заполняемость'!$C$8:$C1088,$C71,'Заполняемость'!$K$8:$K1088)</f>
        <v>1</v>
      </c>
      <c r="AL71" s="922">
        <f>SUMIF('Заполняемость'!$C$8:$C1088,$C71,'Заполняемость'!$N$8:$N1088)</f>
        <v>3</v>
      </c>
      <c r="AM71" s="922">
        <f>SUMIF('Заполняемость'!$C$8:$C1088,$C71,'Заполняемость'!$Q$8:$Q1088)</f>
        <v>2</v>
      </c>
      <c r="AN71" s="922">
        <f>SUMIF('Заполняемость'!$C$8:$C1088,$C71,'Заполняемость'!$T$8:$T1088)</f>
        <v>0</v>
      </c>
      <c r="AO71" s="922"/>
      <c r="AP71" s="922">
        <f>SUMIF('Заполняемость'!$C$8:$C1088,$C71,'Заполняемость'!$T$8:$T1088)</f>
        <v>0</v>
      </c>
      <c r="AQ71" s="922">
        <f>SUMIF('Заполняемость'!$C$8:$C1088,$C71,'Заполняемость'!$Z$8:$Z1088)</f>
        <v>0</v>
      </c>
      <c r="AR71" s="923"/>
      <c r="AS71" s="923"/>
      <c r="AT71" s="928"/>
    </row>
    <row r="72" ht="15.0" hidden="1" customHeight="1">
      <c r="A72" s="911"/>
      <c r="B72" s="1092"/>
      <c r="C72" s="1097" t="s">
        <v>203</v>
      </c>
      <c r="D72" s="1025"/>
      <c r="E72" s="1088" t="str">
        <f t="shared" si="24"/>
        <v>#NAME?</v>
      </c>
      <c r="F72" s="1094" t="str">
        <f>VLOOKUP(C72,'Лист20'!$A$1:$C1088,2,0)</f>
        <v>#NAME?</v>
      </c>
      <c r="G72" s="967" t="str">
        <f>VLOOKUP(C72,'Лист20'!$A$1:$C1088,3,0)</f>
        <v>#NAME?</v>
      </c>
      <c r="H72" s="1095" t="b">
        <v>1</v>
      </c>
      <c r="I72" s="969"/>
      <c r="J72" s="970"/>
      <c r="K72" s="970"/>
      <c r="L72" s="970"/>
      <c r="M72" s="970"/>
      <c r="N72" s="970"/>
      <c r="O72" s="920"/>
      <c r="P72" s="921"/>
      <c r="Q72" s="921"/>
      <c r="R72" s="922">
        <f>SUMIF('Заполняемость'!$C$8:$C1088,C72,'Заполняемость'!$E$8:$E1088)</f>
        <v>0</v>
      </c>
      <c r="S72" s="922">
        <f>SUMIF('Заполняемость'!$C$8:$C1088,$C72,'Заполняемость'!$H$8:$H1088)</f>
        <v>1</v>
      </c>
      <c r="T72" s="922"/>
      <c r="U72" s="922">
        <f>SUMIF('Заполняемость'!$C$8:$C1088,$C72,'Заполняемость'!$K$8:$K1088)</f>
        <v>5</v>
      </c>
      <c r="V72" s="922">
        <f>SUMIF('Заполняемость'!$C$8:$C1088,$C72,'Заполняемость'!$N$8:$N1088)</f>
        <v>5</v>
      </c>
      <c r="W72" s="922">
        <f>SUMIF('Заполняемость'!$C$8:$C1088,$C72,'Заполняемость'!$Q$8:$Q1088)</f>
        <v>0</v>
      </c>
      <c r="X72" s="922">
        <f>SUMIF('Заполняемость'!$C$8:$C1088,$C72,'Заполняемость'!$T$8:$T1088)</f>
        <v>0</v>
      </c>
      <c r="Y72" s="922"/>
      <c r="Z72" s="922">
        <f>SUMIF('Заполняемость'!$C$8:$C1088,$C72,'Заполняемость'!$T$8:$T1088)</f>
        <v>0</v>
      </c>
      <c r="AA72" s="922">
        <f>SUMIF('Заполняемость'!$C$8:$C1088,$C72,'Заполняемость'!$Z$8:$Z1088)</f>
        <v>0</v>
      </c>
      <c r="AB72" s="923"/>
      <c r="AC72" s="923"/>
      <c r="AD72" s="928"/>
      <c r="AE72" s="920"/>
      <c r="AF72" s="921"/>
      <c r="AG72" s="921"/>
      <c r="AH72" s="922">
        <f>SUMIF('Заполняемость'!$C$8:$C1088,S72,'Заполняемость'!$E$8:$E1088)</f>
        <v>0</v>
      </c>
      <c r="AI72" s="922">
        <f>SUMIF('Заполняемость'!$C$8:$C1088,$C72,'Заполняемость'!$H$8:$H1088)</f>
        <v>1</v>
      </c>
      <c r="AJ72" s="922"/>
      <c r="AK72" s="922">
        <f>SUMIF('Заполняемость'!$C$8:$C1088,$C72,'Заполняемость'!$K$8:$K1088)</f>
        <v>5</v>
      </c>
      <c r="AL72" s="922">
        <f>SUMIF('Заполняемость'!$C$8:$C1088,$C72,'Заполняемость'!$N$8:$N1088)</f>
        <v>5</v>
      </c>
      <c r="AM72" s="922">
        <f>SUMIF('Заполняемость'!$C$8:$C1088,$C72,'Заполняемость'!$Q$8:$Q1088)</f>
        <v>0</v>
      </c>
      <c r="AN72" s="922">
        <f>SUMIF('Заполняемость'!$C$8:$C1088,$C72,'Заполняемость'!$T$8:$T1088)</f>
        <v>0</v>
      </c>
      <c r="AO72" s="922"/>
      <c r="AP72" s="922">
        <f>SUMIF('Заполняемость'!$C$8:$C1088,$C72,'Заполняемость'!$T$8:$T1088)</f>
        <v>0</v>
      </c>
      <c r="AQ72" s="922">
        <f>SUMIF('Заполняемость'!$C$8:$C1088,$C72,'Заполняемость'!$Z$8:$Z1088)</f>
        <v>0</v>
      </c>
      <c r="AR72" s="923"/>
      <c r="AS72" s="923"/>
      <c r="AT72" s="928"/>
    </row>
    <row r="73" ht="15.0" hidden="1" customHeight="1">
      <c r="A73" s="911"/>
      <c r="B73" s="1092"/>
      <c r="C73" s="1093" t="str">
        <f>'1. Справочник'!C81</f>
        <v>DL 4-09</v>
      </c>
      <c r="D73" s="1025"/>
      <c r="E73" s="1088" t="str">
        <f t="shared" si="24"/>
        <v>#NAME?</v>
      </c>
      <c r="F73" s="1094" t="str">
        <f>VLOOKUP(C73,'Лист20'!$A$1:$C1088,2,0)</f>
        <v>#NAME?</v>
      </c>
      <c r="G73" s="967" t="str">
        <f>VLOOKUP(C73,'Лист20'!$A$1:$C1088,3,0)</f>
        <v>#NAME?</v>
      </c>
      <c r="H73" s="1095" t="b">
        <v>0</v>
      </c>
      <c r="I73" s="969"/>
      <c r="J73" s="970"/>
      <c r="K73" s="970"/>
      <c r="L73" s="970"/>
      <c r="M73" s="970"/>
      <c r="N73" s="970"/>
      <c r="O73" s="920"/>
      <c r="P73" s="921"/>
      <c r="Q73" s="921"/>
      <c r="R73" s="922">
        <f>SUMIF('Заполняемость'!$C$8:$C1088,C73,'Заполняемость'!$E$8:$E1088)</f>
        <v>0</v>
      </c>
      <c r="S73" s="922">
        <f>SUMIF('Заполняемость'!$C$8:$C1088,$C73,'Заполняемость'!$H$8:$H1088)</f>
        <v>0</v>
      </c>
      <c r="T73" s="922"/>
      <c r="U73" s="922">
        <f>SUMIF('Заполняемость'!$C$8:$C1088,$C73,'Заполняемость'!$K$8:$K1088)</f>
        <v>2</v>
      </c>
      <c r="V73" s="922">
        <f>SUMIF('Заполняемость'!$C$8:$C1088,$C73,'Заполняемость'!$N$8:$N1088)</f>
        <v>5</v>
      </c>
      <c r="W73" s="922">
        <f>SUMIF('Заполняемость'!$C$8:$C1088,$C73,'Заполняемость'!$Q$8:$Q1088)</f>
        <v>0</v>
      </c>
      <c r="X73" s="922">
        <f>SUMIF('Заполняемость'!$C$8:$C1088,$C73,'Заполняемость'!$T$8:$T1088)</f>
        <v>0</v>
      </c>
      <c r="Y73" s="922"/>
      <c r="Z73" s="922">
        <f>SUMIF('Заполняемость'!$C$8:$C1088,$C73,'Заполняемость'!$T$8:$T1088)</f>
        <v>0</v>
      </c>
      <c r="AA73" s="922">
        <f>SUMIF('Заполняемость'!$C$8:$C1088,$C73,'Заполняемость'!$Z$8:$Z1088)</f>
        <v>0</v>
      </c>
      <c r="AB73" s="923"/>
      <c r="AC73" s="923"/>
      <c r="AD73" s="928"/>
      <c r="AE73" s="920"/>
      <c r="AF73" s="921"/>
      <c r="AG73" s="921"/>
      <c r="AH73" s="922">
        <f>SUMIF('Заполняемость'!$C$8:$C1088,S73,'Заполняемость'!$E$8:$E1088)</f>
        <v>0</v>
      </c>
      <c r="AI73" s="922">
        <f>SUMIF('Заполняемость'!$C$8:$C1088,$C73,'Заполняемость'!$H$8:$H1088)</f>
        <v>0</v>
      </c>
      <c r="AJ73" s="922"/>
      <c r="AK73" s="922">
        <f>SUMIF('Заполняемость'!$C$8:$C1088,$C73,'Заполняемость'!$K$8:$K1088)</f>
        <v>2</v>
      </c>
      <c r="AL73" s="922">
        <f>SUMIF('Заполняемость'!$C$8:$C1088,$C73,'Заполняемость'!$N$8:$N1088)</f>
        <v>5</v>
      </c>
      <c r="AM73" s="922">
        <f>SUMIF('Заполняемость'!$C$8:$C1088,$C73,'Заполняемость'!$Q$8:$Q1088)</f>
        <v>0</v>
      </c>
      <c r="AN73" s="922">
        <f>SUMIF('Заполняемость'!$C$8:$C1088,$C73,'Заполняемость'!$T$8:$T1088)</f>
        <v>0</v>
      </c>
      <c r="AO73" s="922"/>
      <c r="AP73" s="922">
        <f>SUMIF('Заполняемость'!$C$8:$C1088,$C73,'Заполняемость'!$T$8:$T1088)</f>
        <v>0</v>
      </c>
      <c r="AQ73" s="922">
        <f>SUMIF('Заполняемость'!$C$8:$C1088,$C73,'Заполняемость'!$Z$8:$Z1088)</f>
        <v>0</v>
      </c>
      <c r="AR73" s="923"/>
      <c r="AS73" s="923"/>
      <c r="AT73" s="928"/>
    </row>
    <row r="74" ht="15.0" hidden="1" customHeight="1">
      <c r="A74" s="911"/>
      <c r="B74" s="1092"/>
      <c r="C74" s="1093" t="str">
        <f>'1. Справочник'!C82</f>
        <v>DL14-518</v>
      </c>
      <c r="D74" s="1025"/>
      <c r="E74" s="1088" t="str">
        <f t="shared" si="24"/>
        <v>#NAME?</v>
      </c>
      <c r="F74" s="1098" t="str">
        <f>VLOOKUP(C74,'Лист20'!$A$1:$C1088,2,0)</f>
        <v>#NAME?</v>
      </c>
      <c r="G74" s="1099" t="str">
        <f>VLOOKUP(C74,'Лист20'!$A$1:$C1088,3,0)</f>
        <v>#NAME?</v>
      </c>
      <c r="H74" s="1095" t="b">
        <v>1</v>
      </c>
      <c r="I74" s="969"/>
      <c r="J74" s="970"/>
      <c r="K74" s="970"/>
      <c r="L74" s="970"/>
      <c r="M74" s="970"/>
      <c r="N74" s="970"/>
      <c r="O74" s="920"/>
      <c r="P74" s="921"/>
      <c r="Q74" s="921"/>
      <c r="R74" s="922">
        <f>SUMIF('Заполняемость'!$C$8:$C1088,C74,'Заполняемость'!$E$8:$E1088)</f>
        <v>0</v>
      </c>
      <c r="S74" s="922">
        <f>SUMIF('Заполняемость'!$C$8:$C1088,$C74,'Заполняемость'!$H$8:$H1088)</f>
        <v>1</v>
      </c>
      <c r="T74" s="922"/>
      <c r="U74" s="922">
        <f>SUMIF('Заполняемость'!$C$8:$C1088,$C74,'Заполняемость'!$K$8:$K1088)</f>
        <v>4</v>
      </c>
      <c r="V74" s="922">
        <f>SUMIF('Заполняемость'!$C$8:$C1088,$C74,'Заполняемость'!$N$8:$N1088)</f>
        <v>5</v>
      </c>
      <c r="W74" s="922">
        <f>SUMIF('Заполняемость'!$C$8:$C1088,$C74,'Заполняемость'!$Q$8:$Q1088)</f>
        <v>2</v>
      </c>
      <c r="X74" s="922">
        <f>SUMIF('Заполняемость'!$C$8:$C1088,$C74,'Заполняемость'!$T$8:$T1088)</f>
        <v>0</v>
      </c>
      <c r="Y74" s="922"/>
      <c r="Z74" s="922">
        <f>SUMIF('Заполняемость'!$C$8:$C1088,$C74,'Заполняемость'!$T$8:$T1088)</f>
        <v>0</v>
      </c>
      <c r="AA74" s="922">
        <f>SUMIF('Заполняемость'!$C$8:$C1088,$C74,'Заполняемость'!$Z$8:$Z1088)</f>
        <v>0</v>
      </c>
      <c r="AB74" s="923"/>
      <c r="AC74" s="923"/>
      <c r="AD74" s="928"/>
      <c r="AE74" s="920"/>
      <c r="AF74" s="921"/>
      <c r="AG74" s="921"/>
      <c r="AH74" s="922">
        <f>SUMIF('Заполняемость'!$C$8:$C1088,S74,'Заполняемость'!$E$8:$E1088)</f>
        <v>0</v>
      </c>
      <c r="AI74" s="922">
        <f>SUMIF('Заполняемость'!$C$8:$C1088,$C74,'Заполняемость'!$H$8:$H1088)</f>
        <v>1</v>
      </c>
      <c r="AJ74" s="922"/>
      <c r="AK74" s="922">
        <f>SUMIF('Заполняемость'!$C$8:$C1088,$C74,'Заполняемость'!$K$8:$K1088)</f>
        <v>4</v>
      </c>
      <c r="AL74" s="922">
        <f>SUMIF('Заполняемость'!$C$8:$C1088,$C74,'Заполняемость'!$N$8:$N1088)</f>
        <v>5</v>
      </c>
      <c r="AM74" s="922">
        <f>SUMIF('Заполняемость'!$C$8:$C1088,$C74,'Заполняемость'!$Q$8:$Q1088)</f>
        <v>2</v>
      </c>
      <c r="AN74" s="922">
        <f>SUMIF('Заполняемость'!$C$8:$C1088,$C74,'Заполняемость'!$T$8:$T1088)</f>
        <v>0</v>
      </c>
      <c r="AO74" s="922"/>
      <c r="AP74" s="922">
        <f>SUMIF('Заполняемость'!$C$8:$C1088,$C74,'Заполняемость'!$T$8:$T1088)</f>
        <v>0</v>
      </c>
      <c r="AQ74" s="922">
        <f>SUMIF('Заполняемость'!$C$8:$C1088,$C74,'Заполняемость'!$Z$8:$Z1088)</f>
        <v>0</v>
      </c>
      <c r="AR74" s="923"/>
      <c r="AS74" s="923"/>
      <c r="AT74" s="928"/>
    </row>
    <row r="75" ht="15.0" hidden="1" customHeight="1">
      <c r="A75" s="911"/>
      <c r="B75" s="1092"/>
      <c r="C75" s="1093" t="str">
        <f>'1. Справочник'!C83</f>
        <v>DL14-1405</v>
      </c>
      <c r="D75" s="1025"/>
      <c r="E75" s="1088" t="str">
        <f t="shared" si="24"/>
        <v>#NAME?</v>
      </c>
      <c r="F75" s="1094" t="str">
        <f>VLOOKUP(C75,'Лист20'!$A$1:$C1088,2,0)</f>
        <v>#NAME?</v>
      </c>
      <c r="G75" s="967" t="str">
        <f>VLOOKUP(C75,'Лист20'!$A$1:$C1088,3,0)</f>
        <v>#NAME?</v>
      </c>
      <c r="H75" s="1095" t="b">
        <v>0</v>
      </c>
      <c r="I75" s="969"/>
      <c r="J75" s="970"/>
      <c r="K75" s="970"/>
      <c r="L75" s="970"/>
      <c r="M75" s="970"/>
      <c r="N75" s="970"/>
      <c r="O75" s="920"/>
      <c r="P75" s="921"/>
      <c r="Q75" s="921"/>
      <c r="R75" s="922">
        <f>SUMIF('Заполняемость'!$C$8:$C1088,C75,'Заполняемость'!$E$8:$E1088)</f>
        <v>0</v>
      </c>
      <c r="S75" s="922">
        <f>SUMIF('Заполняемость'!$C$8:$C1088,$C75,'Заполняемость'!$H$8:$H1088)</f>
        <v>1</v>
      </c>
      <c r="T75" s="922"/>
      <c r="U75" s="922">
        <f>SUMIF('Заполняемость'!$C$8:$C1088,$C75,'Заполняемость'!$K$8:$K1088)</f>
        <v>4</v>
      </c>
      <c r="V75" s="922">
        <f>SUMIF('Заполняемость'!$C$8:$C1088,$C75,'Заполняемость'!$N$8:$N1088)</f>
        <v>6</v>
      </c>
      <c r="W75" s="922">
        <f>SUMIF('Заполняемость'!$C$8:$C1088,$C75,'Заполняемость'!$Q$8:$Q1088)</f>
        <v>0</v>
      </c>
      <c r="X75" s="922">
        <f>SUMIF('Заполняемость'!$C$8:$C1088,$C75,'Заполняемость'!$T$8:$T1088)</f>
        <v>0</v>
      </c>
      <c r="Y75" s="922"/>
      <c r="Z75" s="922">
        <f>SUMIF('Заполняемость'!$C$8:$C1088,$C75,'Заполняемость'!$T$8:$T1088)</f>
        <v>0</v>
      </c>
      <c r="AA75" s="922">
        <f>SUMIF('Заполняемость'!$C$8:$C1088,$C75,'Заполняемость'!$Z$8:$Z1088)</f>
        <v>0</v>
      </c>
      <c r="AB75" s="923"/>
      <c r="AC75" s="923"/>
      <c r="AD75" s="928"/>
      <c r="AE75" s="920"/>
      <c r="AF75" s="921"/>
      <c r="AG75" s="921"/>
      <c r="AH75" s="922">
        <f>SUMIF('Заполняемость'!$C$8:$C1088,S75,'Заполняемость'!$E$8:$E1088)</f>
        <v>0</v>
      </c>
      <c r="AI75" s="922">
        <f>SUMIF('Заполняемость'!$C$8:$C1088,$C75,'Заполняемость'!$H$8:$H1088)</f>
        <v>1</v>
      </c>
      <c r="AJ75" s="922"/>
      <c r="AK75" s="922">
        <f>SUMIF('Заполняемость'!$C$8:$C1088,$C75,'Заполняемость'!$K$8:$K1088)</f>
        <v>4</v>
      </c>
      <c r="AL75" s="922">
        <f>SUMIF('Заполняемость'!$C$8:$C1088,$C75,'Заполняемость'!$N$8:$N1088)</f>
        <v>6</v>
      </c>
      <c r="AM75" s="922">
        <f>SUMIF('Заполняемость'!$C$8:$C1088,$C75,'Заполняемость'!$Q$8:$Q1088)</f>
        <v>0</v>
      </c>
      <c r="AN75" s="922">
        <f>SUMIF('Заполняемость'!$C$8:$C1088,$C75,'Заполняемость'!$T$8:$T1088)</f>
        <v>0</v>
      </c>
      <c r="AO75" s="922"/>
      <c r="AP75" s="922">
        <f>SUMIF('Заполняемость'!$C$8:$C1088,$C75,'Заполняемость'!$T$8:$T1088)</f>
        <v>0</v>
      </c>
      <c r="AQ75" s="922">
        <f>SUMIF('Заполняемость'!$C$8:$C1088,$C75,'Заполняемость'!$Z$8:$Z1088)</f>
        <v>0</v>
      </c>
      <c r="AR75" s="923"/>
      <c r="AS75" s="923"/>
      <c r="AT75" s="928"/>
    </row>
    <row r="76" ht="15.0" hidden="1" customHeight="1">
      <c r="A76" s="931"/>
      <c r="B76" s="1092"/>
      <c r="C76" s="1093" t="str">
        <f>'1. Справочник'!C84</f>
        <v>DL 14-505</v>
      </c>
      <c r="D76" s="1100"/>
      <c r="E76" s="1088" t="str">
        <f t="shared" si="24"/>
        <v>#NAME?</v>
      </c>
      <c r="F76" s="1101" t="str">
        <f>VLOOKUP(C76,'Лист20'!$A$1:$C1088,2,0)</f>
        <v>#NAME?</v>
      </c>
      <c r="G76" s="1102" t="str">
        <f>VLOOKUP(C76,'Лист20'!$A$1:$C1088,3,0)</f>
        <v>#NAME?</v>
      </c>
      <c r="H76" s="1103" t="b">
        <v>1</v>
      </c>
      <c r="I76" s="1104"/>
      <c r="J76" s="971"/>
      <c r="K76" s="971"/>
      <c r="L76" s="971"/>
      <c r="M76" s="971"/>
      <c r="N76" s="971"/>
      <c r="O76" s="920"/>
      <c r="P76" s="921"/>
      <c r="Q76" s="921"/>
      <c r="R76" s="922">
        <f>SUMIF('Заполняемость'!$C$8:$C1088,C76,'Заполняемость'!$E$8:$E1088)</f>
        <v>0</v>
      </c>
      <c r="S76" s="922">
        <f>SUMIF('Заполняемость'!$C$8:$C1088,$C76,'Заполняемость'!$H$8:$H1088)</f>
        <v>2</v>
      </c>
      <c r="T76" s="922"/>
      <c r="U76" s="922">
        <f>SUMIF('Заполняемость'!$C$8:$C1088,$C76,'Заполняемость'!$K$8:$K1088)</f>
        <v>3</v>
      </c>
      <c r="V76" s="922">
        <f>SUMIF('Заполняемость'!$C$8:$C1088,$C76,'Заполняемость'!$N$8:$N1088)</f>
        <v>3</v>
      </c>
      <c r="W76" s="922">
        <f>SUMIF('Заполняемость'!$C$8:$C1088,$C76,'Заполняемость'!$Q$8:$Q1088)</f>
        <v>2</v>
      </c>
      <c r="X76" s="922">
        <f>SUMIF('Заполняемость'!$C$8:$C1088,$C76,'Заполняемость'!$T$8:$T1088)</f>
        <v>0</v>
      </c>
      <c r="Y76" s="922"/>
      <c r="Z76" s="922">
        <f>SUMIF('Заполняемость'!$C$8:$C1088,$C76,'Заполняемость'!$T$8:$T1088)</f>
        <v>0</v>
      </c>
      <c r="AA76" s="922">
        <f>SUMIF('Заполняемость'!$C$8:$C1088,$C76,'Заполняемость'!$Z$8:$Z1088)</f>
        <v>0</v>
      </c>
      <c r="AB76" s="923"/>
      <c r="AC76" s="923"/>
      <c r="AD76" s="928"/>
      <c r="AE76" s="920"/>
      <c r="AF76" s="921"/>
      <c r="AG76" s="921"/>
      <c r="AH76" s="922">
        <f>SUMIF('Заполняемость'!$C$8:$C1088,S76,'Заполняемость'!$E$8:$E1088)</f>
        <v>0</v>
      </c>
      <c r="AI76" s="922">
        <f>SUMIF('Заполняемость'!$C$8:$C1088,$C76,'Заполняемость'!$H$8:$H1088)</f>
        <v>2</v>
      </c>
      <c r="AJ76" s="922"/>
      <c r="AK76" s="922">
        <f>SUMIF('Заполняемость'!$C$8:$C1088,$C76,'Заполняемость'!$K$8:$K1088)</f>
        <v>3</v>
      </c>
      <c r="AL76" s="922">
        <f>SUMIF('Заполняемость'!$C$8:$C1088,$C76,'Заполняемость'!$N$8:$N1088)</f>
        <v>3</v>
      </c>
      <c r="AM76" s="922">
        <f>SUMIF('Заполняемость'!$C$8:$C1088,$C76,'Заполняемость'!$Q$8:$Q1088)</f>
        <v>2</v>
      </c>
      <c r="AN76" s="922">
        <f>SUMIF('Заполняемость'!$C$8:$C1088,$C76,'Заполняемость'!$T$8:$T1088)</f>
        <v>0</v>
      </c>
      <c r="AO76" s="922"/>
      <c r="AP76" s="922">
        <f>SUMIF('Заполняемость'!$C$8:$C1088,$C76,'Заполняемость'!$T$8:$T1088)</f>
        <v>0</v>
      </c>
      <c r="AQ76" s="922">
        <f>SUMIF('Заполняемость'!$C$8:$C1088,$C76,'Заполняемость'!$Z$8:$Z1088)</f>
        <v>0</v>
      </c>
      <c r="AR76" s="923"/>
      <c r="AS76" s="923"/>
      <c r="AT76" s="928"/>
    </row>
    <row r="77" ht="15.0" hidden="1" customHeight="1">
      <c r="A77" s="911"/>
      <c r="B77" s="1092"/>
      <c r="C77" s="1093" t="str">
        <f>'1. Справочник'!C85</f>
        <v>DL 14-1614</v>
      </c>
      <c r="D77" s="1025"/>
      <c r="E77" s="1088" t="str">
        <f t="shared" si="24"/>
        <v>#NAME?</v>
      </c>
      <c r="F77" s="1105" t="str">
        <f>VLOOKUP(C77,'Лист20'!$A$1:$C1088,2,0)</f>
        <v>#NAME?</v>
      </c>
      <c r="G77" s="1106" t="str">
        <f>VLOOKUP(C77,'Лист20'!$A$1:$C1088,3,0)</f>
        <v>#NAME?</v>
      </c>
      <c r="H77" s="1095" t="b">
        <v>0</v>
      </c>
      <c r="I77" s="969"/>
      <c r="J77" s="970"/>
      <c r="K77" s="970"/>
      <c r="L77" s="970"/>
      <c r="M77" s="970"/>
      <c r="N77" s="970"/>
      <c r="O77" s="920"/>
      <c r="P77" s="921"/>
      <c r="Q77" s="921"/>
      <c r="R77" s="922">
        <f>SUMIF('Заполняемость'!$C$8:$C1088,C77,'Заполняемость'!$E$8:$E1088)</f>
        <v>0</v>
      </c>
      <c r="S77" s="922">
        <f>SUMIF('Заполняемость'!$C$8:$C1088,$C77,'Заполняемость'!$H$8:$H1088)</f>
        <v>0</v>
      </c>
      <c r="T77" s="922"/>
      <c r="U77" s="922">
        <f>SUMIF('Заполняемость'!$C$8:$C1088,$C77,'Заполняемость'!$K$8:$K1088)</f>
        <v>0</v>
      </c>
      <c r="V77" s="922">
        <f>SUMIF('Заполняемость'!$C$8:$C1088,$C77,'Заполняемость'!$N$8:$N1088)</f>
        <v>0</v>
      </c>
      <c r="W77" s="922">
        <f>SUMIF('Заполняемость'!$C$8:$C1088,$C77,'Заполняемость'!$Q$8:$Q1088)</f>
        <v>0</v>
      </c>
      <c r="X77" s="922">
        <f>SUMIF('Заполняемость'!$C$8:$C1088,$C77,'Заполняемость'!$T$8:$T1088)</f>
        <v>0</v>
      </c>
      <c r="Y77" s="922"/>
      <c r="Z77" s="922">
        <f>SUMIF('Заполняемость'!$C$8:$C1088,$C77,'Заполняемость'!$T$8:$T1088)</f>
        <v>0</v>
      </c>
      <c r="AA77" s="922">
        <f>SUMIF('Заполняемость'!$C$8:$C1088,$C77,'Заполняемость'!$Z$8:$Z1088)</f>
        <v>0</v>
      </c>
      <c r="AB77" s="923"/>
      <c r="AC77" s="923"/>
      <c r="AD77" s="928"/>
      <c r="AE77" s="920"/>
      <c r="AF77" s="921"/>
      <c r="AG77" s="921"/>
      <c r="AH77" s="922">
        <f>SUMIF('Заполняемость'!$C$8:$C1088,S77,'Заполняемость'!$E$8:$E1088)</f>
        <v>0</v>
      </c>
      <c r="AI77" s="922">
        <f>SUMIF('Заполняемость'!$C$8:$C1088,$C77,'Заполняемость'!$H$8:$H1088)</f>
        <v>0</v>
      </c>
      <c r="AJ77" s="922"/>
      <c r="AK77" s="922">
        <f>SUMIF('Заполняемость'!$C$8:$C1088,$C77,'Заполняемость'!$K$8:$K1088)</f>
        <v>0</v>
      </c>
      <c r="AL77" s="922">
        <f>SUMIF('Заполняемость'!$C$8:$C1088,$C77,'Заполняемость'!$N$8:$N1088)</f>
        <v>0</v>
      </c>
      <c r="AM77" s="922">
        <f>SUMIF('Заполняемость'!$C$8:$C1088,$C77,'Заполняемость'!$Q$8:$Q1088)</f>
        <v>0</v>
      </c>
      <c r="AN77" s="922">
        <f>SUMIF('Заполняемость'!$C$8:$C1088,$C77,'Заполняемость'!$T$8:$T1088)</f>
        <v>0</v>
      </c>
      <c r="AO77" s="922"/>
      <c r="AP77" s="922">
        <f>SUMIF('Заполняемость'!$C$8:$C1088,$C77,'Заполняемость'!$T$8:$T1088)</f>
        <v>0</v>
      </c>
      <c r="AQ77" s="922">
        <f>SUMIF('Заполняемость'!$C$8:$C1088,$C77,'Заполняемость'!$Z$8:$Z1088)</f>
        <v>0</v>
      </c>
      <c r="AR77" s="923"/>
      <c r="AS77" s="923"/>
      <c r="AT77" s="928"/>
    </row>
    <row r="78" ht="15.0" hidden="1" customHeight="1">
      <c r="A78" s="911"/>
      <c r="B78" s="1092"/>
      <c r="C78" s="1093" t="str">
        <f>'1. Справочник'!C86</f>
        <v>DL 14-1710</v>
      </c>
      <c r="D78" s="966">
        <v>45776.0</v>
      </c>
      <c r="E78" s="1088" t="str">
        <f t="shared" si="24"/>
        <v>#NAME?</v>
      </c>
      <c r="F78" s="1105" t="str">
        <f>VLOOKUP(C78,'Лист20'!$A$1:$C1088,2,0)</f>
        <v>#NAME?</v>
      </c>
      <c r="G78" s="1106" t="str">
        <f>VLOOKUP(C78,'Лист20'!$A$1:$C1088,3,0)</f>
        <v>#NAME?</v>
      </c>
      <c r="H78" s="1103" t="b">
        <v>0</v>
      </c>
      <c r="I78" s="1104"/>
      <c r="J78" s="971"/>
      <c r="K78" s="971"/>
      <c r="L78" s="971"/>
      <c r="M78" s="971"/>
      <c r="N78" s="971"/>
      <c r="O78" s="920"/>
      <c r="P78" s="921"/>
      <c r="Q78" s="921"/>
      <c r="R78" s="922">
        <f>SUMIF('Заполняемость'!$C$8:$C1088,C78,'Заполняемость'!$E$8:$E1088)</f>
        <v>0</v>
      </c>
      <c r="S78" s="922">
        <f>SUMIF('Заполняемость'!$C$8:$C1088,$C78,'Заполняемость'!$H$8:$H1088)</f>
        <v>0</v>
      </c>
      <c r="T78" s="922"/>
      <c r="U78" s="922">
        <f>SUMIF('Заполняемость'!$C$8:$C1088,$C78,'Заполняемость'!$K$8:$K1088)</f>
        <v>4</v>
      </c>
      <c r="V78" s="922">
        <f>SUMIF('Заполняемость'!$C$8:$C1088,$C78,'Заполняемость'!$N$8:$N1088)</f>
        <v>4</v>
      </c>
      <c r="W78" s="922">
        <f>SUMIF('Заполняемость'!$C$8:$C1088,$C78,'Заполняемость'!$Q$8:$Q1088)</f>
        <v>1</v>
      </c>
      <c r="X78" s="922">
        <f>SUMIF('Заполняемость'!$C$8:$C1088,$C78,'Заполняемость'!$T$8:$T1088)</f>
        <v>0</v>
      </c>
      <c r="Y78" s="922"/>
      <c r="Z78" s="922">
        <f>SUMIF('Заполняемость'!$C$8:$C1088,$C78,'Заполняемость'!$T$8:$T1088)</f>
        <v>0</v>
      </c>
      <c r="AA78" s="922">
        <f>SUMIF('Заполняемость'!$C$8:$C1088,$C78,'Заполняемость'!$Z$8:$Z1088)</f>
        <v>0</v>
      </c>
      <c r="AB78" s="923"/>
      <c r="AC78" s="923"/>
      <c r="AD78" s="928"/>
      <c r="AE78" s="920"/>
      <c r="AF78" s="921"/>
      <c r="AG78" s="921"/>
      <c r="AH78" s="922">
        <f>SUMIF('Заполняемость'!$C$8:$C1088,S78,'Заполняемость'!$E$8:$E1088)</f>
        <v>0</v>
      </c>
      <c r="AI78" s="922">
        <f>SUMIF('Заполняемость'!$C$8:$C1088,$C78,'Заполняемость'!$H$8:$H1088)</f>
        <v>0</v>
      </c>
      <c r="AJ78" s="922"/>
      <c r="AK78" s="922">
        <f>SUMIF('Заполняемость'!$C$8:$C1088,$C78,'Заполняемость'!$K$8:$K1088)</f>
        <v>4</v>
      </c>
      <c r="AL78" s="922">
        <f>SUMIF('Заполняемость'!$C$8:$C1088,$C78,'Заполняемость'!$N$8:$N1088)</f>
        <v>4</v>
      </c>
      <c r="AM78" s="922">
        <f>SUMIF('Заполняемость'!$C$8:$C1088,$C78,'Заполняемость'!$Q$8:$Q1088)</f>
        <v>1</v>
      </c>
      <c r="AN78" s="922">
        <f>SUMIF('Заполняемость'!$C$8:$C1088,$C78,'Заполняемость'!$T$8:$T1088)</f>
        <v>0</v>
      </c>
      <c r="AO78" s="922"/>
      <c r="AP78" s="922">
        <f>SUMIF('Заполняемость'!$C$8:$C1088,$C78,'Заполняемость'!$T$8:$T1088)</f>
        <v>0</v>
      </c>
      <c r="AQ78" s="922">
        <f>SUMIF('Заполняемость'!$C$8:$C1088,$C78,'Заполняемость'!$Z$8:$Z1088)</f>
        <v>0</v>
      </c>
      <c r="AR78" s="923"/>
      <c r="AS78" s="923"/>
      <c r="AT78" s="928"/>
    </row>
    <row r="79" ht="15.0" hidden="1" customHeight="1">
      <c r="A79" s="1068"/>
      <c r="B79" s="1092"/>
      <c r="C79" s="1093" t="str">
        <f>'1. Справочник'!C87</f>
        <v>DL14-305</v>
      </c>
      <c r="D79" s="966">
        <v>45776.0</v>
      </c>
      <c r="E79" s="1088" t="str">
        <f t="shared" si="24"/>
        <v>#NAME?</v>
      </c>
      <c r="F79" s="1107" t="str">
        <f>VLOOKUP(C79,'Лист20'!$A$1:$C1088,2,0)</f>
        <v>#NAME?</v>
      </c>
      <c r="G79" s="1108" t="str">
        <f>VLOOKUP(C79,'Лист20'!$A$1:$C1088,3,0)</f>
        <v>#NAME?</v>
      </c>
      <c r="H79" s="1109" t="b">
        <v>0</v>
      </c>
      <c r="I79" s="964"/>
      <c r="J79" s="965"/>
      <c r="K79" s="965"/>
      <c r="L79" s="965"/>
      <c r="M79" s="965"/>
      <c r="N79" s="965"/>
      <c r="O79" s="920"/>
      <c r="P79" s="921"/>
      <c r="Q79" s="921"/>
      <c r="R79" s="922"/>
      <c r="S79" s="922">
        <f>SUMIF('Заполняемость'!$C$8:$C1088,$C79,'Заполняемость'!$H$8:$H1088)</f>
        <v>0</v>
      </c>
      <c r="T79" s="922"/>
      <c r="U79" s="922">
        <f>SUMIF('Заполняемость'!$C$8:$C1088,$C79,'Заполняемость'!$K$8:$K1088)</f>
        <v>4</v>
      </c>
      <c r="V79" s="922">
        <f>SUMIF('Заполняемость'!$C$8:$C1088,$C79,'Заполняемость'!$N$8:$N1088)</f>
        <v>4</v>
      </c>
      <c r="W79" s="922"/>
      <c r="X79" s="922">
        <f>SUMIF('Заполняемость'!$C$8:$C1088,$C79,'Заполняемость'!$T$8:$T1088)</f>
        <v>0</v>
      </c>
      <c r="Y79" s="922"/>
      <c r="Z79" s="922">
        <f>SUMIF('Заполняемость'!$C$8:$C1088,$C79,'Заполняемость'!$T$8:$T1088)</f>
        <v>0</v>
      </c>
      <c r="AA79" s="922">
        <f>SUMIF('Заполняемость'!$C$8:$C1088,$C79,'Заполняемость'!$Z$8:$Z1088)</f>
        <v>0</v>
      </c>
      <c r="AB79" s="923"/>
      <c r="AC79" s="923"/>
      <c r="AD79" s="928"/>
      <c r="AE79" s="920"/>
      <c r="AF79" s="921"/>
      <c r="AG79" s="921"/>
      <c r="AH79" s="922"/>
      <c r="AI79" s="922">
        <f>SUMIF('Заполняемость'!$C$8:$C1088,$C79,'Заполняемость'!$H$8:$H1088)</f>
        <v>0</v>
      </c>
      <c r="AJ79" s="922"/>
      <c r="AK79" s="922">
        <f>SUMIF('Заполняемость'!$C$8:$C1088,$C79,'Заполняемость'!$K$8:$K1088)</f>
        <v>4</v>
      </c>
      <c r="AL79" s="922">
        <f>SUMIF('Заполняемость'!$C$8:$C1088,$C79,'Заполняемость'!$N$8:$N1088)</f>
        <v>4</v>
      </c>
      <c r="AM79" s="922"/>
      <c r="AN79" s="922">
        <f>SUMIF('Заполняемость'!$C$8:$C1088,$C79,'Заполняемость'!$T$8:$T1088)</f>
        <v>0</v>
      </c>
      <c r="AO79" s="922"/>
      <c r="AP79" s="922">
        <f>SUMIF('Заполняемость'!$C$8:$C1088,$C79,'Заполняемость'!$T$8:$T1088)</f>
        <v>0</v>
      </c>
      <c r="AQ79" s="922">
        <f>SUMIF('Заполняемость'!$C$8:$C1088,$C79,'Заполняемость'!$Z$8:$Z1088)</f>
        <v>0</v>
      </c>
      <c r="AR79" s="923"/>
      <c r="AS79" s="923"/>
      <c r="AT79" s="928"/>
    </row>
    <row r="80" ht="15.0" hidden="1" customHeight="1">
      <c r="A80" s="1068"/>
      <c r="B80" s="1092"/>
      <c r="C80" s="1093" t="str">
        <f>'1. Справочник'!C88</f>
        <v>DL14-501-502</v>
      </c>
      <c r="D80" s="966">
        <v>45776.0</v>
      </c>
      <c r="E80" s="1088" t="str">
        <f t="shared" si="24"/>
        <v>#NAME?</v>
      </c>
      <c r="F80" s="1107" t="str">
        <f>VLOOKUP(C80,'Лист20'!$A$1:$C1088,2,0)</f>
        <v>#NAME?</v>
      </c>
      <c r="G80" s="1108" t="str">
        <f>VLOOKUP(C80,'Лист20'!$A$1:$C1088,3,0)</f>
        <v>#NAME?</v>
      </c>
      <c r="H80" s="1109" t="b">
        <v>0</v>
      </c>
      <c r="I80" s="964"/>
      <c r="J80" s="965"/>
      <c r="K80" s="965"/>
      <c r="L80" s="965"/>
      <c r="M80" s="965"/>
      <c r="N80" s="965"/>
      <c r="O80" s="920"/>
      <c r="P80" s="921"/>
      <c r="Q80" s="921"/>
      <c r="R80" s="922"/>
      <c r="S80" s="922">
        <f>SUMIF('Заполняемость'!$C$8:$C1088,$C80,'Заполняемость'!$H$8:$H1088)</f>
        <v>0</v>
      </c>
      <c r="T80" s="922"/>
      <c r="U80" s="922">
        <f>SUMIF('Заполняемость'!$C$8:$C1088,$C80,'Заполняемость'!$K$8:$K1088)</f>
        <v>2</v>
      </c>
      <c r="V80" s="922">
        <f>SUMIF('Заполняемость'!$C$8:$C1088,$C80,'Заполняемость'!$N$8:$N1088)</f>
        <v>4</v>
      </c>
      <c r="W80" s="922"/>
      <c r="X80" s="922">
        <f>SUMIF('Заполняемость'!$C$8:$C1088,$C80,'Заполняемость'!$T$8:$T1088)</f>
        <v>0</v>
      </c>
      <c r="Y80" s="922"/>
      <c r="Z80" s="922">
        <f>SUMIF('Заполняемость'!$C$8:$C1088,$C80,'Заполняемость'!$T$8:$T1088)</f>
        <v>0</v>
      </c>
      <c r="AA80" s="922">
        <f>SUMIF('Заполняемость'!$C$8:$C1088,$C80,'Заполняемость'!$Z$8:$Z1088)</f>
        <v>0</v>
      </c>
      <c r="AB80" s="923"/>
      <c r="AC80" s="923"/>
      <c r="AD80" s="928"/>
      <c r="AE80" s="920"/>
      <c r="AF80" s="921"/>
      <c r="AG80" s="921"/>
      <c r="AH80" s="922"/>
      <c r="AI80" s="922">
        <f>SUMIF('Заполняемость'!$C$8:$C1088,$C80,'Заполняемость'!$H$8:$H1088)</f>
        <v>0</v>
      </c>
      <c r="AJ80" s="922"/>
      <c r="AK80" s="922">
        <f>SUMIF('Заполняемость'!$C$8:$C1088,$C80,'Заполняемость'!$K$8:$K1088)</f>
        <v>2</v>
      </c>
      <c r="AL80" s="922">
        <f>SUMIF('Заполняемость'!$C$8:$C1088,$C80,'Заполняемость'!$N$8:$N1088)</f>
        <v>4</v>
      </c>
      <c r="AM80" s="922"/>
      <c r="AN80" s="922">
        <f>SUMIF('Заполняемость'!$C$8:$C1088,$C80,'Заполняемость'!$T$8:$T1088)</f>
        <v>0</v>
      </c>
      <c r="AO80" s="922"/>
      <c r="AP80" s="922">
        <f>SUMIF('Заполняемость'!$C$8:$C1088,$C80,'Заполняемость'!$T$8:$T1088)</f>
        <v>0</v>
      </c>
      <c r="AQ80" s="922">
        <f>SUMIF('Заполняемость'!$C$8:$C1088,$C80,'Заполняемость'!$Z$8:$Z1088)</f>
        <v>0</v>
      </c>
      <c r="AR80" s="923"/>
      <c r="AS80" s="923"/>
      <c r="AT80" s="928"/>
    </row>
    <row r="81" ht="15.0" hidden="1" customHeight="1">
      <c r="A81" s="1068"/>
      <c r="B81" s="1092"/>
      <c r="C81" s="1093"/>
      <c r="D81" s="966">
        <v>45776.0</v>
      </c>
      <c r="E81" s="1088">
        <f t="shared" si="24"/>
        <v>0</v>
      </c>
      <c r="F81" s="1107"/>
      <c r="G81" s="1110"/>
      <c r="H81" s="1109" t="b">
        <v>0</v>
      </c>
      <c r="I81" s="964"/>
      <c r="J81" s="965"/>
      <c r="K81" s="965"/>
      <c r="L81" s="965"/>
      <c r="M81" s="965"/>
      <c r="N81" s="965"/>
      <c r="O81" s="920"/>
      <c r="P81" s="921"/>
      <c r="Q81" s="921"/>
      <c r="R81" s="922"/>
      <c r="S81" s="922">
        <f>SUMIF('Заполняемость'!$C$8:$C1088,$C81,'Заполняемость'!$H$8:$H1088)</f>
        <v>0</v>
      </c>
      <c r="T81" s="922"/>
      <c r="U81" s="922">
        <f>SUMIF('Заполняемость'!$C$8:$C1088,$C81,'Заполняемость'!$K$8:$K1088)</f>
        <v>0</v>
      </c>
      <c r="V81" s="922">
        <f>SUMIF('Заполняемость'!$C$8:$C1088,$C81,'Заполняемость'!$N$8:$N1088)</f>
        <v>0</v>
      </c>
      <c r="W81" s="922"/>
      <c r="X81" s="922">
        <f>SUMIF('Заполняемость'!$C$8:$C1088,$C81,'Заполняемость'!$T$8:$T1088)</f>
        <v>0</v>
      </c>
      <c r="Y81" s="922"/>
      <c r="Z81" s="922">
        <f>SUMIF('Заполняемость'!$C$8:$C1088,$C81,'Заполняемость'!$T$8:$T1088)</f>
        <v>0</v>
      </c>
      <c r="AA81" s="922">
        <f>SUMIF('Заполняемость'!$C$8:$C1088,$C81,'Заполняемость'!$Z$8:$Z1088)</f>
        <v>0</v>
      </c>
      <c r="AB81" s="923"/>
      <c r="AC81" s="923"/>
      <c r="AD81" s="928"/>
      <c r="AE81" s="920"/>
      <c r="AF81" s="921"/>
      <c r="AG81" s="921"/>
      <c r="AH81" s="922"/>
      <c r="AI81" s="922">
        <f>SUMIF('Заполняемость'!$C$8:$C1088,$C81,'Заполняемость'!$H$8:$H1088)</f>
        <v>0</v>
      </c>
      <c r="AJ81" s="922"/>
      <c r="AK81" s="922">
        <f>SUMIF('Заполняемость'!$C$8:$C1088,$C81,'Заполняемость'!$K$8:$K1088)</f>
        <v>0</v>
      </c>
      <c r="AL81" s="922">
        <f>SUMIF('Заполняемость'!$C$8:$C1088,$C81,'Заполняемость'!$N$8:$N1088)</f>
        <v>0</v>
      </c>
      <c r="AM81" s="922"/>
      <c r="AN81" s="922">
        <f>SUMIF('Заполняемость'!$C$8:$C1088,$C81,'Заполняемость'!$T$8:$T1088)</f>
        <v>0</v>
      </c>
      <c r="AO81" s="922"/>
      <c r="AP81" s="922">
        <f>SUMIF('Заполняемость'!$C$8:$C1088,$C81,'Заполняемость'!$T$8:$T1088)</f>
        <v>0</v>
      </c>
      <c r="AQ81" s="922">
        <f>SUMIF('Заполняемость'!$C$8:$C1088,$C81,'Заполняемость'!$Z$8:$Z1088)</f>
        <v>0</v>
      </c>
      <c r="AR81" s="923"/>
      <c r="AS81" s="923"/>
      <c r="AT81" s="928"/>
    </row>
    <row r="82" ht="15.0" hidden="1" customHeight="1">
      <c r="A82" s="1111"/>
      <c r="B82" s="1112"/>
      <c r="C82" s="1113" t="str">
        <f>'1. Справочник'!C89</f>
        <v>DL7-16</v>
      </c>
      <c r="D82" s="1114">
        <v>45776.0</v>
      </c>
      <c r="E82" s="1088" t="str">
        <f t="shared" si="24"/>
        <v>#NAME?</v>
      </c>
      <c r="F82" s="1115" t="str">
        <f>VLOOKUP(C82,'Лист20'!$A$1:$C1088,2,0)</f>
        <v>#NAME?</v>
      </c>
      <c r="G82" s="1116" t="str">
        <f>VLOOKUP(C82,'Лист20'!$A$1:$C1088,3,0)</f>
        <v>#NAME?</v>
      </c>
      <c r="H82" s="1117" t="b">
        <v>0</v>
      </c>
      <c r="I82" s="1118"/>
      <c r="J82" s="1119"/>
      <c r="K82" s="1119"/>
      <c r="L82" s="1119"/>
      <c r="M82" s="1119"/>
      <c r="N82" s="1119"/>
      <c r="O82" s="920"/>
      <c r="P82" s="921"/>
      <c r="Q82" s="921"/>
      <c r="R82" s="922"/>
      <c r="S82" s="922">
        <f>SUMIF('Заполняемость'!$C$8:$C1088,$C82,'Заполняемость'!$H$8:$H1088)</f>
        <v>0</v>
      </c>
      <c r="T82" s="922"/>
      <c r="U82" s="922">
        <f>SUMIF('Заполняемость'!$C$8:$C1088,$C82,'Заполняемость'!$K$8:$K1088)</f>
        <v>1</v>
      </c>
      <c r="V82" s="922">
        <f>SUMIF('Заполняемость'!$C$8:$C1088,$C82,'Заполняемость'!$N$8:$N1088)</f>
        <v>4</v>
      </c>
      <c r="W82" s="922"/>
      <c r="X82" s="922">
        <f>SUMIF('Заполняемость'!$C$8:$C1088,$C82,'Заполняемость'!$T$8:$T1088)</f>
        <v>0</v>
      </c>
      <c r="Y82" s="922"/>
      <c r="Z82" s="922">
        <f>SUMIF('Заполняемость'!$C$8:$C1088,$C82,'Заполняемость'!$T$8:$T1088)</f>
        <v>0</v>
      </c>
      <c r="AA82" s="922">
        <f>SUMIF('Заполняемость'!$C$8:$C1088,$C82,'Заполняемость'!$Z$8:$Z1088)</f>
        <v>0</v>
      </c>
      <c r="AB82" s="923"/>
      <c r="AC82" s="923"/>
      <c r="AD82" s="928"/>
      <c r="AE82" s="920"/>
      <c r="AF82" s="921"/>
      <c r="AG82" s="921"/>
      <c r="AH82" s="922"/>
      <c r="AI82" s="922">
        <f>SUMIF('Заполняемость'!$C$8:$C1088,$C82,'Заполняемость'!$H$8:$H1088)</f>
        <v>0</v>
      </c>
      <c r="AJ82" s="922"/>
      <c r="AK82" s="922">
        <f>SUMIF('Заполняемость'!$C$8:$C1088,$C82,'Заполняемость'!$K$8:$K1088)</f>
        <v>1</v>
      </c>
      <c r="AL82" s="922">
        <f>SUMIF('Заполняемость'!$C$8:$C1088,$C82,'Заполняемость'!$N$8:$N1088)</f>
        <v>4</v>
      </c>
      <c r="AM82" s="922"/>
      <c r="AN82" s="922">
        <f>SUMIF('Заполняемость'!$C$8:$C1088,$C82,'Заполняемость'!$T$8:$T1088)</f>
        <v>0</v>
      </c>
      <c r="AO82" s="922"/>
      <c r="AP82" s="922">
        <f>SUMIF('Заполняемость'!$C$8:$C1088,$C82,'Заполняемость'!$T$8:$T1088)</f>
        <v>0</v>
      </c>
      <c r="AQ82" s="922">
        <f>SUMIF('Заполняемость'!$C$8:$C1088,$C82,'Заполняемость'!$Z$8:$Z1088)</f>
        <v>0</v>
      </c>
      <c r="AR82" s="923"/>
      <c r="AS82" s="923"/>
      <c r="AT82" s="928"/>
    </row>
    <row r="83" ht="15.0" hidden="1" customHeight="1">
      <c r="A83" s="1120"/>
      <c r="B83" s="1121" t="s">
        <v>58</v>
      </c>
      <c r="C83" s="1122" t="s">
        <v>250</v>
      </c>
      <c r="D83" s="1123">
        <v>45775.0</v>
      </c>
      <c r="E83" s="1088">
        <f t="shared" si="24"/>
        <v>30</v>
      </c>
      <c r="F83" s="1124">
        <f>IFERROR(VLOOKUP(C83,'Лист20'!$A$1:$C1088,2,0),0)</f>
        <v>0</v>
      </c>
      <c r="G83" s="1125">
        <f>IFERROR(VLOOKUP(C83,'Лист20'!$A$1:$C1088,3,0),0)</f>
        <v>0</v>
      </c>
      <c r="H83" s="1126" t="b">
        <v>1</v>
      </c>
      <c r="I83" s="964">
        <v>30.0</v>
      </c>
      <c r="J83" s="965">
        <v>9.8</v>
      </c>
      <c r="K83" s="965"/>
      <c r="L83" s="965"/>
      <c r="M83" s="965"/>
      <c r="N83" s="965"/>
      <c r="O83" s="1072"/>
      <c r="P83" s="1073"/>
      <c r="Q83" s="1073"/>
      <c r="R83" s="922"/>
      <c r="S83" s="1127"/>
      <c r="T83" s="1127"/>
      <c r="U83" s="1127"/>
      <c r="V83" s="1127"/>
      <c r="W83" s="922"/>
      <c r="X83" s="922"/>
      <c r="Y83" s="922"/>
      <c r="Z83" s="922"/>
      <c r="AA83" s="922"/>
      <c r="AB83" s="923"/>
      <c r="AC83" s="923"/>
      <c r="AD83" s="928"/>
      <c r="AE83" s="1072"/>
      <c r="AF83" s="1073"/>
      <c r="AG83" s="1073"/>
      <c r="AH83" s="922"/>
      <c r="AI83" s="1127"/>
      <c r="AJ83" s="1127"/>
      <c r="AK83" s="1127"/>
      <c r="AL83" s="1127"/>
      <c r="AM83" s="922"/>
      <c r="AN83" s="922"/>
      <c r="AO83" s="922"/>
      <c r="AP83" s="922"/>
      <c r="AQ83" s="922"/>
      <c r="AR83" s="923"/>
      <c r="AS83" s="923"/>
      <c r="AT83" s="928"/>
    </row>
    <row r="84" ht="15.0" hidden="1" customHeight="1">
      <c r="A84" s="911"/>
      <c r="B84" s="1092" t="s">
        <v>58</v>
      </c>
      <c r="C84" s="1128" t="s">
        <v>238</v>
      </c>
      <c r="D84" s="966">
        <v>45776.0</v>
      </c>
      <c r="E84" s="1088">
        <f t="shared" si="24"/>
        <v>0</v>
      </c>
      <c r="F84" s="1129">
        <f>IFERROR(VLOOKUP(C84,'Лист20'!$A$1:$C1088,2,0),0)</f>
        <v>0</v>
      </c>
      <c r="G84" s="1061">
        <f>IFERROR(VLOOKUP(C84,'Лист20'!$A$1:$C1088,3,0),0)</f>
        <v>0</v>
      </c>
      <c r="H84" s="1095" t="b">
        <v>0</v>
      </c>
      <c r="I84" s="232"/>
      <c r="J84" s="1130"/>
      <c r="K84" s="965"/>
      <c r="L84" s="965"/>
      <c r="M84" s="965"/>
      <c r="N84" s="965"/>
      <c r="O84" s="1072"/>
      <c r="P84" s="1073"/>
      <c r="Q84" s="1073"/>
      <c r="R84" s="922"/>
      <c r="S84" s="922"/>
      <c r="T84" s="922"/>
      <c r="U84" s="922"/>
      <c r="V84" s="922"/>
      <c r="W84" s="922"/>
      <c r="X84" s="922"/>
      <c r="Y84" s="922"/>
      <c r="Z84" s="922"/>
      <c r="AA84" s="922"/>
      <c r="AB84" s="923"/>
      <c r="AC84" s="923"/>
      <c r="AD84" s="928"/>
      <c r="AE84" s="1072"/>
      <c r="AF84" s="1073"/>
      <c r="AG84" s="1073"/>
      <c r="AH84" s="922"/>
      <c r="AI84" s="922"/>
      <c r="AJ84" s="922"/>
      <c r="AK84" s="922"/>
      <c r="AL84" s="922"/>
      <c r="AM84" s="922"/>
      <c r="AN84" s="922"/>
      <c r="AO84" s="922"/>
      <c r="AP84" s="922"/>
      <c r="AQ84" s="922"/>
      <c r="AR84" s="923"/>
      <c r="AS84" s="923"/>
      <c r="AT84" s="928"/>
    </row>
    <row r="85" ht="15.0" hidden="1" customHeight="1">
      <c r="A85" s="931"/>
      <c r="B85" s="1092" t="s">
        <v>58</v>
      </c>
      <c r="C85" s="1128" t="s">
        <v>252</v>
      </c>
      <c r="D85" s="966">
        <v>45776.0</v>
      </c>
      <c r="E85" s="1088">
        <f t="shared" si="24"/>
        <v>0</v>
      </c>
      <c r="F85" s="1098">
        <f>IFERROR(VLOOKUP(C85,'Лист20'!$A$1:$C1088,2,0),0)</f>
        <v>0</v>
      </c>
      <c r="G85" s="962">
        <f>IFERROR(VLOOKUP(C85,'Лист20'!$A$1:$C1088,3,0),0)</f>
        <v>0</v>
      </c>
      <c r="H85" s="1131" t="b">
        <v>1</v>
      </c>
      <c r="I85" s="232"/>
      <c r="J85" s="1130"/>
      <c r="K85" s="965"/>
      <c r="L85" s="965"/>
      <c r="M85" s="965"/>
      <c r="N85" s="965"/>
      <c r="O85" s="1072"/>
      <c r="P85" s="1073"/>
      <c r="Q85" s="1073"/>
      <c r="R85" s="922"/>
      <c r="S85" s="922"/>
      <c r="T85" s="922"/>
      <c r="U85" s="922"/>
      <c r="V85" s="922"/>
      <c r="W85" s="922"/>
      <c r="X85" s="922"/>
      <c r="Y85" s="922"/>
      <c r="Z85" s="922"/>
      <c r="AA85" s="922"/>
      <c r="AB85" s="923"/>
      <c r="AC85" s="923"/>
      <c r="AD85" s="928"/>
      <c r="AE85" s="1072"/>
      <c r="AF85" s="1073"/>
      <c r="AG85" s="1073"/>
      <c r="AH85" s="922"/>
      <c r="AI85" s="922"/>
      <c r="AJ85" s="922"/>
      <c r="AK85" s="922"/>
      <c r="AL85" s="922"/>
      <c r="AM85" s="922"/>
      <c r="AN85" s="922"/>
      <c r="AO85" s="922"/>
      <c r="AP85" s="922"/>
      <c r="AQ85" s="922"/>
      <c r="AR85" s="923"/>
      <c r="AS85" s="923"/>
      <c r="AT85" s="928"/>
    </row>
    <row r="86" ht="15.0" hidden="1" customHeight="1">
      <c r="A86" s="931"/>
      <c r="B86" s="1092" t="s">
        <v>58</v>
      </c>
      <c r="C86" s="1128" t="s">
        <v>254</v>
      </c>
      <c r="D86" s="966">
        <v>45776.0</v>
      </c>
      <c r="E86" s="1088">
        <f t="shared" si="24"/>
        <v>0</v>
      </c>
      <c r="F86" s="1094">
        <f>IFERROR(VLOOKUP(C86,'Лист20'!$A$1:$C1088,2,0),0)</f>
        <v>0</v>
      </c>
      <c r="G86" s="962">
        <f>IFERROR(VLOOKUP(C86,'Лист20'!$A$1:$C1088,3,0),0)</f>
        <v>0</v>
      </c>
      <c r="H86" s="1103" t="b">
        <v>1</v>
      </c>
      <c r="I86" s="232"/>
      <c r="J86" s="1130"/>
      <c r="K86" s="965"/>
      <c r="L86" s="965"/>
      <c r="M86" s="965"/>
      <c r="N86" s="965"/>
      <c r="O86" s="1072"/>
      <c r="P86" s="1073"/>
      <c r="Q86" s="1073"/>
      <c r="R86" s="922"/>
      <c r="S86" s="922"/>
      <c r="T86" s="922"/>
      <c r="U86" s="922"/>
      <c r="V86" s="922"/>
      <c r="W86" s="922"/>
      <c r="X86" s="922"/>
      <c r="Y86" s="922"/>
      <c r="Z86" s="922"/>
      <c r="AA86" s="922"/>
      <c r="AB86" s="923"/>
      <c r="AC86" s="923"/>
      <c r="AD86" s="928"/>
      <c r="AE86" s="1072"/>
      <c r="AF86" s="1073"/>
      <c r="AG86" s="1073"/>
      <c r="AH86" s="922"/>
      <c r="AI86" s="922"/>
      <c r="AJ86" s="922"/>
      <c r="AK86" s="922"/>
      <c r="AL86" s="922"/>
      <c r="AM86" s="922"/>
      <c r="AN86" s="922"/>
      <c r="AO86" s="922"/>
      <c r="AP86" s="922"/>
      <c r="AQ86" s="922"/>
      <c r="AR86" s="923"/>
      <c r="AS86" s="923"/>
      <c r="AT86" s="928"/>
    </row>
    <row r="87" ht="15.0" hidden="1" customHeight="1">
      <c r="A87" s="931"/>
      <c r="B87" s="1092" t="s">
        <v>58</v>
      </c>
      <c r="C87" s="1128" t="s">
        <v>256</v>
      </c>
      <c r="D87" s="966">
        <v>45776.0</v>
      </c>
      <c r="E87" s="1088">
        <f t="shared" si="24"/>
        <v>0</v>
      </c>
      <c r="F87" s="1129">
        <f>IFERROR(VLOOKUP(C87,'Лист20'!$A$1:$C1088,2,0),0)</f>
        <v>0</v>
      </c>
      <c r="G87" s="962">
        <f>IFERROR(VLOOKUP(C87,'Лист20'!$A$1:$C1088,3,0),0)</f>
        <v>0</v>
      </c>
      <c r="H87" s="1103" t="b">
        <v>0</v>
      </c>
      <c r="I87" s="232"/>
      <c r="J87" s="1130"/>
      <c r="K87" s="965"/>
      <c r="L87" s="965"/>
      <c r="M87" s="965"/>
      <c r="N87" s="965"/>
      <c r="O87" s="1072"/>
      <c r="P87" s="1073"/>
      <c r="Q87" s="1073"/>
      <c r="R87" s="922"/>
      <c r="S87" s="922"/>
      <c r="T87" s="922"/>
      <c r="U87" s="922"/>
      <c r="V87" s="922"/>
      <c r="W87" s="922"/>
      <c r="X87" s="922"/>
      <c r="Y87" s="922"/>
      <c r="Z87" s="922"/>
      <c r="AA87" s="922"/>
      <c r="AB87" s="923"/>
      <c r="AC87" s="923"/>
      <c r="AD87" s="928"/>
      <c r="AE87" s="1072"/>
      <c r="AF87" s="1073"/>
      <c r="AG87" s="1073"/>
      <c r="AH87" s="922"/>
      <c r="AI87" s="922"/>
      <c r="AJ87" s="922"/>
      <c r="AK87" s="922"/>
      <c r="AL87" s="922"/>
      <c r="AM87" s="922"/>
      <c r="AN87" s="922"/>
      <c r="AO87" s="922"/>
      <c r="AP87" s="922"/>
      <c r="AQ87" s="922"/>
      <c r="AR87" s="923"/>
      <c r="AS87" s="923"/>
      <c r="AT87" s="928"/>
    </row>
    <row r="88" ht="15.0" hidden="1" customHeight="1">
      <c r="A88" s="931"/>
      <c r="B88" s="1092" t="s">
        <v>58</v>
      </c>
      <c r="C88" s="1128" t="s">
        <v>258</v>
      </c>
      <c r="D88" s="966">
        <v>45776.0</v>
      </c>
      <c r="E88" s="1088">
        <f t="shared" si="24"/>
        <v>0</v>
      </c>
      <c r="F88" s="1098">
        <f>IFERROR(VLOOKUP(C88,'Лист20'!$A$1:$C1088,2,0),0)</f>
        <v>0</v>
      </c>
      <c r="G88" s="962">
        <f>IFERROR(VLOOKUP(C88,'Лист20'!$A$1:$C1088,3,0),0)</f>
        <v>0</v>
      </c>
      <c r="H88" s="1103" t="b">
        <v>1</v>
      </c>
      <c r="I88" s="232"/>
      <c r="J88" s="1130"/>
      <c r="K88" s="965"/>
      <c r="L88" s="965"/>
      <c r="M88" s="965"/>
      <c r="N88" s="965"/>
      <c r="O88" s="1072"/>
      <c r="P88" s="1073"/>
      <c r="Q88" s="1073"/>
      <c r="R88" s="922"/>
      <c r="S88" s="922"/>
      <c r="T88" s="922"/>
      <c r="U88" s="922"/>
      <c r="V88" s="922"/>
      <c r="W88" s="922"/>
      <c r="X88" s="922"/>
      <c r="Y88" s="922"/>
      <c r="Z88" s="922"/>
      <c r="AA88" s="922"/>
      <c r="AB88" s="923"/>
      <c r="AC88" s="923"/>
      <c r="AD88" s="928"/>
      <c r="AE88" s="1072"/>
      <c r="AF88" s="1073"/>
      <c r="AG88" s="1073"/>
      <c r="AH88" s="922"/>
      <c r="AI88" s="922"/>
      <c r="AJ88" s="922"/>
      <c r="AK88" s="922"/>
      <c r="AL88" s="922"/>
      <c r="AM88" s="922"/>
      <c r="AN88" s="922"/>
      <c r="AO88" s="922"/>
      <c r="AP88" s="922"/>
      <c r="AQ88" s="922"/>
      <c r="AR88" s="923"/>
      <c r="AS88" s="923"/>
      <c r="AT88" s="928"/>
    </row>
    <row r="89" ht="15.0" hidden="1" customHeight="1">
      <c r="A89" s="931"/>
      <c r="B89" s="1092" t="s">
        <v>58</v>
      </c>
      <c r="C89" s="1128" t="s">
        <v>260</v>
      </c>
      <c r="D89" s="966">
        <v>45776.0</v>
      </c>
      <c r="E89" s="1088">
        <f t="shared" si="24"/>
        <v>0</v>
      </c>
      <c r="F89" s="1129">
        <f>IFERROR(VLOOKUP(C89,'Лист20'!$A$1:$C1088,2,0),0)</f>
        <v>0</v>
      </c>
      <c r="G89" s="962">
        <f>IFERROR(VLOOKUP(C89,'Лист20'!$A$1:$C1088,3,0),0)</f>
        <v>0</v>
      </c>
      <c r="H89" s="1103" t="b">
        <v>0</v>
      </c>
      <c r="I89" s="232"/>
      <c r="J89" s="1130"/>
      <c r="K89" s="965"/>
      <c r="L89" s="965"/>
      <c r="M89" s="965"/>
      <c r="N89" s="965"/>
      <c r="O89" s="1072"/>
      <c r="P89" s="1073"/>
      <c r="Q89" s="1073"/>
      <c r="R89" s="922"/>
      <c r="S89" s="922"/>
      <c r="T89" s="922"/>
      <c r="U89" s="922"/>
      <c r="V89" s="922"/>
      <c r="W89" s="922"/>
      <c r="X89" s="922"/>
      <c r="Y89" s="922"/>
      <c r="Z89" s="922"/>
      <c r="AA89" s="922"/>
      <c r="AB89" s="923"/>
      <c r="AC89" s="923"/>
      <c r="AD89" s="928"/>
      <c r="AE89" s="1072"/>
      <c r="AF89" s="1073"/>
      <c r="AG89" s="1073"/>
      <c r="AH89" s="922"/>
      <c r="AI89" s="922"/>
      <c r="AJ89" s="922"/>
      <c r="AK89" s="922"/>
      <c r="AL89" s="922"/>
      <c r="AM89" s="922"/>
      <c r="AN89" s="922"/>
      <c r="AO89" s="922"/>
      <c r="AP89" s="922"/>
      <c r="AQ89" s="922"/>
      <c r="AR89" s="923"/>
      <c r="AS89" s="923"/>
      <c r="AT89" s="928"/>
    </row>
    <row r="90" ht="15.0" hidden="1" customHeight="1">
      <c r="A90" s="931"/>
      <c r="B90" s="1092" t="s">
        <v>58</v>
      </c>
      <c r="C90" s="1128" t="s">
        <v>262</v>
      </c>
      <c r="D90" s="966">
        <v>45776.0</v>
      </c>
      <c r="E90" s="1088">
        <f t="shared" si="24"/>
        <v>0</v>
      </c>
      <c r="F90" s="1094">
        <f>IFERROR(VLOOKUP(C90,'Лист20'!$A$1:$C1088,2,0),0)</f>
        <v>0</v>
      </c>
      <c r="G90" s="1132">
        <f>IFERROR(VLOOKUP(C90,'Лист20'!$A$1:$C1088,3,0),0)</f>
        <v>0</v>
      </c>
      <c r="H90" s="1103" t="b">
        <v>0</v>
      </c>
      <c r="I90" s="232"/>
      <c r="J90" s="1130"/>
      <c r="K90" s="965"/>
      <c r="L90" s="965"/>
      <c r="M90" s="965"/>
      <c r="N90" s="965"/>
      <c r="O90" s="1072"/>
      <c r="P90" s="1073"/>
      <c r="Q90" s="1073"/>
      <c r="R90" s="922"/>
      <c r="S90" s="922"/>
      <c r="T90" s="922"/>
      <c r="U90" s="922"/>
      <c r="V90" s="922"/>
      <c r="W90" s="922"/>
      <c r="X90" s="922"/>
      <c r="Y90" s="922"/>
      <c r="Z90" s="922"/>
      <c r="AA90" s="922"/>
      <c r="AB90" s="923"/>
      <c r="AC90" s="923"/>
      <c r="AD90" s="928"/>
      <c r="AE90" s="1072"/>
      <c r="AF90" s="1073"/>
      <c r="AG90" s="1073"/>
      <c r="AH90" s="922"/>
      <c r="AI90" s="922"/>
      <c r="AJ90" s="922"/>
      <c r="AK90" s="922"/>
      <c r="AL90" s="922"/>
      <c r="AM90" s="922"/>
      <c r="AN90" s="922"/>
      <c r="AO90" s="922"/>
      <c r="AP90" s="922"/>
      <c r="AQ90" s="922"/>
      <c r="AR90" s="923"/>
      <c r="AS90" s="923"/>
      <c r="AT90" s="928"/>
    </row>
    <row r="91" ht="15.0" hidden="1" customHeight="1">
      <c r="A91" s="931"/>
      <c r="B91" s="1092" t="s">
        <v>58</v>
      </c>
      <c r="C91" s="1133" t="s">
        <v>240</v>
      </c>
      <c r="D91" s="966">
        <v>45776.0</v>
      </c>
      <c r="E91" s="1088">
        <f t="shared" si="24"/>
        <v>0</v>
      </c>
      <c r="F91" s="1129">
        <f>IFERROR(VLOOKUP(C91,'Лист20'!$A$1:$C1088,2,0),0)</f>
        <v>0</v>
      </c>
      <c r="G91" s="1061">
        <f>IFERROR(VLOOKUP(C91,'Лист20'!$A$1:$C1088,3,0),0)</f>
        <v>0</v>
      </c>
      <c r="H91" s="1095" t="b">
        <v>0</v>
      </c>
      <c r="I91" s="232"/>
      <c r="J91" s="1130"/>
      <c r="K91" s="965"/>
      <c r="L91" s="965"/>
      <c r="M91" s="965"/>
      <c r="N91" s="965"/>
      <c r="O91" s="1072"/>
      <c r="P91" s="1073"/>
      <c r="Q91" s="1073"/>
      <c r="R91" s="922"/>
      <c r="S91" s="922"/>
      <c r="T91" s="922"/>
      <c r="U91" s="922"/>
      <c r="V91" s="922"/>
      <c r="W91" s="922"/>
      <c r="X91" s="922"/>
      <c r="Y91" s="922"/>
      <c r="Z91" s="922"/>
      <c r="AA91" s="922"/>
      <c r="AB91" s="923"/>
      <c r="AC91" s="923"/>
      <c r="AD91" s="928"/>
      <c r="AE91" s="1072"/>
      <c r="AF91" s="1073"/>
      <c r="AG91" s="1073"/>
      <c r="AH91" s="922"/>
      <c r="AI91" s="922"/>
      <c r="AJ91" s="922"/>
      <c r="AK91" s="922"/>
      <c r="AL91" s="922"/>
      <c r="AM91" s="922"/>
      <c r="AN91" s="922"/>
      <c r="AO91" s="922"/>
      <c r="AP91" s="922"/>
      <c r="AQ91" s="922"/>
      <c r="AR91" s="923"/>
      <c r="AS91" s="923"/>
      <c r="AT91" s="928"/>
    </row>
    <row r="92" ht="15.0" hidden="1" customHeight="1">
      <c r="A92" s="931"/>
      <c r="B92" s="1092" t="s">
        <v>58</v>
      </c>
      <c r="C92" s="1133" t="s">
        <v>264</v>
      </c>
      <c r="D92" s="966">
        <v>45776.0</v>
      </c>
      <c r="E92" s="1088">
        <f t="shared" si="24"/>
        <v>0</v>
      </c>
      <c r="F92" s="1129">
        <f>IFERROR(VLOOKUP(C92,'Лист20'!$A$1:$C1088,2,0),0)</f>
        <v>0</v>
      </c>
      <c r="G92" s="1061">
        <f>IFERROR(VLOOKUP(C92,'Лист20'!$A$1:$C1088,3,0),0)</f>
        <v>0</v>
      </c>
      <c r="H92" s="1095" t="b">
        <v>0</v>
      </c>
      <c r="I92" s="232"/>
      <c r="J92" s="1130"/>
      <c r="K92" s="965"/>
      <c r="L92" s="965"/>
      <c r="M92" s="965"/>
      <c r="N92" s="965"/>
      <c r="O92" s="1072"/>
      <c r="P92" s="1073"/>
      <c r="Q92" s="1073"/>
      <c r="R92" s="922"/>
      <c r="S92" s="922"/>
      <c r="T92" s="922"/>
      <c r="U92" s="922"/>
      <c r="V92" s="922"/>
      <c r="W92" s="922"/>
      <c r="X92" s="922"/>
      <c r="Y92" s="922"/>
      <c r="Z92" s="922"/>
      <c r="AA92" s="922"/>
      <c r="AB92" s="923"/>
      <c r="AC92" s="923"/>
      <c r="AD92" s="928"/>
      <c r="AE92" s="1072"/>
      <c r="AF92" s="1073"/>
      <c r="AG92" s="1073"/>
      <c r="AH92" s="922"/>
      <c r="AI92" s="922"/>
      <c r="AJ92" s="922"/>
      <c r="AK92" s="922"/>
      <c r="AL92" s="922"/>
      <c r="AM92" s="922"/>
      <c r="AN92" s="922"/>
      <c r="AO92" s="922"/>
      <c r="AP92" s="922"/>
      <c r="AQ92" s="922"/>
      <c r="AR92" s="923"/>
      <c r="AS92" s="923"/>
      <c r="AT92" s="928"/>
    </row>
    <row r="93" ht="15.0" hidden="1" customHeight="1">
      <c r="A93" s="931"/>
      <c r="B93" s="1092" t="s">
        <v>58</v>
      </c>
      <c r="C93" s="1133" t="s">
        <v>266</v>
      </c>
      <c r="D93" s="966">
        <v>45776.0</v>
      </c>
      <c r="E93" s="1088">
        <f t="shared" si="24"/>
        <v>0</v>
      </c>
      <c r="F93" s="1129">
        <f>IFERROR(VLOOKUP(C93,'Лист20'!$A$1:$C1088,2,0),0)</f>
        <v>0</v>
      </c>
      <c r="G93" s="1061">
        <f>IFERROR(VLOOKUP(C93,'Лист20'!$A$1:$C1088,3,0),0)</f>
        <v>0</v>
      </c>
      <c r="H93" s="1095" t="b">
        <v>0</v>
      </c>
      <c r="I93" s="232"/>
      <c r="J93" s="1130"/>
      <c r="K93" s="965"/>
      <c r="L93" s="965"/>
      <c r="M93" s="965"/>
      <c r="N93" s="965"/>
      <c r="O93" s="1072"/>
      <c r="P93" s="1073"/>
      <c r="Q93" s="1073"/>
      <c r="R93" s="922"/>
      <c r="S93" s="922"/>
      <c r="T93" s="922"/>
      <c r="U93" s="922"/>
      <c r="V93" s="922"/>
      <c r="W93" s="922"/>
      <c r="X93" s="922"/>
      <c r="Y93" s="922"/>
      <c r="Z93" s="922"/>
      <c r="AA93" s="922"/>
      <c r="AB93" s="923"/>
      <c r="AC93" s="923"/>
      <c r="AD93" s="928"/>
      <c r="AE93" s="1072"/>
      <c r="AF93" s="1073"/>
      <c r="AG93" s="1073"/>
      <c r="AH93" s="922"/>
      <c r="AI93" s="922"/>
      <c r="AJ93" s="922"/>
      <c r="AK93" s="922"/>
      <c r="AL93" s="922"/>
      <c r="AM93" s="922"/>
      <c r="AN93" s="922"/>
      <c r="AO93" s="922"/>
      <c r="AP93" s="922"/>
      <c r="AQ93" s="922"/>
      <c r="AR93" s="923"/>
      <c r="AS93" s="923"/>
      <c r="AT93" s="928"/>
    </row>
    <row r="94" ht="15.0" hidden="1" customHeight="1">
      <c r="A94" s="1068"/>
      <c r="B94" s="1092" t="s">
        <v>58</v>
      </c>
      <c r="C94" s="1133" t="s">
        <v>268</v>
      </c>
      <c r="D94" s="966">
        <v>45776.0</v>
      </c>
      <c r="E94" s="1088">
        <f t="shared" si="24"/>
        <v>0</v>
      </c>
      <c r="F94" s="1129">
        <f>IFERROR(VLOOKUP(C94,'Лист20'!$A$1:$C1088,2,0),0)</f>
        <v>0</v>
      </c>
      <c r="G94" s="1061">
        <f>IFERROR(VLOOKUP(C94,'Лист20'!$A$1:$C1088,3,0),0)</f>
        <v>0</v>
      </c>
      <c r="H94" s="1095" t="b">
        <v>0</v>
      </c>
      <c r="I94" s="232"/>
      <c r="J94" s="1130"/>
      <c r="K94" s="965"/>
      <c r="L94" s="965"/>
      <c r="M94" s="965"/>
      <c r="N94" s="965"/>
      <c r="O94" s="1072"/>
      <c r="P94" s="1073"/>
      <c r="Q94" s="1073"/>
      <c r="R94" s="922"/>
      <c r="S94" s="922"/>
      <c r="T94" s="922"/>
      <c r="U94" s="922"/>
      <c r="V94" s="922"/>
      <c r="W94" s="922"/>
      <c r="X94" s="922"/>
      <c r="Y94" s="922"/>
      <c r="Z94" s="922"/>
      <c r="AA94" s="922"/>
      <c r="AB94" s="923"/>
      <c r="AC94" s="923"/>
      <c r="AD94" s="928"/>
      <c r="AE94" s="1072"/>
      <c r="AF94" s="1073"/>
      <c r="AG94" s="1073"/>
      <c r="AH94" s="922"/>
      <c r="AI94" s="922"/>
      <c r="AJ94" s="922"/>
      <c r="AK94" s="922"/>
      <c r="AL94" s="922"/>
      <c r="AM94" s="922"/>
      <c r="AN94" s="922"/>
      <c r="AO94" s="922"/>
      <c r="AP94" s="922"/>
      <c r="AQ94" s="922"/>
      <c r="AR94" s="923"/>
      <c r="AS94" s="923"/>
      <c r="AT94" s="928"/>
    </row>
    <row r="95" ht="15.0" hidden="1" customHeight="1">
      <c r="A95" s="1068"/>
      <c r="B95" s="1092" t="s">
        <v>58</v>
      </c>
      <c r="C95" s="1133" t="s">
        <v>242</v>
      </c>
      <c r="D95" s="966">
        <v>45776.0</v>
      </c>
      <c r="E95" s="1088">
        <f t="shared" si="24"/>
        <v>0</v>
      </c>
      <c r="F95" s="1129">
        <f>IFERROR(VLOOKUP(C95,'Лист20'!$A$1:$C1088,2,0),0)</f>
        <v>0</v>
      </c>
      <c r="G95" s="1061">
        <f>IFERROR(VLOOKUP(C95,'Лист20'!$A$1:$C1088,3,0),0)</f>
        <v>0</v>
      </c>
      <c r="H95" s="1095" t="b">
        <v>0</v>
      </c>
      <c r="I95" s="232"/>
      <c r="J95" s="1130"/>
      <c r="K95" s="965"/>
      <c r="L95" s="965"/>
      <c r="M95" s="965"/>
      <c r="N95" s="965"/>
      <c r="O95" s="1072"/>
      <c r="P95" s="1073"/>
      <c r="Q95" s="1073"/>
      <c r="R95" s="922"/>
      <c r="S95" s="922"/>
      <c r="T95" s="922"/>
      <c r="U95" s="922"/>
      <c r="V95" s="922"/>
      <c r="W95" s="922"/>
      <c r="X95" s="922"/>
      <c r="Y95" s="922"/>
      <c r="Z95" s="922"/>
      <c r="AA95" s="922"/>
      <c r="AB95" s="923"/>
      <c r="AC95" s="923"/>
      <c r="AD95" s="928"/>
      <c r="AE95" s="1072"/>
      <c r="AF95" s="1073"/>
      <c r="AG95" s="1073"/>
      <c r="AH95" s="922"/>
      <c r="AI95" s="922"/>
      <c r="AJ95" s="922"/>
      <c r="AK95" s="922"/>
      <c r="AL95" s="922"/>
      <c r="AM95" s="922"/>
      <c r="AN95" s="922"/>
      <c r="AO95" s="922"/>
      <c r="AP95" s="922"/>
      <c r="AQ95" s="922"/>
      <c r="AR95" s="923"/>
      <c r="AS95" s="923"/>
      <c r="AT95" s="928"/>
    </row>
    <row r="96" ht="15.0" hidden="1" customHeight="1">
      <c r="A96" s="1068"/>
      <c r="B96" s="1092" t="s">
        <v>58</v>
      </c>
      <c r="C96" s="1133" t="s">
        <v>270</v>
      </c>
      <c r="D96" s="966">
        <v>45776.0</v>
      </c>
      <c r="E96" s="1088">
        <f t="shared" si="24"/>
        <v>0</v>
      </c>
      <c r="F96" s="1094">
        <f>IFERROR(VLOOKUP(C96,'Лист20'!$A$1:$C1088,2,0),0)</f>
        <v>0</v>
      </c>
      <c r="G96" s="1061">
        <f>IFERROR(VLOOKUP(C96,'Лист20'!$A$1:$C1088,3,0),0)</f>
        <v>0</v>
      </c>
      <c r="H96" s="1095" t="b">
        <v>0</v>
      </c>
      <c r="I96" s="232"/>
      <c r="J96" s="1130"/>
      <c r="K96" s="965"/>
      <c r="L96" s="965"/>
      <c r="M96" s="965"/>
      <c r="N96" s="965"/>
      <c r="O96" s="1072"/>
      <c r="P96" s="1073"/>
      <c r="Q96" s="1073"/>
      <c r="R96" s="922"/>
      <c r="S96" s="922"/>
      <c r="T96" s="922"/>
      <c r="U96" s="922"/>
      <c r="V96" s="922"/>
      <c r="W96" s="922"/>
      <c r="X96" s="922"/>
      <c r="Y96" s="922"/>
      <c r="Z96" s="922"/>
      <c r="AA96" s="922"/>
      <c r="AB96" s="923"/>
      <c r="AC96" s="923"/>
      <c r="AD96" s="928"/>
      <c r="AE96" s="1072"/>
      <c r="AF96" s="1073"/>
      <c r="AG96" s="1073"/>
      <c r="AH96" s="922"/>
      <c r="AI96" s="922"/>
      <c r="AJ96" s="922"/>
      <c r="AK96" s="922"/>
      <c r="AL96" s="922"/>
      <c r="AM96" s="922"/>
      <c r="AN96" s="922"/>
      <c r="AO96" s="922"/>
      <c r="AP96" s="922"/>
      <c r="AQ96" s="922"/>
      <c r="AR96" s="923"/>
      <c r="AS96" s="923"/>
      <c r="AT96" s="928"/>
    </row>
    <row r="97" ht="15.0" hidden="1" customHeight="1">
      <c r="A97" s="1068"/>
      <c r="B97" s="1092" t="s">
        <v>58</v>
      </c>
      <c r="C97" s="1133" t="s">
        <v>272</v>
      </c>
      <c r="D97" s="966">
        <v>45776.0</v>
      </c>
      <c r="E97" s="1088">
        <f t="shared" si="24"/>
        <v>0</v>
      </c>
      <c r="F97" s="1129">
        <f>IFERROR(VLOOKUP(C97,'Лист20'!$A$1:$C1088,2,0),0)</f>
        <v>0</v>
      </c>
      <c r="G97" s="1134">
        <f>IFERROR(VLOOKUP(C97,'Лист20'!$A$1:$C1088,3,0),0)</f>
        <v>0</v>
      </c>
      <c r="H97" s="1095" t="b">
        <v>0</v>
      </c>
      <c r="I97" s="232"/>
      <c r="J97" s="1130"/>
      <c r="K97" s="965"/>
      <c r="L97" s="965"/>
      <c r="M97" s="965"/>
      <c r="N97" s="965"/>
      <c r="O97" s="1072"/>
      <c r="P97" s="1073"/>
      <c r="Q97" s="1073"/>
      <c r="R97" s="922"/>
      <c r="S97" s="922"/>
      <c r="T97" s="922"/>
      <c r="U97" s="922"/>
      <c r="V97" s="922"/>
      <c r="W97" s="922"/>
      <c r="X97" s="922"/>
      <c r="Y97" s="922"/>
      <c r="Z97" s="922"/>
      <c r="AA97" s="922"/>
      <c r="AB97" s="923"/>
      <c r="AC97" s="923"/>
      <c r="AD97" s="928"/>
      <c r="AE97" s="1072"/>
      <c r="AF97" s="1073"/>
      <c r="AG97" s="1073"/>
      <c r="AH97" s="922"/>
      <c r="AI97" s="922"/>
      <c r="AJ97" s="922"/>
      <c r="AK97" s="922"/>
      <c r="AL97" s="922"/>
      <c r="AM97" s="922"/>
      <c r="AN97" s="922"/>
      <c r="AO97" s="922"/>
      <c r="AP97" s="922"/>
      <c r="AQ97" s="922"/>
      <c r="AR97" s="923"/>
      <c r="AS97" s="923"/>
      <c r="AT97" s="928"/>
    </row>
    <row r="98" ht="15.0" hidden="1" customHeight="1">
      <c r="A98" s="1068"/>
      <c r="B98" s="1092" t="s">
        <v>58</v>
      </c>
      <c r="C98" s="1133" t="s">
        <v>274</v>
      </c>
      <c r="D98" s="966">
        <v>45776.0</v>
      </c>
      <c r="E98" s="1088">
        <f t="shared" si="24"/>
        <v>0</v>
      </c>
      <c r="F98" s="1129">
        <f>IFERROR(VLOOKUP(C98,'Лист20'!$A$1:$C1088,2,0),0)</f>
        <v>0</v>
      </c>
      <c r="G98" s="1061">
        <f>IFERROR(VLOOKUP(C98,'Лист20'!$A$1:$C1088,3,0),0)</f>
        <v>0</v>
      </c>
      <c r="H98" s="1095" t="b">
        <v>1</v>
      </c>
      <c r="I98" s="232"/>
      <c r="J98" s="1130"/>
      <c r="K98" s="965"/>
      <c r="L98" s="965"/>
      <c r="M98" s="965"/>
      <c r="N98" s="965"/>
      <c r="O98" s="1072"/>
      <c r="P98" s="1073"/>
      <c r="Q98" s="1073"/>
      <c r="R98" s="922"/>
      <c r="S98" s="922"/>
      <c r="T98" s="922"/>
      <c r="U98" s="922"/>
      <c r="V98" s="922"/>
      <c r="W98" s="922"/>
      <c r="X98" s="922"/>
      <c r="Y98" s="922"/>
      <c r="Z98" s="922"/>
      <c r="AA98" s="922"/>
      <c r="AB98" s="923"/>
      <c r="AC98" s="923"/>
      <c r="AD98" s="928"/>
      <c r="AE98" s="1072"/>
      <c r="AF98" s="1073"/>
      <c r="AG98" s="1073"/>
      <c r="AH98" s="922"/>
      <c r="AI98" s="922"/>
      <c r="AJ98" s="922"/>
      <c r="AK98" s="922"/>
      <c r="AL98" s="922"/>
      <c r="AM98" s="922"/>
      <c r="AN98" s="922"/>
      <c r="AO98" s="922"/>
      <c r="AP98" s="922"/>
      <c r="AQ98" s="922"/>
      <c r="AR98" s="923"/>
      <c r="AS98" s="923"/>
      <c r="AT98" s="928"/>
    </row>
    <row r="99" ht="15.0" hidden="1" customHeight="1">
      <c r="A99" s="1068"/>
      <c r="B99" s="1092" t="s">
        <v>58</v>
      </c>
      <c r="C99" s="1133" t="s">
        <v>276</v>
      </c>
      <c r="D99" s="966">
        <v>45776.0</v>
      </c>
      <c r="E99" s="1088">
        <f t="shared" si="24"/>
        <v>0</v>
      </c>
      <c r="F99" s="1129">
        <f>IFERROR(VLOOKUP(C99,'Лист20'!$A$1:$C1088,2,0),0)</f>
        <v>0</v>
      </c>
      <c r="G99" s="1061">
        <f>IFERROR(VLOOKUP(C99,'Лист20'!$A$1:$C1088,3,0),0)</f>
        <v>0</v>
      </c>
      <c r="H99" s="1095" t="b">
        <v>0</v>
      </c>
      <c r="I99" s="232"/>
      <c r="J99" s="1130"/>
      <c r="K99" s="965"/>
      <c r="L99" s="965"/>
      <c r="M99" s="965"/>
      <c r="N99" s="965"/>
      <c r="O99" s="1072"/>
      <c r="P99" s="1073"/>
      <c r="Q99" s="1073"/>
      <c r="R99" s="922"/>
      <c r="S99" s="922"/>
      <c r="T99" s="922"/>
      <c r="U99" s="922"/>
      <c r="V99" s="922"/>
      <c r="W99" s="922"/>
      <c r="X99" s="922"/>
      <c r="Y99" s="922"/>
      <c r="Z99" s="922"/>
      <c r="AA99" s="922"/>
      <c r="AB99" s="923"/>
      <c r="AC99" s="923"/>
      <c r="AD99" s="928"/>
      <c r="AE99" s="1072"/>
      <c r="AF99" s="1073"/>
      <c r="AG99" s="1073"/>
      <c r="AH99" s="922"/>
      <c r="AI99" s="922"/>
      <c r="AJ99" s="922"/>
      <c r="AK99" s="922"/>
      <c r="AL99" s="922"/>
      <c r="AM99" s="922"/>
      <c r="AN99" s="922"/>
      <c r="AO99" s="922"/>
      <c r="AP99" s="922"/>
      <c r="AQ99" s="922"/>
      <c r="AR99" s="923"/>
      <c r="AS99" s="923"/>
      <c r="AT99" s="928"/>
    </row>
    <row r="100" ht="15.0" hidden="1" customHeight="1">
      <c r="A100" s="1068"/>
      <c r="B100" s="1092" t="s">
        <v>58</v>
      </c>
      <c r="C100" s="1133" t="s">
        <v>278</v>
      </c>
      <c r="D100" s="966">
        <v>45776.0</v>
      </c>
      <c r="E100" s="1088">
        <f t="shared" si="24"/>
        <v>0</v>
      </c>
      <c r="F100" s="1094">
        <f>IFERROR(VLOOKUP(C100,'Лист20'!$A$1:$C1088,2,0),0)</f>
        <v>0</v>
      </c>
      <c r="G100" s="1061">
        <f>IFERROR(VLOOKUP(C100,'Лист20'!$A$1:$C1088,3,0),0)</f>
        <v>0</v>
      </c>
      <c r="H100" s="1095" t="b">
        <v>0</v>
      </c>
      <c r="I100" s="232"/>
      <c r="J100" s="1130"/>
      <c r="K100" s="965"/>
      <c r="L100" s="965"/>
      <c r="M100" s="965"/>
      <c r="N100" s="965"/>
      <c r="O100" s="1072"/>
      <c r="P100" s="1073"/>
      <c r="Q100" s="1073"/>
      <c r="R100" s="922"/>
      <c r="S100" s="922"/>
      <c r="T100" s="922"/>
      <c r="U100" s="922"/>
      <c r="V100" s="922"/>
      <c r="W100" s="922"/>
      <c r="X100" s="922"/>
      <c r="Y100" s="922"/>
      <c r="Z100" s="922"/>
      <c r="AA100" s="922"/>
      <c r="AB100" s="923"/>
      <c r="AC100" s="923"/>
      <c r="AD100" s="928"/>
      <c r="AE100" s="1072"/>
      <c r="AF100" s="1073"/>
      <c r="AG100" s="1073"/>
      <c r="AH100" s="922"/>
      <c r="AI100" s="922"/>
      <c r="AJ100" s="922"/>
      <c r="AK100" s="922"/>
      <c r="AL100" s="922"/>
      <c r="AM100" s="922"/>
      <c r="AN100" s="922"/>
      <c r="AO100" s="922"/>
      <c r="AP100" s="922"/>
      <c r="AQ100" s="922"/>
      <c r="AR100" s="923"/>
      <c r="AS100" s="923"/>
      <c r="AT100" s="928"/>
    </row>
    <row r="101" ht="15.0" hidden="1" customHeight="1">
      <c r="A101" s="1068"/>
      <c r="B101" s="1092" t="s">
        <v>58</v>
      </c>
      <c r="C101" s="1133" t="s">
        <v>280</v>
      </c>
      <c r="D101" s="966">
        <v>45776.0</v>
      </c>
      <c r="E101" s="1088">
        <f t="shared" si="24"/>
        <v>0</v>
      </c>
      <c r="F101" s="1094">
        <f>IFERROR(VLOOKUP(C101,'Лист20'!$A$1:$C1088,2,0),0)</f>
        <v>0</v>
      </c>
      <c r="G101" s="1061">
        <f>IFERROR(VLOOKUP(C101,'Лист20'!$A$1:$C1088,3,0),0)</f>
        <v>0</v>
      </c>
      <c r="H101" s="1095" t="b">
        <v>0</v>
      </c>
      <c r="I101" s="232"/>
      <c r="J101" s="1130"/>
      <c r="K101" s="965"/>
      <c r="L101" s="965"/>
      <c r="M101" s="965"/>
      <c r="N101" s="965"/>
      <c r="O101" s="1072"/>
      <c r="P101" s="1073"/>
      <c r="Q101" s="1073"/>
      <c r="R101" s="922"/>
      <c r="S101" s="922"/>
      <c r="T101" s="922"/>
      <c r="U101" s="922"/>
      <c r="V101" s="922"/>
      <c r="W101" s="922"/>
      <c r="X101" s="922"/>
      <c r="Y101" s="922"/>
      <c r="Z101" s="922"/>
      <c r="AA101" s="922"/>
      <c r="AB101" s="923"/>
      <c r="AC101" s="923"/>
      <c r="AD101" s="928"/>
      <c r="AE101" s="1072"/>
      <c r="AF101" s="1073"/>
      <c r="AG101" s="1073"/>
      <c r="AH101" s="922"/>
      <c r="AI101" s="922"/>
      <c r="AJ101" s="922"/>
      <c r="AK101" s="922"/>
      <c r="AL101" s="922"/>
      <c r="AM101" s="922"/>
      <c r="AN101" s="922"/>
      <c r="AO101" s="922"/>
      <c r="AP101" s="922"/>
      <c r="AQ101" s="922"/>
      <c r="AR101" s="923"/>
      <c r="AS101" s="923"/>
      <c r="AT101" s="928"/>
    </row>
    <row r="102" ht="15.0" hidden="1" customHeight="1">
      <c r="A102" s="1068"/>
      <c r="B102" s="1092" t="s">
        <v>58</v>
      </c>
      <c r="C102" s="1135" t="s">
        <v>283</v>
      </c>
      <c r="D102" s="959">
        <v>45776.0</v>
      </c>
      <c r="E102" s="1088">
        <f t="shared" si="24"/>
        <v>0</v>
      </c>
      <c r="F102" s="1136">
        <f>IFERROR(VLOOKUP(C102,'Лист20'!$A$1:$C1088,2,0),0)</f>
        <v>0</v>
      </c>
      <c r="G102" s="962">
        <f>IFERROR(VLOOKUP(C102,'Лист20'!$A$1:$C1088,3,0),0)</f>
        <v>0</v>
      </c>
      <c r="H102" s="1103" t="b">
        <v>0</v>
      </c>
      <c r="I102" s="232"/>
      <c r="J102" s="1130"/>
      <c r="K102" s="965"/>
      <c r="L102" s="965"/>
      <c r="M102" s="965"/>
      <c r="N102" s="965"/>
      <c r="O102" s="1072"/>
      <c r="P102" s="1073"/>
      <c r="Q102" s="1073"/>
      <c r="R102" s="922"/>
      <c r="S102" s="922"/>
      <c r="T102" s="922"/>
      <c r="U102" s="922"/>
      <c r="V102" s="922"/>
      <c r="W102" s="922"/>
      <c r="X102" s="922"/>
      <c r="Y102" s="922"/>
      <c r="Z102" s="922"/>
      <c r="AA102" s="922"/>
      <c r="AB102" s="923"/>
      <c r="AC102" s="923"/>
      <c r="AD102" s="928"/>
      <c r="AE102" s="1072"/>
      <c r="AF102" s="1073"/>
      <c r="AG102" s="1073"/>
      <c r="AH102" s="922"/>
      <c r="AI102" s="922"/>
      <c r="AJ102" s="922"/>
      <c r="AK102" s="922"/>
      <c r="AL102" s="922"/>
      <c r="AM102" s="922"/>
      <c r="AN102" s="922"/>
      <c r="AO102" s="922"/>
      <c r="AP102" s="922"/>
      <c r="AQ102" s="922"/>
      <c r="AR102" s="923"/>
      <c r="AS102" s="923"/>
      <c r="AT102" s="928"/>
    </row>
    <row r="103" ht="15.0" hidden="1" customHeight="1">
      <c r="A103" s="1068"/>
      <c r="B103" s="1092" t="s">
        <v>58</v>
      </c>
      <c r="C103" s="1135" t="s">
        <v>286</v>
      </c>
      <c r="D103" s="959">
        <v>45777.0</v>
      </c>
      <c r="E103" s="1088">
        <f t="shared" si="24"/>
        <v>0</v>
      </c>
      <c r="F103" s="1137">
        <f>IFERROR(VLOOKUP(C103,'Лист20'!$A$1:$C1088,2,0),0)</f>
        <v>0</v>
      </c>
      <c r="G103" s="962">
        <f>IFERROR(VLOOKUP(C103,'Лист20'!$A$1:$C1088,3,0),0)</f>
        <v>0</v>
      </c>
      <c r="H103" s="1103" t="b">
        <v>0</v>
      </c>
      <c r="I103" s="232"/>
      <c r="J103" s="1130"/>
      <c r="K103" s="965"/>
      <c r="L103" s="965"/>
      <c r="M103" s="965"/>
      <c r="N103" s="965"/>
      <c r="O103" s="1138"/>
      <c r="P103" s="1139"/>
      <c r="Q103" s="1139"/>
      <c r="R103" s="974"/>
      <c r="S103" s="974"/>
      <c r="T103" s="974"/>
      <c r="U103" s="974"/>
      <c r="V103" s="974"/>
      <c r="W103" s="974"/>
      <c r="X103" s="974"/>
      <c r="Y103" s="974"/>
      <c r="Z103" s="974"/>
      <c r="AA103" s="974"/>
      <c r="AB103" s="977"/>
      <c r="AC103" s="977"/>
      <c r="AD103" s="980"/>
      <c r="AE103" s="1138"/>
      <c r="AF103" s="1139"/>
      <c r="AG103" s="1139"/>
      <c r="AH103" s="974"/>
      <c r="AI103" s="974"/>
      <c r="AJ103" s="974"/>
      <c r="AK103" s="974"/>
      <c r="AL103" s="974"/>
      <c r="AM103" s="974"/>
      <c r="AN103" s="974"/>
      <c r="AO103" s="974"/>
      <c r="AP103" s="974"/>
      <c r="AQ103" s="974"/>
      <c r="AR103" s="977"/>
      <c r="AS103" s="977"/>
      <c r="AT103" s="980"/>
    </row>
    <row r="104" ht="15.0" hidden="1" customHeight="1">
      <c r="A104" s="1140"/>
      <c r="B104" s="1141"/>
      <c r="C104" s="1142">
        <v>21.0</v>
      </c>
      <c r="D104" s="1143"/>
      <c r="E104" s="1144">
        <f t="shared" si="24"/>
        <v>33</v>
      </c>
      <c r="F104" s="1145"/>
      <c r="G104" s="1146"/>
      <c r="H104" s="1147"/>
      <c r="I104" s="1148">
        <f>SUM(I67:I103)</f>
        <v>33</v>
      </c>
      <c r="J104" s="1149"/>
      <c r="K104" s="1149"/>
      <c r="L104" s="1149"/>
      <c r="M104" s="1149"/>
      <c r="N104" s="1149"/>
      <c r="O104" s="1150"/>
      <c r="P104" s="1150"/>
      <c r="Q104" s="1150"/>
      <c r="R104" s="1151">
        <f t="shared" ref="R104:S104" si="33">SUM(R83:R103)</f>
        <v>0</v>
      </c>
      <c r="S104" s="1151">
        <f t="shared" si="33"/>
        <v>0</v>
      </c>
      <c r="T104" s="1152"/>
      <c r="U104" s="1151">
        <f t="shared" ref="U104:X104" si="34">SUM(U83:U103)</f>
        <v>0</v>
      </c>
      <c r="V104" s="1151">
        <f t="shared" si="34"/>
        <v>0</v>
      </c>
      <c r="W104" s="1151">
        <f t="shared" si="34"/>
        <v>0</v>
      </c>
      <c r="X104" s="1151">
        <f t="shared" si="34"/>
        <v>0</v>
      </c>
      <c r="Y104" s="1152"/>
      <c r="Z104" s="1151">
        <f t="shared" ref="Z104:AA104" si="35">SUM(Z83:Z103)</f>
        <v>0</v>
      </c>
      <c r="AA104" s="1151">
        <f t="shared" si="35"/>
        <v>0</v>
      </c>
      <c r="AB104" s="1153"/>
      <c r="AC104" s="1153"/>
      <c r="AD104" s="1154">
        <f>SUM(AD83:AD103)</f>
        <v>0</v>
      </c>
      <c r="AE104" s="1150"/>
      <c r="AF104" s="1150"/>
      <c r="AG104" s="1150"/>
      <c r="AH104" s="1151">
        <f t="shared" ref="AH104:AI104" si="36">SUM(AH83:AH103)</f>
        <v>0</v>
      </c>
      <c r="AI104" s="1151">
        <f t="shared" si="36"/>
        <v>0</v>
      </c>
      <c r="AJ104" s="1152"/>
      <c r="AK104" s="1151">
        <f t="shared" ref="AK104:AN104" si="37">SUM(AK83:AK103)</f>
        <v>0</v>
      </c>
      <c r="AL104" s="1151">
        <f t="shared" si="37"/>
        <v>0</v>
      </c>
      <c r="AM104" s="1151">
        <f t="shared" si="37"/>
        <v>0</v>
      </c>
      <c r="AN104" s="1151">
        <f t="shared" si="37"/>
        <v>0</v>
      </c>
      <c r="AO104" s="1152"/>
      <c r="AP104" s="1151">
        <f t="shared" ref="AP104:AQ104" si="38">SUM(AP83:AP103)</f>
        <v>0</v>
      </c>
      <c r="AQ104" s="1151">
        <f t="shared" si="38"/>
        <v>0</v>
      </c>
      <c r="AR104" s="1153"/>
      <c r="AS104" s="1153"/>
      <c r="AT104" s="1154">
        <f>SUM(AT83:AT103)</f>
        <v>0</v>
      </c>
    </row>
    <row r="105" ht="15.75" customHeight="1">
      <c r="A105" s="852"/>
      <c r="B105" s="852"/>
      <c r="C105" s="852"/>
      <c r="D105" s="852"/>
      <c r="E105" s="852"/>
      <c r="F105" s="852"/>
      <c r="G105" s="852"/>
      <c r="H105" s="852"/>
      <c r="I105" s="852"/>
      <c r="J105" s="852"/>
      <c r="K105" s="852"/>
      <c r="L105" s="852"/>
      <c r="M105" s="852"/>
      <c r="N105" s="852"/>
      <c r="O105" s="852"/>
      <c r="P105" s="852"/>
      <c r="Q105" s="852"/>
      <c r="R105" s="852"/>
      <c r="S105" s="852"/>
      <c r="T105" s="852"/>
      <c r="U105" s="852"/>
      <c r="V105" s="852"/>
      <c r="W105" s="852"/>
      <c r="X105" s="852"/>
      <c r="Y105" s="852"/>
      <c r="Z105" s="852"/>
      <c r="AA105" s="852"/>
      <c r="AB105" s="852"/>
      <c r="AC105" s="852"/>
      <c r="AD105" s="852"/>
      <c r="AE105" s="1155">
        <f t="shared" ref="AE105:AT105" si="39">AE66+AE43+AE32</f>
        <v>6</v>
      </c>
      <c r="AF105" s="1155">
        <f t="shared" si="39"/>
        <v>9</v>
      </c>
      <c r="AG105" s="1155">
        <f t="shared" si="39"/>
        <v>7</v>
      </c>
      <c r="AH105" s="1155">
        <f t="shared" si="39"/>
        <v>7</v>
      </c>
      <c r="AI105" s="1155">
        <f t="shared" si="39"/>
        <v>3</v>
      </c>
      <c r="AJ105" s="1155">
        <f t="shared" si="39"/>
        <v>32</v>
      </c>
      <c r="AK105" s="1155">
        <f t="shared" si="39"/>
        <v>6</v>
      </c>
      <c r="AL105" s="1155">
        <f t="shared" si="39"/>
        <v>0</v>
      </c>
      <c r="AM105" s="1155">
        <f t="shared" si="39"/>
        <v>0</v>
      </c>
      <c r="AN105" s="1155">
        <f t="shared" si="39"/>
        <v>0</v>
      </c>
      <c r="AO105" s="1155">
        <f t="shared" si="39"/>
        <v>5</v>
      </c>
      <c r="AP105" s="1155">
        <f t="shared" si="39"/>
        <v>0</v>
      </c>
      <c r="AQ105" s="1155">
        <f t="shared" si="39"/>
        <v>0</v>
      </c>
      <c r="AR105" s="1155">
        <f t="shared" si="39"/>
        <v>0</v>
      </c>
      <c r="AS105" s="1155">
        <f t="shared" si="39"/>
        <v>0</v>
      </c>
      <c r="AT105" s="1155">
        <f t="shared" si="39"/>
        <v>0</v>
      </c>
    </row>
    <row r="106" ht="15.75" customHeight="1">
      <c r="A106" s="852"/>
      <c r="B106" s="852"/>
      <c r="C106" s="852"/>
      <c r="D106" s="852"/>
      <c r="E106" s="852"/>
      <c r="F106" s="852"/>
      <c r="G106" s="852"/>
      <c r="H106" s="852"/>
      <c r="I106" s="852"/>
      <c r="J106" s="852"/>
      <c r="K106" s="852"/>
      <c r="L106" s="852"/>
      <c r="M106" s="852"/>
      <c r="N106" s="852"/>
      <c r="O106" s="852"/>
      <c r="P106" s="852"/>
      <c r="Q106" s="852"/>
      <c r="R106" s="852"/>
      <c r="S106" s="852"/>
      <c r="T106" s="852"/>
      <c r="U106" s="852"/>
      <c r="V106" s="852"/>
      <c r="W106" s="852"/>
      <c r="X106" s="852"/>
      <c r="Y106" s="852"/>
      <c r="Z106" s="852"/>
      <c r="AA106" s="852"/>
      <c r="AB106" s="852"/>
      <c r="AC106" s="852"/>
      <c r="AD106" s="852"/>
      <c r="AE106" s="852"/>
      <c r="AF106" s="852"/>
      <c r="AG106" s="852"/>
      <c r="AH106" s="852"/>
      <c r="AI106" s="852"/>
      <c r="AJ106" s="852"/>
      <c r="AK106" s="852"/>
      <c r="AL106" s="852"/>
      <c r="AM106" s="852"/>
      <c r="AN106" s="852"/>
      <c r="AO106" s="852"/>
      <c r="AP106" s="852"/>
      <c r="AQ106" s="852"/>
      <c r="AR106" s="852"/>
      <c r="AS106" s="852"/>
      <c r="AT106" s="852"/>
    </row>
    <row r="107" ht="15.75" customHeight="1">
      <c r="A107" s="852"/>
      <c r="B107" s="852"/>
      <c r="C107" s="852"/>
      <c r="D107" s="852"/>
      <c r="E107" s="852"/>
      <c r="F107" s="852"/>
      <c r="G107" s="852"/>
      <c r="H107" s="852"/>
      <c r="I107" s="852"/>
      <c r="J107" s="852"/>
      <c r="K107" s="852"/>
      <c r="L107" s="852"/>
      <c r="M107" s="852"/>
      <c r="N107" s="852"/>
      <c r="O107" s="852"/>
      <c r="P107" s="852"/>
      <c r="Q107" s="852"/>
      <c r="R107" s="852"/>
      <c r="S107" s="852"/>
      <c r="T107" s="852"/>
      <c r="U107" s="852"/>
      <c r="V107" s="852"/>
      <c r="W107" s="852"/>
      <c r="X107" s="852"/>
      <c r="Y107" s="852"/>
      <c r="Z107" s="852"/>
      <c r="AA107" s="852"/>
      <c r="AB107" s="852"/>
      <c r="AC107" s="852"/>
      <c r="AD107" s="852"/>
      <c r="AE107" s="852"/>
      <c r="AF107" s="852"/>
      <c r="AG107" s="852"/>
      <c r="AH107" s="852"/>
      <c r="AI107" s="852"/>
      <c r="AJ107" s="852"/>
      <c r="AK107" s="852"/>
      <c r="AL107" s="852"/>
      <c r="AM107" s="852"/>
      <c r="AN107" s="852"/>
      <c r="AO107" s="852"/>
      <c r="AP107" s="852"/>
      <c r="AQ107" s="852"/>
      <c r="AR107" s="852"/>
      <c r="AS107" s="852"/>
      <c r="AT107" s="852"/>
    </row>
    <row r="108" ht="15.75" customHeight="1">
      <c r="A108" s="852"/>
      <c r="B108" s="852"/>
      <c r="C108" s="852"/>
      <c r="D108" s="852"/>
      <c r="E108" s="852"/>
      <c r="F108" s="852"/>
      <c r="G108" s="852"/>
      <c r="H108" s="852"/>
      <c r="I108" s="852"/>
      <c r="J108" s="852"/>
      <c r="K108" s="852"/>
      <c r="L108" s="852"/>
      <c r="M108" s="852"/>
      <c r="N108" s="852"/>
      <c r="O108" s="852"/>
      <c r="P108" s="852"/>
      <c r="Q108" s="852"/>
      <c r="R108" s="852"/>
      <c r="S108" s="852"/>
      <c r="T108" s="852"/>
      <c r="U108" s="852"/>
      <c r="V108" s="852"/>
      <c r="W108" s="852"/>
      <c r="X108" s="852"/>
      <c r="Y108" s="852"/>
      <c r="Z108" s="852"/>
      <c r="AA108" s="852"/>
      <c r="AB108" s="852"/>
      <c r="AC108" s="852"/>
      <c r="AD108" s="852"/>
      <c r="AE108" s="852"/>
      <c r="AF108" s="852"/>
      <c r="AG108" s="852"/>
      <c r="AH108" s="852"/>
      <c r="AI108" s="852"/>
      <c r="AJ108" s="852"/>
      <c r="AK108" s="852"/>
      <c r="AL108" s="852"/>
      <c r="AM108" s="852"/>
      <c r="AN108" s="852"/>
      <c r="AO108" s="852"/>
      <c r="AP108" s="852"/>
      <c r="AQ108" s="852"/>
      <c r="AR108" s="852"/>
      <c r="AS108" s="852"/>
      <c r="AT108" s="852"/>
    </row>
    <row r="109" ht="15.75" customHeight="1">
      <c r="A109" s="852"/>
      <c r="B109" s="852"/>
      <c r="C109" s="852"/>
      <c r="D109" s="852"/>
      <c r="E109" s="852"/>
      <c r="F109" s="852"/>
      <c r="G109" s="852"/>
      <c r="H109" s="852"/>
      <c r="I109" s="852"/>
      <c r="J109" s="852"/>
      <c r="K109" s="852"/>
      <c r="L109" s="852"/>
      <c r="M109" s="852"/>
      <c r="N109" s="852"/>
      <c r="O109" s="852"/>
      <c r="P109" s="852"/>
      <c r="Q109" s="852"/>
      <c r="R109" s="852"/>
      <c r="S109" s="852"/>
      <c r="T109" s="852"/>
      <c r="U109" s="852"/>
      <c r="V109" s="852"/>
      <c r="W109" s="852"/>
      <c r="X109" s="852"/>
      <c r="Y109" s="852"/>
      <c r="Z109" s="852"/>
      <c r="AA109" s="852"/>
      <c r="AB109" s="852"/>
      <c r="AC109" s="852"/>
      <c r="AD109" s="852"/>
      <c r="AE109" s="852"/>
      <c r="AF109" s="852"/>
      <c r="AG109" s="852"/>
      <c r="AH109" s="852"/>
      <c r="AI109" s="852"/>
      <c r="AJ109" s="852"/>
      <c r="AK109" s="852"/>
      <c r="AL109" s="852"/>
      <c r="AM109" s="852"/>
      <c r="AN109" s="852"/>
      <c r="AO109" s="852"/>
      <c r="AP109" s="852"/>
      <c r="AQ109" s="852"/>
      <c r="AR109" s="852"/>
      <c r="AS109" s="852"/>
      <c r="AT109" s="852"/>
    </row>
    <row r="110" ht="15.75" customHeight="1">
      <c r="A110" s="852"/>
      <c r="B110" s="852"/>
      <c r="C110" s="852"/>
      <c r="D110" s="852"/>
      <c r="E110" s="852"/>
      <c r="F110" s="852"/>
      <c r="G110" s="852"/>
      <c r="H110" s="852"/>
      <c r="I110" s="852"/>
      <c r="J110" s="852"/>
      <c r="K110" s="852"/>
      <c r="L110" s="852"/>
      <c r="M110" s="852"/>
      <c r="N110" s="852"/>
      <c r="O110" s="852"/>
      <c r="P110" s="852"/>
      <c r="Q110" s="852"/>
      <c r="R110" s="852"/>
      <c r="S110" s="852"/>
      <c r="T110" s="852"/>
      <c r="U110" s="852"/>
      <c r="V110" s="852"/>
      <c r="W110" s="852"/>
      <c r="X110" s="852"/>
      <c r="Y110" s="852"/>
      <c r="Z110" s="852"/>
      <c r="AA110" s="852"/>
      <c r="AB110" s="852"/>
      <c r="AC110" s="852"/>
      <c r="AD110" s="852"/>
      <c r="AE110" s="852"/>
      <c r="AF110" s="852"/>
      <c r="AG110" s="852"/>
      <c r="AH110" s="852"/>
      <c r="AI110" s="852"/>
      <c r="AJ110" s="852"/>
      <c r="AK110" s="852"/>
      <c r="AL110" s="852"/>
      <c r="AM110" s="852"/>
      <c r="AN110" s="852"/>
      <c r="AO110" s="852"/>
      <c r="AP110" s="852"/>
      <c r="AQ110" s="852"/>
      <c r="AR110" s="852"/>
      <c r="AS110" s="852"/>
      <c r="AT110" s="852"/>
    </row>
    <row r="111" ht="15.75" customHeight="1">
      <c r="A111" s="852"/>
      <c r="B111" s="852"/>
      <c r="C111" s="852"/>
      <c r="D111" s="852"/>
      <c r="E111" s="852"/>
      <c r="F111" s="852"/>
      <c r="G111" s="852"/>
      <c r="H111" s="852"/>
      <c r="I111" s="852"/>
      <c r="J111" s="852"/>
      <c r="K111" s="852"/>
      <c r="L111" s="852"/>
      <c r="M111" s="852"/>
      <c r="N111" s="852"/>
      <c r="O111" s="852"/>
      <c r="P111" s="852"/>
      <c r="Q111" s="852"/>
      <c r="R111" s="852"/>
      <c r="S111" s="852"/>
      <c r="T111" s="852"/>
      <c r="U111" s="852"/>
      <c r="V111" s="852"/>
      <c r="W111" s="852"/>
      <c r="X111" s="852"/>
      <c r="Y111" s="852"/>
      <c r="Z111" s="852"/>
      <c r="AA111" s="852"/>
      <c r="AB111" s="852"/>
      <c r="AC111" s="852"/>
      <c r="AD111" s="852"/>
      <c r="AE111" s="852"/>
      <c r="AF111" s="852"/>
      <c r="AG111" s="852"/>
      <c r="AH111" s="852"/>
      <c r="AI111" s="852"/>
      <c r="AJ111" s="852"/>
      <c r="AK111" s="852"/>
      <c r="AL111" s="852"/>
      <c r="AM111" s="852"/>
      <c r="AN111" s="852"/>
      <c r="AO111" s="852"/>
      <c r="AP111" s="852"/>
      <c r="AQ111" s="852"/>
      <c r="AR111" s="852"/>
      <c r="AS111" s="852"/>
      <c r="AT111" s="852"/>
    </row>
    <row r="112" ht="15.75" customHeight="1">
      <c r="A112" s="852"/>
      <c r="B112" s="852"/>
      <c r="C112" s="852"/>
      <c r="D112" s="852"/>
      <c r="E112" s="852"/>
      <c r="F112" s="852"/>
      <c r="G112" s="852"/>
      <c r="H112" s="852"/>
      <c r="I112" s="852"/>
      <c r="J112" s="852"/>
      <c r="K112" s="852"/>
      <c r="L112" s="852"/>
      <c r="M112" s="852"/>
      <c r="N112" s="852"/>
      <c r="O112" s="852"/>
      <c r="P112" s="852"/>
      <c r="Q112" s="852"/>
      <c r="R112" s="852"/>
      <c r="S112" s="852"/>
      <c r="T112" s="852"/>
      <c r="U112" s="852"/>
      <c r="V112" s="852"/>
      <c r="W112" s="852"/>
      <c r="X112" s="852"/>
      <c r="Y112" s="852"/>
      <c r="Z112" s="852"/>
      <c r="AA112" s="852"/>
      <c r="AB112" s="852"/>
      <c r="AC112" s="852"/>
      <c r="AD112" s="852"/>
      <c r="AE112" s="852"/>
      <c r="AF112" s="852"/>
      <c r="AG112" s="852"/>
      <c r="AH112" s="852"/>
      <c r="AI112" s="852"/>
      <c r="AJ112" s="852"/>
      <c r="AK112" s="852"/>
      <c r="AL112" s="852"/>
      <c r="AM112" s="852"/>
      <c r="AN112" s="852"/>
      <c r="AO112" s="852"/>
      <c r="AP112" s="852"/>
      <c r="AQ112" s="852"/>
      <c r="AR112" s="852"/>
      <c r="AS112" s="852"/>
      <c r="AT112" s="852"/>
    </row>
    <row r="113" ht="15.75" customHeight="1">
      <c r="A113" s="852"/>
      <c r="B113" s="852"/>
      <c r="C113" s="852"/>
      <c r="D113" s="852"/>
      <c r="E113" s="852"/>
      <c r="F113" s="852"/>
      <c r="G113" s="852"/>
      <c r="H113" s="852"/>
      <c r="I113" s="852"/>
      <c r="J113" s="852"/>
      <c r="K113" s="852"/>
      <c r="L113" s="852"/>
      <c r="M113" s="852"/>
      <c r="N113" s="852"/>
      <c r="O113" s="852"/>
      <c r="P113" s="852"/>
      <c r="Q113" s="852"/>
      <c r="R113" s="852"/>
      <c r="S113" s="852"/>
      <c r="T113" s="852"/>
      <c r="U113" s="852"/>
      <c r="V113" s="852"/>
      <c r="W113" s="852"/>
      <c r="X113" s="852"/>
      <c r="Y113" s="852"/>
      <c r="Z113" s="852"/>
      <c r="AA113" s="852"/>
      <c r="AB113" s="852"/>
      <c r="AC113" s="852"/>
      <c r="AD113" s="852"/>
      <c r="AE113" s="852"/>
      <c r="AF113" s="852"/>
      <c r="AG113" s="852"/>
      <c r="AH113" s="852"/>
      <c r="AI113" s="852"/>
      <c r="AJ113" s="852"/>
      <c r="AK113" s="852"/>
      <c r="AL113" s="852"/>
      <c r="AM113" s="852"/>
      <c r="AN113" s="852"/>
      <c r="AO113" s="852"/>
      <c r="AP113" s="852"/>
      <c r="AQ113" s="852"/>
      <c r="AR113" s="852"/>
      <c r="AS113" s="852"/>
      <c r="AT113" s="852"/>
    </row>
    <row r="114" ht="15.75" customHeight="1">
      <c r="A114" s="852"/>
      <c r="B114" s="852"/>
      <c r="C114" s="852"/>
      <c r="D114" s="852"/>
      <c r="E114" s="852"/>
      <c r="F114" s="852"/>
      <c r="G114" s="852"/>
      <c r="H114" s="852"/>
      <c r="I114" s="852"/>
      <c r="J114" s="852"/>
      <c r="K114" s="852"/>
      <c r="L114" s="852"/>
      <c r="M114" s="852"/>
      <c r="N114" s="852"/>
      <c r="O114" s="852"/>
      <c r="P114" s="852"/>
      <c r="Q114" s="852"/>
      <c r="R114" s="852"/>
      <c r="S114" s="852"/>
      <c r="T114" s="852"/>
      <c r="U114" s="852"/>
      <c r="V114" s="852"/>
      <c r="W114" s="852"/>
      <c r="X114" s="852"/>
      <c r="Y114" s="852"/>
      <c r="Z114" s="852"/>
      <c r="AA114" s="852"/>
      <c r="AB114" s="852"/>
      <c r="AC114" s="852"/>
      <c r="AD114" s="852"/>
      <c r="AE114" s="852"/>
      <c r="AF114" s="852"/>
      <c r="AG114" s="852"/>
      <c r="AH114" s="852"/>
      <c r="AI114" s="852"/>
      <c r="AJ114" s="852"/>
      <c r="AK114" s="852"/>
      <c r="AL114" s="852"/>
      <c r="AM114" s="852"/>
      <c r="AN114" s="852"/>
      <c r="AO114" s="852"/>
      <c r="AP114" s="852"/>
      <c r="AQ114" s="852"/>
      <c r="AR114" s="852"/>
      <c r="AS114" s="852"/>
      <c r="AT114" s="852"/>
    </row>
    <row r="115" ht="15.75" customHeight="1">
      <c r="A115" s="852"/>
      <c r="B115" s="852"/>
      <c r="C115" s="852"/>
      <c r="D115" s="852"/>
      <c r="E115" s="852"/>
      <c r="F115" s="852"/>
      <c r="G115" s="852"/>
      <c r="H115" s="852"/>
      <c r="I115" s="852"/>
      <c r="J115" s="852"/>
      <c r="K115" s="852"/>
      <c r="L115" s="852"/>
      <c r="M115" s="852"/>
      <c r="N115" s="852"/>
      <c r="O115" s="852"/>
      <c r="P115" s="852"/>
      <c r="Q115" s="852"/>
      <c r="R115" s="852"/>
      <c r="S115" s="852"/>
      <c r="T115" s="852"/>
      <c r="U115" s="852"/>
      <c r="V115" s="852"/>
      <c r="W115" s="852"/>
      <c r="X115" s="852"/>
      <c r="Y115" s="852"/>
      <c r="Z115" s="852"/>
      <c r="AA115" s="852"/>
      <c r="AB115" s="852"/>
      <c r="AC115" s="852"/>
      <c r="AD115" s="852"/>
      <c r="AE115" s="852"/>
      <c r="AF115" s="852"/>
      <c r="AG115" s="852"/>
      <c r="AH115" s="852"/>
      <c r="AI115" s="852"/>
      <c r="AJ115" s="852"/>
      <c r="AK115" s="852"/>
      <c r="AL115" s="852"/>
      <c r="AM115" s="852"/>
      <c r="AN115" s="852"/>
      <c r="AO115" s="852"/>
      <c r="AP115" s="852"/>
      <c r="AQ115" s="852"/>
      <c r="AR115" s="852"/>
      <c r="AS115" s="852"/>
      <c r="AT115" s="852"/>
    </row>
    <row r="116" ht="15.75" customHeight="1">
      <c r="A116" s="852"/>
      <c r="B116" s="852"/>
      <c r="C116" s="852"/>
      <c r="D116" s="852"/>
      <c r="E116" s="852"/>
      <c r="F116" s="852"/>
      <c r="G116" s="852"/>
      <c r="H116" s="852"/>
      <c r="I116" s="852"/>
      <c r="J116" s="852"/>
      <c r="K116" s="852"/>
      <c r="L116" s="852"/>
      <c r="M116" s="852"/>
      <c r="N116" s="852"/>
      <c r="O116" s="852"/>
      <c r="P116" s="852"/>
      <c r="Q116" s="852"/>
      <c r="R116" s="852"/>
      <c r="S116" s="852"/>
      <c r="T116" s="852"/>
      <c r="U116" s="852"/>
      <c r="V116" s="852"/>
      <c r="W116" s="852"/>
      <c r="X116" s="852"/>
      <c r="Y116" s="852"/>
      <c r="Z116" s="852"/>
      <c r="AA116" s="852"/>
      <c r="AB116" s="852"/>
      <c r="AC116" s="852"/>
      <c r="AD116" s="852"/>
      <c r="AE116" s="852"/>
      <c r="AF116" s="852"/>
      <c r="AG116" s="852"/>
      <c r="AH116" s="852"/>
      <c r="AI116" s="852"/>
      <c r="AJ116" s="852"/>
      <c r="AK116" s="852"/>
      <c r="AL116" s="852"/>
      <c r="AM116" s="852"/>
      <c r="AN116" s="852"/>
      <c r="AO116" s="852"/>
      <c r="AP116" s="852"/>
      <c r="AQ116" s="852"/>
      <c r="AR116" s="852"/>
      <c r="AS116" s="852"/>
      <c r="AT116" s="852"/>
    </row>
    <row r="117" ht="15.75" customHeight="1">
      <c r="A117" s="852"/>
      <c r="B117" s="852"/>
      <c r="C117" s="852"/>
      <c r="D117" s="852"/>
      <c r="E117" s="852"/>
      <c r="F117" s="852"/>
      <c r="G117" s="852"/>
      <c r="H117" s="852"/>
      <c r="I117" s="852"/>
      <c r="J117" s="852"/>
      <c r="K117" s="852"/>
      <c r="L117" s="852"/>
      <c r="M117" s="852"/>
      <c r="N117" s="852"/>
      <c r="O117" s="852"/>
      <c r="P117" s="852"/>
      <c r="Q117" s="852"/>
      <c r="R117" s="852"/>
      <c r="S117" s="852"/>
      <c r="T117" s="852"/>
      <c r="U117" s="852"/>
      <c r="V117" s="852"/>
      <c r="W117" s="852"/>
      <c r="X117" s="852"/>
      <c r="Y117" s="852"/>
      <c r="Z117" s="852"/>
      <c r="AA117" s="852"/>
      <c r="AB117" s="852"/>
      <c r="AC117" s="852"/>
      <c r="AD117" s="852"/>
      <c r="AE117" s="852"/>
      <c r="AF117" s="852"/>
      <c r="AG117" s="852"/>
      <c r="AH117" s="852"/>
      <c r="AI117" s="852"/>
      <c r="AJ117" s="852"/>
      <c r="AK117" s="852"/>
      <c r="AL117" s="852"/>
      <c r="AM117" s="852"/>
      <c r="AN117" s="852"/>
      <c r="AO117" s="852"/>
      <c r="AP117" s="852"/>
      <c r="AQ117" s="852"/>
      <c r="AR117" s="852"/>
      <c r="AS117" s="852"/>
      <c r="AT117" s="852"/>
    </row>
    <row r="118" ht="15.75" customHeight="1">
      <c r="A118" s="852"/>
      <c r="B118" s="852"/>
      <c r="C118" s="852"/>
      <c r="D118" s="852"/>
      <c r="E118" s="852"/>
      <c r="F118" s="852"/>
      <c r="G118" s="852"/>
      <c r="H118" s="852"/>
      <c r="I118" s="852"/>
      <c r="J118" s="852"/>
      <c r="K118" s="852"/>
      <c r="L118" s="852"/>
      <c r="M118" s="852"/>
      <c r="N118" s="852"/>
      <c r="O118" s="852"/>
      <c r="P118" s="852"/>
      <c r="Q118" s="852"/>
      <c r="R118" s="852"/>
      <c r="S118" s="852"/>
      <c r="T118" s="852"/>
      <c r="U118" s="852"/>
      <c r="V118" s="852"/>
      <c r="W118" s="852"/>
      <c r="X118" s="852"/>
      <c r="Y118" s="852"/>
      <c r="Z118" s="852"/>
      <c r="AA118" s="852"/>
      <c r="AB118" s="852"/>
      <c r="AC118" s="852"/>
      <c r="AD118" s="852"/>
      <c r="AE118" s="852"/>
      <c r="AF118" s="852"/>
      <c r="AG118" s="852"/>
      <c r="AH118" s="852"/>
      <c r="AI118" s="852"/>
      <c r="AJ118" s="852"/>
      <c r="AK118" s="852"/>
      <c r="AL118" s="852"/>
      <c r="AM118" s="852"/>
      <c r="AN118" s="852"/>
      <c r="AO118" s="852"/>
      <c r="AP118" s="852"/>
      <c r="AQ118" s="852"/>
      <c r="AR118" s="852"/>
      <c r="AS118" s="852"/>
      <c r="AT118" s="852"/>
    </row>
    <row r="119" ht="15.75" customHeight="1">
      <c r="A119" s="852"/>
      <c r="B119" s="852"/>
      <c r="C119" s="852"/>
      <c r="D119" s="852"/>
      <c r="E119" s="852"/>
      <c r="F119" s="852"/>
      <c r="G119" s="852"/>
      <c r="H119" s="852"/>
      <c r="I119" s="852"/>
      <c r="J119" s="852"/>
      <c r="K119" s="852"/>
      <c r="L119" s="852"/>
      <c r="M119" s="852"/>
      <c r="N119" s="852"/>
      <c r="O119" s="852"/>
      <c r="P119" s="852"/>
      <c r="Q119" s="852"/>
      <c r="R119" s="852"/>
      <c r="S119" s="852"/>
      <c r="T119" s="852"/>
      <c r="U119" s="852"/>
      <c r="V119" s="852"/>
      <c r="W119" s="852"/>
      <c r="X119" s="852"/>
      <c r="Y119" s="852"/>
      <c r="Z119" s="852"/>
      <c r="AA119" s="852"/>
      <c r="AB119" s="852"/>
      <c r="AC119" s="852"/>
      <c r="AD119" s="852"/>
      <c r="AE119" s="852"/>
      <c r="AF119" s="852"/>
      <c r="AG119" s="852"/>
      <c r="AH119" s="852"/>
      <c r="AI119" s="852"/>
      <c r="AJ119" s="852"/>
      <c r="AK119" s="852"/>
      <c r="AL119" s="852"/>
      <c r="AM119" s="852"/>
      <c r="AN119" s="852"/>
      <c r="AO119" s="852"/>
      <c r="AP119" s="852"/>
      <c r="AQ119" s="852"/>
      <c r="AR119" s="852"/>
      <c r="AS119" s="852"/>
      <c r="AT119" s="852"/>
    </row>
    <row r="120" ht="15.75" customHeight="1">
      <c r="A120" s="852"/>
      <c r="B120" s="852"/>
      <c r="C120" s="852"/>
      <c r="D120" s="852"/>
      <c r="E120" s="852"/>
      <c r="F120" s="852"/>
      <c r="G120" s="852"/>
      <c r="H120" s="852"/>
      <c r="I120" s="852"/>
      <c r="J120" s="852"/>
      <c r="K120" s="852"/>
      <c r="L120" s="852"/>
      <c r="M120" s="852"/>
      <c r="N120" s="852"/>
      <c r="O120" s="852"/>
      <c r="P120" s="852"/>
      <c r="Q120" s="852"/>
      <c r="R120" s="852"/>
      <c r="S120" s="852"/>
      <c r="T120" s="852"/>
      <c r="U120" s="852"/>
      <c r="V120" s="852"/>
      <c r="W120" s="852"/>
      <c r="X120" s="852"/>
      <c r="Y120" s="852"/>
      <c r="Z120" s="852"/>
      <c r="AA120" s="852"/>
      <c r="AB120" s="852"/>
      <c r="AC120" s="852"/>
      <c r="AD120" s="852"/>
      <c r="AE120" s="852"/>
      <c r="AF120" s="852"/>
      <c r="AG120" s="852"/>
      <c r="AH120" s="852"/>
      <c r="AI120" s="852"/>
      <c r="AJ120" s="852"/>
      <c r="AK120" s="852"/>
      <c r="AL120" s="852"/>
      <c r="AM120" s="852"/>
      <c r="AN120" s="852"/>
      <c r="AO120" s="852"/>
      <c r="AP120" s="852"/>
      <c r="AQ120" s="852"/>
      <c r="AR120" s="852"/>
      <c r="AS120" s="852"/>
      <c r="AT120" s="852"/>
    </row>
    <row r="121" ht="15.75" customHeight="1">
      <c r="A121" s="852"/>
      <c r="B121" s="852"/>
      <c r="C121" s="852"/>
      <c r="D121" s="852"/>
      <c r="E121" s="852"/>
      <c r="F121" s="852"/>
      <c r="G121" s="852"/>
      <c r="H121" s="852"/>
      <c r="I121" s="852"/>
      <c r="J121" s="852"/>
      <c r="K121" s="852"/>
      <c r="L121" s="852"/>
      <c r="M121" s="852"/>
      <c r="N121" s="852"/>
      <c r="O121" s="852"/>
      <c r="P121" s="852"/>
      <c r="Q121" s="852"/>
      <c r="R121" s="852"/>
      <c r="S121" s="852"/>
      <c r="T121" s="852"/>
      <c r="U121" s="852"/>
      <c r="V121" s="852"/>
      <c r="W121" s="852"/>
      <c r="X121" s="852"/>
      <c r="Y121" s="852"/>
      <c r="Z121" s="852"/>
      <c r="AA121" s="852"/>
      <c r="AB121" s="852"/>
      <c r="AC121" s="852"/>
      <c r="AD121" s="852"/>
      <c r="AE121" s="852"/>
      <c r="AF121" s="852"/>
      <c r="AG121" s="852"/>
      <c r="AH121" s="852"/>
      <c r="AI121" s="852"/>
      <c r="AJ121" s="852"/>
      <c r="AK121" s="852"/>
      <c r="AL121" s="852"/>
      <c r="AM121" s="852"/>
      <c r="AN121" s="852"/>
      <c r="AO121" s="852"/>
      <c r="AP121" s="852"/>
      <c r="AQ121" s="852"/>
      <c r="AR121" s="852"/>
      <c r="AS121" s="852"/>
      <c r="AT121" s="852"/>
    </row>
    <row r="122" ht="15.75" customHeight="1">
      <c r="A122" s="852"/>
      <c r="B122" s="852"/>
      <c r="C122" s="852"/>
      <c r="D122" s="852"/>
      <c r="E122" s="852"/>
      <c r="F122" s="852"/>
      <c r="G122" s="852"/>
      <c r="H122" s="852"/>
      <c r="I122" s="852"/>
      <c r="J122" s="852"/>
      <c r="K122" s="852"/>
      <c r="L122" s="852"/>
      <c r="M122" s="852"/>
      <c r="N122" s="852"/>
      <c r="O122" s="852"/>
      <c r="P122" s="852"/>
      <c r="Q122" s="852"/>
      <c r="R122" s="852"/>
      <c r="S122" s="852"/>
      <c r="T122" s="852"/>
      <c r="U122" s="852"/>
      <c r="V122" s="852"/>
      <c r="W122" s="852"/>
      <c r="X122" s="852"/>
      <c r="Y122" s="852"/>
      <c r="Z122" s="852"/>
      <c r="AA122" s="852"/>
      <c r="AB122" s="852"/>
      <c r="AC122" s="852"/>
      <c r="AD122" s="852"/>
      <c r="AE122" s="852"/>
      <c r="AF122" s="852"/>
      <c r="AG122" s="852"/>
      <c r="AH122" s="852"/>
      <c r="AI122" s="852"/>
      <c r="AJ122" s="852"/>
      <c r="AK122" s="852"/>
      <c r="AL122" s="852"/>
      <c r="AM122" s="852"/>
      <c r="AN122" s="852"/>
      <c r="AO122" s="852"/>
      <c r="AP122" s="852"/>
      <c r="AQ122" s="852"/>
      <c r="AR122" s="852"/>
      <c r="AS122" s="852"/>
      <c r="AT122" s="852"/>
    </row>
    <row r="123" ht="15.75" customHeight="1">
      <c r="A123" s="852"/>
      <c r="B123" s="852"/>
      <c r="C123" s="852"/>
      <c r="D123" s="852"/>
      <c r="E123" s="852"/>
      <c r="F123" s="852"/>
      <c r="G123" s="852"/>
      <c r="H123" s="852"/>
      <c r="I123" s="852"/>
      <c r="J123" s="852"/>
      <c r="K123" s="852"/>
      <c r="L123" s="852"/>
      <c r="M123" s="852"/>
      <c r="N123" s="852"/>
      <c r="O123" s="852"/>
      <c r="P123" s="852"/>
      <c r="Q123" s="852"/>
      <c r="R123" s="852"/>
      <c r="S123" s="852"/>
      <c r="T123" s="852"/>
      <c r="U123" s="852"/>
      <c r="V123" s="852"/>
      <c r="W123" s="852"/>
      <c r="X123" s="852"/>
      <c r="Y123" s="852"/>
      <c r="Z123" s="852"/>
      <c r="AA123" s="852"/>
      <c r="AB123" s="852"/>
      <c r="AC123" s="852"/>
      <c r="AD123" s="852"/>
      <c r="AE123" s="852"/>
      <c r="AF123" s="852"/>
      <c r="AG123" s="852"/>
      <c r="AH123" s="852"/>
      <c r="AI123" s="852"/>
      <c r="AJ123" s="852"/>
      <c r="AK123" s="852"/>
      <c r="AL123" s="852"/>
      <c r="AM123" s="852"/>
      <c r="AN123" s="852"/>
      <c r="AO123" s="852"/>
      <c r="AP123" s="852"/>
      <c r="AQ123" s="852"/>
      <c r="AR123" s="852"/>
      <c r="AS123" s="852"/>
      <c r="AT123" s="852"/>
    </row>
    <row r="124" ht="15.75" customHeight="1">
      <c r="A124" s="852"/>
      <c r="B124" s="852"/>
      <c r="C124" s="852"/>
      <c r="D124" s="852"/>
      <c r="E124" s="852"/>
      <c r="F124" s="852"/>
      <c r="G124" s="852"/>
      <c r="H124" s="852"/>
      <c r="I124" s="852"/>
      <c r="J124" s="852"/>
      <c r="K124" s="852"/>
      <c r="L124" s="852"/>
      <c r="M124" s="852"/>
      <c r="N124" s="852"/>
      <c r="O124" s="852"/>
      <c r="P124" s="852"/>
      <c r="Q124" s="852"/>
      <c r="R124" s="852"/>
      <c r="S124" s="852"/>
      <c r="T124" s="852"/>
      <c r="U124" s="852"/>
      <c r="V124" s="852"/>
      <c r="W124" s="852"/>
      <c r="X124" s="852"/>
      <c r="Y124" s="852"/>
      <c r="Z124" s="852"/>
      <c r="AA124" s="852"/>
      <c r="AB124" s="852"/>
      <c r="AC124" s="852"/>
      <c r="AD124" s="852"/>
      <c r="AE124" s="852"/>
      <c r="AF124" s="852"/>
      <c r="AG124" s="852"/>
      <c r="AH124" s="852"/>
      <c r="AI124" s="852"/>
      <c r="AJ124" s="852"/>
      <c r="AK124" s="852"/>
      <c r="AL124" s="852"/>
      <c r="AM124" s="852"/>
      <c r="AN124" s="852"/>
      <c r="AO124" s="852"/>
      <c r="AP124" s="852"/>
      <c r="AQ124" s="852"/>
      <c r="AR124" s="852"/>
      <c r="AS124" s="852"/>
      <c r="AT124" s="852"/>
    </row>
    <row r="125" ht="15.75" customHeight="1">
      <c r="A125" s="852"/>
      <c r="B125" s="852"/>
      <c r="C125" s="852"/>
      <c r="D125" s="852"/>
      <c r="E125" s="852"/>
      <c r="F125" s="852"/>
      <c r="G125" s="852"/>
      <c r="H125" s="852"/>
      <c r="I125" s="852"/>
      <c r="J125" s="852"/>
      <c r="K125" s="852"/>
      <c r="L125" s="852"/>
      <c r="M125" s="852"/>
      <c r="N125" s="852"/>
      <c r="O125" s="852"/>
      <c r="P125" s="852"/>
      <c r="Q125" s="852"/>
      <c r="R125" s="852"/>
      <c r="S125" s="852"/>
      <c r="T125" s="852"/>
      <c r="U125" s="852"/>
      <c r="V125" s="852"/>
      <c r="W125" s="852"/>
      <c r="X125" s="852"/>
      <c r="Y125" s="852"/>
      <c r="Z125" s="852"/>
      <c r="AA125" s="852"/>
      <c r="AB125" s="852"/>
      <c r="AC125" s="852"/>
      <c r="AD125" s="852"/>
      <c r="AE125" s="852"/>
      <c r="AF125" s="852"/>
      <c r="AG125" s="852"/>
      <c r="AH125" s="852"/>
      <c r="AI125" s="852"/>
      <c r="AJ125" s="852"/>
      <c r="AK125" s="852"/>
      <c r="AL125" s="852"/>
      <c r="AM125" s="852"/>
      <c r="AN125" s="852"/>
      <c r="AO125" s="852"/>
      <c r="AP125" s="852"/>
      <c r="AQ125" s="852"/>
      <c r="AR125" s="852"/>
      <c r="AS125" s="852"/>
      <c r="AT125" s="852"/>
    </row>
    <row r="126" ht="15.75" customHeight="1">
      <c r="A126" s="852"/>
      <c r="B126" s="852"/>
      <c r="C126" s="852"/>
      <c r="D126" s="852"/>
      <c r="E126" s="852"/>
      <c r="F126" s="852"/>
      <c r="G126" s="852"/>
      <c r="H126" s="852"/>
      <c r="I126" s="852"/>
      <c r="J126" s="852"/>
      <c r="K126" s="852"/>
      <c r="L126" s="852"/>
      <c r="M126" s="852"/>
      <c r="N126" s="852"/>
      <c r="O126" s="852"/>
      <c r="P126" s="852"/>
      <c r="Q126" s="852"/>
      <c r="R126" s="852"/>
      <c r="S126" s="852"/>
      <c r="T126" s="852"/>
      <c r="U126" s="852"/>
      <c r="V126" s="852"/>
      <c r="W126" s="852"/>
      <c r="X126" s="852"/>
      <c r="Y126" s="852"/>
      <c r="Z126" s="852"/>
      <c r="AA126" s="852"/>
      <c r="AB126" s="852"/>
      <c r="AC126" s="852"/>
      <c r="AD126" s="852"/>
      <c r="AE126" s="852"/>
      <c r="AF126" s="852"/>
      <c r="AG126" s="852"/>
      <c r="AH126" s="852"/>
      <c r="AI126" s="852"/>
      <c r="AJ126" s="852"/>
      <c r="AK126" s="852"/>
      <c r="AL126" s="852"/>
      <c r="AM126" s="852"/>
      <c r="AN126" s="852"/>
      <c r="AO126" s="852"/>
      <c r="AP126" s="852"/>
      <c r="AQ126" s="852"/>
      <c r="AR126" s="852"/>
      <c r="AS126" s="852"/>
      <c r="AT126" s="852"/>
    </row>
    <row r="127" ht="15.75" customHeight="1">
      <c r="A127" s="852"/>
      <c r="B127" s="852"/>
      <c r="C127" s="852"/>
      <c r="D127" s="852"/>
      <c r="E127" s="852"/>
      <c r="F127" s="852"/>
      <c r="G127" s="852"/>
      <c r="H127" s="852"/>
      <c r="I127" s="852"/>
      <c r="J127" s="852"/>
      <c r="K127" s="852"/>
      <c r="L127" s="852"/>
      <c r="M127" s="852"/>
      <c r="N127" s="852"/>
      <c r="O127" s="852"/>
      <c r="P127" s="852"/>
      <c r="Q127" s="852"/>
      <c r="R127" s="852"/>
      <c r="S127" s="852"/>
      <c r="T127" s="852"/>
      <c r="U127" s="852"/>
      <c r="V127" s="852"/>
      <c r="W127" s="852"/>
      <c r="X127" s="852"/>
      <c r="Y127" s="852"/>
      <c r="Z127" s="852"/>
      <c r="AA127" s="852"/>
      <c r="AB127" s="852"/>
      <c r="AC127" s="852"/>
      <c r="AD127" s="852"/>
      <c r="AE127" s="852"/>
      <c r="AF127" s="852"/>
      <c r="AG127" s="852"/>
      <c r="AH127" s="852"/>
      <c r="AI127" s="852"/>
      <c r="AJ127" s="852"/>
      <c r="AK127" s="852"/>
      <c r="AL127" s="852"/>
      <c r="AM127" s="852"/>
      <c r="AN127" s="852"/>
      <c r="AO127" s="852"/>
      <c r="AP127" s="852"/>
      <c r="AQ127" s="852"/>
      <c r="AR127" s="852"/>
      <c r="AS127" s="852"/>
      <c r="AT127" s="852"/>
    </row>
    <row r="128" ht="15.75" customHeight="1">
      <c r="A128" s="852"/>
      <c r="B128" s="852"/>
      <c r="C128" s="852"/>
      <c r="D128" s="852"/>
      <c r="E128" s="852"/>
      <c r="F128" s="852"/>
      <c r="G128" s="852"/>
      <c r="H128" s="852"/>
      <c r="I128" s="852"/>
      <c r="J128" s="852"/>
      <c r="K128" s="852"/>
      <c r="L128" s="852"/>
      <c r="M128" s="852"/>
      <c r="N128" s="852"/>
      <c r="O128" s="852"/>
      <c r="P128" s="852"/>
      <c r="Q128" s="852"/>
      <c r="R128" s="852"/>
      <c r="S128" s="852"/>
      <c r="T128" s="852"/>
      <c r="U128" s="852"/>
      <c r="V128" s="852"/>
      <c r="W128" s="852"/>
      <c r="X128" s="852"/>
      <c r="Y128" s="852"/>
      <c r="Z128" s="852"/>
      <c r="AA128" s="852"/>
      <c r="AB128" s="852"/>
      <c r="AC128" s="852"/>
      <c r="AD128" s="852"/>
      <c r="AE128" s="852"/>
      <c r="AF128" s="852"/>
      <c r="AG128" s="852"/>
      <c r="AH128" s="852"/>
      <c r="AI128" s="852"/>
      <c r="AJ128" s="852"/>
      <c r="AK128" s="852"/>
      <c r="AL128" s="852"/>
      <c r="AM128" s="852"/>
      <c r="AN128" s="852"/>
      <c r="AO128" s="852"/>
      <c r="AP128" s="852"/>
      <c r="AQ128" s="852"/>
      <c r="AR128" s="852"/>
      <c r="AS128" s="852"/>
      <c r="AT128" s="852"/>
    </row>
    <row r="129" ht="15.75" customHeight="1">
      <c r="A129" s="852"/>
      <c r="B129" s="852"/>
      <c r="C129" s="852"/>
      <c r="D129" s="852"/>
      <c r="E129" s="852"/>
      <c r="F129" s="852"/>
      <c r="G129" s="852"/>
      <c r="H129" s="852"/>
      <c r="I129" s="852"/>
      <c r="J129" s="852"/>
      <c r="K129" s="852"/>
      <c r="L129" s="852"/>
      <c r="M129" s="852"/>
      <c r="N129" s="852"/>
      <c r="O129" s="852"/>
      <c r="P129" s="852"/>
      <c r="Q129" s="852"/>
      <c r="R129" s="852"/>
      <c r="S129" s="852"/>
      <c r="T129" s="852"/>
      <c r="U129" s="852"/>
      <c r="V129" s="852"/>
      <c r="W129" s="852"/>
      <c r="X129" s="852"/>
      <c r="Y129" s="852"/>
      <c r="Z129" s="852"/>
      <c r="AA129" s="852"/>
      <c r="AB129" s="852"/>
      <c r="AC129" s="852"/>
      <c r="AD129" s="852"/>
      <c r="AE129" s="852"/>
      <c r="AF129" s="852"/>
      <c r="AG129" s="852"/>
      <c r="AH129" s="852"/>
      <c r="AI129" s="852"/>
      <c r="AJ129" s="852"/>
      <c r="AK129" s="852"/>
      <c r="AL129" s="852"/>
      <c r="AM129" s="852"/>
      <c r="AN129" s="852"/>
      <c r="AO129" s="852"/>
      <c r="AP129" s="852"/>
      <c r="AQ129" s="852"/>
      <c r="AR129" s="852"/>
      <c r="AS129" s="852"/>
      <c r="AT129" s="852"/>
    </row>
    <row r="130" ht="15.75" customHeight="1">
      <c r="A130" s="852"/>
      <c r="B130" s="852"/>
      <c r="C130" s="852"/>
      <c r="D130" s="852"/>
      <c r="E130" s="852"/>
      <c r="F130" s="852"/>
      <c r="G130" s="852"/>
      <c r="H130" s="852"/>
      <c r="I130" s="852"/>
      <c r="J130" s="852"/>
      <c r="K130" s="852"/>
      <c r="L130" s="852"/>
      <c r="M130" s="852"/>
      <c r="N130" s="852"/>
      <c r="O130" s="852"/>
      <c r="P130" s="852"/>
      <c r="Q130" s="852"/>
      <c r="R130" s="852"/>
      <c r="S130" s="852"/>
      <c r="T130" s="852"/>
      <c r="U130" s="852"/>
      <c r="V130" s="852"/>
      <c r="W130" s="852"/>
      <c r="X130" s="852"/>
      <c r="Y130" s="852"/>
      <c r="Z130" s="852"/>
      <c r="AA130" s="852"/>
      <c r="AB130" s="852"/>
      <c r="AC130" s="852"/>
      <c r="AD130" s="852"/>
      <c r="AE130" s="852"/>
      <c r="AF130" s="852"/>
      <c r="AG130" s="852"/>
      <c r="AH130" s="852"/>
      <c r="AI130" s="852"/>
      <c r="AJ130" s="852"/>
      <c r="AK130" s="852"/>
      <c r="AL130" s="852"/>
      <c r="AM130" s="852"/>
      <c r="AN130" s="852"/>
      <c r="AO130" s="852"/>
      <c r="AP130" s="852"/>
      <c r="AQ130" s="852"/>
      <c r="AR130" s="852"/>
      <c r="AS130" s="852"/>
      <c r="AT130" s="852"/>
    </row>
    <row r="131" ht="15.75" customHeight="1">
      <c r="A131" s="852"/>
      <c r="B131" s="852"/>
      <c r="C131" s="852"/>
      <c r="D131" s="852"/>
      <c r="E131" s="852"/>
      <c r="F131" s="852"/>
      <c r="G131" s="852"/>
      <c r="H131" s="852"/>
      <c r="I131" s="852"/>
      <c r="J131" s="852"/>
      <c r="K131" s="852"/>
      <c r="L131" s="852"/>
      <c r="M131" s="852"/>
      <c r="N131" s="852"/>
      <c r="O131" s="852"/>
      <c r="P131" s="852"/>
      <c r="Q131" s="852"/>
      <c r="R131" s="852"/>
      <c r="S131" s="852"/>
      <c r="T131" s="852"/>
      <c r="U131" s="852"/>
      <c r="V131" s="852"/>
      <c r="W131" s="852"/>
      <c r="X131" s="852"/>
      <c r="Y131" s="852"/>
      <c r="Z131" s="852"/>
      <c r="AA131" s="852"/>
      <c r="AB131" s="852"/>
      <c r="AC131" s="852"/>
      <c r="AD131" s="852"/>
      <c r="AE131" s="852"/>
      <c r="AF131" s="852"/>
      <c r="AG131" s="852"/>
      <c r="AH131" s="852"/>
      <c r="AI131" s="852"/>
      <c r="AJ131" s="852"/>
      <c r="AK131" s="852"/>
      <c r="AL131" s="852"/>
      <c r="AM131" s="852"/>
      <c r="AN131" s="852"/>
      <c r="AO131" s="852"/>
      <c r="AP131" s="852"/>
      <c r="AQ131" s="852"/>
      <c r="AR131" s="852"/>
      <c r="AS131" s="852"/>
      <c r="AT131" s="852"/>
    </row>
    <row r="132" ht="15.75" customHeight="1">
      <c r="A132" s="852"/>
      <c r="B132" s="852"/>
      <c r="C132" s="852"/>
      <c r="D132" s="852"/>
      <c r="E132" s="852"/>
      <c r="F132" s="852"/>
      <c r="G132" s="852"/>
      <c r="H132" s="852"/>
      <c r="I132" s="852"/>
      <c r="J132" s="852"/>
      <c r="K132" s="852"/>
      <c r="L132" s="852"/>
      <c r="M132" s="852"/>
      <c r="N132" s="852"/>
      <c r="O132" s="852"/>
      <c r="P132" s="852"/>
      <c r="Q132" s="852"/>
      <c r="R132" s="852"/>
      <c r="S132" s="852"/>
      <c r="T132" s="852"/>
      <c r="U132" s="852"/>
      <c r="V132" s="852"/>
      <c r="W132" s="852"/>
      <c r="X132" s="852"/>
      <c r="Y132" s="852"/>
      <c r="Z132" s="852"/>
      <c r="AA132" s="852"/>
      <c r="AB132" s="852"/>
      <c r="AC132" s="852"/>
      <c r="AD132" s="852"/>
      <c r="AE132" s="852"/>
      <c r="AF132" s="852"/>
      <c r="AG132" s="852"/>
      <c r="AH132" s="852"/>
      <c r="AI132" s="852"/>
      <c r="AJ132" s="852"/>
      <c r="AK132" s="852"/>
      <c r="AL132" s="852"/>
      <c r="AM132" s="852"/>
      <c r="AN132" s="852"/>
      <c r="AO132" s="852"/>
      <c r="AP132" s="852"/>
      <c r="AQ132" s="852"/>
      <c r="AR132" s="852"/>
      <c r="AS132" s="852"/>
      <c r="AT132" s="852"/>
    </row>
    <row r="133" ht="15.75" customHeight="1">
      <c r="A133" s="852"/>
      <c r="B133" s="852"/>
      <c r="C133" s="852"/>
      <c r="D133" s="852"/>
      <c r="E133" s="852"/>
      <c r="F133" s="852"/>
      <c r="G133" s="852"/>
      <c r="H133" s="852"/>
      <c r="I133" s="852"/>
      <c r="J133" s="852"/>
      <c r="K133" s="852"/>
      <c r="L133" s="852"/>
      <c r="M133" s="852"/>
      <c r="N133" s="852"/>
      <c r="O133" s="852"/>
      <c r="P133" s="852"/>
      <c r="Q133" s="852"/>
      <c r="R133" s="852"/>
      <c r="S133" s="852"/>
      <c r="T133" s="852"/>
      <c r="U133" s="852"/>
      <c r="V133" s="852"/>
      <c r="W133" s="852"/>
      <c r="X133" s="852"/>
      <c r="Y133" s="852"/>
      <c r="Z133" s="852"/>
      <c r="AA133" s="852"/>
      <c r="AB133" s="852"/>
      <c r="AC133" s="852"/>
      <c r="AD133" s="852"/>
      <c r="AE133" s="852"/>
      <c r="AF133" s="852"/>
      <c r="AG133" s="852"/>
      <c r="AH133" s="852"/>
      <c r="AI133" s="852"/>
      <c r="AJ133" s="852"/>
      <c r="AK133" s="852"/>
      <c r="AL133" s="852"/>
      <c r="AM133" s="852"/>
      <c r="AN133" s="852"/>
      <c r="AO133" s="852"/>
      <c r="AP133" s="852"/>
      <c r="AQ133" s="852"/>
      <c r="AR133" s="852"/>
      <c r="AS133" s="852"/>
      <c r="AT133" s="852"/>
    </row>
    <row r="134" ht="15.75" customHeight="1">
      <c r="A134" s="852"/>
      <c r="B134" s="852"/>
      <c r="C134" s="852"/>
      <c r="D134" s="852"/>
      <c r="E134" s="852"/>
      <c r="F134" s="852"/>
      <c r="G134" s="852"/>
      <c r="H134" s="852"/>
      <c r="I134" s="852"/>
      <c r="J134" s="852"/>
      <c r="K134" s="852"/>
      <c r="L134" s="852"/>
      <c r="M134" s="852"/>
      <c r="N134" s="852"/>
      <c r="O134" s="852"/>
      <c r="P134" s="852"/>
      <c r="Q134" s="852"/>
      <c r="R134" s="852"/>
      <c r="S134" s="852"/>
      <c r="T134" s="852"/>
      <c r="U134" s="852"/>
      <c r="V134" s="852"/>
      <c r="W134" s="852"/>
      <c r="X134" s="852"/>
      <c r="Y134" s="852"/>
      <c r="Z134" s="852"/>
      <c r="AA134" s="852"/>
      <c r="AB134" s="852"/>
      <c r="AC134" s="852"/>
      <c r="AD134" s="852"/>
      <c r="AE134" s="852"/>
      <c r="AF134" s="852"/>
      <c r="AG134" s="852"/>
      <c r="AH134" s="852"/>
      <c r="AI134" s="852"/>
      <c r="AJ134" s="852"/>
      <c r="AK134" s="852"/>
      <c r="AL134" s="852"/>
      <c r="AM134" s="852"/>
      <c r="AN134" s="852"/>
      <c r="AO134" s="852"/>
      <c r="AP134" s="852"/>
      <c r="AQ134" s="852"/>
      <c r="AR134" s="852"/>
      <c r="AS134" s="852"/>
      <c r="AT134" s="852"/>
    </row>
    <row r="135" ht="15.75" customHeight="1">
      <c r="A135" s="852"/>
      <c r="B135" s="852"/>
      <c r="C135" s="852"/>
      <c r="D135" s="852"/>
      <c r="E135" s="852"/>
      <c r="F135" s="852"/>
      <c r="G135" s="852"/>
      <c r="H135" s="852"/>
      <c r="I135" s="852"/>
      <c r="J135" s="852"/>
      <c r="K135" s="852"/>
      <c r="L135" s="852"/>
      <c r="M135" s="852"/>
      <c r="N135" s="852"/>
      <c r="O135" s="852"/>
      <c r="P135" s="852"/>
      <c r="Q135" s="852"/>
      <c r="R135" s="852"/>
      <c r="S135" s="852"/>
      <c r="T135" s="852"/>
      <c r="U135" s="852"/>
      <c r="V135" s="852"/>
      <c r="W135" s="852"/>
      <c r="X135" s="852"/>
      <c r="Y135" s="852"/>
      <c r="Z135" s="852"/>
      <c r="AA135" s="852"/>
      <c r="AB135" s="852"/>
      <c r="AC135" s="852"/>
      <c r="AD135" s="852"/>
      <c r="AE135" s="852"/>
      <c r="AF135" s="852"/>
      <c r="AG135" s="852"/>
      <c r="AH135" s="852"/>
      <c r="AI135" s="852"/>
      <c r="AJ135" s="852"/>
      <c r="AK135" s="852"/>
      <c r="AL135" s="852"/>
      <c r="AM135" s="852"/>
      <c r="AN135" s="852"/>
      <c r="AO135" s="852"/>
      <c r="AP135" s="852"/>
      <c r="AQ135" s="852"/>
      <c r="AR135" s="852"/>
      <c r="AS135" s="852"/>
      <c r="AT135" s="852"/>
    </row>
    <row r="136" ht="15.75" customHeight="1">
      <c r="A136" s="852"/>
      <c r="B136" s="852"/>
      <c r="C136" s="852"/>
      <c r="D136" s="852"/>
      <c r="E136" s="852"/>
      <c r="F136" s="852"/>
      <c r="G136" s="852"/>
      <c r="H136" s="852"/>
      <c r="I136" s="852"/>
      <c r="J136" s="852"/>
      <c r="K136" s="852"/>
      <c r="L136" s="852"/>
      <c r="M136" s="852"/>
      <c r="N136" s="852"/>
      <c r="O136" s="852"/>
      <c r="P136" s="852"/>
      <c r="Q136" s="852"/>
      <c r="R136" s="852"/>
      <c r="S136" s="852"/>
      <c r="T136" s="852"/>
      <c r="U136" s="852"/>
      <c r="V136" s="852"/>
      <c r="W136" s="852"/>
      <c r="X136" s="852"/>
      <c r="Y136" s="852"/>
      <c r="Z136" s="852"/>
      <c r="AA136" s="852"/>
      <c r="AB136" s="852"/>
      <c r="AC136" s="852"/>
      <c r="AD136" s="852"/>
      <c r="AE136" s="852"/>
      <c r="AF136" s="852"/>
      <c r="AG136" s="852"/>
      <c r="AH136" s="852"/>
      <c r="AI136" s="852"/>
      <c r="AJ136" s="852"/>
      <c r="AK136" s="852"/>
      <c r="AL136" s="852"/>
      <c r="AM136" s="852"/>
      <c r="AN136" s="852"/>
      <c r="AO136" s="852"/>
      <c r="AP136" s="852"/>
      <c r="AQ136" s="852"/>
      <c r="AR136" s="852"/>
      <c r="AS136" s="852"/>
      <c r="AT136" s="852"/>
    </row>
    <row r="137" ht="15.75" customHeight="1">
      <c r="A137" s="852"/>
      <c r="B137" s="852"/>
      <c r="C137" s="852"/>
      <c r="D137" s="852"/>
      <c r="E137" s="852"/>
      <c r="F137" s="852"/>
      <c r="G137" s="852"/>
      <c r="H137" s="852"/>
      <c r="I137" s="852"/>
      <c r="J137" s="852"/>
      <c r="K137" s="852"/>
      <c r="L137" s="852"/>
      <c r="M137" s="852"/>
      <c r="N137" s="852"/>
      <c r="O137" s="852"/>
      <c r="P137" s="852"/>
      <c r="Q137" s="852"/>
      <c r="R137" s="852"/>
      <c r="S137" s="852"/>
      <c r="T137" s="852"/>
      <c r="U137" s="852"/>
      <c r="V137" s="852"/>
      <c r="W137" s="852"/>
      <c r="X137" s="852"/>
      <c r="Y137" s="852"/>
      <c r="Z137" s="852"/>
      <c r="AA137" s="852"/>
      <c r="AB137" s="852"/>
      <c r="AC137" s="852"/>
      <c r="AD137" s="852"/>
      <c r="AE137" s="852"/>
      <c r="AF137" s="852"/>
      <c r="AG137" s="852"/>
      <c r="AH137" s="852"/>
      <c r="AI137" s="852"/>
      <c r="AJ137" s="852"/>
      <c r="AK137" s="852"/>
      <c r="AL137" s="852"/>
      <c r="AM137" s="852"/>
      <c r="AN137" s="852"/>
      <c r="AO137" s="852"/>
      <c r="AP137" s="852"/>
      <c r="AQ137" s="852"/>
      <c r="AR137" s="852"/>
      <c r="AS137" s="852"/>
      <c r="AT137" s="852"/>
    </row>
    <row r="138" ht="15.75" customHeight="1">
      <c r="A138" s="852"/>
      <c r="B138" s="852"/>
      <c r="C138" s="852"/>
      <c r="D138" s="852"/>
      <c r="E138" s="852"/>
      <c r="F138" s="852"/>
      <c r="G138" s="852"/>
      <c r="H138" s="852"/>
      <c r="I138" s="852"/>
      <c r="J138" s="852"/>
      <c r="K138" s="852"/>
      <c r="L138" s="852"/>
      <c r="M138" s="852"/>
      <c r="N138" s="852"/>
      <c r="O138" s="852"/>
      <c r="P138" s="852"/>
      <c r="Q138" s="852"/>
      <c r="R138" s="852"/>
      <c r="S138" s="852"/>
      <c r="T138" s="852"/>
      <c r="U138" s="852"/>
      <c r="V138" s="852"/>
      <c r="W138" s="852"/>
      <c r="X138" s="852"/>
      <c r="Y138" s="852"/>
      <c r="Z138" s="852"/>
      <c r="AA138" s="852"/>
      <c r="AB138" s="852"/>
      <c r="AC138" s="852"/>
      <c r="AD138" s="852"/>
      <c r="AE138" s="852"/>
      <c r="AF138" s="852"/>
      <c r="AG138" s="852"/>
      <c r="AH138" s="852"/>
      <c r="AI138" s="852"/>
      <c r="AJ138" s="852"/>
      <c r="AK138" s="852"/>
      <c r="AL138" s="852"/>
      <c r="AM138" s="852"/>
      <c r="AN138" s="852"/>
      <c r="AO138" s="852"/>
      <c r="AP138" s="852"/>
      <c r="AQ138" s="852"/>
      <c r="AR138" s="852"/>
      <c r="AS138" s="852"/>
      <c r="AT138" s="852"/>
    </row>
    <row r="139" ht="15.75" customHeight="1">
      <c r="A139" s="852"/>
      <c r="B139" s="852"/>
      <c r="C139" s="852"/>
      <c r="D139" s="852"/>
      <c r="E139" s="852"/>
      <c r="F139" s="852"/>
      <c r="G139" s="852"/>
      <c r="H139" s="852"/>
      <c r="I139" s="852"/>
      <c r="J139" s="852"/>
      <c r="K139" s="852"/>
      <c r="L139" s="852"/>
      <c r="M139" s="852"/>
      <c r="N139" s="852"/>
      <c r="O139" s="852"/>
      <c r="P139" s="852"/>
      <c r="Q139" s="852"/>
      <c r="R139" s="852"/>
      <c r="S139" s="852"/>
      <c r="T139" s="852"/>
      <c r="U139" s="852"/>
      <c r="V139" s="852"/>
      <c r="W139" s="852"/>
      <c r="X139" s="852"/>
      <c r="Y139" s="852"/>
      <c r="Z139" s="852"/>
      <c r="AA139" s="852"/>
      <c r="AB139" s="852"/>
      <c r="AC139" s="852"/>
      <c r="AD139" s="852"/>
      <c r="AE139" s="852"/>
      <c r="AF139" s="852"/>
      <c r="AG139" s="852"/>
      <c r="AH139" s="852"/>
      <c r="AI139" s="852"/>
      <c r="AJ139" s="852"/>
      <c r="AK139" s="852"/>
      <c r="AL139" s="852"/>
      <c r="AM139" s="852"/>
      <c r="AN139" s="852"/>
      <c r="AO139" s="852"/>
      <c r="AP139" s="852"/>
      <c r="AQ139" s="852"/>
      <c r="AR139" s="852"/>
      <c r="AS139" s="852"/>
      <c r="AT139" s="852"/>
    </row>
    <row r="140" ht="15.75" customHeight="1">
      <c r="A140" s="852"/>
      <c r="B140" s="852"/>
      <c r="C140" s="852"/>
      <c r="D140" s="852"/>
      <c r="E140" s="852"/>
      <c r="F140" s="852"/>
      <c r="G140" s="852"/>
      <c r="H140" s="852"/>
      <c r="I140" s="852"/>
      <c r="J140" s="852"/>
      <c r="K140" s="852"/>
      <c r="L140" s="852"/>
      <c r="M140" s="852"/>
      <c r="N140" s="852"/>
      <c r="O140" s="852"/>
      <c r="P140" s="852"/>
      <c r="Q140" s="852"/>
      <c r="R140" s="852"/>
      <c r="S140" s="852"/>
      <c r="T140" s="852"/>
      <c r="U140" s="852"/>
      <c r="V140" s="852"/>
      <c r="W140" s="852"/>
      <c r="X140" s="852"/>
      <c r="Y140" s="852"/>
      <c r="Z140" s="852"/>
      <c r="AA140" s="852"/>
      <c r="AB140" s="852"/>
      <c r="AC140" s="852"/>
      <c r="AD140" s="852"/>
      <c r="AE140" s="852"/>
      <c r="AF140" s="852"/>
      <c r="AG140" s="852"/>
      <c r="AH140" s="852"/>
      <c r="AI140" s="852"/>
      <c r="AJ140" s="852"/>
      <c r="AK140" s="852"/>
      <c r="AL140" s="852"/>
      <c r="AM140" s="852"/>
      <c r="AN140" s="852"/>
      <c r="AO140" s="852"/>
      <c r="AP140" s="852"/>
      <c r="AQ140" s="852"/>
      <c r="AR140" s="852"/>
      <c r="AS140" s="852"/>
      <c r="AT140" s="852"/>
    </row>
    <row r="141" ht="15.75" customHeight="1">
      <c r="A141" s="852"/>
      <c r="B141" s="852"/>
      <c r="C141" s="1156"/>
      <c r="D141" s="1157"/>
      <c r="E141" s="1158"/>
      <c r="F141" s="1159"/>
      <c r="G141" s="1160"/>
      <c r="H141" s="1161"/>
      <c r="I141" s="1155"/>
      <c r="J141" s="1162"/>
      <c r="K141" s="1162"/>
      <c r="L141" s="1162"/>
      <c r="M141" s="1162"/>
      <c r="N141" s="1162"/>
      <c r="O141" s="1155"/>
      <c r="P141" s="1155"/>
      <c r="Q141" s="1155"/>
      <c r="R141" s="1163"/>
      <c r="S141" s="1164"/>
      <c r="T141" s="1164"/>
      <c r="U141" s="1164"/>
      <c r="V141" s="1164"/>
      <c r="W141" s="1164"/>
      <c r="X141" s="1164"/>
      <c r="Y141" s="1164"/>
      <c r="Z141" s="1164"/>
      <c r="AA141" s="1164"/>
      <c r="AB141" s="1164"/>
      <c r="AC141" s="1164"/>
      <c r="AD141" s="1164"/>
      <c r="AE141" s="1155"/>
      <c r="AF141" s="1155"/>
      <c r="AG141" s="1155"/>
      <c r="AH141" s="1163"/>
      <c r="AI141" s="1164"/>
      <c r="AJ141" s="1164"/>
      <c r="AK141" s="1164"/>
      <c r="AL141" s="1164"/>
      <c r="AM141" s="1164"/>
      <c r="AN141" s="1164"/>
      <c r="AO141" s="1164"/>
      <c r="AP141" s="1164"/>
      <c r="AQ141" s="1164"/>
      <c r="AR141" s="1164"/>
      <c r="AS141" s="1164"/>
      <c r="AT141" s="1164"/>
    </row>
    <row r="142" ht="15.75" customHeight="1">
      <c r="A142" s="852"/>
      <c r="B142" s="852"/>
      <c r="C142" s="1156"/>
      <c r="D142" s="1157"/>
      <c r="E142" s="1158"/>
      <c r="F142" s="1159"/>
      <c r="G142" s="1160"/>
      <c r="H142" s="1161"/>
      <c r="I142" s="1155"/>
      <c r="J142" s="1162"/>
      <c r="K142" s="1162"/>
      <c r="L142" s="1162"/>
      <c r="M142" s="1162"/>
      <c r="N142" s="1162"/>
      <c r="O142" s="1155"/>
      <c r="P142" s="1155"/>
      <c r="Q142" s="1155"/>
      <c r="R142" s="1163"/>
      <c r="S142" s="1164"/>
      <c r="T142" s="1164"/>
      <c r="U142" s="1164"/>
      <c r="V142" s="1164"/>
      <c r="W142" s="1164"/>
      <c r="X142" s="1164"/>
      <c r="Y142" s="1164"/>
      <c r="Z142" s="1164"/>
      <c r="AA142" s="1164"/>
      <c r="AB142" s="1164"/>
      <c r="AC142" s="1164"/>
      <c r="AD142" s="1164"/>
      <c r="AE142" s="1155"/>
      <c r="AF142" s="1155"/>
      <c r="AG142" s="1155"/>
      <c r="AH142" s="1163"/>
      <c r="AI142" s="1164"/>
      <c r="AJ142" s="1164"/>
      <c r="AK142" s="1164"/>
      <c r="AL142" s="1164"/>
      <c r="AM142" s="1164"/>
      <c r="AN142" s="1164"/>
      <c r="AO142" s="1164"/>
      <c r="AP142" s="1164"/>
      <c r="AQ142" s="1164"/>
      <c r="AR142" s="1164"/>
      <c r="AS142" s="1164"/>
      <c r="AT142" s="1164"/>
    </row>
    <row r="143" ht="15.75" customHeight="1">
      <c r="A143" s="852"/>
      <c r="B143" s="852"/>
      <c r="C143" s="1156"/>
      <c r="D143" s="1157"/>
      <c r="E143" s="1158"/>
      <c r="F143" s="1159"/>
      <c r="G143" s="1160"/>
      <c r="H143" s="1161"/>
      <c r="I143" s="1155"/>
      <c r="J143" s="1162"/>
      <c r="K143" s="1162"/>
      <c r="L143" s="1162"/>
      <c r="M143" s="1162"/>
      <c r="N143" s="1162"/>
      <c r="O143" s="1155"/>
      <c r="P143" s="1155"/>
      <c r="Q143" s="1155"/>
      <c r="R143" s="1163"/>
      <c r="S143" s="1164"/>
      <c r="T143" s="1164"/>
      <c r="U143" s="1164"/>
      <c r="V143" s="1164"/>
      <c r="W143" s="1164"/>
      <c r="X143" s="1164"/>
      <c r="Y143" s="1164"/>
      <c r="Z143" s="1164"/>
      <c r="AA143" s="1164"/>
      <c r="AB143" s="1164"/>
      <c r="AC143" s="1164"/>
      <c r="AD143" s="1164"/>
      <c r="AE143" s="1155"/>
      <c r="AF143" s="1155"/>
      <c r="AG143" s="1155"/>
      <c r="AH143" s="1163"/>
      <c r="AI143" s="1164"/>
      <c r="AJ143" s="1164"/>
      <c r="AK143" s="1164"/>
      <c r="AL143" s="1164"/>
      <c r="AM143" s="1164"/>
      <c r="AN143" s="1164"/>
      <c r="AO143" s="1164"/>
      <c r="AP143" s="1164"/>
      <c r="AQ143" s="1164"/>
      <c r="AR143" s="1164"/>
      <c r="AS143" s="1164"/>
      <c r="AT143" s="1164"/>
    </row>
    <row r="144" ht="15.75" customHeight="1">
      <c r="A144" s="852"/>
      <c r="B144" s="852"/>
      <c r="C144" s="1156"/>
      <c r="D144" s="1157"/>
      <c r="E144" s="1158"/>
      <c r="F144" s="1159"/>
      <c r="G144" s="1160"/>
      <c r="H144" s="1161"/>
      <c r="I144" s="1155"/>
      <c r="J144" s="1162"/>
      <c r="K144" s="1162"/>
      <c r="L144" s="1162"/>
      <c r="M144" s="1162"/>
      <c r="N144" s="1162"/>
      <c r="O144" s="1155"/>
      <c r="P144" s="1155"/>
      <c r="Q144" s="1155"/>
      <c r="R144" s="1163"/>
      <c r="S144" s="1164"/>
      <c r="T144" s="1164"/>
      <c r="U144" s="1164"/>
      <c r="V144" s="1164"/>
      <c r="W144" s="1164"/>
      <c r="X144" s="1164"/>
      <c r="Y144" s="1164"/>
      <c r="Z144" s="1164"/>
      <c r="AA144" s="1164"/>
      <c r="AB144" s="1164"/>
      <c r="AC144" s="1164"/>
      <c r="AD144" s="1164"/>
      <c r="AE144" s="1155"/>
      <c r="AF144" s="1155"/>
      <c r="AG144" s="1155"/>
      <c r="AH144" s="1163"/>
      <c r="AI144" s="1164"/>
      <c r="AJ144" s="1164"/>
      <c r="AK144" s="1164"/>
      <c r="AL144" s="1164"/>
      <c r="AM144" s="1164"/>
      <c r="AN144" s="1164"/>
      <c r="AO144" s="1164"/>
      <c r="AP144" s="1164"/>
      <c r="AQ144" s="1164"/>
      <c r="AR144" s="1164"/>
      <c r="AS144" s="1164"/>
      <c r="AT144" s="1164"/>
    </row>
    <row r="145" ht="15.75" customHeight="1">
      <c r="A145" s="852"/>
      <c r="B145" s="852"/>
      <c r="C145" s="1156"/>
      <c r="D145" s="1157"/>
      <c r="E145" s="1158"/>
      <c r="F145" s="1159"/>
      <c r="G145" s="1160"/>
      <c r="H145" s="1161"/>
      <c r="I145" s="1155"/>
      <c r="J145" s="1162"/>
      <c r="K145" s="1162"/>
      <c r="L145" s="1162"/>
      <c r="M145" s="1162"/>
      <c r="N145" s="1162"/>
      <c r="O145" s="1155"/>
      <c r="P145" s="1155"/>
      <c r="Q145" s="1155"/>
      <c r="R145" s="1163"/>
      <c r="S145" s="1164"/>
      <c r="T145" s="1164"/>
      <c r="U145" s="1164"/>
      <c r="V145" s="1164"/>
      <c r="W145" s="1164"/>
      <c r="X145" s="1164"/>
      <c r="Y145" s="1164"/>
      <c r="Z145" s="1164"/>
      <c r="AA145" s="1164"/>
      <c r="AB145" s="1164"/>
      <c r="AC145" s="1164"/>
      <c r="AD145" s="1164"/>
      <c r="AE145" s="1155"/>
      <c r="AF145" s="1155"/>
      <c r="AG145" s="1155"/>
      <c r="AH145" s="1163"/>
      <c r="AI145" s="1164"/>
      <c r="AJ145" s="1164"/>
      <c r="AK145" s="1164"/>
      <c r="AL145" s="1164"/>
      <c r="AM145" s="1164"/>
      <c r="AN145" s="1164"/>
      <c r="AO145" s="1164"/>
      <c r="AP145" s="1164"/>
      <c r="AQ145" s="1164"/>
      <c r="AR145" s="1164"/>
      <c r="AS145" s="1164"/>
      <c r="AT145" s="1164"/>
    </row>
    <row r="146" ht="15.75" customHeight="1">
      <c r="A146" s="852"/>
      <c r="B146" s="852"/>
      <c r="C146" s="1156"/>
      <c r="D146" s="1157"/>
      <c r="E146" s="1158"/>
      <c r="F146" s="1159"/>
      <c r="G146" s="1160"/>
      <c r="H146" s="1161"/>
      <c r="I146" s="1155"/>
      <c r="J146" s="1162"/>
      <c r="K146" s="1162"/>
      <c r="L146" s="1162"/>
      <c r="M146" s="1162"/>
      <c r="N146" s="1162"/>
      <c r="O146" s="1155"/>
      <c r="P146" s="1155"/>
      <c r="Q146" s="1155"/>
      <c r="R146" s="1163"/>
      <c r="S146" s="1164"/>
      <c r="T146" s="1164"/>
      <c r="U146" s="1164"/>
      <c r="V146" s="1164"/>
      <c r="W146" s="1164"/>
      <c r="X146" s="1164"/>
      <c r="Y146" s="1164"/>
      <c r="Z146" s="1164"/>
      <c r="AA146" s="1164"/>
      <c r="AB146" s="1164"/>
      <c r="AC146" s="1164"/>
      <c r="AD146" s="1164"/>
      <c r="AE146" s="1155"/>
      <c r="AF146" s="1155"/>
      <c r="AG146" s="1155"/>
      <c r="AH146" s="1163"/>
      <c r="AI146" s="1164"/>
      <c r="AJ146" s="1164"/>
      <c r="AK146" s="1164"/>
      <c r="AL146" s="1164"/>
      <c r="AM146" s="1164"/>
      <c r="AN146" s="1164"/>
      <c r="AO146" s="1164"/>
      <c r="AP146" s="1164"/>
      <c r="AQ146" s="1164"/>
      <c r="AR146" s="1164"/>
      <c r="AS146" s="1164"/>
      <c r="AT146" s="1164"/>
    </row>
    <row r="147" ht="15.75" customHeight="1">
      <c r="A147" s="852"/>
      <c r="B147" s="852"/>
      <c r="C147" s="1156"/>
      <c r="D147" s="1157"/>
      <c r="E147" s="1158"/>
      <c r="F147" s="1159"/>
      <c r="G147" s="1160"/>
      <c r="H147" s="1161"/>
      <c r="I147" s="1155"/>
      <c r="J147" s="1162"/>
      <c r="K147" s="1162"/>
      <c r="L147" s="1162"/>
      <c r="M147" s="1162"/>
      <c r="N147" s="1162"/>
      <c r="O147" s="1155"/>
      <c r="P147" s="1155"/>
      <c r="Q147" s="1155"/>
      <c r="R147" s="1163"/>
      <c r="S147" s="1164"/>
      <c r="T147" s="1164"/>
      <c r="U147" s="1164"/>
      <c r="V147" s="1164"/>
      <c r="W147" s="1164"/>
      <c r="X147" s="1164"/>
      <c r="Y147" s="1164"/>
      <c r="Z147" s="1164"/>
      <c r="AA147" s="1164"/>
      <c r="AB147" s="1164"/>
      <c r="AC147" s="1164"/>
      <c r="AD147" s="1164"/>
      <c r="AE147" s="1155"/>
      <c r="AF147" s="1155"/>
      <c r="AG147" s="1155"/>
      <c r="AH147" s="1163"/>
      <c r="AI147" s="1164"/>
      <c r="AJ147" s="1164"/>
      <c r="AK147" s="1164"/>
      <c r="AL147" s="1164"/>
      <c r="AM147" s="1164"/>
      <c r="AN147" s="1164"/>
      <c r="AO147" s="1164"/>
      <c r="AP147" s="1164"/>
      <c r="AQ147" s="1164"/>
      <c r="AR147" s="1164"/>
      <c r="AS147" s="1164"/>
      <c r="AT147" s="1164"/>
    </row>
    <row r="148" ht="15.75" customHeight="1">
      <c r="A148" s="852"/>
      <c r="B148" s="852"/>
      <c r="C148" s="1156"/>
      <c r="D148" s="1157"/>
      <c r="E148" s="1158"/>
      <c r="F148" s="1159"/>
      <c r="G148" s="1160"/>
      <c r="H148" s="1161"/>
      <c r="I148" s="1155"/>
      <c r="J148" s="1162"/>
      <c r="K148" s="1162"/>
      <c r="L148" s="1162"/>
      <c r="M148" s="1162"/>
      <c r="N148" s="1162"/>
      <c r="O148" s="1155"/>
      <c r="P148" s="1155"/>
      <c r="Q148" s="1155"/>
      <c r="R148" s="1163"/>
      <c r="S148" s="1164"/>
      <c r="T148" s="1164"/>
      <c r="U148" s="1164"/>
      <c r="V148" s="1164"/>
      <c r="W148" s="1164"/>
      <c r="X148" s="1164"/>
      <c r="Y148" s="1164"/>
      <c r="Z148" s="1164"/>
      <c r="AA148" s="1164"/>
      <c r="AB148" s="1164"/>
      <c r="AC148" s="1164"/>
      <c r="AD148" s="1164"/>
      <c r="AE148" s="1155"/>
      <c r="AF148" s="1155"/>
      <c r="AG148" s="1155"/>
      <c r="AH148" s="1163"/>
      <c r="AI148" s="1164"/>
      <c r="AJ148" s="1164"/>
      <c r="AK148" s="1164"/>
      <c r="AL148" s="1164"/>
      <c r="AM148" s="1164"/>
      <c r="AN148" s="1164"/>
      <c r="AO148" s="1164"/>
      <c r="AP148" s="1164"/>
      <c r="AQ148" s="1164"/>
      <c r="AR148" s="1164"/>
      <c r="AS148" s="1164"/>
      <c r="AT148" s="1164"/>
    </row>
    <row r="149" ht="15.75" customHeight="1">
      <c r="A149" s="852"/>
      <c r="B149" s="852"/>
      <c r="C149" s="1156"/>
      <c r="D149" s="1157"/>
      <c r="E149" s="1158"/>
      <c r="F149" s="1159"/>
      <c r="G149" s="1160"/>
      <c r="H149" s="1161"/>
      <c r="I149" s="1155"/>
      <c r="J149" s="1162"/>
      <c r="K149" s="1162"/>
      <c r="L149" s="1162"/>
      <c r="M149" s="1162"/>
      <c r="N149" s="1162"/>
      <c r="O149" s="1155"/>
      <c r="P149" s="1155"/>
      <c r="Q149" s="1155"/>
      <c r="R149" s="1163"/>
      <c r="S149" s="1164"/>
      <c r="T149" s="1164"/>
      <c r="U149" s="1164"/>
      <c r="V149" s="1164"/>
      <c r="W149" s="1164"/>
      <c r="X149" s="1164"/>
      <c r="Y149" s="1164"/>
      <c r="Z149" s="1164"/>
      <c r="AA149" s="1164"/>
      <c r="AB149" s="1164"/>
      <c r="AC149" s="1164"/>
      <c r="AD149" s="1164"/>
      <c r="AE149" s="1155"/>
      <c r="AF149" s="1155"/>
      <c r="AG149" s="1155"/>
      <c r="AH149" s="1163"/>
      <c r="AI149" s="1164"/>
      <c r="AJ149" s="1164"/>
      <c r="AK149" s="1164"/>
      <c r="AL149" s="1164"/>
      <c r="AM149" s="1164"/>
      <c r="AN149" s="1164"/>
      <c r="AO149" s="1164"/>
      <c r="AP149" s="1164"/>
      <c r="AQ149" s="1164"/>
      <c r="AR149" s="1164"/>
      <c r="AS149" s="1164"/>
      <c r="AT149" s="1164"/>
    </row>
    <row r="150" ht="15.75" customHeight="1">
      <c r="A150" s="852"/>
      <c r="B150" s="852"/>
      <c r="C150" s="1156"/>
      <c r="D150" s="1157"/>
      <c r="E150" s="1158"/>
      <c r="F150" s="1159"/>
      <c r="G150" s="1160"/>
      <c r="H150" s="1161"/>
      <c r="I150" s="1155"/>
      <c r="J150" s="1162"/>
      <c r="K150" s="1162"/>
      <c r="L150" s="1162"/>
      <c r="M150" s="1162"/>
      <c r="N150" s="1162"/>
      <c r="O150" s="1155"/>
      <c r="P150" s="1155"/>
      <c r="Q150" s="1155"/>
      <c r="R150" s="1163"/>
      <c r="S150" s="1164"/>
      <c r="T150" s="1164"/>
      <c r="U150" s="1164"/>
      <c r="V150" s="1164"/>
      <c r="W150" s="1164"/>
      <c r="X150" s="1164"/>
      <c r="Y150" s="1164"/>
      <c r="Z150" s="1164"/>
      <c r="AA150" s="1164"/>
      <c r="AB150" s="1164"/>
      <c r="AC150" s="1164"/>
      <c r="AD150" s="1164"/>
      <c r="AE150" s="1155"/>
      <c r="AF150" s="1155"/>
      <c r="AG150" s="1155"/>
      <c r="AH150" s="1163"/>
      <c r="AI150" s="1164"/>
      <c r="AJ150" s="1164"/>
      <c r="AK150" s="1164"/>
      <c r="AL150" s="1164"/>
      <c r="AM150" s="1164"/>
      <c r="AN150" s="1164"/>
      <c r="AO150" s="1164"/>
      <c r="AP150" s="1164"/>
      <c r="AQ150" s="1164"/>
      <c r="AR150" s="1164"/>
      <c r="AS150" s="1164"/>
      <c r="AT150" s="1164"/>
    </row>
    <row r="151" ht="15.75" customHeight="1">
      <c r="A151" s="852"/>
      <c r="B151" s="852"/>
      <c r="C151" s="1156"/>
      <c r="D151" s="1157"/>
      <c r="E151" s="1158"/>
      <c r="F151" s="1159"/>
      <c r="G151" s="1160"/>
      <c r="H151" s="1161"/>
      <c r="I151" s="1155"/>
      <c r="J151" s="1162"/>
      <c r="K151" s="1162"/>
      <c r="L151" s="1162"/>
      <c r="M151" s="1162"/>
      <c r="N151" s="1162"/>
      <c r="O151" s="1155"/>
      <c r="P151" s="1155"/>
      <c r="Q151" s="1155"/>
      <c r="R151" s="1163"/>
      <c r="S151" s="1164"/>
      <c r="T151" s="1164"/>
      <c r="U151" s="1164"/>
      <c r="V151" s="1164"/>
      <c r="W151" s="1164"/>
      <c r="X151" s="1164"/>
      <c r="Y151" s="1164"/>
      <c r="Z151" s="1164"/>
      <c r="AA151" s="1164"/>
      <c r="AB151" s="1164"/>
      <c r="AC151" s="1164"/>
      <c r="AD151" s="1164"/>
      <c r="AE151" s="1155"/>
      <c r="AF151" s="1155"/>
      <c r="AG151" s="1155"/>
      <c r="AH151" s="1163"/>
      <c r="AI151" s="1164"/>
      <c r="AJ151" s="1164"/>
      <c r="AK151" s="1164"/>
      <c r="AL151" s="1164"/>
      <c r="AM151" s="1164"/>
      <c r="AN151" s="1164"/>
      <c r="AO151" s="1164"/>
      <c r="AP151" s="1164"/>
      <c r="AQ151" s="1164"/>
      <c r="AR151" s="1164"/>
      <c r="AS151" s="1164"/>
      <c r="AT151" s="1164"/>
    </row>
    <row r="152" ht="15.75" customHeight="1">
      <c r="A152" s="852"/>
      <c r="B152" s="852"/>
      <c r="C152" s="1156"/>
      <c r="D152" s="1157"/>
      <c r="E152" s="1158"/>
      <c r="F152" s="1159"/>
      <c r="G152" s="1160"/>
      <c r="H152" s="1161"/>
      <c r="I152" s="1155"/>
      <c r="J152" s="1162"/>
      <c r="K152" s="1162"/>
      <c r="L152" s="1162"/>
      <c r="M152" s="1162"/>
      <c r="N152" s="1162"/>
      <c r="O152" s="1155"/>
      <c r="P152" s="1155"/>
      <c r="Q152" s="1155"/>
      <c r="R152" s="1163"/>
      <c r="S152" s="1164"/>
      <c r="T152" s="1164"/>
      <c r="U152" s="1164"/>
      <c r="V152" s="1164"/>
      <c r="W152" s="1164"/>
      <c r="X152" s="1164"/>
      <c r="Y152" s="1164"/>
      <c r="Z152" s="1164"/>
      <c r="AA152" s="1164"/>
      <c r="AB152" s="1164"/>
      <c r="AC152" s="1164"/>
      <c r="AD152" s="1164"/>
      <c r="AE152" s="1155"/>
      <c r="AF152" s="1155"/>
      <c r="AG152" s="1155"/>
      <c r="AH152" s="1163"/>
      <c r="AI152" s="1164"/>
      <c r="AJ152" s="1164"/>
      <c r="AK152" s="1164"/>
      <c r="AL152" s="1164"/>
      <c r="AM152" s="1164"/>
      <c r="AN152" s="1164"/>
      <c r="AO152" s="1164"/>
      <c r="AP152" s="1164"/>
      <c r="AQ152" s="1164"/>
      <c r="AR152" s="1164"/>
      <c r="AS152" s="1164"/>
      <c r="AT152" s="1164"/>
    </row>
    <row r="153" ht="15.75" customHeight="1">
      <c r="A153" s="852"/>
      <c r="B153" s="852"/>
      <c r="C153" s="1156"/>
      <c r="D153" s="1157"/>
      <c r="E153" s="1158"/>
      <c r="F153" s="1159"/>
      <c r="G153" s="1160"/>
      <c r="H153" s="1161"/>
      <c r="I153" s="1155"/>
      <c r="J153" s="1162"/>
      <c r="K153" s="1162"/>
      <c r="L153" s="1162"/>
      <c r="M153" s="1162"/>
      <c r="N153" s="1162"/>
      <c r="O153" s="1155"/>
      <c r="P153" s="1155"/>
      <c r="Q153" s="1155"/>
      <c r="R153" s="1163"/>
      <c r="S153" s="1164"/>
      <c r="T153" s="1164"/>
      <c r="U153" s="1164"/>
      <c r="V153" s="1164"/>
      <c r="W153" s="1164"/>
      <c r="X153" s="1164"/>
      <c r="Y153" s="1164"/>
      <c r="Z153" s="1164"/>
      <c r="AA153" s="1164"/>
      <c r="AB153" s="1164"/>
      <c r="AC153" s="1164"/>
      <c r="AD153" s="1164"/>
      <c r="AE153" s="1155"/>
      <c r="AF153" s="1155"/>
      <c r="AG153" s="1155"/>
      <c r="AH153" s="1163"/>
      <c r="AI153" s="1164"/>
      <c r="AJ153" s="1164"/>
      <c r="AK153" s="1164"/>
      <c r="AL153" s="1164"/>
      <c r="AM153" s="1164"/>
      <c r="AN153" s="1164"/>
      <c r="AO153" s="1164"/>
      <c r="AP153" s="1164"/>
      <c r="AQ153" s="1164"/>
      <c r="AR153" s="1164"/>
      <c r="AS153" s="1164"/>
      <c r="AT153" s="1164"/>
    </row>
    <row r="154" ht="15.75" customHeight="1">
      <c r="A154" s="852"/>
      <c r="B154" s="852"/>
      <c r="C154" s="1156"/>
      <c r="D154" s="1157"/>
      <c r="E154" s="1158"/>
      <c r="F154" s="1159"/>
      <c r="G154" s="1160"/>
      <c r="H154" s="1161"/>
      <c r="I154" s="1155"/>
      <c r="J154" s="1162"/>
      <c r="K154" s="1162"/>
      <c r="L154" s="1162"/>
      <c r="M154" s="1162"/>
      <c r="N154" s="1162"/>
      <c r="O154" s="1155"/>
      <c r="P154" s="1155"/>
      <c r="Q154" s="1155"/>
      <c r="R154" s="1163"/>
      <c r="S154" s="1164"/>
      <c r="T154" s="1164"/>
      <c r="U154" s="1164"/>
      <c r="V154" s="1164"/>
      <c r="W154" s="1164"/>
      <c r="X154" s="1164"/>
      <c r="Y154" s="1164"/>
      <c r="Z154" s="1164"/>
      <c r="AA154" s="1164"/>
      <c r="AB154" s="1164"/>
      <c r="AC154" s="1164"/>
      <c r="AD154" s="1164"/>
      <c r="AE154" s="1155"/>
      <c r="AF154" s="1155"/>
      <c r="AG154" s="1155"/>
      <c r="AH154" s="1163"/>
      <c r="AI154" s="1164"/>
      <c r="AJ154" s="1164"/>
      <c r="AK154" s="1164"/>
      <c r="AL154" s="1164"/>
      <c r="AM154" s="1164"/>
      <c r="AN154" s="1164"/>
      <c r="AO154" s="1164"/>
      <c r="AP154" s="1164"/>
      <c r="AQ154" s="1164"/>
      <c r="AR154" s="1164"/>
      <c r="AS154" s="1164"/>
      <c r="AT154" s="1164"/>
    </row>
    <row r="155" ht="15.75" customHeight="1">
      <c r="A155" s="852"/>
      <c r="B155" s="852"/>
      <c r="C155" s="1156"/>
      <c r="D155" s="1157"/>
      <c r="E155" s="1158"/>
      <c r="F155" s="1159"/>
      <c r="G155" s="1160"/>
      <c r="H155" s="1161"/>
      <c r="I155" s="1155"/>
      <c r="J155" s="1162"/>
      <c r="K155" s="1162"/>
      <c r="L155" s="1162"/>
      <c r="M155" s="1162"/>
      <c r="N155" s="1162"/>
      <c r="O155" s="1155"/>
      <c r="P155" s="1155"/>
      <c r="Q155" s="1155"/>
      <c r="R155" s="1163"/>
      <c r="S155" s="1164"/>
      <c r="T155" s="1164"/>
      <c r="U155" s="1164"/>
      <c r="V155" s="1164"/>
      <c r="W155" s="1164"/>
      <c r="X155" s="1164"/>
      <c r="Y155" s="1164"/>
      <c r="Z155" s="1164"/>
      <c r="AA155" s="1164"/>
      <c r="AB155" s="1164"/>
      <c r="AC155" s="1164"/>
      <c r="AD155" s="1164"/>
      <c r="AE155" s="1155"/>
      <c r="AF155" s="1155"/>
      <c r="AG155" s="1155"/>
      <c r="AH155" s="1163"/>
      <c r="AI155" s="1164"/>
      <c r="AJ155" s="1164"/>
      <c r="AK155" s="1164"/>
      <c r="AL155" s="1164"/>
      <c r="AM155" s="1164"/>
      <c r="AN155" s="1164"/>
      <c r="AO155" s="1164"/>
      <c r="AP155" s="1164"/>
      <c r="AQ155" s="1164"/>
      <c r="AR155" s="1164"/>
      <c r="AS155" s="1164"/>
      <c r="AT155" s="1164"/>
    </row>
    <row r="156" ht="15.75" customHeight="1">
      <c r="A156" s="852"/>
      <c r="B156" s="852"/>
      <c r="C156" s="1156"/>
      <c r="D156" s="1157"/>
      <c r="E156" s="1158"/>
      <c r="F156" s="1159"/>
      <c r="G156" s="1160"/>
      <c r="H156" s="1161"/>
      <c r="I156" s="1155"/>
      <c r="J156" s="1162"/>
      <c r="K156" s="1162"/>
      <c r="L156" s="1162"/>
      <c r="M156" s="1162"/>
      <c r="N156" s="1162"/>
      <c r="O156" s="1155"/>
      <c r="P156" s="1155"/>
      <c r="Q156" s="1155"/>
      <c r="R156" s="1163"/>
      <c r="S156" s="1164"/>
      <c r="T156" s="1164"/>
      <c r="U156" s="1164"/>
      <c r="V156" s="1164"/>
      <c r="W156" s="1164"/>
      <c r="X156" s="1164"/>
      <c r="Y156" s="1164"/>
      <c r="Z156" s="1164"/>
      <c r="AA156" s="1164"/>
      <c r="AB156" s="1164"/>
      <c r="AC156" s="1164"/>
      <c r="AD156" s="1164"/>
      <c r="AE156" s="1155"/>
      <c r="AF156" s="1155"/>
      <c r="AG156" s="1155"/>
      <c r="AH156" s="1163"/>
      <c r="AI156" s="1164"/>
      <c r="AJ156" s="1164"/>
      <c r="AK156" s="1164"/>
      <c r="AL156" s="1164"/>
      <c r="AM156" s="1164"/>
      <c r="AN156" s="1164"/>
      <c r="AO156" s="1164"/>
      <c r="AP156" s="1164"/>
      <c r="AQ156" s="1164"/>
      <c r="AR156" s="1164"/>
      <c r="AS156" s="1164"/>
      <c r="AT156" s="1164"/>
    </row>
    <row r="157" ht="15.75" customHeight="1">
      <c r="A157" s="852"/>
      <c r="B157" s="852"/>
      <c r="C157" s="1156"/>
      <c r="D157" s="1157"/>
      <c r="E157" s="1158"/>
      <c r="F157" s="1159"/>
      <c r="G157" s="1160"/>
      <c r="H157" s="1161"/>
      <c r="I157" s="1155"/>
      <c r="J157" s="1162"/>
      <c r="K157" s="1162"/>
      <c r="L157" s="1162"/>
      <c r="M157" s="1162"/>
      <c r="N157" s="1162"/>
      <c r="O157" s="1155"/>
      <c r="P157" s="1155"/>
      <c r="Q157" s="1155"/>
      <c r="R157" s="1163"/>
      <c r="S157" s="1164"/>
      <c r="T157" s="1164"/>
      <c r="U157" s="1164"/>
      <c r="V157" s="1164"/>
      <c r="W157" s="1164"/>
      <c r="X157" s="1164"/>
      <c r="Y157" s="1164"/>
      <c r="Z157" s="1164"/>
      <c r="AA157" s="1164"/>
      <c r="AB157" s="1164"/>
      <c r="AC157" s="1164"/>
      <c r="AD157" s="1164"/>
      <c r="AE157" s="1155"/>
      <c r="AF157" s="1155"/>
      <c r="AG157" s="1155"/>
      <c r="AH157" s="1163"/>
      <c r="AI157" s="1164"/>
      <c r="AJ157" s="1164"/>
      <c r="AK157" s="1164"/>
      <c r="AL157" s="1164"/>
      <c r="AM157" s="1164"/>
      <c r="AN157" s="1164"/>
      <c r="AO157" s="1164"/>
      <c r="AP157" s="1164"/>
      <c r="AQ157" s="1164"/>
      <c r="AR157" s="1164"/>
      <c r="AS157" s="1164"/>
      <c r="AT157" s="1164"/>
    </row>
    <row r="158" ht="15.75" customHeight="1">
      <c r="A158" s="852"/>
      <c r="B158" s="852"/>
      <c r="C158" s="1156"/>
      <c r="D158" s="1157"/>
      <c r="E158" s="1158"/>
      <c r="F158" s="1159"/>
      <c r="G158" s="1160"/>
      <c r="H158" s="1161"/>
      <c r="I158" s="1155"/>
      <c r="J158" s="1162"/>
      <c r="K158" s="1162"/>
      <c r="L158" s="1162"/>
      <c r="M158" s="1162"/>
      <c r="N158" s="1162"/>
      <c r="O158" s="1155"/>
      <c r="P158" s="1155"/>
      <c r="Q158" s="1155"/>
      <c r="R158" s="1163"/>
      <c r="S158" s="1164"/>
      <c r="T158" s="1164"/>
      <c r="U158" s="1164"/>
      <c r="V158" s="1164"/>
      <c r="W158" s="1164"/>
      <c r="X158" s="1164"/>
      <c r="Y158" s="1164"/>
      <c r="Z158" s="1164"/>
      <c r="AA158" s="1164"/>
      <c r="AB158" s="1164"/>
      <c r="AC158" s="1164"/>
      <c r="AD158" s="1164"/>
      <c r="AE158" s="1155"/>
      <c r="AF158" s="1155"/>
      <c r="AG158" s="1155"/>
      <c r="AH158" s="1163"/>
      <c r="AI158" s="1164"/>
      <c r="AJ158" s="1164"/>
      <c r="AK158" s="1164"/>
      <c r="AL158" s="1164"/>
      <c r="AM158" s="1164"/>
      <c r="AN158" s="1164"/>
      <c r="AO158" s="1164"/>
      <c r="AP158" s="1164"/>
      <c r="AQ158" s="1164"/>
      <c r="AR158" s="1164"/>
      <c r="AS158" s="1164"/>
      <c r="AT158" s="1164"/>
    </row>
    <row r="159" ht="15.75" customHeight="1">
      <c r="A159" s="852"/>
      <c r="B159" s="852"/>
      <c r="C159" s="1156"/>
      <c r="D159" s="1157"/>
      <c r="E159" s="1158"/>
      <c r="F159" s="1159"/>
      <c r="G159" s="1160"/>
      <c r="H159" s="1161"/>
      <c r="I159" s="1155"/>
      <c r="J159" s="1162"/>
      <c r="K159" s="1162"/>
      <c r="L159" s="1162"/>
      <c r="M159" s="1162"/>
      <c r="N159" s="1162"/>
      <c r="O159" s="1155"/>
      <c r="P159" s="1155"/>
      <c r="Q159" s="1155"/>
      <c r="R159" s="1163"/>
      <c r="S159" s="1164"/>
      <c r="T159" s="1164"/>
      <c r="U159" s="1164"/>
      <c r="V159" s="1164"/>
      <c r="W159" s="1164"/>
      <c r="X159" s="1164"/>
      <c r="Y159" s="1164"/>
      <c r="Z159" s="1164"/>
      <c r="AA159" s="1164"/>
      <c r="AB159" s="1164"/>
      <c r="AC159" s="1164"/>
      <c r="AD159" s="1164"/>
      <c r="AE159" s="1155"/>
      <c r="AF159" s="1155"/>
      <c r="AG159" s="1155"/>
      <c r="AH159" s="1163"/>
      <c r="AI159" s="1164"/>
      <c r="AJ159" s="1164"/>
      <c r="AK159" s="1164"/>
      <c r="AL159" s="1164"/>
      <c r="AM159" s="1164"/>
      <c r="AN159" s="1164"/>
      <c r="AO159" s="1164"/>
      <c r="AP159" s="1164"/>
      <c r="AQ159" s="1164"/>
      <c r="AR159" s="1164"/>
      <c r="AS159" s="1164"/>
      <c r="AT159" s="1164"/>
    </row>
    <row r="160" ht="15.75" customHeight="1">
      <c r="A160" s="852"/>
      <c r="B160" s="852"/>
      <c r="C160" s="1156"/>
      <c r="D160" s="1157"/>
      <c r="E160" s="1158"/>
      <c r="F160" s="1159"/>
      <c r="G160" s="1160"/>
      <c r="H160" s="1161"/>
      <c r="I160" s="1155"/>
      <c r="J160" s="1162"/>
      <c r="K160" s="1162"/>
      <c r="L160" s="1162"/>
      <c r="M160" s="1162"/>
      <c r="N160" s="1162"/>
      <c r="O160" s="1155"/>
      <c r="P160" s="1155"/>
      <c r="Q160" s="1155"/>
      <c r="R160" s="1163"/>
      <c r="S160" s="1164"/>
      <c r="T160" s="1164"/>
      <c r="U160" s="1164"/>
      <c r="V160" s="1164"/>
      <c r="W160" s="1164"/>
      <c r="X160" s="1164"/>
      <c r="Y160" s="1164"/>
      <c r="Z160" s="1164"/>
      <c r="AA160" s="1164"/>
      <c r="AB160" s="1164"/>
      <c r="AC160" s="1164"/>
      <c r="AD160" s="1164"/>
      <c r="AE160" s="1155"/>
      <c r="AF160" s="1155"/>
      <c r="AG160" s="1155"/>
      <c r="AH160" s="1163"/>
      <c r="AI160" s="1164"/>
      <c r="AJ160" s="1164"/>
      <c r="AK160" s="1164"/>
      <c r="AL160" s="1164"/>
      <c r="AM160" s="1164"/>
      <c r="AN160" s="1164"/>
      <c r="AO160" s="1164"/>
      <c r="AP160" s="1164"/>
      <c r="AQ160" s="1164"/>
      <c r="AR160" s="1164"/>
      <c r="AS160" s="1164"/>
      <c r="AT160" s="1164"/>
    </row>
    <row r="161" ht="15.75" customHeight="1">
      <c r="A161" s="852"/>
      <c r="B161" s="852"/>
      <c r="C161" s="1156"/>
      <c r="D161" s="1157"/>
      <c r="E161" s="1158"/>
      <c r="F161" s="1159"/>
      <c r="G161" s="1160"/>
      <c r="H161" s="1161"/>
      <c r="I161" s="1155"/>
      <c r="J161" s="1162"/>
      <c r="K161" s="1162"/>
      <c r="L161" s="1162"/>
      <c r="M161" s="1162"/>
      <c r="N161" s="1162"/>
      <c r="O161" s="1155"/>
      <c r="P161" s="1155"/>
      <c r="Q161" s="1155"/>
      <c r="R161" s="1163"/>
      <c r="S161" s="1164"/>
      <c r="T161" s="1164"/>
      <c r="U161" s="1164"/>
      <c r="V161" s="1164"/>
      <c r="W161" s="1164"/>
      <c r="X161" s="1164"/>
      <c r="Y161" s="1164"/>
      <c r="Z161" s="1164"/>
      <c r="AA161" s="1164"/>
      <c r="AB161" s="1164"/>
      <c r="AC161" s="1164"/>
      <c r="AD161" s="1164"/>
      <c r="AE161" s="1155"/>
      <c r="AF161" s="1155"/>
      <c r="AG161" s="1155"/>
      <c r="AH161" s="1163"/>
      <c r="AI161" s="1164"/>
      <c r="AJ161" s="1164"/>
      <c r="AK161" s="1164"/>
      <c r="AL161" s="1164"/>
      <c r="AM161" s="1164"/>
      <c r="AN161" s="1164"/>
      <c r="AO161" s="1164"/>
      <c r="AP161" s="1164"/>
      <c r="AQ161" s="1164"/>
      <c r="AR161" s="1164"/>
      <c r="AS161" s="1164"/>
      <c r="AT161" s="1164"/>
    </row>
    <row r="162" ht="15.75" customHeight="1">
      <c r="A162" s="852"/>
      <c r="B162" s="852"/>
      <c r="C162" s="1156"/>
      <c r="D162" s="1157"/>
      <c r="E162" s="1158"/>
      <c r="F162" s="1159"/>
      <c r="G162" s="1160"/>
      <c r="H162" s="1161"/>
      <c r="I162" s="1155"/>
      <c r="J162" s="1162"/>
      <c r="K162" s="1162"/>
      <c r="L162" s="1162"/>
      <c r="M162" s="1162"/>
      <c r="N162" s="1162"/>
      <c r="O162" s="1155"/>
      <c r="P162" s="1155"/>
      <c r="Q162" s="1155"/>
      <c r="R162" s="1163"/>
      <c r="S162" s="1164"/>
      <c r="T162" s="1164"/>
      <c r="U162" s="1164"/>
      <c r="V162" s="1164"/>
      <c r="W162" s="1164"/>
      <c r="X162" s="1164"/>
      <c r="Y162" s="1164"/>
      <c r="Z162" s="1164"/>
      <c r="AA162" s="1164"/>
      <c r="AB162" s="1164"/>
      <c r="AC162" s="1164"/>
      <c r="AD162" s="1164"/>
      <c r="AE162" s="1155"/>
      <c r="AF162" s="1155"/>
      <c r="AG162" s="1155"/>
      <c r="AH162" s="1163"/>
      <c r="AI162" s="1164"/>
      <c r="AJ162" s="1164"/>
      <c r="AK162" s="1164"/>
      <c r="AL162" s="1164"/>
      <c r="AM162" s="1164"/>
      <c r="AN162" s="1164"/>
      <c r="AO162" s="1164"/>
      <c r="AP162" s="1164"/>
      <c r="AQ162" s="1164"/>
      <c r="AR162" s="1164"/>
      <c r="AS162" s="1164"/>
      <c r="AT162" s="1164"/>
    </row>
    <row r="163" ht="15.75" customHeight="1">
      <c r="A163" s="852"/>
      <c r="B163" s="852"/>
      <c r="C163" s="1156"/>
      <c r="D163" s="1157"/>
      <c r="E163" s="1158"/>
      <c r="F163" s="1159"/>
      <c r="G163" s="1160"/>
      <c r="H163" s="1161"/>
      <c r="I163" s="1155"/>
      <c r="J163" s="1162"/>
      <c r="K163" s="1162"/>
      <c r="L163" s="1162"/>
      <c r="M163" s="1162"/>
      <c r="N163" s="1162"/>
      <c r="O163" s="1155"/>
      <c r="P163" s="1155"/>
      <c r="Q163" s="1155"/>
      <c r="R163" s="1163"/>
      <c r="S163" s="1164"/>
      <c r="T163" s="1164"/>
      <c r="U163" s="1164"/>
      <c r="V163" s="1164"/>
      <c r="W163" s="1164"/>
      <c r="X163" s="1164"/>
      <c r="Y163" s="1164"/>
      <c r="Z163" s="1164"/>
      <c r="AA163" s="1164"/>
      <c r="AB163" s="1164"/>
      <c r="AC163" s="1164"/>
      <c r="AD163" s="1164"/>
      <c r="AE163" s="1155"/>
      <c r="AF163" s="1155"/>
      <c r="AG163" s="1155"/>
      <c r="AH163" s="1163"/>
      <c r="AI163" s="1164"/>
      <c r="AJ163" s="1164"/>
      <c r="AK163" s="1164"/>
      <c r="AL163" s="1164"/>
      <c r="AM163" s="1164"/>
      <c r="AN163" s="1164"/>
      <c r="AO163" s="1164"/>
      <c r="AP163" s="1164"/>
      <c r="AQ163" s="1164"/>
      <c r="AR163" s="1164"/>
      <c r="AS163" s="1164"/>
      <c r="AT163" s="1164"/>
    </row>
    <row r="164" ht="15.75" customHeight="1">
      <c r="A164" s="852"/>
      <c r="B164" s="852"/>
      <c r="C164" s="1156"/>
      <c r="D164" s="1157"/>
      <c r="E164" s="1158"/>
      <c r="F164" s="1159"/>
      <c r="G164" s="1160"/>
      <c r="H164" s="1161"/>
      <c r="I164" s="1155"/>
      <c r="J164" s="1162"/>
      <c r="K164" s="1162"/>
      <c r="L164" s="1162"/>
      <c r="M164" s="1162"/>
      <c r="N164" s="1162"/>
      <c r="O164" s="1155"/>
      <c r="P164" s="1155"/>
      <c r="Q164" s="1155"/>
      <c r="R164" s="1163"/>
      <c r="S164" s="1164"/>
      <c r="T164" s="1164"/>
      <c r="U164" s="1164"/>
      <c r="V164" s="1164"/>
      <c r="W164" s="1164"/>
      <c r="X164" s="1164"/>
      <c r="Y164" s="1164"/>
      <c r="Z164" s="1164"/>
      <c r="AA164" s="1164"/>
      <c r="AB164" s="1164"/>
      <c r="AC164" s="1164"/>
      <c r="AD164" s="1164"/>
      <c r="AE164" s="1155"/>
      <c r="AF164" s="1155"/>
      <c r="AG164" s="1155"/>
      <c r="AH164" s="1163"/>
      <c r="AI164" s="1164"/>
      <c r="AJ164" s="1164"/>
      <c r="AK164" s="1164"/>
      <c r="AL164" s="1164"/>
      <c r="AM164" s="1164"/>
      <c r="AN164" s="1164"/>
      <c r="AO164" s="1164"/>
      <c r="AP164" s="1164"/>
      <c r="AQ164" s="1164"/>
      <c r="AR164" s="1164"/>
      <c r="AS164" s="1164"/>
      <c r="AT164" s="1164"/>
    </row>
    <row r="165" ht="15.75" customHeight="1">
      <c r="A165" s="852"/>
      <c r="B165" s="852"/>
      <c r="C165" s="1156"/>
      <c r="D165" s="1157"/>
      <c r="E165" s="1158"/>
      <c r="F165" s="1159"/>
      <c r="G165" s="1160"/>
      <c r="H165" s="1161"/>
      <c r="I165" s="1155"/>
      <c r="J165" s="1162"/>
      <c r="K165" s="1162"/>
      <c r="L165" s="1162"/>
      <c r="M165" s="1162"/>
      <c r="N165" s="1162"/>
      <c r="O165" s="1155"/>
      <c r="P165" s="1155"/>
      <c r="Q165" s="1155"/>
      <c r="R165" s="1163"/>
      <c r="S165" s="1164"/>
      <c r="T165" s="1164"/>
      <c r="U165" s="1164"/>
      <c r="V165" s="1164"/>
      <c r="W165" s="1164"/>
      <c r="X165" s="1164"/>
      <c r="Y165" s="1164"/>
      <c r="Z165" s="1164"/>
      <c r="AA165" s="1164"/>
      <c r="AB165" s="1164"/>
      <c r="AC165" s="1164"/>
      <c r="AD165" s="1164"/>
      <c r="AE165" s="1155"/>
      <c r="AF165" s="1155"/>
      <c r="AG165" s="1155"/>
      <c r="AH165" s="1163"/>
      <c r="AI165" s="1164"/>
      <c r="AJ165" s="1164"/>
      <c r="AK165" s="1164"/>
      <c r="AL165" s="1164"/>
      <c r="AM165" s="1164"/>
      <c r="AN165" s="1164"/>
      <c r="AO165" s="1164"/>
      <c r="AP165" s="1164"/>
      <c r="AQ165" s="1164"/>
      <c r="AR165" s="1164"/>
      <c r="AS165" s="1164"/>
      <c r="AT165" s="1164"/>
    </row>
    <row r="166" ht="15.75" customHeight="1">
      <c r="A166" s="852"/>
      <c r="B166" s="852"/>
      <c r="C166" s="1156"/>
      <c r="D166" s="1157"/>
      <c r="E166" s="1158"/>
      <c r="F166" s="1159"/>
      <c r="G166" s="1160"/>
      <c r="H166" s="1161"/>
      <c r="I166" s="1155"/>
      <c r="J166" s="1162"/>
      <c r="K166" s="1162"/>
      <c r="L166" s="1162"/>
      <c r="M166" s="1162"/>
      <c r="N166" s="1162"/>
      <c r="O166" s="1155"/>
      <c r="P166" s="1155"/>
      <c r="Q166" s="1155"/>
      <c r="R166" s="1163"/>
      <c r="S166" s="1164"/>
      <c r="T166" s="1164"/>
      <c r="U166" s="1164"/>
      <c r="V166" s="1164"/>
      <c r="W166" s="1164"/>
      <c r="X166" s="1164"/>
      <c r="Y166" s="1164"/>
      <c r="Z166" s="1164"/>
      <c r="AA166" s="1164"/>
      <c r="AB166" s="1164"/>
      <c r="AC166" s="1164"/>
      <c r="AD166" s="1164"/>
      <c r="AE166" s="1155"/>
      <c r="AF166" s="1155"/>
      <c r="AG166" s="1155"/>
      <c r="AH166" s="1163"/>
      <c r="AI166" s="1164"/>
      <c r="AJ166" s="1164"/>
      <c r="AK166" s="1164"/>
      <c r="AL166" s="1164"/>
      <c r="AM166" s="1164"/>
      <c r="AN166" s="1164"/>
      <c r="AO166" s="1164"/>
      <c r="AP166" s="1164"/>
      <c r="AQ166" s="1164"/>
      <c r="AR166" s="1164"/>
      <c r="AS166" s="1164"/>
      <c r="AT166" s="1164"/>
    </row>
    <row r="167" ht="15.75" customHeight="1">
      <c r="A167" s="852"/>
      <c r="B167" s="852"/>
      <c r="C167" s="1156"/>
      <c r="D167" s="1157"/>
      <c r="E167" s="1158"/>
      <c r="F167" s="1159"/>
      <c r="G167" s="1160"/>
      <c r="H167" s="1161"/>
      <c r="I167" s="1155"/>
      <c r="J167" s="1162"/>
      <c r="K167" s="1162"/>
      <c r="L167" s="1162"/>
      <c r="M167" s="1162"/>
      <c r="N167" s="1162"/>
      <c r="O167" s="1155"/>
      <c r="P167" s="1155"/>
      <c r="Q167" s="1155"/>
      <c r="R167" s="1163"/>
      <c r="S167" s="1164"/>
      <c r="T167" s="1164"/>
      <c r="U167" s="1164"/>
      <c r="V167" s="1164"/>
      <c r="W167" s="1164"/>
      <c r="X167" s="1164"/>
      <c r="Y167" s="1164"/>
      <c r="Z167" s="1164"/>
      <c r="AA167" s="1164"/>
      <c r="AB167" s="1164"/>
      <c r="AC167" s="1164"/>
      <c r="AD167" s="1164"/>
      <c r="AE167" s="1155"/>
      <c r="AF167" s="1155"/>
      <c r="AG167" s="1155"/>
      <c r="AH167" s="1163"/>
      <c r="AI167" s="1164"/>
      <c r="AJ167" s="1164"/>
      <c r="AK167" s="1164"/>
      <c r="AL167" s="1164"/>
      <c r="AM167" s="1164"/>
      <c r="AN167" s="1164"/>
      <c r="AO167" s="1164"/>
      <c r="AP167" s="1164"/>
      <c r="AQ167" s="1164"/>
      <c r="AR167" s="1164"/>
      <c r="AS167" s="1164"/>
      <c r="AT167" s="1164"/>
    </row>
    <row r="168" ht="15.75" customHeight="1">
      <c r="A168" s="852"/>
      <c r="B168" s="852"/>
      <c r="C168" s="1156"/>
      <c r="D168" s="1157"/>
      <c r="E168" s="1158"/>
      <c r="F168" s="1159"/>
      <c r="G168" s="1160"/>
      <c r="H168" s="1161"/>
      <c r="I168" s="1155"/>
      <c r="J168" s="1162"/>
      <c r="K168" s="1162"/>
      <c r="L168" s="1162"/>
      <c r="M168" s="1162"/>
      <c r="N168" s="1162"/>
      <c r="O168" s="1155"/>
      <c r="P168" s="1155"/>
      <c r="Q168" s="1155"/>
      <c r="R168" s="1163"/>
      <c r="S168" s="1164"/>
      <c r="T168" s="1164"/>
      <c r="U168" s="1164"/>
      <c r="V168" s="1164"/>
      <c r="W168" s="1164"/>
      <c r="X168" s="1164"/>
      <c r="Y168" s="1164"/>
      <c r="Z168" s="1164"/>
      <c r="AA168" s="1164"/>
      <c r="AB168" s="1164"/>
      <c r="AC168" s="1164"/>
      <c r="AD168" s="1164"/>
      <c r="AE168" s="1155"/>
      <c r="AF168" s="1155"/>
      <c r="AG168" s="1155"/>
      <c r="AH168" s="1163"/>
      <c r="AI168" s="1164"/>
      <c r="AJ168" s="1164"/>
      <c r="AK168" s="1164"/>
      <c r="AL168" s="1164"/>
      <c r="AM168" s="1164"/>
      <c r="AN168" s="1164"/>
      <c r="AO168" s="1164"/>
      <c r="AP168" s="1164"/>
      <c r="AQ168" s="1164"/>
      <c r="AR168" s="1164"/>
      <c r="AS168" s="1164"/>
      <c r="AT168" s="1164"/>
    </row>
    <row r="169" ht="15.75" customHeight="1">
      <c r="A169" s="852"/>
      <c r="B169" s="852"/>
      <c r="C169" s="1156"/>
      <c r="D169" s="1157"/>
      <c r="E169" s="1158"/>
      <c r="F169" s="1159"/>
      <c r="G169" s="1160"/>
      <c r="H169" s="1161"/>
      <c r="I169" s="1155"/>
      <c r="J169" s="1162"/>
      <c r="K169" s="1162"/>
      <c r="L169" s="1162"/>
      <c r="M169" s="1162"/>
      <c r="N169" s="1162"/>
      <c r="O169" s="1155"/>
      <c r="P169" s="1155"/>
      <c r="Q169" s="1155"/>
      <c r="R169" s="1163"/>
      <c r="S169" s="1164"/>
      <c r="T169" s="1164"/>
      <c r="U169" s="1164"/>
      <c r="V169" s="1164"/>
      <c r="W169" s="1164"/>
      <c r="X169" s="1164"/>
      <c r="Y169" s="1164"/>
      <c r="Z169" s="1164"/>
      <c r="AA169" s="1164"/>
      <c r="AB169" s="1164"/>
      <c r="AC169" s="1164"/>
      <c r="AD169" s="1164"/>
      <c r="AE169" s="1155"/>
      <c r="AF169" s="1155"/>
      <c r="AG169" s="1155"/>
      <c r="AH169" s="1163"/>
      <c r="AI169" s="1164"/>
      <c r="AJ169" s="1164"/>
      <c r="AK169" s="1164"/>
      <c r="AL169" s="1164"/>
      <c r="AM169" s="1164"/>
      <c r="AN169" s="1164"/>
      <c r="AO169" s="1164"/>
      <c r="AP169" s="1164"/>
      <c r="AQ169" s="1164"/>
      <c r="AR169" s="1164"/>
      <c r="AS169" s="1164"/>
      <c r="AT169" s="1164"/>
    </row>
    <row r="170" ht="15.75" customHeight="1">
      <c r="A170" s="852"/>
      <c r="B170" s="852"/>
      <c r="C170" s="1156"/>
      <c r="D170" s="1157"/>
      <c r="E170" s="1158"/>
      <c r="F170" s="1159"/>
      <c r="G170" s="1160"/>
      <c r="H170" s="1161"/>
      <c r="I170" s="1155"/>
      <c r="J170" s="1162"/>
      <c r="K170" s="1162"/>
      <c r="L170" s="1162"/>
      <c r="M170" s="1162"/>
      <c r="N170" s="1162"/>
      <c r="O170" s="1155"/>
      <c r="P170" s="1155"/>
      <c r="Q170" s="1155"/>
      <c r="R170" s="1163"/>
      <c r="S170" s="1164"/>
      <c r="T170" s="1164"/>
      <c r="U170" s="1164"/>
      <c r="V170" s="1164"/>
      <c r="W170" s="1164"/>
      <c r="X170" s="1164"/>
      <c r="Y170" s="1164"/>
      <c r="Z170" s="1164"/>
      <c r="AA170" s="1164"/>
      <c r="AB170" s="1164"/>
      <c r="AC170" s="1164"/>
      <c r="AD170" s="1164"/>
      <c r="AE170" s="1155"/>
      <c r="AF170" s="1155"/>
      <c r="AG170" s="1155"/>
      <c r="AH170" s="1163"/>
      <c r="AI170" s="1164"/>
      <c r="AJ170" s="1164"/>
      <c r="AK170" s="1164"/>
      <c r="AL170" s="1164"/>
      <c r="AM170" s="1164"/>
      <c r="AN170" s="1164"/>
      <c r="AO170" s="1164"/>
      <c r="AP170" s="1164"/>
      <c r="AQ170" s="1164"/>
      <c r="AR170" s="1164"/>
      <c r="AS170" s="1164"/>
      <c r="AT170" s="1164"/>
    </row>
    <row r="171" ht="15.75" customHeight="1">
      <c r="A171" s="852"/>
      <c r="B171" s="852"/>
      <c r="C171" s="1156"/>
      <c r="D171" s="1157"/>
      <c r="E171" s="1158"/>
      <c r="F171" s="1159"/>
      <c r="G171" s="1160"/>
      <c r="H171" s="1161"/>
      <c r="I171" s="1155"/>
      <c r="J171" s="1162"/>
      <c r="K171" s="1162"/>
      <c r="L171" s="1162"/>
      <c r="M171" s="1162"/>
      <c r="N171" s="1162"/>
      <c r="O171" s="1155"/>
      <c r="P171" s="1155"/>
      <c r="Q171" s="1155"/>
      <c r="R171" s="1163"/>
      <c r="S171" s="1164"/>
      <c r="T171" s="1164"/>
      <c r="U171" s="1164"/>
      <c r="V171" s="1164"/>
      <c r="W171" s="1164"/>
      <c r="X171" s="1164"/>
      <c r="Y171" s="1164"/>
      <c r="Z171" s="1164"/>
      <c r="AA171" s="1164"/>
      <c r="AB171" s="1164"/>
      <c r="AC171" s="1164"/>
      <c r="AD171" s="1164"/>
      <c r="AE171" s="1155"/>
      <c r="AF171" s="1155"/>
      <c r="AG171" s="1155"/>
      <c r="AH171" s="1163"/>
      <c r="AI171" s="1164"/>
      <c r="AJ171" s="1164"/>
      <c r="AK171" s="1164"/>
      <c r="AL171" s="1164"/>
      <c r="AM171" s="1164"/>
      <c r="AN171" s="1164"/>
      <c r="AO171" s="1164"/>
      <c r="AP171" s="1164"/>
      <c r="AQ171" s="1164"/>
      <c r="AR171" s="1164"/>
      <c r="AS171" s="1164"/>
      <c r="AT171" s="1164"/>
    </row>
    <row r="172" ht="15.75" customHeight="1">
      <c r="A172" s="852"/>
      <c r="B172" s="852"/>
      <c r="C172" s="1156"/>
      <c r="D172" s="1157"/>
      <c r="E172" s="1158"/>
      <c r="F172" s="1159"/>
      <c r="G172" s="1160"/>
      <c r="H172" s="1161"/>
      <c r="I172" s="1155"/>
      <c r="J172" s="1162"/>
      <c r="K172" s="1162"/>
      <c r="L172" s="1162"/>
      <c r="M172" s="1162"/>
      <c r="N172" s="1162"/>
      <c r="O172" s="1155"/>
      <c r="P172" s="1155"/>
      <c r="Q172" s="1155"/>
      <c r="R172" s="1163"/>
      <c r="S172" s="1164"/>
      <c r="T172" s="1164"/>
      <c r="U172" s="1164"/>
      <c r="V172" s="1164"/>
      <c r="W172" s="1164"/>
      <c r="X172" s="1164"/>
      <c r="Y172" s="1164"/>
      <c r="Z172" s="1164"/>
      <c r="AA172" s="1164"/>
      <c r="AB172" s="1164"/>
      <c r="AC172" s="1164"/>
      <c r="AD172" s="1164"/>
      <c r="AE172" s="1155"/>
      <c r="AF172" s="1155"/>
      <c r="AG172" s="1155"/>
      <c r="AH172" s="1163"/>
      <c r="AI172" s="1164"/>
      <c r="AJ172" s="1164"/>
      <c r="AK172" s="1164"/>
      <c r="AL172" s="1164"/>
      <c r="AM172" s="1164"/>
      <c r="AN172" s="1164"/>
      <c r="AO172" s="1164"/>
      <c r="AP172" s="1164"/>
      <c r="AQ172" s="1164"/>
      <c r="AR172" s="1164"/>
      <c r="AS172" s="1164"/>
      <c r="AT172" s="1164"/>
    </row>
    <row r="173" ht="15.75" customHeight="1">
      <c r="A173" s="852"/>
      <c r="B173" s="852"/>
      <c r="C173" s="1156"/>
      <c r="D173" s="1157"/>
      <c r="E173" s="1158"/>
      <c r="F173" s="1159"/>
      <c r="G173" s="1160"/>
      <c r="H173" s="1161"/>
      <c r="I173" s="1155"/>
      <c r="J173" s="1162"/>
      <c r="K173" s="1162"/>
      <c r="L173" s="1162"/>
      <c r="M173" s="1162"/>
      <c r="N173" s="1162"/>
      <c r="O173" s="1155"/>
      <c r="P173" s="1155"/>
      <c r="Q173" s="1155"/>
      <c r="R173" s="1163"/>
      <c r="S173" s="1164"/>
      <c r="T173" s="1164"/>
      <c r="U173" s="1164"/>
      <c r="V173" s="1164"/>
      <c r="W173" s="1164"/>
      <c r="X173" s="1164"/>
      <c r="Y173" s="1164"/>
      <c r="Z173" s="1164"/>
      <c r="AA173" s="1164"/>
      <c r="AB173" s="1164"/>
      <c r="AC173" s="1164"/>
      <c r="AD173" s="1164"/>
      <c r="AE173" s="1155"/>
      <c r="AF173" s="1155"/>
      <c r="AG173" s="1155"/>
      <c r="AH173" s="1163"/>
      <c r="AI173" s="1164"/>
      <c r="AJ173" s="1164"/>
      <c r="AK173" s="1164"/>
      <c r="AL173" s="1164"/>
      <c r="AM173" s="1164"/>
      <c r="AN173" s="1164"/>
      <c r="AO173" s="1164"/>
      <c r="AP173" s="1164"/>
      <c r="AQ173" s="1164"/>
      <c r="AR173" s="1164"/>
      <c r="AS173" s="1164"/>
      <c r="AT173" s="1164"/>
    </row>
    <row r="174" ht="15.75" customHeight="1">
      <c r="A174" s="852"/>
      <c r="B174" s="852"/>
      <c r="C174" s="1156"/>
      <c r="D174" s="1157"/>
      <c r="E174" s="1158"/>
      <c r="F174" s="1159"/>
      <c r="G174" s="1160"/>
      <c r="H174" s="1161"/>
      <c r="I174" s="1155"/>
      <c r="J174" s="1162"/>
      <c r="K174" s="1162"/>
      <c r="L174" s="1162"/>
      <c r="M174" s="1162"/>
      <c r="N174" s="1162"/>
      <c r="O174" s="1155"/>
      <c r="P174" s="1155"/>
      <c r="Q174" s="1155"/>
      <c r="R174" s="1163"/>
      <c r="S174" s="1164"/>
      <c r="T174" s="1164"/>
      <c r="U174" s="1164"/>
      <c r="V174" s="1164"/>
      <c r="W174" s="1164"/>
      <c r="X174" s="1164"/>
      <c r="Y174" s="1164"/>
      <c r="Z174" s="1164"/>
      <c r="AA174" s="1164"/>
      <c r="AB174" s="1164"/>
      <c r="AC174" s="1164"/>
      <c r="AD174" s="1164"/>
      <c r="AE174" s="1155"/>
      <c r="AF174" s="1155"/>
      <c r="AG174" s="1155"/>
      <c r="AH174" s="1163"/>
      <c r="AI174" s="1164"/>
      <c r="AJ174" s="1164"/>
      <c r="AK174" s="1164"/>
      <c r="AL174" s="1164"/>
      <c r="AM174" s="1164"/>
      <c r="AN174" s="1164"/>
      <c r="AO174" s="1164"/>
      <c r="AP174" s="1164"/>
      <c r="AQ174" s="1164"/>
      <c r="AR174" s="1164"/>
      <c r="AS174" s="1164"/>
      <c r="AT174" s="1164"/>
    </row>
    <row r="175" ht="15.75" customHeight="1">
      <c r="A175" s="852"/>
      <c r="B175" s="852"/>
      <c r="C175" s="1156"/>
      <c r="D175" s="1157"/>
      <c r="E175" s="1158"/>
      <c r="F175" s="1159"/>
      <c r="G175" s="1160"/>
      <c r="H175" s="1161"/>
      <c r="I175" s="1155"/>
      <c r="J175" s="1162"/>
      <c r="K175" s="1162"/>
      <c r="L175" s="1162"/>
      <c r="M175" s="1162"/>
      <c r="N175" s="1162"/>
      <c r="O175" s="1155"/>
      <c r="P175" s="1155"/>
      <c r="Q175" s="1155"/>
      <c r="R175" s="1163"/>
      <c r="S175" s="1164"/>
      <c r="T175" s="1164"/>
      <c r="U175" s="1164"/>
      <c r="V175" s="1164"/>
      <c r="W175" s="1164"/>
      <c r="X175" s="1164"/>
      <c r="Y175" s="1164"/>
      <c r="Z175" s="1164"/>
      <c r="AA175" s="1164"/>
      <c r="AB175" s="1164"/>
      <c r="AC175" s="1164"/>
      <c r="AD175" s="1164"/>
      <c r="AE175" s="1155"/>
      <c r="AF175" s="1155"/>
      <c r="AG175" s="1155"/>
      <c r="AH175" s="1163"/>
      <c r="AI175" s="1164"/>
      <c r="AJ175" s="1164"/>
      <c r="AK175" s="1164"/>
      <c r="AL175" s="1164"/>
      <c r="AM175" s="1164"/>
      <c r="AN175" s="1164"/>
      <c r="AO175" s="1164"/>
      <c r="AP175" s="1164"/>
      <c r="AQ175" s="1164"/>
      <c r="AR175" s="1164"/>
      <c r="AS175" s="1164"/>
      <c r="AT175" s="1164"/>
    </row>
    <row r="176" ht="15.75" customHeight="1">
      <c r="A176" s="852"/>
      <c r="B176" s="852"/>
      <c r="C176" s="1156"/>
      <c r="D176" s="1157"/>
      <c r="E176" s="1158"/>
      <c r="F176" s="1159"/>
      <c r="G176" s="1160"/>
      <c r="H176" s="1161"/>
      <c r="I176" s="1155"/>
      <c r="J176" s="1162"/>
      <c r="K176" s="1162"/>
      <c r="L176" s="1162"/>
      <c r="M176" s="1162"/>
      <c r="N176" s="1162"/>
      <c r="O176" s="1155"/>
      <c r="P176" s="1155"/>
      <c r="Q176" s="1155"/>
      <c r="R176" s="1163"/>
      <c r="S176" s="1164"/>
      <c r="T176" s="1164"/>
      <c r="U176" s="1164"/>
      <c r="V176" s="1164"/>
      <c r="W176" s="1164"/>
      <c r="X176" s="1164"/>
      <c r="Y176" s="1164"/>
      <c r="Z176" s="1164"/>
      <c r="AA176" s="1164"/>
      <c r="AB176" s="1164"/>
      <c r="AC176" s="1164"/>
      <c r="AD176" s="1164"/>
      <c r="AE176" s="1155"/>
      <c r="AF176" s="1155"/>
      <c r="AG176" s="1155"/>
      <c r="AH176" s="1163"/>
      <c r="AI176" s="1164"/>
      <c r="AJ176" s="1164"/>
      <c r="AK176" s="1164"/>
      <c r="AL176" s="1164"/>
      <c r="AM176" s="1164"/>
      <c r="AN176" s="1164"/>
      <c r="AO176" s="1164"/>
      <c r="AP176" s="1164"/>
      <c r="AQ176" s="1164"/>
      <c r="AR176" s="1164"/>
      <c r="AS176" s="1164"/>
      <c r="AT176" s="1164"/>
    </row>
    <row r="177" ht="15.75" customHeight="1">
      <c r="A177" s="852"/>
      <c r="B177" s="852"/>
      <c r="C177" s="1156"/>
      <c r="D177" s="1157"/>
      <c r="E177" s="1158"/>
      <c r="F177" s="1159"/>
      <c r="G177" s="1160"/>
      <c r="H177" s="1161"/>
      <c r="I177" s="1155"/>
      <c r="J177" s="1162"/>
      <c r="K177" s="1162"/>
      <c r="L177" s="1162"/>
      <c r="M177" s="1162"/>
      <c r="N177" s="1162"/>
      <c r="O177" s="1155"/>
      <c r="P177" s="1155"/>
      <c r="Q177" s="1155"/>
      <c r="R177" s="1163"/>
      <c r="S177" s="1164"/>
      <c r="T177" s="1164"/>
      <c r="U177" s="1164"/>
      <c r="V177" s="1164"/>
      <c r="W177" s="1164"/>
      <c r="X177" s="1164"/>
      <c r="Y177" s="1164"/>
      <c r="Z177" s="1164"/>
      <c r="AA177" s="1164"/>
      <c r="AB177" s="1164"/>
      <c r="AC177" s="1164"/>
      <c r="AD177" s="1164"/>
      <c r="AE177" s="1155"/>
      <c r="AF177" s="1155"/>
      <c r="AG177" s="1155"/>
      <c r="AH177" s="1163"/>
      <c r="AI177" s="1164"/>
      <c r="AJ177" s="1164"/>
      <c r="AK177" s="1164"/>
      <c r="AL177" s="1164"/>
      <c r="AM177" s="1164"/>
      <c r="AN177" s="1164"/>
      <c r="AO177" s="1164"/>
      <c r="AP177" s="1164"/>
      <c r="AQ177" s="1164"/>
      <c r="AR177" s="1164"/>
      <c r="AS177" s="1164"/>
      <c r="AT177" s="1164"/>
    </row>
    <row r="178" ht="15.75" customHeight="1">
      <c r="A178" s="852"/>
      <c r="B178" s="852"/>
      <c r="C178" s="1156"/>
      <c r="D178" s="1157"/>
      <c r="E178" s="1158"/>
      <c r="F178" s="1159"/>
      <c r="G178" s="1160"/>
      <c r="H178" s="1161"/>
      <c r="I178" s="1155"/>
      <c r="J178" s="1162"/>
      <c r="K178" s="1162"/>
      <c r="L178" s="1162"/>
      <c r="M178" s="1162"/>
      <c r="N178" s="1162"/>
      <c r="O178" s="1155"/>
      <c r="P178" s="1155"/>
      <c r="Q178" s="1155"/>
      <c r="R178" s="1163"/>
      <c r="S178" s="1164"/>
      <c r="T178" s="1164"/>
      <c r="U178" s="1164"/>
      <c r="V178" s="1164"/>
      <c r="W178" s="1164"/>
      <c r="X178" s="1164"/>
      <c r="Y178" s="1164"/>
      <c r="Z178" s="1164"/>
      <c r="AA178" s="1164"/>
      <c r="AB178" s="1164"/>
      <c r="AC178" s="1164"/>
      <c r="AD178" s="1164"/>
      <c r="AE178" s="1155"/>
      <c r="AF178" s="1155"/>
      <c r="AG178" s="1155"/>
      <c r="AH178" s="1163"/>
      <c r="AI178" s="1164"/>
      <c r="AJ178" s="1164"/>
      <c r="AK178" s="1164"/>
      <c r="AL178" s="1164"/>
      <c r="AM178" s="1164"/>
      <c r="AN178" s="1164"/>
      <c r="AO178" s="1164"/>
      <c r="AP178" s="1164"/>
      <c r="AQ178" s="1164"/>
      <c r="AR178" s="1164"/>
      <c r="AS178" s="1164"/>
      <c r="AT178" s="1164"/>
    </row>
    <row r="179" ht="15.75" customHeight="1">
      <c r="A179" s="852"/>
      <c r="B179" s="852"/>
      <c r="C179" s="1156"/>
      <c r="D179" s="1157"/>
      <c r="E179" s="1158"/>
      <c r="F179" s="1159"/>
      <c r="G179" s="1160"/>
      <c r="H179" s="1161"/>
      <c r="I179" s="1155"/>
      <c r="J179" s="1162"/>
      <c r="K179" s="1162"/>
      <c r="L179" s="1162"/>
      <c r="M179" s="1162"/>
      <c r="N179" s="1162"/>
      <c r="O179" s="1155"/>
      <c r="P179" s="1155"/>
      <c r="Q179" s="1155"/>
      <c r="R179" s="1163"/>
      <c r="S179" s="1164"/>
      <c r="T179" s="1164"/>
      <c r="U179" s="1164"/>
      <c r="V179" s="1164"/>
      <c r="W179" s="1164"/>
      <c r="X179" s="1164"/>
      <c r="Y179" s="1164"/>
      <c r="Z179" s="1164"/>
      <c r="AA179" s="1164"/>
      <c r="AB179" s="1164"/>
      <c r="AC179" s="1164"/>
      <c r="AD179" s="1164"/>
      <c r="AE179" s="1155"/>
      <c r="AF179" s="1155"/>
      <c r="AG179" s="1155"/>
      <c r="AH179" s="1163"/>
      <c r="AI179" s="1164"/>
      <c r="AJ179" s="1164"/>
      <c r="AK179" s="1164"/>
      <c r="AL179" s="1164"/>
      <c r="AM179" s="1164"/>
      <c r="AN179" s="1164"/>
      <c r="AO179" s="1164"/>
      <c r="AP179" s="1164"/>
      <c r="AQ179" s="1164"/>
      <c r="AR179" s="1164"/>
      <c r="AS179" s="1164"/>
      <c r="AT179" s="1164"/>
    </row>
    <row r="180" ht="15.75" customHeight="1">
      <c r="A180" s="852"/>
      <c r="B180" s="852"/>
      <c r="C180" s="1156"/>
      <c r="D180" s="1157"/>
      <c r="E180" s="1158"/>
      <c r="F180" s="1159"/>
      <c r="G180" s="1160"/>
      <c r="H180" s="1161"/>
      <c r="I180" s="1155"/>
      <c r="J180" s="1162"/>
      <c r="K180" s="1162"/>
      <c r="L180" s="1162"/>
      <c r="M180" s="1162"/>
      <c r="N180" s="1162"/>
      <c r="O180" s="1155"/>
      <c r="P180" s="1155"/>
      <c r="Q180" s="1155"/>
      <c r="R180" s="1163"/>
      <c r="S180" s="1164"/>
      <c r="T180" s="1164"/>
      <c r="U180" s="1164"/>
      <c r="V180" s="1164"/>
      <c r="W180" s="1164"/>
      <c r="X180" s="1164"/>
      <c r="Y180" s="1164"/>
      <c r="Z180" s="1164"/>
      <c r="AA180" s="1164"/>
      <c r="AB180" s="1164"/>
      <c r="AC180" s="1164"/>
      <c r="AD180" s="1164"/>
      <c r="AE180" s="1155"/>
      <c r="AF180" s="1155"/>
      <c r="AG180" s="1155"/>
      <c r="AH180" s="1163"/>
      <c r="AI180" s="1164"/>
      <c r="AJ180" s="1164"/>
      <c r="AK180" s="1164"/>
      <c r="AL180" s="1164"/>
      <c r="AM180" s="1164"/>
      <c r="AN180" s="1164"/>
      <c r="AO180" s="1164"/>
      <c r="AP180" s="1164"/>
      <c r="AQ180" s="1164"/>
      <c r="AR180" s="1164"/>
      <c r="AS180" s="1164"/>
      <c r="AT180" s="1164"/>
    </row>
    <row r="181" ht="15.75" customHeight="1">
      <c r="A181" s="852"/>
      <c r="B181" s="852"/>
      <c r="C181" s="1156"/>
      <c r="D181" s="1157"/>
      <c r="E181" s="1158"/>
      <c r="F181" s="1159"/>
      <c r="G181" s="1160"/>
      <c r="H181" s="1161"/>
      <c r="I181" s="1155"/>
      <c r="J181" s="1162"/>
      <c r="K181" s="1162"/>
      <c r="L181" s="1162"/>
      <c r="M181" s="1162"/>
      <c r="N181" s="1162"/>
      <c r="O181" s="1155"/>
      <c r="P181" s="1155"/>
      <c r="Q181" s="1155"/>
      <c r="R181" s="1163"/>
      <c r="S181" s="1164"/>
      <c r="T181" s="1164"/>
      <c r="U181" s="1164"/>
      <c r="V181" s="1164"/>
      <c r="W181" s="1164"/>
      <c r="X181" s="1164"/>
      <c r="Y181" s="1164"/>
      <c r="Z181" s="1164"/>
      <c r="AA181" s="1164"/>
      <c r="AB181" s="1164"/>
      <c r="AC181" s="1164"/>
      <c r="AD181" s="1164"/>
      <c r="AE181" s="1155"/>
      <c r="AF181" s="1155"/>
      <c r="AG181" s="1155"/>
      <c r="AH181" s="1163"/>
      <c r="AI181" s="1164"/>
      <c r="AJ181" s="1164"/>
      <c r="AK181" s="1164"/>
      <c r="AL181" s="1164"/>
      <c r="AM181" s="1164"/>
      <c r="AN181" s="1164"/>
      <c r="AO181" s="1164"/>
      <c r="AP181" s="1164"/>
      <c r="AQ181" s="1164"/>
      <c r="AR181" s="1164"/>
      <c r="AS181" s="1164"/>
      <c r="AT181" s="1164"/>
    </row>
    <row r="182" ht="15.75" customHeight="1">
      <c r="A182" s="852"/>
      <c r="B182" s="852"/>
      <c r="C182" s="1156"/>
      <c r="D182" s="1157"/>
      <c r="E182" s="1158"/>
      <c r="F182" s="1159"/>
      <c r="G182" s="1160"/>
      <c r="H182" s="1161"/>
      <c r="I182" s="1155"/>
      <c r="J182" s="1162"/>
      <c r="K182" s="1162"/>
      <c r="L182" s="1162"/>
      <c r="M182" s="1162"/>
      <c r="N182" s="1162"/>
      <c r="O182" s="1155"/>
      <c r="P182" s="1155"/>
      <c r="Q182" s="1155"/>
      <c r="R182" s="1163"/>
      <c r="S182" s="1164"/>
      <c r="T182" s="1164"/>
      <c r="U182" s="1164"/>
      <c r="V182" s="1164"/>
      <c r="W182" s="1164"/>
      <c r="X182" s="1164"/>
      <c r="Y182" s="1164"/>
      <c r="Z182" s="1164"/>
      <c r="AA182" s="1164"/>
      <c r="AB182" s="1164"/>
      <c r="AC182" s="1164"/>
      <c r="AD182" s="1164"/>
      <c r="AE182" s="1155"/>
      <c r="AF182" s="1155"/>
      <c r="AG182" s="1155"/>
      <c r="AH182" s="1163"/>
      <c r="AI182" s="1164"/>
      <c r="AJ182" s="1164"/>
      <c r="AK182" s="1164"/>
      <c r="AL182" s="1164"/>
      <c r="AM182" s="1164"/>
      <c r="AN182" s="1164"/>
      <c r="AO182" s="1164"/>
      <c r="AP182" s="1164"/>
      <c r="AQ182" s="1164"/>
      <c r="AR182" s="1164"/>
      <c r="AS182" s="1164"/>
      <c r="AT182" s="1164"/>
    </row>
    <row r="183" ht="15.75" customHeight="1">
      <c r="A183" s="852"/>
      <c r="B183" s="852"/>
      <c r="C183" s="1156"/>
      <c r="D183" s="1157"/>
      <c r="E183" s="1158"/>
      <c r="F183" s="1159"/>
      <c r="G183" s="1160"/>
      <c r="H183" s="1161"/>
      <c r="I183" s="1155"/>
      <c r="J183" s="1162"/>
      <c r="K183" s="1162"/>
      <c r="L183" s="1162"/>
      <c r="M183" s="1162"/>
      <c r="N183" s="1162"/>
      <c r="O183" s="1155"/>
      <c r="P183" s="1155"/>
      <c r="Q183" s="1155"/>
      <c r="R183" s="1163"/>
      <c r="S183" s="1164"/>
      <c r="T183" s="1164"/>
      <c r="U183" s="1164"/>
      <c r="V183" s="1164"/>
      <c r="W183" s="1164"/>
      <c r="X183" s="1164"/>
      <c r="Y183" s="1164"/>
      <c r="Z183" s="1164"/>
      <c r="AA183" s="1164"/>
      <c r="AB183" s="1164"/>
      <c r="AC183" s="1164"/>
      <c r="AD183" s="1164"/>
      <c r="AE183" s="1155"/>
      <c r="AF183" s="1155"/>
      <c r="AG183" s="1155"/>
      <c r="AH183" s="1163"/>
      <c r="AI183" s="1164"/>
      <c r="AJ183" s="1164"/>
      <c r="AK183" s="1164"/>
      <c r="AL183" s="1164"/>
      <c r="AM183" s="1164"/>
      <c r="AN183" s="1164"/>
      <c r="AO183" s="1164"/>
      <c r="AP183" s="1164"/>
      <c r="AQ183" s="1164"/>
      <c r="AR183" s="1164"/>
      <c r="AS183" s="1164"/>
      <c r="AT183" s="1164"/>
    </row>
    <row r="184" ht="15.75" customHeight="1">
      <c r="A184" s="852"/>
      <c r="B184" s="852"/>
      <c r="C184" s="1156"/>
      <c r="D184" s="1157"/>
      <c r="E184" s="1158"/>
      <c r="F184" s="1159"/>
      <c r="G184" s="1160"/>
      <c r="H184" s="1161"/>
      <c r="I184" s="1155"/>
      <c r="J184" s="1162"/>
      <c r="K184" s="1162"/>
      <c r="L184" s="1162"/>
      <c r="M184" s="1162"/>
      <c r="N184" s="1162"/>
      <c r="O184" s="1155"/>
      <c r="P184" s="1155"/>
      <c r="Q184" s="1155"/>
      <c r="R184" s="1163"/>
      <c r="S184" s="1164"/>
      <c r="T184" s="1164"/>
      <c r="U184" s="1164"/>
      <c r="V184" s="1164"/>
      <c r="W184" s="1164"/>
      <c r="X184" s="1164"/>
      <c r="Y184" s="1164"/>
      <c r="Z184" s="1164"/>
      <c r="AA184" s="1164"/>
      <c r="AB184" s="1164"/>
      <c r="AC184" s="1164"/>
      <c r="AD184" s="1164"/>
      <c r="AE184" s="1155"/>
      <c r="AF184" s="1155"/>
      <c r="AG184" s="1155"/>
      <c r="AH184" s="1163"/>
      <c r="AI184" s="1164"/>
      <c r="AJ184" s="1164"/>
      <c r="AK184" s="1164"/>
      <c r="AL184" s="1164"/>
      <c r="AM184" s="1164"/>
      <c r="AN184" s="1164"/>
      <c r="AO184" s="1164"/>
      <c r="AP184" s="1164"/>
      <c r="AQ184" s="1164"/>
      <c r="AR184" s="1164"/>
      <c r="AS184" s="1164"/>
      <c r="AT184" s="1164"/>
    </row>
    <row r="185" ht="15.75" customHeight="1">
      <c r="A185" s="852"/>
      <c r="B185" s="852"/>
      <c r="C185" s="1156"/>
      <c r="D185" s="1157"/>
      <c r="E185" s="1158"/>
      <c r="F185" s="1159"/>
      <c r="G185" s="1160"/>
      <c r="H185" s="1161"/>
      <c r="I185" s="1155"/>
      <c r="J185" s="1162"/>
      <c r="K185" s="1162"/>
      <c r="L185" s="1162"/>
      <c r="M185" s="1162"/>
      <c r="N185" s="1162"/>
      <c r="O185" s="1155"/>
      <c r="P185" s="1155"/>
      <c r="Q185" s="1155"/>
      <c r="R185" s="1163"/>
      <c r="S185" s="1164"/>
      <c r="T185" s="1164"/>
      <c r="U185" s="1164"/>
      <c r="V185" s="1164"/>
      <c r="W185" s="1164"/>
      <c r="X185" s="1164"/>
      <c r="Y185" s="1164"/>
      <c r="Z185" s="1164"/>
      <c r="AA185" s="1164"/>
      <c r="AB185" s="1164"/>
      <c r="AC185" s="1164"/>
      <c r="AD185" s="1164"/>
      <c r="AE185" s="1155"/>
      <c r="AF185" s="1155"/>
      <c r="AG185" s="1155"/>
      <c r="AH185" s="1163"/>
      <c r="AI185" s="1164"/>
      <c r="AJ185" s="1164"/>
      <c r="AK185" s="1164"/>
      <c r="AL185" s="1164"/>
      <c r="AM185" s="1164"/>
      <c r="AN185" s="1164"/>
      <c r="AO185" s="1164"/>
      <c r="AP185" s="1164"/>
      <c r="AQ185" s="1164"/>
      <c r="AR185" s="1164"/>
      <c r="AS185" s="1164"/>
      <c r="AT185" s="1164"/>
    </row>
    <row r="186" ht="15.75" customHeight="1">
      <c r="A186" s="852"/>
      <c r="B186" s="852"/>
      <c r="C186" s="1156"/>
      <c r="D186" s="1157"/>
      <c r="E186" s="1158"/>
      <c r="F186" s="1159"/>
      <c r="G186" s="1160"/>
      <c r="H186" s="1161"/>
      <c r="I186" s="1155"/>
      <c r="J186" s="1162"/>
      <c r="K186" s="1162"/>
      <c r="L186" s="1162"/>
      <c r="M186" s="1162"/>
      <c r="N186" s="1162"/>
      <c r="O186" s="1155"/>
      <c r="P186" s="1155"/>
      <c r="Q186" s="1155"/>
      <c r="R186" s="1163"/>
      <c r="S186" s="1164"/>
      <c r="T186" s="1164"/>
      <c r="U186" s="1164"/>
      <c r="V186" s="1164"/>
      <c r="W186" s="1164"/>
      <c r="X186" s="1164"/>
      <c r="Y186" s="1164"/>
      <c r="Z186" s="1164"/>
      <c r="AA186" s="1164"/>
      <c r="AB186" s="1164"/>
      <c r="AC186" s="1164"/>
      <c r="AD186" s="1164"/>
      <c r="AE186" s="1155"/>
      <c r="AF186" s="1155"/>
      <c r="AG186" s="1155"/>
      <c r="AH186" s="1163"/>
      <c r="AI186" s="1164"/>
      <c r="AJ186" s="1164"/>
      <c r="AK186" s="1164"/>
      <c r="AL186" s="1164"/>
      <c r="AM186" s="1164"/>
      <c r="AN186" s="1164"/>
      <c r="AO186" s="1164"/>
      <c r="AP186" s="1164"/>
      <c r="AQ186" s="1164"/>
      <c r="AR186" s="1164"/>
      <c r="AS186" s="1164"/>
      <c r="AT186" s="1164"/>
    </row>
    <row r="187" ht="15.75" customHeight="1">
      <c r="A187" s="852"/>
      <c r="B187" s="852"/>
      <c r="C187" s="1156"/>
      <c r="D187" s="1157"/>
      <c r="E187" s="1158"/>
      <c r="F187" s="1159"/>
      <c r="G187" s="1160"/>
      <c r="H187" s="1161"/>
      <c r="I187" s="1155"/>
      <c r="J187" s="1162"/>
      <c r="K187" s="1162"/>
      <c r="L187" s="1162"/>
      <c r="M187" s="1162"/>
      <c r="N187" s="1162"/>
      <c r="O187" s="1155"/>
      <c r="P187" s="1155"/>
      <c r="Q187" s="1155"/>
      <c r="R187" s="1163"/>
      <c r="S187" s="1164"/>
      <c r="T187" s="1164"/>
      <c r="U187" s="1164"/>
      <c r="V187" s="1164"/>
      <c r="W187" s="1164"/>
      <c r="X187" s="1164"/>
      <c r="Y187" s="1164"/>
      <c r="Z187" s="1164"/>
      <c r="AA187" s="1164"/>
      <c r="AB187" s="1164"/>
      <c r="AC187" s="1164"/>
      <c r="AD187" s="1164"/>
      <c r="AE187" s="1155"/>
      <c r="AF187" s="1155"/>
      <c r="AG187" s="1155"/>
      <c r="AH187" s="1163"/>
      <c r="AI187" s="1164"/>
      <c r="AJ187" s="1164"/>
      <c r="AK187" s="1164"/>
      <c r="AL187" s="1164"/>
      <c r="AM187" s="1164"/>
      <c r="AN187" s="1164"/>
      <c r="AO187" s="1164"/>
      <c r="AP187" s="1164"/>
      <c r="AQ187" s="1164"/>
      <c r="AR187" s="1164"/>
      <c r="AS187" s="1164"/>
      <c r="AT187" s="1164"/>
    </row>
    <row r="188" ht="15.75" customHeight="1">
      <c r="A188" s="852"/>
      <c r="B188" s="852"/>
      <c r="C188" s="1156"/>
      <c r="D188" s="1157"/>
      <c r="E188" s="1158"/>
      <c r="F188" s="1159"/>
      <c r="G188" s="1160"/>
      <c r="H188" s="1161"/>
      <c r="I188" s="1155"/>
      <c r="J188" s="1162"/>
      <c r="K188" s="1162"/>
      <c r="L188" s="1162"/>
      <c r="M188" s="1162"/>
      <c r="N188" s="1162"/>
      <c r="O188" s="1155"/>
      <c r="P188" s="1155"/>
      <c r="Q188" s="1155"/>
      <c r="R188" s="1163"/>
      <c r="S188" s="1164"/>
      <c r="T188" s="1164"/>
      <c r="U188" s="1164"/>
      <c r="V188" s="1164"/>
      <c r="W188" s="1164"/>
      <c r="X188" s="1164"/>
      <c r="Y188" s="1164"/>
      <c r="Z188" s="1164"/>
      <c r="AA188" s="1164"/>
      <c r="AB188" s="1164"/>
      <c r="AC188" s="1164"/>
      <c r="AD188" s="1164"/>
      <c r="AE188" s="1155"/>
      <c r="AF188" s="1155"/>
      <c r="AG188" s="1155"/>
      <c r="AH188" s="1163"/>
      <c r="AI188" s="1164"/>
      <c r="AJ188" s="1164"/>
      <c r="AK188" s="1164"/>
      <c r="AL188" s="1164"/>
      <c r="AM188" s="1164"/>
      <c r="AN188" s="1164"/>
      <c r="AO188" s="1164"/>
      <c r="AP188" s="1164"/>
      <c r="AQ188" s="1164"/>
      <c r="AR188" s="1164"/>
      <c r="AS188" s="1164"/>
      <c r="AT188" s="1164"/>
    </row>
    <row r="189" ht="15.75" customHeight="1">
      <c r="A189" s="852"/>
      <c r="B189" s="852"/>
      <c r="C189" s="1156"/>
      <c r="D189" s="1157"/>
      <c r="E189" s="1158"/>
      <c r="F189" s="1159"/>
      <c r="G189" s="1160"/>
      <c r="H189" s="1161"/>
      <c r="I189" s="1155"/>
      <c r="J189" s="1162"/>
      <c r="K189" s="1162"/>
      <c r="L189" s="1162"/>
      <c r="M189" s="1162"/>
      <c r="N189" s="1162"/>
      <c r="O189" s="1155"/>
      <c r="P189" s="1155"/>
      <c r="Q189" s="1155"/>
      <c r="R189" s="1163"/>
      <c r="S189" s="1164"/>
      <c r="T189" s="1164"/>
      <c r="U189" s="1164"/>
      <c r="V189" s="1164"/>
      <c r="W189" s="1164"/>
      <c r="X189" s="1164"/>
      <c r="Y189" s="1164"/>
      <c r="Z189" s="1164"/>
      <c r="AA189" s="1164"/>
      <c r="AB189" s="1164"/>
      <c r="AC189" s="1164"/>
      <c r="AD189" s="1164"/>
      <c r="AE189" s="1155"/>
      <c r="AF189" s="1155"/>
      <c r="AG189" s="1155"/>
      <c r="AH189" s="1163"/>
      <c r="AI189" s="1164"/>
      <c r="AJ189" s="1164"/>
      <c r="AK189" s="1164"/>
      <c r="AL189" s="1164"/>
      <c r="AM189" s="1164"/>
      <c r="AN189" s="1164"/>
      <c r="AO189" s="1164"/>
      <c r="AP189" s="1164"/>
      <c r="AQ189" s="1164"/>
      <c r="AR189" s="1164"/>
      <c r="AS189" s="1164"/>
      <c r="AT189" s="1164"/>
    </row>
    <row r="190" ht="15.75" customHeight="1">
      <c r="A190" s="852"/>
      <c r="B190" s="852"/>
      <c r="C190" s="1156"/>
      <c r="D190" s="1157"/>
      <c r="E190" s="1158"/>
      <c r="F190" s="1159"/>
      <c r="G190" s="1160"/>
      <c r="H190" s="1161"/>
      <c r="I190" s="1155"/>
      <c r="J190" s="1162"/>
      <c r="K190" s="1162"/>
      <c r="L190" s="1162"/>
      <c r="M190" s="1162"/>
      <c r="N190" s="1162"/>
      <c r="O190" s="1155"/>
      <c r="P190" s="1155"/>
      <c r="Q190" s="1155"/>
      <c r="R190" s="1163"/>
      <c r="S190" s="1164"/>
      <c r="T190" s="1164"/>
      <c r="U190" s="1164"/>
      <c r="V190" s="1164"/>
      <c r="W190" s="1164"/>
      <c r="X190" s="1164"/>
      <c r="Y190" s="1164"/>
      <c r="Z190" s="1164"/>
      <c r="AA190" s="1164"/>
      <c r="AB190" s="1164"/>
      <c r="AC190" s="1164"/>
      <c r="AD190" s="1164"/>
      <c r="AE190" s="1155"/>
      <c r="AF190" s="1155"/>
      <c r="AG190" s="1155"/>
      <c r="AH190" s="1163"/>
      <c r="AI190" s="1164"/>
      <c r="AJ190" s="1164"/>
      <c r="AK190" s="1164"/>
      <c r="AL190" s="1164"/>
      <c r="AM190" s="1164"/>
      <c r="AN190" s="1164"/>
      <c r="AO190" s="1164"/>
      <c r="AP190" s="1164"/>
      <c r="AQ190" s="1164"/>
      <c r="AR190" s="1164"/>
      <c r="AS190" s="1164"/>
      <c r="AT190" s="1164"/>
    </row>
    <row r="191" ht="15.75" customHeight="1">
      <c r="A191" s="852"/>
      <c r="B191" s="852"/>
      <c r="C191" s="1156"/>
      <c r="D191" s="1157"/>
      <c r="E191" s="1158"/>
      <c r="F191" s="1159"/>
      <c r="G191" s="1160"/>
      <c r="H191" s="1161"/>
      <c r="I191" s="1155"/>
      <c r="J191" s="1162"/>
      <c r="K191" s="1162"/>
      <c r="L191" s="1162"/>
      <c r="M191" s="1162"/>
      <c r="N191" s="1162"/>
      <c r="O191" s="1155"/>
      <c r="P191" s="1155"/>
      <c r="Q191" s="1155"/>
      <c r="R191" s="1163"/>
      <c r="S191" s="1164"/>
      <c r="T191" s="1164"/>
      <c r="U191" s="1164"/>
      <c r="V191" s="1164"/>
      <c r="W191" s="1164"/>
      <c r="X191" s="1164"/>
      <c r="Y191" s="1164"/>
      <c r="Z191" s="1164"/>
      <c r="AA191" s="1164"/>
      <c r="AB191" s="1164"/>
      <c r="AC191" s="1164"/>
      <c r="AD191" s="1164"/>
      <c r="AE191" s="1155"/>
      <c r="AF191" s="1155"/>
      <c r="AG191" s="1155"/>
      <c r="AH191" s="1163"/>
      <c r="AI191" s="1164"/>
      <c r="AJ191" s="1164"/>
      <c r="AK191" s="1164"/>
      <c r="AL191" s="1164"/>
      <c r="AM191" s="1164"/>
      <c r="AN191" s="1164"/>
      <c r="AO191" s="1164"/>
      <c r="AP191" s="1164"/>
      <c r="AQ191" s="1164"/>
      <c r="AR191" s="1164"/>
      <c r="AS191" s="1164"/>
      <c r="AT191" s="1164"/>
    </row>
    <row r="192" ht="15.75" customHeight="1">
      <c r="A192" s="852"/>
      <c r="B192" s="852"/>
      <c r="C192" s="1156"/>
      <c r="D192" s="1157"/>
      <c r="E192" s="1158"/>
      <c r="F192" s="1159"/>
      <c r="G192" s="1160"/>
      <c r="H192" s="1161"/>
      <c r="I192" s="1155"/>
      <c r="J192" s="1162"/>
      <c r="K192" s="1162"/>
      <c r="L192" s="1162"/>
      <c r="M192" s="1162"/>
      <c r="N192" s="1162"/>
      <c r="O192" s="1155"/>
      <c r="P192" s="1155"/>
      <c r="Q192" s="1155"/>
      <c r="R192" s="1163"/>
      <c r="S192" s="1164"/>
      <c r="T192" s="1164"/>
      <c r="U192" s="1164"/>
      <c r="V192" s="1164"/>
      <c r="W192" s="1164"/>
      <c r="X192" s="1164"/>
      <c r="Y192" s="1164"/>
      <c r="Z192" s="1164"/>
      <c r="AA192" s="1164"/>
      <c r="AB192" s="1164"/>
      <c r="AC192" s="1164"/>
      <c r="AD192" s="1164"/>
      <c r="AE192" s="1155"/>
      <c r="AF192" s="1155"/>
      <c r="AG192" s="1155"/>
      <c r="AH192" s="1163"/>
      <c r="AI192" s="1164"/>
      <c r="AJ192" s="1164"/>
      <c r="AK192" s="1164"/>
      <c r="AL192" s="1164"/>
      <c r="AM192" s="1164"/>
      <c r="AN192" s="1164"/>
      <c r="AO192" s="1164"/>
      <c r="AP192" s="1164"/>
      <c r="AQ192" s="1164"/>
      <c r="AR192" s="1164"/>
      <c r="AS192" s="1164"/>
      <c r="AT192" s="1164"/>
    </row>
    <row r="193" ht="15.75" customHeight="1">
      <c r="A193" s="852"/>
      <c r="B193" s="852"/>
      <c r="C193" s="1156"/>
      <c r="D193" s="1157"/>
      <c r="E193" s="1158"/>
      <c r="F193" s="1159"/>
      <c r="G193" s="1160"/>
      <c r="H193" s="1161"/>
      <c r="I193" s="1155"/>
      <c r="J193" s="1162"/>
      <c r="K193" s="1162"/>
      <c r="L193" s="1162"/>
      <c r="M193" s="1162"/>
      <c r="N193" s="1162"/>
      <c r="O193" s="1155"/>
      <c r="P193" s="1155"/>
      <c r="Q193" s="1155"/>
      <c r="R193" s="1163"/>
      <c r="S193" s="1164"/>
      <c r="T193" s="1164"/>
      <c r="U193" s="1164"/>
      <c r="V193" s="1164"/>
      <c r="W193" s="1164"/>
      <c r="X193" s="1164"/>
      <c r="Y193" s="1164"/>
      <c r="Z193" s="1164"/>
      <c r="AA193" s="1164"/>
      <c r="AB193" s="1164"/>
      <c r="AC193" s="1164"/>
      <c r="AD193" s="1164"/>
      <c r="AE193" s="1155"/>
      <c r="AF193" s="1155"/>
      <c r="AG193" s="1155"/>
      <c r="AH193" s="1163"/>
      <c r="AI193" s="1164"/>
      <c r="AJ193" s="1164"/>
      <c r="AK193" s="1164"/>
      <c r="AL193" s="1164"/>
      <c r="AM193" s="1164"/>
      <c r="AN193" s="1164"/>
      <c r="AO193" s="1164"/>
      <c r="AP193" s="1164"/>
      <c r="AQ193" s="1164"/>
      <c r="AR193" s="1164"/>
      <c r="AS193" s="1164"/>
      <c r="AT193" s="1164"/>
    </row>
    <row r="194" ht="15.75" customHeight="1">
      <c r="A194" s="852"/>
      <c r="B194" s="852"/>
      <c r="C194" s="1156"/>
      <c r="D194" s="1157"/>
      <c r="E194" s="1158"/>
      <c r="F194" s="1159"/>
      <c r="G194" s="1160"/>
      <c r="H194" s="1161"/>
      <c r="I194" s="1155"/>
      <c r="J194" s="1162"/>
      <c r="K194" s="1162"/>
      <c r="L194" s="1162"/>
      <c r="M194" s="1162"/>
      <c r="N194" s="1162"/>
      <c r="O194" s="1155"/>
      <c r="P194" s="1155"/>
      <c r="Q194" s="1155"/>
      <c r="R194" s="1163"/>
      <c r="S194" s="1164"/>
      <c r="T194" s="1164"/>
      <c r="U194" s="1164"/>
      <c r="V194" s="1164"/>
      <c r="W194" s="1164"/>
      <c r="X194" s="1164"/>
      <c r="Y194" s="1164"/>
      <c r="Z194" s="1164"/>
      <c r="AA194" s="1164"/>
      <c r="AB194" s="1164"/>
      <c r="AC194" s="1164"/>
      <c r="AD194" s="1164"/>
      <c r="AE194" s="1155"/>
      <c r="AF194" s="1155"/>
      <c r="AG194" s="1155"/>
      <c r="AH194" s="1163"/>
      <c r="AI194" s="1164"/>
      <c r="AJ194" s="1164"/>
      <c r="AK194" s="1164"/>
      <c r="AL194" s="1164"/>
      <c r="AM194" s="1164"/>
      <c r="AN194" s="1164"/>
      <c r="AO194" s="1164"/>
      <c r="AP194" s="1164"/>
      <c r="AQ194" s="1164"/>
      <c r="AR194" s="1164"/>
      <c r="AS194" s="1164"/>
      <c r="AT194" s="1164"/>
    </row>
    <row r="195" ht="15.75" customHeight="1">
      <c r="A195" s="852"/>
      <c r="B195" s="852"/>
      <c r="C195" s="1156"/>
      <c r="D195" s="1157"/>
      <c r="E195" s="1158"/>
      <c r="F195" s="1159"/>
      <c r="G195" s="1160"/>
      <c r="H195" s="1161"/>
      <c r="I195" s="1155"/>
      <c r="J195" s="1162"/>
      <c r="K195" s="1162"/>
      <c r="L195" s="1162"/>
      <c r="M195" s="1162"/>
      <c r="N195" s="1162"/>
      <c r="O195" s="1155"/>
      <c r="P195" s="1155"/>
      <c r="Q195" s="1155"/>
      <c r="R195" s="1163"/>
      <c r="S195" s="1164"/>
      <c r="T195" s="1164"/>
      <c r="U195" s="1164"/>
      <c r="V195" s="1164"/>
      <c r="W195" s="1164"/>
      <c r="X195" s="1164"/>
      <c r="Y195" s="1164"/>
      <c r="Z195" s="1164"/>
      <c r="AA195" s="1164"/>
      <c r="AB195" s="1164"/>
      <c r="AC195" s="1164"/>
      <c r="AD195" s="1164"/>
      <c r="AE195" s="1155"/>
      <c r="AF195" s="1155"/>
      <c r="AG195" s="1155"/>
      <c r="AH195" s="1163"/>
      <c r="AI195" s="1164"/>
      <c r="AJ195" s="1164"/>
      <c r="AK195" s="1164"/>
      <c r="AL195" s="1164"/>
      <c r="AM195" s="1164"/>
      <c r="AN195" s="1164"/>
      <c r="AO195" s="1164"/>
      <c r="AP195" s="1164"/>
      <c r="AQ195" s="1164"/>
      <c r="AR195" s="1164"/>
      <c r="AS195" s="1164"/>
      <c r="AT195" s="1164"/>
    </row>
    <row r="196" ht="15.75" customHeight="1">
      <c r="A196" s="852"/>
      <c r="B196" s="852"/>
      <c r="C196" s="1156"/>
      <c r="D196" s="1157"/>
      <c r="E196" s="1158"/>
      <c r="F196" s="1159"/>
      <c r="G196" s="1160"/>
      <c r="H196" s="1161"/>
      <c r="I196" s="1155"/>
      <c r="J196" s="1162"/>
      <c r="K196" s="1162"/>
      <c r="L196" s="1162"/>
      <c r="M196" s="1162"/>
      <c r="N196" s="1162"/>
      <c r="O196" s="1155"/>
      <c r="P196" s="1155"/>
      <c r="Q196" s="1155"/>
      <c r="R196" s="1163"/>
      <c r="S196" s="1164"/>
      <c r="T196" s="1164"/>
      <c r="U196" s="1164"/>
      <c r="V196" s="1164"/>
      <c r="W196" s="1164"/>
      <c r="X196" s="1164"/>
      <c r="Y196" s="1164"/>
      <c r="Z196" s="1164"/>
      <c r="AA196" s="1164"/>
      <c r="AB196" s="1164"/>
      <c r="AC196" s="1164"/>
      <c r="AD196" s="1164"/>
      <c r="AE196" s="1155"/>
      <c r="AF196" s="1155"/>
      <c r="AG196" s="1155"/>
      <c r="AH196" s="1163"/>
      <c r="AI196" s="1164"/>
      <c r="AJ196" s="1164"/>
      <c r="AK196" s="1164"/>
      <c r="AL196" s="1164"/>
      <c r="AM196" s="1164"/>
      <c r="AN196" s="1164"/>
      <c r="AO196" s="1164"/>
      <c r="AP196" s="1164"/>
      <c r="AQ196" s="1164"/>
      <c r="AR196" s="1164"/>
      <c r="AS196" s="1164"/>
      <c r="AT196" s="1164"/>
    </row>
    <row r="197" ht="15.75" customHeight="1">
      <c r="A197" s="852"/>
      <c r="B197" s="852"/>
      <c r="C197" s="1156"/>
      <c r="D197" s="1157"/>
      <c r="E197" s="1158"/>
      <c r="F197" s="1159"/>
      <c r="G197" s="1160"/>
      <c r="H197" s="1161"/>
      <c r="I197" s="1155"/>
      <c r="J197" s="1162"/>
      <c r="K197" s="1162"/>
      <c r="L197" s="1162"/>
      <c r="M197" s="1162"/>
      <c r="N197" s="1162"/>
      <c r="O197" s="1155"/>
      <c r="P197" s="1155"/>
      <c r="Q197" s="1155"/>
      <c r="R197" s="1163"/>
      <c r="S197" s="1164"/>
      <c r="T197" s="1164"/>
      <c r="U197" s="1164"/>
      <c r="V197" s="1164"/>
      <c r="W197" s="1164"/>
      <c r="X197" s="1164"/>
      <c r="Y197" s="1164"/>
      <c r="Z197" s="1164"/>
      <c r="AA197" s="1164"/>
      <c r="AB197" s="1164"/>
      <c r="AC197" s="1164"/>
      <c r="AD197" s="1164"/>
      <c r="AE197" s="1155"/>
      <c r="AF197" s="1155"/>
      <c r="AG197" s="1155"/>
      <c r="AH197" s="1163"/>
      <c r="AI197" s="1164"/>
      <c r="AJ197" s="1164"/>
      <c r="AK197" s="1164"/>
      <c r="AL197" s="1164"/>
      <c r="AM197" s="1164"/>
      <c r="AN197" s="1164"/>
      <c r="AO197" s="1164"/>
      <c r="AP197" s="1164"/>
      <c r="AQ197" s="1164"/>
      <c r="AR197" s="1164"/>
      <c r="AS197" s="1164"/>
      <c r="AT197" s="1164"/>
    </row>
    <row r="198" ht="15.75" customHeight="1">
      <c r="A198" s="852"/>
      <c r="B198" s="852"/>
      <c r="C198" s="1156"/>
      <c r="D198" s="1157"/>
      <c r="E198" s="1158"/>
      <c r="F198" s="1159"/>
      <c r="G198" s="1160"/>
      <c r="H198" s="1161"/>
      <c r="I198" s="1155"/>
      <c r="J198" s="1162"/>
      <c r="K198" s="1162"/>
      <c r="L198" s="1162"/>
      <c r="M198" s="1162"/>
      <c r="N198" s="1162"/>
      <c r="O198" s="1155"/>
      <c r="P198" s="1155"/>
      <c r="Q198" s="1155"/>
      <c r="R198" s="1163"/>
      <c r="S198" s="1164"/>
      <c r="T198" s="1164"/>
      <c r="U198" s="1164"/>
      <c r="V198" s="1164"/>
      <c r="W198" s="1164"/>
      <c r="X198" s="1164"/>
      <c r="Y198" s="1164"/>
      <c r="Z198" s="1164"/>
      <c r="AA198" s="1164"/>
      <c r="AB198" s="1164"/>
      <c r="AC198" s="1164"/>
      <c r="AD198" s="1164"/>
      <c r="AE198" s="1155"/>
      <c r="AF198" s="1155"/>
      <c r="AG198" s="1155"/>
      <c r="AH198" s="1163"/>
      <c r="AI198" s="1164"/>
      <c r="AJ198" s="1164"/>
      <c r="AK198" s="1164"/>
      <c r="AL198" s="1164"/>
      <c r="AM198" s="1164"/>
      <c r="AN198" s="1164"/>
      <c r="AO198" s="1164"/>
      <c r="AP198" s="1164"/>
      <c r="AQ198" s="1164"/>
      <c r="AR198" s="1164"/>
      <c r="AS198" s="1164"/>
      <c r="AT198" s="1164"/>
    </row>
    <row r="199" ht="15.75" customHeight="1">
      <c r="A199" s="852"/>
      <c r="B199" s="852"/>
      <c r="C199" s="1156"/>
      <c r="D199" s="1157"/>
      <c r="E199" s="1158"/>
      <c r="F199" s="1159"/>
      <c r="G199" s="1160"/>
      <c r="H199" s="1161"/>
      <c r="I199" s="1155"/>
      <c r="J199" s="1162"/>
      <c r="K199" s="1162"/>
      <c r="L199" s="1162"/>
      <c r="M199" s="1162"/>
      <c r="N199" s="1162"/>
      <c r="O199" s="1155"/>
      <c r="P199" s="1155"/>
      <c r="Q199" s="1155"/>
      <c r="R199" s="1163"/>
      <c r="S199" s="1164"/>
      <c r="T199" s="1164"/>
      <c r="U199" s="1164"/>
      <c r="V199" s="1164"/>
      <c r="W199" s="1164"/>
      <c r="X199" s="1164"/>
      <c r="Y199" s="1164"/>
      <c r="Z199" s="1164"/>
      <c r="AA199" s="1164"/>
      <c r="AB199" s="1164"/>
      <c r="AC199" s="1164"/>
      <c r="AD199" s="1164"/>
      <c r="AE199" s="1155"/>
      <c r="AF199" s="1155"/>
      <c r="AG199" s="1155"/>
      <c r="AH199" s="1163"/>
      <c r="AI199" s="1164"/>
      <c r="AJ199" s="1164"/>
      <c r="AK199" s="1164"/>
      <c r="AL199" s="1164"/>
      <c r="AM199" s="1164"/>
      <c r="AN199" s="1164"/>
      <c r="AO199" s="1164"/>
      <c r="AP199" s="1164"/>
      <c r="AQ199" s="1164"/>
      <c r="AR199" s="1164"/>
      <c r="AS199" s="1164"/>
      <c r="AT199" s="1164"/>
    </row>
    <row r="200" ht="15.75" customHeight="1">
      <c r="A200" s="852"/>
      <c r="B200" s="852"/>
      <c r="C200" s="1156"/>
      <c r="D200" s="1157"/>
      <c r="E200" s="1158"/>
      <c r="F200" s="1159"/>
      <c r="G200" s="1160"/>
      <c r="H200" s="1161"/>
      <c r="I200" s="1155"/>
      <c r="J200" s="1162"/>
      <c r="K200" s="1162"/>
      <c r="L200" s="1162"/>
      <c r="M200" s="1162"/>
      <c r="N200" s="1162"/>
      <c r="O200" s="1155"/>
      <c r="P200" s="1155"/>
      <c r="Q200" s="1155"/>
      <c r="R200" s="1163"/>
      <c r="S200" s="1164"/>
      <c r="T200" s="1164"/>
      <c r="U200" s="1164"/>
      <c r="V200" s="1164"/>
      <c r="W200" s="1164"/>
      <c r="X200" s="1164"/>
      <c r="Y200" s="1164"/>
      <c r="Z200" s="1164"/>
      <c r="AA200" s="1164"/>
      <c r="AB200" s="1164"/>
      <c r="AC200" s="1164"/>
      <c r="AD200" s="1164"/>
      <c r="AE200" s="1155"/>
      <c r="AF200" s="1155"/>
      <c r="AG200" s="1155"/>
      <c r="AH200" s="1163"/>
      <c r="AI200" s="1164"/>
      <c r="AJ200" s="1164"/>
      <c r="AK200" s="1164"/>
      <c r="AL200" s="1164"/>
      <c r="AM200" s="1164"/>
      <c r="AN200" s="1164"/>
      <c r="AO200" s="1164"/>
      <c r="AP200" s="1164"/>
      <c r="AQ200" s="1164"/>
      <c r="AR200" s="1164"/>
      <c r="AS200" s="1164"/>
      <c r="AT200" s="1164"/>
    </row>
    <row r="201" ht="15.75" customHeight="1">
      <c r="A201" s="852"/>
      <c r="B201" s="852"/>
      <c r="C201" s="1156"/>
      <c r="D201" s="1157"/>
      <c r="E201" s="1158"/>
      <c r="F201" s="1159"/>
      <c r="G201" s="1160"/>
      <c r="H201" s="1161"/>
      <c r="I201" s="1155"/>
      <c r="J201" s="1162"/>
      <c r="K201" s="1162"/>
      <c r="L201" s="1162"/>
      <c r="M201" s="1162"/>
      <c r="N201" s="1162"/>
      <c r="O201" s="1155"/>
      <c r="P201" s="1155"/>
      <c r="Q201" s="1155"/>
      <c r="R201" s="1163"/>
      <c r="S201" s="1164"/>
      <c r="T201" s="1164"/>
      <c r="U201" s="1164"/>
      <c r="V201" s="1164"/>
      <c r="W201" s="1164"/>
      <c r="X201" s="1164"/>
      <c r="Y201" s="1164"/>
      <c r="Z201" s="1164"/>
      <c r="AA201" s="1164"/>
      <c r="AB201" s="1164"/>
      <c r="AC201" s="1164"/>
      <c r="AD201" s="1164"/>
      <c r="AE201" s="1155"/>
      <c r="AF201" s="1155"/>
      <c r="AG201" s="1155"/>
      <c r="AH201" s="1163"/>
      <c r="AI201" s="1164"/>
      <c r="AJ201" s="1164"/>
      <c r="AK201" s="1164"/>
      <c r="AL201" s="1164"/>
      <c r="AM201" s="1164"/>
      <c r="AN201" s="1164"/>
      <c r="AO201" s="1164"/>
      <c r="AP201" s="1164"/>
      <c r="AQ201" s="1164"/>
      <c r="AR201" s="1164"/>
      <c r="AS201" s="1164"/>
      <c r="AT201" s="1164"/>
    </row>
    <row r="202" ht="15.75" customHeight="1">
      <c r="A202" s="852"/>
      <c r="B202" s="852"/>
      <c r="C202" s="1156"/>
      <c r="D202" s="1157"/>
      <c r="E202" s="1158"/>
      <c r="F202" s="1159"/>
      <c r="G202" s="1160"/>
      <c r="H202" s="1161"/>
      <c r="I202" s="1155"/>
      <c r="J202" s="1162"/>
      <c r="K202" s="1162"/>
      <c r="L202" s="1162"/>
      <c r="M202" s="1162"/>
      <c r="N202" s="1162"/>
      <c r="O202" s="1155"/>
      <c r="P202" s="1155"/>
      <c r="Q202" s="1155"/>
      <c r="R202" s="1163"/>
      <c r="S202" s="1164"/>
      <c r="T202" s="1164"/>
      <c r="U202" s="1164"/>
      <c r="V202" s="1164"/>
      <c r="W202" s="1164"/>
      <c r="X202" s="1164"/>
      <c r="Y202" s="1164"/>
      <c r="Z202" s="1164"/>
      <c r="AA202" s="1164"/>
      <c r="AB202" s="1164"/>
      <c r="AC202" s="1164"/>
      <c r="AD202" s="1164"/>
      <c r="AE202" s="1155"/>
      <c r="AF202" s="1155"/>
      <c r="AG202" s="1155"/>
      <c r="AH202" s="1163"/>
      <c r="AI202" s="1164"/>
      <c r="AJ202" s="1164"/>
      <c r="AK202" s="1164"/>
      <c r="AL202" s="1164"/>
      <c r="AM202" s="1164"/>
      <c r="AN202" s="1164"/>
      <c r="AO202" s="1164"/>
      <c r="AP202" s="1164"/>
      <c r="AQ202" s="1164"/>
      <c r="AR202" s="1164"/>
      <c r="AS202" s="1164"/>
      <c r="AT202" s="1164"/>
    </row>
    <row r="203" ht="15.75" customHeight="1">
      <c r="A203" s="852"/>
      <c r="B203" s="852"/>
      <c r="C203" s="1156"/>
      <c r="D203" s="1157"/>
      <c r="E203" s="1158"/>
      <c r="F203" s="1159"/>
      <c r="G203" s="1160"/>
      <c r="H203" s="1161"/>
      <c r="I203" s="1155"/>
      <c r="J203" s="1162"/>
      <c r="K203" s="1162"/>
      <c r="L203" s="1162"/>
      <c r="M203" s="1162"/>
      <c r="N203" s="1162"/>
      <c r="O203" s="1155"/>
      <c r="P203" s="1155"/>
      <c r="Q203" s="1155"/>
      <c r="R203" s="1163"/>
      <c r="S203" s="1164"/>
      <c r="T203" s="1164"/>
      <c r="U203" s="1164"/>
      <c r="V203" s="1164"/>
      <c r="W203" s="1164"/>
      <c r="X203" s="1164"/>
      <c r="Y203" s="1164"/>
      <c r="Z203" s="1164"/>
      <c r="AA203" s="1164"/>
      <c r="AB203" s="1164"/>
      <c r="AC203" s="1164"/>
      <c r="AD203" s="1164"/>
      <c r="AE203" s="1155"/>
      <c r="AF203" s="1155"/>
      <c r="AG203" s="1155"/>
      <c r="AH203" s="1163"/>
      <c r="AI203" s="1164"/>
      <c r="AJ203" s="1164"/>
      <c r="AK203" s="1164"/>
      <c r="AL203" s="1164"/>
      <c r="AM203" s="1164"/>
      <c r="AN203" s="1164"/>
      <c r="AO203" s="1164"/>
      <c r="AP203" s="1164"/>
      <c r="AQ203" s="1164"/>
      <c r="AR203" s="1164"/>
      <c r="AS203" s="1164"/>
      <c r="AT203" s="1164"/>
    </row>
    <row r="204" ht="15.75" customHeight="1">
      <c r="A204" s="852"/>
      <c r="B204" s="852"/>
      <c r="C204" s="1156"/>
      <c r="D204" s="1157"/>
      <c r="E204" s="1158"/>
      <c r="F204" s="1159"/>
      <c r="G204" s="1160"/>
      <c r="H204" s="1161"/>
      <c r="I204" s="1155"/>
      <c r="J204" s="1162"/>
      <c r="K204" s="1162"/>
      <c r="L204" s="1162"/>
      <c r="M204" s="1162"/>
      <c r="N204" s="1162"/>
      <c r="O204" s="1155"/>
      <c r="P204" s="1155"/>
      <c r="Q204" s="1155"/>
      <c r="R204" s="1163"/>
      <c r="S204" s="1164"/>
      <c r="T204" s="1164"/>
      <c r="U204" s="1164"/>
      <c r="V204" s="1164"/>
      <c r="W204" s="1164"/>
      <c r="X204" s="1164"/>
      <c r="Y204" s="1164"/>
      <c r="Z204" s="1164"/>
      <c r="AA204" s="1164"/>
      <c r="AB204" s="1164"/>
      <c r="AC204" s="1164"/>
      <c r="AD204" s="1164"/>
      <c r="AE204" s="1155"/>
      <c r="AF204" s="1155"/>
      <c r="AG204" s="1155"/>
      <c r="AH204" s="1163"/>
      <c r="AI204" s="1164"/>
      <c r="AJ204" s="1164"/>
      <c r="AK204" s="1164"/>
      <c r="AL204" s="1164"/>
      <c r="AM204" s="1164"/>
      <c r="AN204" s="1164"/>
      <c r="AO204" s="1164"/>
      <c r="AP204" s="1164"/>
      <c r="AQ204" s="1164"/>
      <c r="AR204" s="1164"/>
      <c r="AS204" s="1164"/>
      <c r="AT204" s="1164"/>
    </row>
    <row r="205" ht="15.75" customHeight="1">
      <c r="A205" s="852"/>
      <c r="B205" s="852"/>
      <c r="C205" s="1156"/>
      <c r="D205" s="1157"/>
      <c r="E205" s="1158"/>
      <c r="F205" s="1159"/>
      <c r="G205" s="1160"/>
      <c r="H205" s="1161"/>
      <c r="I205" s="1155"/>
      <c r="J205" s="1162"/>
      <c r="K205" s="1162"/>
      <c r="L205" s="1162"/>
      <c r="M205" s="1162"/>
      <c r="N205" s="1162"/>
      <c r="O205" s="1155"/>
      <c r="P205" s="1155"/>
      <c r="Q205" s="1155"/>
      <c r="R205" s="1163"/>
      <c r="S205" s="1164"/>
      <c r="T205" s="1164"/>
      <c r="U205" s="1164"/>
      <c r="V205" s="1164"/>
      <c r="W205" s="1164"/>
      <c r="X205" s="1164"/>
      <c r="Y205" s="1164"/>
      <c r="Z205" s="1164"/>
      <c r="AA205" s="1164"/>
      <c r="AB205" s="1164"/>
      <c r="AC205" s="1164"/>
      <c r="AD205" s="1164"/>
      <c r="AE205" s="1155"/>
      <c r="AF205" s="1155"/>
      <c r="AG205" s="1155"/>
      <c r="AH205" s="1163"/>
      <c r="AI205" s="1164"/>
      <c r="AJ205" s="1164"/>
      <c r="AK205" s="1164"/>
      <c r="AL205" s="1164"/>
      <c r="AM205" s="1164"/>
      <c r="AN205" s="1164"/>
      <c r="AO205" s="1164"/>
      <c r="AP205" s="1164"/>
      <c r="AQ205" s="1164"/>
      <c r="AR205" s="1164"/>
      <c r="AS205" s="1164"/>
      <c r="AT205" s="1164"/>
    </row>
    <row r="206" ht="15.75" customHeight="1">
      <c r="A206" s="852"/>
      <c r="B206" s="852"/>
      <c r="C206" s="1156"/>
      <c r="D206" s="1157"/>
      <c r="E206" s="1158"/>
      <c r="F206" s="1159"/>
      <c r="G206" s="1160"/>
      <c r="H206" s="1161"/>
      <c r="I206" s="1155"/>
      <c r="J206" s="1162"/>
      <c r="K206" s="1162"/>
      <c r="L206" s="1162"/>
      <c r="M206" s="1162"/>
      <c r="N206" s="1162"/>
      <c r="O206" s="1155"/>
      <c r="P206" s="1155"/>
      <c r="Q206" s="1155"/>
      <c r="R206" s="1163"/>
      <c r="S206" s="1164"/>
      <c r="T206" s="1164"/>
      <c r="U206" s="1164"/>
      <c r="V206" s="1164"/>
      <c r="W206" s="1164"/>
      <c r="X206" s="1164"/>
      <c r="Y206" s="1164"/>
      <c r="Z206" s="1164"/>
      <c r="AA206" s="1164"/>
      <c r="AB206" s="1164"/>
      <c r="AC206" s="1164"/>
      <c r="AD206" s="1164"/>
      <c r="AE206" s="1155"/>
      <c r="AF206" s="1155"/>
      <c r="AG206" s="1155"/>
      <c r="AH206" s="1163"/>
      <c r="AI206" s="1164"/>
      <c r="AJ206" s="1164"/>
      <c r="AK206" s="1164"/>
      <c r="AL206" s="1164"/>
      <c r="AM206" s="1164"/>
      <c r="AN206" s="1164"/>
      <c r="AO206" s="1164"/>
      <c r="AP206" s="1164"/>
      <c r="AQ206" s="1164"/>
      <c r="AR206" s="1164"/>
      <c r="AS206" s="1164"/>
      <c r="AT206" s="1164"/>
    </row>
    <row r="207" ht="15.75" customHeight="1">
      <c r="A207" s="852"/>
      <c r="B207" s="852"/>
      <c r="C207" s="1156"/>
      <c r="D207" s="1157"/>
      <c r="E207" s="1158"/>
      <c r="F207" s="1159"/>
      <c r="G207" s="1160"/>
      <c r="H207" s="1161"/>
      <c r="I207" s="1155"/>
      <c r="J207" s="1162"/>
      <c r="K207" s="1162"/>
      <c r="L207" s="1162"/>
      <c r="M207" s="1162"/>
      <c r="N207" s="1162"/>
      <c r="O207" s="1155"/>
      <c r="P207" s="1155"/>
      <c r="Q207" s="1155"/>
      <c r="R207" s="1163"/>
      <c r="S207" s="1164"/>
      <c r="T207" s="1164"/>
      <c r="U207" s="1164"/>
      <c r="V207" s="1164"/>
      <c r="W207" s="1164"/>
      <c r="X207" s="1164"/>
      <c r="Y207" s="1164"/>
      <c r="Z207" s="1164"/>
      <c r="AA207" s="1164"/>
      <c r="AB207" s="1164"/>
      <c r="AC207" s="1164"/>
      <c r="AD207" s="1164"/>
      <c r="AE207" s="1155"/>
      <c r="AF207" s="1155"/>
      <c r="AG207" s="1155"/>
      <c r="AH207" s="1163"/>
      <c r="AI207" s="1164"/>
      <c r="AJ207" s="1164"/>
      <c r="AK207" s="1164"/>
      <c r="AL207" s="1164"/>
      <c r="AM207" s="1164"/>
      <c r="AN207" s="1164"/>
      <c r="AO207" s="1164"/>
      <c r="AP207" s="1164"/>
      <c r="AQ207" s="1164"/>
      <c r="AR207" s="1164"/>
      <c r="AS207" s="1164"/>
      <c r="AT207" s="1164"/>
    </row>
    <row r="208" ht="15.75" customHeight="1">
      <c r="A208" s="852"/>
      <c r="B208" s="852"/>
      <c r="C208" s="1156"/>
      <c r="D208" s="1157"/>
      <c r="E208" s="1158"/>
      <c r="F208" s="1159"/>
      <c r="G208" s="1160"/>
      <c r="H208" s="1161"/>
      <c r="I208" s="1155"/>
      <c r="J208" s="1162"/>
      <c r="K208" s="1162"/>
      <c r="L208" s="1162"/>
      <c r="M208" s="1162"/>
      <c r="N208" s="1162"/>
      <c r="O208" s="1155"/>
      <c r="P208" s="1155"/>
      <c r="Q208" s="1155"/>
      <c r="R208" s="1163"/>
      <c r="S208" s="1164"/>
      <c r="T208" s="1164"/>
      <c r="U208" s="1164"/>
      <c r="V208" s="1164"/>
      <c r="W208" s="1164"/>
      <c r="X208" s="1164"/>
      <c r="Y208" s="1164"/>
      <c r="Z208" s="1164"/>
      <c r="AA208" s="1164"/>
      <c r="AB208" s="1164"/>
      <c r="AC208" s="1164"/>
      <c r="AD208" s="1164"/>
      <c r="AE208" s="1155"/>
      <c r="AF208" s="1155"/>
      <c r="AG208" s="1155"/>
      <c r="AH208" s="1163"/>
      <c r="AI208" s="1164"/>
      <c r="AJ208" s="1164"/>
      <c r="AK208" s="1164"/>
      <c r="AL208" s="1164"/>
      <c r="AM208" s="1164"/>
      <c r="AN208" s="1164"/>
      <c r="AO208" s="1164"/>
      <c r="AP208" s="1164"/>
      <c r="AQ208" s="1164"/>
      <c r="AR208" s="1164"/>
      <c r="AS208" s="1164"/>
      <c r="AT208" s="1164"/>
    </row>
    <row r="209" ht="15.75" customHeight="1">
      <c r="A209" s="852"/>
      <c r="B209" s="852"/>
      <c r="C209" s="1156"/>
      <c r="D209" s="1157"/>
      <c r="E209" s="1158"/>
      <c r="F209" s="1159"/>
      <c r="G209" s="1160"/>
      <c r="H209" s="1161"/>
      <c r="I209" s="1155"/>
      <c r="J209" s="1162"/>
      <c r="K209" s="1162"/>
      <c r="L209" s="1162"/>
      <c r="M209" s="1162"/>
      <c r="N209" s="1162"/>
      <c r="O209" s="1155"/>
      <c r="P209" s="1155"/>
      <c r="Q209" s="1155"/>
      <c r="R209" s="1163"/>
      <c r="S209" s="1164"/>
      <c r="T209" s="1164"/>
      <c r="U209" s="1164"/>
      <c r="V209" s="1164"/>
      <c r="W209" s="1164"/>
      <c r="X209" s="1164"/>
      <c r="Y209" s="1164"/>
      <c r="Z209" s="1164"/>
      <c r="AA209" s="1164"/>
      <c r="AB209" s="1164"/>
      <c r="AC209" s="1164"/>
      <c r="AD209" s="1164"/>
      <c r="AE209" s="1155"/>
      <c r="AF209" s="1155"/>
      <c r="AG209" s="1155"/>
      <c r="AH209" s="1163"/>
      <c r="AI209" s="1164"/>
      <c r="AJ209" s="1164"/>
      <c r="AK209" s="1164"/>
      <c r="AL209" s="1164"/>
      <c r="AM209" s="1164"/>
      <c r="AN209" s="1164"/>
      <c r="AO209" s="1164"/>
      <c r="AP209" s="1164"/>
      <c r="AQ209" s="1164"/>
      <c r="AR209" s="1164"/>
      <c r="AS209" s="1164"/>
      <c r="AT209" s="1164"/>
    </row>
    <row r="210" ht="15.75" customHeight="1">
      <c r="A210" s="852"/>
      <c r="B210" s="852"/>
      <c r="C210" s="1156"/>
      <c r="D210" s="1157"/>
      <c r="E210" s="1158"/>
      <c r="F210" s="1159"/>
      <c r="G210" s="1160"/>
      <c r="H210" s="1161"/>
      <c r="I210" s="1155"/>
      <c r="J210" s="1162"/>
      <c r="K210" s="1162"/>
      <c r="L210" s="1162"/>
      <c r="M210" s="1162"/>
      <c r="N210" s="1162"/>
      <c r="O210" s="1155"/>
      <c r="P210" s="1155"/>
      <c r="Q210" s="1155"/>
      <c r="R210" s="1163"/>
      <c r="S210" s="1164"/>
      <c r="T210" s="1164"/>
      <c r="U210" s="1164"/>
      <c r="V210" s="1164"/>
      <c r="W210" s="1164"/>
      <c r="X210" s="1164"/>
      <c r="Y210" s="1164"/>
      <c r="Z210" s="1164"/>
      <c r="AA210" s="1164"/>
      <c r="AB210" s="1164"/>
      <c r="AC210" s="1164"/>
      <c r="AD210" s="1164"/>
      <c r="AE210" s="1155"/>
      <c r="AF210" s="1155"/>
      <c r="AG210" s="1155"/>
      <c r="AH210" s="1163"/>
      <c r="AI210" s="1164"/>
      <c r="AJ210" s="1164"/>
      <c r="AK210" s="1164"/>
      <c r="AL210" s="1164"/>
      <c r="AM210" s="1164"/>
      <c r="AN210" s="1164"/>
      <c r="AO210" s="1164"/>
      <c r="AP210" s="1164"/>
      <c r="AQ210" s="1164"/>
      <c r="AR210" s="1164"/>
      <c r="AS210" s="1164"/>
      <c r="AT210" s="1164"/>
    </row>
    <row r="211" ht="15.75" customHeight="1">
      <c r="A211" s="852"/>
      <c r="B211" s="852"/>
      <c r="C211" s="1156"/>
      <c r="D211" s="1157"/>
      <c r="E211" s="1158"/>
      <c r="F211" s="1159"/>
      <c r="G211" s="1160"/>
      <c r="H211" s="1161"/>
      <c r="I211" s="1155"/>
      <c r="J211" s="1162"/>
      <c r="K211" s="1162"/>
      <c r="L211" s="1162"/>
      <c r="M211" s="1162"/>
      <c r="N211" s="1162"/>
      <c r="O211" s="1155"/>
      <c r="P211" s="1155"/>
      <c r="Q211" s="1155"/>
      <c r="R211" s="1163"/>
      <c r="S211" s="1164"/>
      <c r="T211" s="1164"/>
      <c r="U211" s="1164"/>
      <c r="V211" s="1164"/>
      <c r="W211" s="1164"/>
      <c r="X211" s="1164"/>
      <c r="Y211" s="1164"/>
      <c r="Z211" s="1164"/>
      <c r="AA211" s="1164"/>
      <c r="AB211" s="1164"/>
      <c r="AC211" s="1164"/>
      <c r="AD211" s="1164"/>
      <c r="AE211" s="1155"/>
      <c r="AF211" s="1155"/>
      <c r="AG211" s="1155"/>
      <c r="AH211" s="1163"/>
      <c r="AI211" s="1164"/>
      <c r="AJ211" s="1164"/>
      <c r="AK211" s="1164"/>
      <c r="AL211" s="1164"/>
      <c r="AM211" s="1164"/>
      <c r="AN211" s="1164"/>
      <c r="AO211" s="1164"/>
      <c r="AP211" s="1164"/>
      <c r="AQ211" s="1164"/>
      <c r="AR211" s="1164"/>
      <c r="AS211" s="1164"/>
      <c r="AT211" s="1164"/>
    </row>
    <row r="212" ht="15.75" customHeight="1">
      <c r="A212" s="852"/>
      <c r="B212" s="852"/>
      <c r="C212" s="1156"/>
      <c r="D212" s="1157"/>
      <c r="E212" s="1158"/>
      <c r="F212" s="1159"/>
      <c r="G212" s="1160"/>
      <c r="H212" s="1161"/>
      <c r="I212" s="1155"/>
      <c r="J212" s="1162"/>
      <c r="K212" s="1162"/>
      <c r="L212" s="1162"/>
      <c r="M212" s="1162"/>
      <c r="N212" s="1162"/>
      <c r="O212" s="1155"/>
      <c r="P212" s="1155"/>
      <c r="Q212" s="1155"/>
      <c r="R212" s="1163"/>
      <c r="S212" s="1164"/>
      <c r="T212" s="1164"/>
      <c r="U212" s="1164"/>
      <c r="V212" s="1164"/>
      <c r="W212" s="1164"/>
      <c r="X212" s="1164"/>
      <c r="Y212" s="1164"/>
      <c r="Z212" s="1164"/>
      <c r="AA212" s="1164"/>
      <c r="AB212" s="1164"/>
      <c r="AC212" s="1164"/>
      <c r="AD212" s="1164"/>
      <c r="AE212" s="1155"/>
      <c r="AF212" s="1155"/>
      <c r="AG212" s="1155"/>
      <c r="AH212" s="1163"/>
      <c r="AI212" s="1164"/>
      <c r="AJ212" s="1164"/>
      <c r="AK212" s="1164"/>
      <c r="AL212" s="1164"/>
      <c r="AM212" s="1164"/>
      <c r="AN212" s="1164"/>
      <c r="AO212" s="1164"/>
      <c r="AP212" s="1164"/>
      <c r="AQ212" s="1164"/>
      <c r="AR212" s="1164"/>
      <c r="AS212" s="1164"/>
      <c r="AT212" s="1164"/>
    </row>
    <row r="213" ht="15.75" customHeight="1">
      <c r="A213" s="852"/>
      <c r="B213" s="852"/>
      <c r="C213" s="1156"/>
      <c r="D213" s="1157"/>
      <c r="E213" s="1158"/>
      <c r="F213" s="1159"/>
      <c r="G213" s="1160"/>
      <c r="H213" s="1161"/>
      <c r="I213" s="1155"/>
      <c r="J213" s="1162"/>
      <c r="K213" s="1162"/>
      <c r="L213" s="1162"/>
      <c r="M213" s="1162"/>
      <c r="N213" s="1162"/>
      <c r="O213" s="1155"/>
      <c r="P213" s="1155"/>
      <c r="Q213" s="1155"/>
      <c r="R213" s="1163"/>
      <c r="S213" s="1164"/>
      <c r="T213" s="1164"/>
      <c r="U213" s="1164"/>
      <c r="V213" s="1164"/>
      <c r="W213" s="1164"/>
      <c r="X213" s="1164"/>
      <c r="Y213" s="1164"/>
      <c r="Z213" s="1164"/>
      <c r="AA213" s="1164"/>
      <c r="AB213" s="1164"/>
      <c r="AC213" s="1164"/>
      <c r="AD213" s="1164"/>
      <c r="AE213" s="1155"/>
      <c r="AF213" s="1155"/>
      <c r="AG213" s="1155"/>
      <c r="AH213" s="1163"/>
      <c r="AI213" s="1164"/>
      <c r="AJ213" s="1164"/>
      <c r="AK213" s="1164"/>
      <c r="AL213" s="1164"/>
      <c r="AM213" s="1164"/>
      <c r="AN213" s="1164"/>
      <c r="AO213" s="1164"/>
      <c r="AP213" s="1164"/>
      <c r="AQ213" s="1164"/>
      <c r="AR213" s="1164"/>
      <c r="AS213" s="1164"/>
      <c r="AT213" s="1164"/>
    </row>
    <row r="214" ht="15.75" customHeight="1">
      <c r="A214" s="852"/>
      <c r="B214" s="852"/>
      <c r="C214" s="1156"/>
      <c r="D214" s="1157"/>
      <c r="E214" s="1158"/>
      <c r="F214" s="1159"/>
      <c r="G214" s="1160"/>
      <c r="H214" s="1161"/>
      <c r="I214" s="1155"/>
      <c r="J214" s="1162"/>
      <c r="K214" s="1162"/>
      <c r="L214" s="1162"/>
      <c r="M214" s="1162"/>
      <c r="N214" s="1162"/>
      <c r="O214" s="1155"/>
      <c r="P214" s="1155"/>
      <c r="Q214" s="1155"/>
      <c r="R214" s="1163"/>
      <c r="S214" s="1164"/>
      <c r="T214" s="1164"/>
      <c r="U214" s="1164"/>
      <c r="V214" s="1164"/>
      <c r="W214" s="1164"/>
      <c r="X214" s="1164"/>
      <c r="Y214" s="1164"/>
      <c r="Z214" s="1164"/>
      <c r="AA214" s="1164"/>
      <c r="AB214" s="1164"/>
      <c r="AC214" s="1164"/>
      <c r="AD214" s="1164"/>
      <c r="AE214" s="1155"/>
      <c r="AF214" s="1155"/>
      <c r="AG214" s="1155"/>
      <c r="AH214" s="1163"/>
      <c r="AI214" s="1164"/>
      <c r="AJ214" s="1164"/>
      <c r="AK214" s="1164"/>
      <c r="AL214" s="1164"/>
      <c r="AM214" s="1164"/>
      <c r="AN214" s="1164"/>
      <c r="AO214" s="1164"/>
      <c r="AP214" s="1164"/>
      <c r="AQ214" s="1164"/>
      <c r="AR214" s="1164"/>
      <c r="AS214" s="1164"/>
      <c r="AT214" s="1164"/>
    </row>
    <row r="215" ht="15.75" customHeight="1">
      <c r="A215" s="852"/>
      <c r="B215" s="852"/>
      <c r="C215" s="1156"/>
      <c r="D215" s="1157"/>
      <c r="E215" s="1158"/>
      <c r="F215" s="1159"/>
      <c r="G215" s="1160"/>
      <c r="H215" s="1161"/>
      <c r="I215" s="1155"/>
      <c r="J215" s="1162"/>
      <c r="K215" s="1162"/>
      <c r="L215" s="1162"/>
      <c r="M215" s="1162"/>
      <c r="N215" s="1162"/>
      <c r="O215" s="1155"/>
      <c r="P215" s="1155"/>
      <c r="Q215" s="1155"/>
      <c r="R215" s="1163"/>
      <c r="S215" s="1164"/>
      <c r="T215" s="1164"/>
      <c r="U215" s="1164"/>
      <c r="V215" s="1164"/>
      <c r="W215" s="1164"/>
      <c r="X215" s="1164"/>
      <c r="Y215" s="1164"/>
      <c r="Z215" s="1164"/>
      <c r="AA215" s="1164"/>
      <c r="AB215" s="1164"/>
      <c r="AC215" s="1164"/>
      <c r="AD215" s="1164"/>
      <c r="AE215" s="1155"/>
      <c r="AF215" s="1155"/>
      <c r="AG215" s="1155"/>
      <c r="AH215" s="1163"/>
      <c r="AI215" s="1164"/>
      <c r="AJ215" s="1164"/>
      <c r="AK215" s="1164"/>
      <c r="AL215" s="1164"/>
      <c r="AM215" s="1164"/>
      <c r="AN215" s="1164"/>
      <c r="AO215" s="1164"/>
      <c r="AP215" s="1164"/>
      <c r="AQ215" s="1164"/>
      <c r="AR215" s="1164"/>
      <c r="AS215" s="1164"/>
      <c r="AT215" s="1164"/>
    </row>
    <row r="216" ht="15.75" customHeight="1">
      <c r="A216" s="852"/>
      <c r="B216" s="852"/>
      <c r="C216" s="1156"/>
      <c r="D216" s="1157"/>
      <c r="E216" s="1158"/>
      <c r="F216" s="1159"/>
      <c r="G216" s="1160"/>
      <c r="H216" s="1161"/>
      <c r="I216" s="1155"/>
      <c r="J216" s="1162"/>
      <c r="K216" s="1162"/>
      <c r="L216" s="1162"/>
      <c r="M216" s="1162"/>
      <c r="N216" s="1162"/>
      <c r="O216" s="1155"/>
      <c r="P216" s="1155"/>
      <c r="Q216" s="1155"/>
      <c r="R216" s="1163"/>
      <c r="S216" s="1164"/>
      <c r="T216" s="1164"/>
      <c r="U216" s="1164"/>
      <c r="V216" s="1164"/>
      <c r="W216" s="1164"/>
      <c r="X216" s="1164"/>
      <c r="Y216" s="1164"/>
      <c r="Z216" s="1164"/>
      <c r="AA216" s="1164"/>
      <c r="AB216" s="1164"/>
      <c r="AC216" s="1164"/>
      <c r="AD216" s="1164"/>
      <c r="AE216" s="1155"/>
      <c r="AF216" s="1155"/>
      <c r="AG216" s="1155"/>
      <c r="AH216" s="1163"/>
      <c r="AI216" s="1164"/>
      <c r="AJ216" s="1164"/>
      <c r="AK216" s="1164"/>
      <c r="AL216" s="1164"/>
      <c r="AM216" s="1164"/>
      <c r="AN216" s="1164"/>
      <c r="AO216" s="1164"/>
      <c r="AP216" s="1164"/>
      <c r="AQ216" s="1164"/>
      <c r="AR216" s="1164"/>
      <c r="AS216" s="1164"/>
      <c r="AT216" s="1164"/>
    </row>
    <row r="217" ht="15.75" customHeight="1">
      <c r="A217" s="852"/>
      <c r="B217" s="852"/>
      <c r="C217" s="1156"/>
      <c r="D217" s="1157"/>
      <c r="E217" s="1158"/>
      <c r="F217" s="1159"/>
      <c r="G217" s="1160"/>
      <c r="H217" s="1161"/>
      <c r="I217" s="1155"/>
      <c r="J217" s="1162"/>
      <c r="K217" s="1162"/>
      <c r="L217" s="1162"/>
      <c r="M217" s="1162"/>
      <c r="N217" s="1162"/>
      <c r="O217" s="1155"/>
      <c r="P217" s="1155"/>
      <c r="Q217" s="1155"/>
      <c r="R217" s="1163"/>
      <c r="S217" s="1164"/>
      <c r="T217" s="1164"/>
      <c r="U217" s="1164"/>
      <c r="V217" s="1164"/>
      <c r="W217" s="1164"/>
      <c r="X217" s="1164"/>
      <c r="Y217" s="1164"/>
      <c r="Z217" s="1164"/>
      <c r="AA217" s="1164"/>
      <c r="AB217" s="1164"/>
      <c r="AC217" s="1164"/>
      <c r="AD217" s="1164"/>
      <c r="AE217" s="1155"/>
      <c r="AF217" s="1155"/>
      <c r="AG217" s="1155"/>
      <c r="AH217" s="1163"/>
      <c r="AI217" s="1164"/>
      <c r="AJ217" s="1164"/>
      <c r="AK217" s="1164"/>
      <c r="AL217" s="1164"/>
      <c r="AM217" s="1164"/>
      <c r="AN217" s="1164"/>
      <c r="AO217" s="1164"/>
      <c r="AP217" s="1164"/>
      <c r="AQ217" s="1164"/>
      <c r="AR217" s="1164"/>
      <c r="AS217" s="1164"/>
      <c r="AT217" s="1164"/>
    </row>
    <row r="218" ht="15.75" customHeight="1">
      <c r="A218" s="852"/>
      <c r="B218" s="852"/>
      <c r="C218" s="1156"/>
      <c r="D218" s="1157"/>
      <c r="E218" s="1158"/>
      <c r="F218" s="1159"/>
      <c r="G218" s="1160"/>
      <c r="H218" s="1161"/>
      <c r="I218" s="1155"/>
      <c r="J218" s="1162"/>
      <c r="K218" s="1162"/>
      <c r="L218" s="1162"/>
      <c r="M218" s="1162"/>
      <c r="N218" s="1162"/>
      <c r="O218" s="1155"/>
      <c r="P218" s="1155"/>
      <c r="Q218" s="1155"/>
      <c r="R218" s="1163"/>
      <c r="S218" s="1164"/>
      <c r="T218" s="1164"/>
      <c r="U218" s="1164"/>
      <c r="V218" s="1164"/>
      <c r="W218" s="1164"/>
      <c r="X218" s="1164"/>
      <c r="Y218" s="1164"/>
      <c r="Z218" s="1164"/>
      <c r="AA218" s="1164"/>
      <c r="AB218" s="1164"/>
      <c r="AC218" s="1164"/>
      <c r="AD218" s="1164"/>
      <c r="AE218" s="1155"/>
      <c r="AF218" s="1155"/>
      <c r="AG218" s="1155"/>
      <c r="AH218" s="1163"/>
      <c r="AI218" s="1164"/>
      <c r="AJ218" s="1164"/>
      <c r="AK218" s="1164"/>
      <c r="AL218" s="1164"/>
      <c r="AM218" s="1164"/>
      <c r="AN218" s="1164"/>
      <c r="AO218" s="1164"/>
      <c r="AP218" s="1164"/>
      <c r="AQ218" s="1164"/>
      <c r="AR218" s="1164"/>
      <c r="AS218" s="1164"/>
      <c r="AT218" s="1164"/>
    </row>
    <row r="219" ht="15.75" customHeight="1">
      <c r="A219" s="852"/>
      <c r="B219" s="852"/>
      <c r="C219" s="1156"/>
      <c r="D219" s="1157"/>
      <c r="E219" s="1158"/>
      <c r="F219" s="1159"/>
      <c r="G219" s="1160"/>
      <c r="H219" s="1161"/>
      <c r="I219" s="1155"/>
      <c r="J219" s="1162"/>
      <c r="K219" s="1162"/>
      <c r="L219" s="1162"/>
      <c r="M219" s="1162"/>
      <c r="N219" s="1162"/>
      <c r="O219" s="1155"/>
      <c r="P219" s="1155"/>
      <c r="Q219" s="1155"/>
      <c r="R219" s="1163"/>
      <c r="S219" s="1164"/>
      <c r="T219" s="1164"/>
      <c r="U219" s="1164"/>
      <c r="V219" s="1164"/>
      <c r="W219" s="1164"/>
      <c r="X219" s="1164"/>
      <c r="Y219" s="1164"/>
      <c r="Z219" s="1164"/>
      <c r="AA219" s="1164"/>
      <c r="AB219" s="1164"/>
      <c r="AC219" s="1164"/>
      <c r="AD219" s="1164"/>
      <c r="AE219" s="1155"/>
      <c r="AF219" s="1155"/>
      <c r="AG219" s="1155"/>
      <c r="AH219" s="1163"/>
      <c r="AI219" s="1164"/>
      <c r="AJ219" s="1164"/>
      <c r="AK219" s="1164"/>
      <c r="AL219" s="1164"/>
      <c r="AM219" s="1164"/>
      <c r="AN219" s="1164"/>
      <c r="AO219" s="1164"/>
      <c r="AP219" s="1164"/>
      <c r="AQ219" s="1164"/>
      <c r="AR219" s="1164"/>
      <c r="AS219" s="1164"/>
      <c r="AT219" s="1164"/>
    </row>
    <row r="220" ht="15.75" customHeight="1">
      <c r="A220" s="852"/>
      <c r="B220" s="852"/>
      <c r="C220" s="1156"/>
      <c r="D220" s="1157"/>
      <c r="E220" s="1158"/>
      <c r="F220" s="1159"/>
      <c r="G220" s="1160"/>
      <c r="H220" s="1161"/>
      <c r="I220" s="1155"/>
      <c r="J220" s="1162"/>
      <c r="K220" s="1162"/>
      <c r="L220" s="1162"/>
      <c r="M220" s="1162"/>
      <c r="N220" s="1162"/>
      <c r="O220" s="1155"/>
      <c r="P220" s="1155"/>
      <c r="Q220" s="1155"/>
      <c r="R220" s="1163"/>
      <c r="S220" s="1164"/>
      <c r="T220" s="1164"/>
      <c r="U220" s="1164"/>
      <c r="V220" s="1164"/>
      <c r="W220" s="1164"/>
      <c r="X220" s="1164"/>
      <c r="Y220" s="1164"/>
      <c r="Z220" s="1164"/>
      <c r="AA220" s="1164"/>
      <c r="AB220" s="1164"/>
      <c r="AC220" s="1164"/>
      <c r="AD220" s="1164"/>
      <c r="AE220" s="1155"/>
      <c r="AF220" s="1155"/>
      <c r="AG220" s="1155"/>
      <c r="AH220" s="1163"/>
      <c r="AI220" s="1164"/>
      <c r="AJ220" s="1164"/>
      <c r="AK220" s="1164"/>
      <c r="AL220" s="1164"/>
      <c r="AM220" s="1164"/>
      <c r="AN220" s="1164"/>
      <c r="AO220" s="1164"/>
      <c r="AP220" s="1164"/>
      <c r="AQ220" s="1164"/>
      <c r="AR220" s="1164"/>
      <c r="AS220" s="1164"/>
      <c r="AT220" s="1164"/>
    </row>
    <row r="221" ht="15.75" customHeight="1">
      <c r="A221" s="852"/>
      <c r="B221" s="852"/>
      <c r="C221" s="1156"/>
      <c r="D221" s="1157"/>
      <c r="E221" s="1158"/>
      <c r="F221" s="1159"/>
      <c r="G221" s="1160"/>
      <c r="H221" s="1161"/>
      <c r="I221" s="1155"/>
      <c r="J221" s="1162"/>
      <c r="K221" s="1162"/>
      <c r="L221" s="1162"/>
      <c r="M221" s="1162"/>
      <c r="N221" s="1162"/>
      <c r="O221" s="1155"/>
      <c r="P221" s="1155"/>
      <c r="Q221" s="1155"/>
      <c r="R221" s="1163"/>
      <c r="S221" s="1164"/>
      <c r="T221" s="1164"/>
      <c r="U221" s="1164"/>
      <c r="V221" s="1164"/>
      <c r="W221" s="1164"/>
      <c r="X221" s="1164"/>
      <c r="Y221" s="1164"/>
      <c r="Z221" s="1164"/>
      <c r="AA221" s="1164"/>
      <c r="AB221" s="1164"/>
      <c r="AC221" s="1164"/>
      <c r="AD221" s="1164"/>
      <c r="AE221" s="1155"/>
      <c r="AF221" s="1155"/>
      <c r="AG221" s="1155"/>
      <c r="AH221" s="1163"/>
      <c r="AI221" s="1164"/>
      <c r="AJ221" s="1164"/>
      <c r="AK221" s="1164"/>
      <c r="AL221" s="1164"/>
      <c r="AM221" s="1164"/>
      <c r="AN221" s="1164"/>
      <c r="AO221" s="1164"/>
      <c r="AP221" s="1164"/>
      <c r="AQ221" s="1164"/>
      <c r="AR221" s="1164"/>
      <c r="AS221" s="1164"/>
      <c r="AT221" s="1164"/>
    </row>
    <row r="222" ht="15.75" customHeight="1">
      <c r="A222" s="852"/>
      <c r="B222" s="852"/>
      <c r="C222" s="1156"/>
      <c r="D222" s="1157"/>
      <c r="E222" s="1158"/>
      <c r="F222" s="1159"/>
      <c r="G222" s="1160"/>
      <c r="H222" s="1161"/>
      <c r="I222" s="1155"/>
      <c r="J222" s="1162"/>
      <c r="K222" s="1162"/>
      <c r="L222" s="1162"/>
      <c r="M222" s="1162"/>
      <c r="N222" s="1162"/>
      <c r="O222" s="1155"/>
      <c r="P222" s="1155"/>
      <c r="Q222" s="1155"/>
      <c r="R222" s="1163"/>
      <c r="S222" s="1164"/>
      <c r="T222" s="1164"/>
      <c r="U222" s="1164"/>
      <c r="V222" s="1164"/>
      <c r="W222" s="1164"/>
      <c r="X222" s="1164"/>
      <c r="Y222" s="1164"/>
      <c r="Z222" s="1164"/>
      <c r="AA222" s="1164"/>
      <c r="AB222" s="1164"/>
      <c r="AC222" s="1164"/>
      <c r="AD222" s="1164"/>
      <c r="AE222" s="1155"/>
      <c r="AF222" s="1155"/>
      <c r="AG222" s="1155"/>
      <c r="AH222" s="1163"/>
      <c r="AI222" s="1164"/>
      <c r="AJ222" s="1164"/>
      <c r="AK222" s="1164"/>
      <c r="AL222" s="1164"/>
      <c r="AM222" s="1164"/>
      <c r="AN222" s="1164"/>
      <c r="AO222" s="1164"/>
      <c r="AP222" s="1164"/>
      <c r="AQ222" s="1164"/>
      <c r="AR222" s="1164"/>
      <c r="AS222" s="1164"/>
      <c r="AT222" s="1164"/>
    </row>
    <row r="223" ht="15.75" customHeight="1">
      <c r="A223" s="852"/>
      <c r="B223" s="852"/>
      <c r="C223" s="1156"/>
      <c r="D223" s="1157"/>
      <c r="E223" s="1158"/>
      <c r="F223" s="1159"/>
      <c r="G223" s="1160"/>
      <c r="H223" s="1161"/>
      <c r="I223" s="1155"/>
      <c r="J223" s="1162"/>
      <c r="K223" s="1162"/>
      <c r="L223" s="1162"/>
      <c r="M223" s="1162"/>
      <c r="N223" s="1162"/>
      <c r="O223" s="1155"/>
      <c r="P223" s="1155"/>
      <c r="Q223" s="1155"/>
      <c r="R223" s="1163"/>
      <c r="S223" s="1164"/>
      <c r="T223" s="1164"/>
      <c r="U223" s="1164"/>
      <c r="V223" s="1164"/>
      <c r="W223" s="1164"/>
      <c r="X223" s="1164"/>
      <c r="Y223" s="1164"/>
      <c r="Z223" s="1164"/>
      <c r="AA223" s="1164"/>
      <c r="AB223" s="1164"/>
      <c r="AC223" s="1164"/>
      <c r="AD223" s="1164"/>
      <c r="AE223" s="1155"/>
      <c r="AF223" s="1155"/>
      <c r="AG223" s="1155"/>
      <c r="AH223" s="1163"/>
      <c r="AI223" s="1164"/>
      <c r="AJ223" s="1164"/>
      <c r="AK223" s="1164"/>
      <c r="AL223" s="1164"/>
      <c r="AM223" s="1164"/>
      <c r="AN223" s="1164"/>
      <c r="AO223" s="1164"/>
      <c r="AP223" s="1164"/>
      <c r="AQ223" s="1164"/>
      <c r="AR223" s="1164"/>
      <c r="AS223" s="1164"/>
      <c r="AT223" s="1164"/>
    </row>
    <row r="224" ht="15.75" customHeight="1">
      <c r="A224" s="852"/>
      <c r="B224" s="852"/>
      <c r="C224" s="1156"/>
      <c r="D224" s="1157"/>
      <c r="E224" s="1158"/>
      <c r="F224" s="1159"/>
      <c r="G224" s="1160"/>
      <c r="H224" s="1161"/>
      <c r="I224" s="1155"/>
      <c r="J224" s="1162"/>
      <c r="K224" s="1162"/>
      <c r="L224" s="1162"/>
      <c r="M224" s="1162"/>
      <c r="N224" s="1162"/>
      <c r="O224" s="1155"/>
      <c r="P224" s="1155"/>
      <c r="Q224" s="1155"/>
      <c r="R224" s="1163"/>
      <c r="S224" s="1164"/>
      <c r="T224" s="1164"/>
      <c r="U224" s="1164"/>
      <c r="V224" s="1164"/>
      <c r="W224" s="1164"/>
      <c r="X224" s="1164"/>
      <c r="Y224" s="1164"/>
      <c r="Z224" s="1164"/>
      <c r="AA224" s="1164"/>
      <c r="AB224" s="1164"/>
      <c r="AC224" s="1164"/>
      <c r="AD224" s="1164"/>
      <c r="AE224" s="1155"/>
      <c r="AF224" s="1155"/>
      <c r="AG224" s="1155"/>
      <c r="AH224" s="1163"/>
      <c r="AI224" s="1164"/>
      <c r="AJ224" s="1164"/>
      <c r="AK224" s="1164"/>
      <c r="AL224" s="1164"/>
      <c r="AM224" s="1164"/>
      <c r="AN224" s="1164"/>
      <c r="AO224" s="1164"/>
      <c r="AP224" s="1164"/>
      <c r="AQ224" s="1164"/>
      <c r="AR224" s="1164"/>
      <c r="AS224" s="1164"/>
      <c r="AT224" s="1164"/>
    </row>
    <row r="225" ht="15.75" customHeight="1">
      <c r="A225" s="852"/>
      <c r="B225" s="852"/>
      <c r="C225" s="1156"/>
      <c r="D225" s="1157"/>
      <c r="E225" s="1158"/>
      <c r="F225" s="1159"/>
      <c r="G225" s="1160"/>
      <c r="H225" s="1161"/>
      <c r="I225" s="1155"/>
      <c r="J225" s="1162"/>
      <c r="K225" s="1162"/>
      <c r="L225" s="1162"/>
      <c r="M225" s="1162"/>
      <c r="N225" s="1162"/>
      <c r="O225" s="1155"/>
      <c r="P225" s="1155"/>
      <c r="Q225" s="1155"/>
      <c r="R225" s="1163"/>
      <c r="S225" s="1164"/>
      <c r="T225" s="1164"/>
      <c r="U225" s="1164"/>
      <c r="V225" s="1164"/>
      <c r="W225" s="1164"/>
      <c r="X225" s="1164"/>
      <c r="Y225" s="1164"/>
      <c r="Z225" s="1164"/>
      <c r="AA225" s="1164"/>
      <c r="AB225" s="1164"/>
      <c r="AC225" s="1164"/>
      <c r="AD225" s="1164"/>
      <c r="AE225" s="1155"/>
      <c r="AF225" s="1155"/>
      <c r="AG225" s="1155"/>
      <c r="AH225" s="1163"/>
      <c r="AI225" s="1164"/>
      <c r="AJ225" s="1164"/>
      <c r="AK225" s="1164"/>
      <c r="AL225" s="1164"/>
      <c r="AM225" s="1164"/>
      <c r="AN225" s="1164"/>
      <c r="AO225" s="1164"/>
      <c r="AP225" s="1164"/>
      <c r="AQ225" s="1164"/>
      <c r="AR225" s="1164"/>
      <c r="AS225" s="1164"/>
      <c r="AT225" s="1164"/>
    </row>
    <row r="226" ht="15.75" customHeight="1">
      <c r="A226" s="852"/>
      <c r="B226" s="852"/>
      <c r="C226" s="1156"/>
      <c r="D226" s="1157"/>
      <c r="E226" s="1158"/>
      <c r="F226" s="1159"/>
      <c r="G226" s="1160"/>
      <c r="H226" s="1161"/>
      <c r="I226" s="1155"/>
      <c r="J226" s="1162"/>
      <c r="K226" s="1162"/>
      <c r="L226" s="1162"/>
      <c r="M226" s="1162"/>
      <c r="N226" s="1162"/>
      <c r="O226" s="1155"/>
      <c r="P226" s="1155"/>
      <c r="Q226" s="1155"/>
      <c r="R226" s="1163"/>
      <c r="S226" s="1164"/>
      <c r="T226" s="1164"/>
      <c r="U226" s="1164"/>
      <c r="V226" s="1164"/>
      <c r="W226" s="1164"/>
      <c r="X226" s="1164"/>
      <c r="Y226" s="1164"/>
      <c r="Z226" s="1164"/>
      <c r="AA226" s="1164"/>
      <c r="AB226" s="1164"/>
      <c r="AC226" s="1164"/>
      <c r="AD226" s="1164"/>
      <c r="AE226" s="1155"/>
      <c r="AF226" s="1155"/>
      <c r="AG226" s="1155"/>
      <c r="AH226" s="1163"/>
      <c r="AI226" s="1164"/>
      <c r="AJ226" s="1164"/>
      <c r="AK226" s="1164"/>
      <c r="AL226" s="1164"/>
      <c r="AM226" s="1164"/>
      <c r="AN226" s="1164"/>
      <c r="AO226" s="1164"/>
      <c r="AP226" s="1164"/>
      <c r="AQ226" s="1164"/>
      <c r="AR226" s="1164"/>
      <c r="AS226" s="1164"/>
      <c r="AT226" s="1164"/>
    </row>
    <row r="227" ht="15.75" customHeight="1">
      <c r="A227" s="852"/>
      <c r="B227" s="852"/>
      <c r="C227" s="1156"/>
      <c r="D227" s="1157"/>
      <c r="E227" s="1158"/>
      <c r="F227" s="1159"/>
      <c r="G227" s="1160"/>
      <c r="H227" s="1161"/>
      <c r="I227" s="1155"/>
      <c r="J227" s="1162"/>
      <c r="K227" s="1162"/>
      <c r="L227" s="1162"/>
      <c r="M227" s="1162"/>
      <c r="N227" s="1162"/>
      <c r="O227" s="1155"/>
      <c r="P227" s="1155"/>
      <c r="Q227" s="1155"/>
      <c r="R227" s="1163"/>
      <c r="S227" s="1164"/>
      <c r="T227" s="1164"/>
      <c r="U227" s="1164"/>
      <c r="V227" s="1164"/>
      <c r="W227" s="1164"/>
      <c r="X227" s="1164"/>
      <c r="Y227" s="1164"/>
      <c r="Z227" s="1164"/>
      <c r="AA227" s="1164"/>
      <c r="AB227" s="1164"/>
      <c r="AC227" s="1164"/>
      <c r="AD227" s="1164"/>
      <c r="AE227" s="1155"/>
      <c r="AF227" s="1155"/>
      <c r="AG227" s="1155"/>
      <c r="AH227" s="1163"/>
      <c r="AI227" s="1164"/>
      <c r="AJ227" s="1164"/>
      <c r="AK227" s="1164"/>
      <c r="AL227" s="1164"/>
      <c r="AM227" s="1164"/>
      <c r="AN227" s="1164"/>
      <c r="AO227" s="1164"/>
      <c r="AP227" s="1164"/>
      <c r="AQ227" s="1164"/>
      <c r="AR227" s="1164"/>
      <c r="AS227" s="1164"/>
      <c r="AT227" s="1164"/>
    </row>
    <row r="228" ht="15.75" customHeight="1">
      <c r="A228" s="852"/>
      <c r="B228" s="852"/>
      <c r="C228" s="1156"/>
      <c r="D228" s="1157"/>
      <c r="E228" s="1158"/>
      <c r="F228" s="1159"/>
      <c r="G228" s="1160"/>
      <c r="H228" s="1161"/>
      <c r="I228" s="1155"/>
      <c r="J228" s="1162"/>
      <c r="K228" s="1162"/>
      <c r="L228" s="1162"/>
      <c r="M228" s="1162"/>
      <c r="N228" s="1162"/>
      <c r="O228" s="1155"/>
      <c r="P228" s="1155"/>
      <c r="Q228" s="1155"/>
      <c r="R228" s="1163"/>
      <c r="S228" s="1164"/>
      <c r="T228" s="1164"/>
      <c r="U228" s="1164"/>
      <c r="V228" s="1164"/>
      <c r="W228" s="1164"/>
      <c r="X228" s="1164"/>
      <c r="Y228" s="1164"/>
      <c r="Z228" s="1164"/>
      <c r="AA228" s="1164"/>
      <c r="AB228" s="1164"/>
      <c r="AC228" s="1164"/>
      <c r="AD228" s="1164"/>
      <c r="AE228" s="1155"/>
      <c r="AF228" s="1155"/>
      <c r="AG228" s="1155"/>
      <c r="AH228" s="1163"/>
      <c r="AI228" s="1164"/>
      <c r="AJ228" s="1164"/>
      <c r="AK228" s="1164"/>
      <c r="AL228" s="1164"/>
      <c r="AM228" s="1164"/>
      <c r="AN228" s="1164"/>
      <c r="AO228" s="1164"/>
      <c r="AP228" s="1164"/>
      <c r="AQ228" s="1164"/>
      <c r="AR228" s="1164"/>
      <c r="AS228" s="1164"/>
      <c r="AT228" s="1164"/>
    </row>
    <row r="229" ht="15.75" customHeight="1">
      <c r="A229" s="852"/>
      <c r="B229" s="852"/>
      <c r="C229" s="1156"/>
      <c r="D229" s="1157"/>
      <c r="E229" s="1158"/>
      <c r="F229" s="1159"/>
      <c r="G229" s="1160"/>
      <c r="H229" s="1161"/>
      <c r="I229" s="1155"/>
      <c r="J229" s="1162"/>
      <c r="K229" s="1162"/>
      <c r="L229" s="1162"/>
      <c r="M229" s="1162"/>
      <c r="N229" s="1162"/>
      <c r="O229" s="1155"/>
      <c r="P229" s="1155"/>
      <c r="Q229" s="1155"/>
      <c r="R229" s="1163"/>
      <c r="S229" s="1164"/>
      <c r="T229" s="1164"/>
      <c r="U229" s="1164"/>
      <c r="V229" s="1164"/>
      <c r="W229" s="1164"/>
      <c r="X229" s="1164"/>
      <c r="Y229" s="1164"/>
      <c r="Z229" s="1164"/>
      <c r="AA229" s="1164"/>
      <c r="AB229" s="1164"/>
      <c r="AC229" s="1164"/>
      <c r="AD229" s="1164"/>
      <c r="AE229" s="1155"/>
      <c r="AF229" s="1155"/>
      <c r="AG229" s="1155"/>
      <c r="AH229" s="1163"/>
      <c r="AI229" s="1164"/>
      <c r="AJ229" s="1164"/>
      <c r="AK229" s="1164"/>
      <c r="AL229" s="1164"/>
      <c r="AM229" s="1164"/>
      <c r="AN229" s="1164"/>
      <c r="AO229" s="1164"/>
      <c r="AP229" s="1164"/>
      <c r="AQ229" s="1164"/>
      <c r="AR229" s="1164"/>
      <c r="AS229" s="1164"/>
      <c r="AT229" s="1164"/>
    </row>
    <row r="230" ht="15.75" customHeight="1">
      <c r="A230" s="852"/>
      <c r="B230" s="852"/>
      <c r="C230" s="1156"/>
      <c r="D230" s="1157"/>
      <c r="E230" s="1158"/>
      <c r="F230" s="1159"/>
      <c r="G230" s="1160"/>
      <c r="H230" s="1161"/>
      <c r="I230" s="1155"/>
      <c r="J230" s="1162"/>
      <c r="K230" s="1162"/>
      <c r="L230" s="1162"/>
      <c r="M230" s="1162"/>
      <c r="N230" s="1162"/>
      <c r="O230" s="1155"/>
      <c r="P230" s="1155"/>
      <c r="Q230" s="1155"/>
      <c r="R230" s="1163"/>
      <c r="S230" s="1164"/>
      <c r="T230" s="1164"/>
      <c r="U230" s="1164"/>
      <c r="V230" s="1164"/>
      <c r="W230" s="1164"/>
      <c r="X230" s="1164"/>
      <c r="Y230" s="1164"/>
      <c r="Z230" s="1164"/>
      <c r="AA230" s="1164"/>
      <c r="AB230" s="1164"/>
      <c r="AC230" s="1164"/>
      <c r="AD230" s="1164"/>
      <c r="AE230" s="1155"/>
      <c r="AF230" s="1155"/>
      <c r="AG230" s="1155"/>
      <c r="AH230" s="1163"/>
      <c r="AI230" s="1164"/>
      <c r="AJ230" s="1164"/>
      <c r="AK230" s="1164"/>
      <c r="AL230" s="1164"/>
      <c r="AM230" s="1164"/>
      <c r="AN230" s="1164"/>
      <c r="AO230" s="1164"/>
      <c r="AP230" s="1164"/>
      <c r="AQ230" s="1164"/>
      <c r="AR230" s="1164"/>
      <c r="AS230" s="1164"/>
      <c r="AT230" s="1164"/>
    </row>
    <row r="231" ht="15.75" customHeight="1">
      <c r="A231" s="852"/>
      <c r="B231" s="852"/>
      <c r="C231" s="1156"/>
      <c r="D231" s="1157"/>
      <c r="E231" s="1158"/>
      <c r="F231" s="1159"/>
      <c r="G231" s="1160"/>
      <c r="H231" s="1161"/>
      <c r="I231" s="1155"/>
      <c r="J231" s="1162"/>
      <c r="K231" s="1162"/>
      <c r="L231" s="1162"/>
      <c r="M231" s="1162"/>
      <c r="N231" s="1162"/>
      <c r="O231" s="1155"/>
      <c r="P231" s="1155"/>
      <c r="Q231" s="1155"/>
      <c r="R231" s="1163"/>
      <c r="S231" s="1164"/>
      <c r="T231" s="1164"/>
      <c r="U231" s="1164"/>
      <c r="V231" s="1164"/>
      <c r="W231" s="1164"/>
      <c r="X231" s="1164"/>
      <c r="Y231" s="1164"/>
      <c r="Z231" s="1164"/>
      <c r="AA231" s="1164"/>
      <c r="AB231" s="1164"/>
      <c r="AC231" s="1164"/>
      <c r="AD231" s="1164"/>
      <c r="AE231" s="1155"/>
      <c r="AF231" s="1155"/>
      <c r="AG231" s="1155"/>
      <c r="AH231" s="1163"/>
      <c r="AI231" s="1164"/>
      <c r="AJ231" s="1164"/>
      <c r="AK231" s="1164"/>
      <c r="AL231" s="1164"/>
      <c r="AM231" s="1164"/>
      <c r="AN231" s="1164"/>
      <c r="AO231" s="1164"/>
      <c r="AP231" s="1164"/>
      <c r="AQ231" s="1164"/>
      <c r="AR231" s="1164"/>
      <c r="AS231" s="1164"/>
      <c r="AT231" s="1164"/>
    </row>
    <row r="232" ht="15.75" customHeight="1">
      <c r="A232" s="852"/>
      <c r="B232" s="852"/>
      <c r="C232" s="1156"/>
      <c r="D232" s="1157"/>
      <c r="E232" s="1158"/>
      <c r="F232" s="1159"/>
      <c r="G232" s="1160"/>
      <c r="H232" s="1161"/>
      <c r="I232" s="1155"/>
      <c r="J232" s="1162"/>
      <c r="K232" s="1162"/>
      <c r="L232" s="1162"/>
      <c r="M232" s="1162"/>
      <c r="N232" s="1162"/>
      <c r="O232" s="1155"/>
      <c r="P232" s="1155"/>
      <c r="Q232" s="1155"/>
      <c r="R232" s="1163"/>
      <c r="S232" s="1164"/>
      <c r="T232" s="1164"/>
      <c r="U232" s="1164"/>
      <c r="V232" s="1164"/>
      <c r="W232" s="1164"/>
      <c r="X232" s="1164"/>
      <c r="Y232" s="1164"/>
      <c r="Z232" s="1164"/>
      <c r="AA232" s="1164"/>
      <c r="AB232" s="1164"/>
      <c r="AC232" s="1164"/>
      <c r="AD232" s="1164"/>
      <c r="AE232" s="1155"/>
      <c r="AF232" s="1155"/>
      <c r="AG232" s="1155"/>
      <c r="AH232" s="1163"/>
      <c r="AI232" s="1164"/>
      <c r="AJ232" s="1164"/>
      <c r="AK232" s="1164"/>
      <c r="AL232" s="1164"/>
      <c r="AM232" s="1164"/>
      <c r="AN232" s="1164"/>
      <c r="AO232" s="1164"/>
      <c r="AP232" s="1164"/>
      <c r="AQ232" s="1164"/>
      <c r="AR232" s="1164"/>
      <c r="AS232" s="1164"/>
      <c r="AT232" s="1164"/>
    </row>
    <row r="233" ht="15.75" customHeight="1">
      <c r="A233" s="852"/>
      <c r="B233" s="852"/>
      <c r="C233" s="1156"/>
      <c r="D233" s="1157"/>
      <c r="E233" s="1158"/>
      <c r="F233" s="1159"/>
      <c r="G233" s="1160"/>
      <c r="H233" s="1161"/>
      <c r="I233" s="1155"/>
      <c r="J233" s="1162"/>
      <c r="K233" s="1162"/>
      <c r="L233" s="1162"/>
      <c r="M233" s="1162"/>
      <c r="N233" s="1162"/>
      <c r="O233" s="1155"/>
      <c r="P233" s="1155"/>
      <c r="Q233" s="1155"/>
      <c r="R233" s="1163"/>
      <c r="S233" s="1164"/>
      <c r="T233" s="1164"/>
      <c r="U233" s="1164"/>
      <c r="V233" s="1164"/>
      <c r="W233" s="1164"/>
      <c r="X233" s="1164"/>
      <c r="Y233" s="1164"/>
      <c r="Z233" s="1164"/>
      <c r="AA233" s="1164"/>
      <c r="AB233" s="1164"/>
      <c r="AC233" s="1164"/>
      <c r="AD233" s="1164"/>
      <c r="AE233" s="1155"/>
      <c r="AF233" s="1155"/>
      <c r="AG233" s="1155"/>
      <c r="AH233" s="1163"/>
      <c r="AI233" s="1164"/>
      <c r="AJ233" s="1164"/>
      <c r="AK233" s="1164"/>
      <c r="AL233" s="1164"/>
      <c r="AM233" s="1164"/>
      <c r="AN233" s="1164"/>
      <c r="AO233" s="1164"/>
      <c r="AP233" s="1164"/>
      <c r="AQ233" s="1164"/>
      <c r="AR233" s="1164"/>
      <c r="AS233" s="1164"/>
      <c r="AT233" s="1164"/>
    </row>
    <row r="234" ht="15.75" customHeight="1">
      <c r="A234" s="852"/>
      <c r="B234" s="852"/>
      <c r="C234" s="1156"/>
      <c r="D234" s="1157"/>
      <c r="E234" s="1158"/>
      <c r="F234" s="1159"/>
      <c r="G234" s="1160"/>
      <c r="H234" s="1161"/>
      <c r="I234" s="1155"/>
      <c r="J234" s="1162"/>
      <c r="K234" s="1162"/>
      <c r="L234" s="1162"/>
      <c r="M234" s="1162"/>
      <c r="N234" s="1162"/>
      <c r="O234" s="1155"/>
      <c r="P234" s="1155"/>
      <c r="Q234" s="1155"/>
      <c r="R234" s="1163"/>
      <c r="S234" s="1164"/>
      <c r="T234" s="1164"/>
      <c r="U234" s="1164"/>
      <c r="V234" s="1164"/>
      <c r="W234" s="1164"/>
      <c r="X234" s="1164"/>
      <c r="Y234" s="1164"/>
      <c r="Z234" s="1164"/>
      <c r="AA234" s="1164"/>
      <c r="AB234" s="1164"/>
      <c r="AC234" s="1164"/>
      <c r="AD234" s="1164"/>
      <c r="AE234" s="1155"/>
      <c r="AF234" s="1155"/>
      <c r="AG234" s="1155"/>
      <c r="AH234" s="1163"/>
      <c r="AI234" s="1164"/>
      <c r="AJ234" s="1164"/>
      <c r="AK234" s="1164"/>
      <c r="AL234" s="1164"/>
      <c r="AM234" s="1164"/>
      <c r="AN234" s="1164"/>
      <c r="AO234" s="1164"/>
      <c r="AP234" s="1164"/>
      <c r="AQ234" s="1164"/>
      <c r="AR234" s="1164"/>
      <c r="AS234" s="1164"/>
      <c r="AT234" s="1164"/>
    </row>
    <row r="235" ht="15.75" customHeight="1">
      <c r="A235" s="852"/>
      <c r="B235" s="852"/>
      <c r="C235" s="1156"/>
      <c r="D235" s="1157"/>
      <c r="E235" s="1158"/>
      <c r="F235" s="1159"/>
      <c r="G235" s="1160"/>
      <c r="H235" s="1161"/>
      <c r="I235" s="1155"/>
      <c r="J235" s="1162"/>
      <c r="K235" s="1162"/>
      <c r="L235" s="1162"/>
      <c r="M235" s="1162"/>
      <c r="N235" s="1162"/>
      <c r="O235" s="1155"/>
      <c r="P235" s="1155"/>
      <c r="Q235" s="1155"/>
      <c r="R235" s="1163"/>
      <c r="S235" s="1164"/>
      <c r="T235" s="1164"/>
      <c r="U235" s="1164"/>
      <c r="V235" s="1164"/>
      <c r="W235" s="1164"/>
      <c r="X235" s="1164"/>
      <c r="Y235" s="1164"/>
      <c r="Z235" s="1164"/>
      <c r="AA235" s="1164"/>
      <c r="AB235" s="1164"/>
      <c r="AC235" s="1164"/>
      <c r="AD235" s="1164"/>
      <c r="AE235" s="1155"/>
      <c r="AF235" s="1155"/>
      <c r="AG235" s="1155"/>
      <c r="AH235" s="1163"/>
      <c r="AI235" s="1164"/>
      <c r="AJ235" s="1164"/>
      <c r="AK235" s="1164"/>
      <c r="AL235" s="1164"/>
      <c r="AM235" s="1164"/>
      <c r="AN235" s="1164"/>
      <c r="AO235" s="1164"/>
      <c r="AP235" s="1164"/>
      <c r="AQ235" s="1164"/>
      <c r="AR235" s="1164"/>
      <c r="AS235" s="1164"/>
      <c r="AT235" s="1164"/>
    </row>
    <row r="236" ht="15.75" customHeight="1">
      <c r="A236" s="852"/>
      <c r="B236" s="852"/>
      <c r="C236" s="1156"/>
      <c r="D236" s="1157"/>
      <c r="E236" s="1158"/>
      <c r="F236" s="1159"/>
      <c r="G236" s="1160"/>
      <c r="H236" s="1161"/>
      <c r="I236" s="1155"/>
      <c r="J236" s="1162"/>
      <c r="K236" s="1162"/>
      <c r="L236" s="1162"/>
      <c r="M236" s="1162"/>
      <c r="N236" s="1162"/>
      <c r="O236" s="1155"/>
      <c r="P236" s="1155"/>
      <c r="Q236" s="1155"/>
      <c r="R236" s="1163"/>
      <c r="S236" s="1164"/>
      <c r="T236" s="1164"/>
      <c r="U236" s="1164"/>
      <c r="V236" s="1164"/>
      <c r="W236" s="1164"/>
      <c r="X236" s="1164"/>
      <c r="Y236" s="1164"/>
      <c r="Z236" s="1164"/>
      <c r="AA236" s="1164"/>
      <c r="AB236" s="1164"/>
      <c r="AC236" s="1164"/>
      <c r="AD236" s="1164"/>
      <c r="AE236" s="1155"/>
      <c r="AF236" s="1155"/>
      <c r="AG236" s="1155"/>
      <c r="AH236" s="1163"/>
      <c r="AI236" s="1164"/>
      <c r="AJ236" s="1164"/>
      <c r="AK236" s="1164"/>
      <c r="AL236" s="1164"/>
      <c r="AM236" s="1164"/>
      <c r="AN236" s="1164"/>
      <c r="AO236" s="1164"/>
      <c r="AP236" s="1164"/>
      <c r="AQ236" s="1164"/>
      <c r="AR236" s="1164"/>
      <c r="AS236" s="1164"/>
      <c r="AT236" s="1164"/>
    </row>
    <row r="237" ht="15.75" customHeight="1">
      <c r="A237" s="852"/>
      <c r="B237" s="852"/>
      <c r="C237" s="1156"/>
      <c r="D237" s="1157"/>
      <c r="E237" s="1158"/>
      <c r="F237" s="1159"/>
      <c r="G237" s="1160"/>
      <c r="H237" s="1161"/>
      <c r="I237" s="1155"/>
      <c r="J237" s="1162"/>
      <c r="K237" s="1162"/>
      <c r="L237" s="1162"/>
      <c r="M237" s="1162"/>
      <c r="N237" s="1162"/>
      <c r="O237" s="1155"/>
      <c r="P237" s="1155"/>
      <c r="Q237" s="1155"/>
      <c r="R237" s="1163"/>
      <c r="S237" s="1164"/>
      <c r="T237" s="1164"/>
      <c r="U237" s="1164"/>
      <c r="V237" s="1164"/>
      <c r="W237" s="1164"/>
      <c r="X237" s="1164"/>
      <c r="Y237" s="1164"/>
      <c r="Z237" s="1164"/>
      <c r="AA237" s="1164"/>
      <c r="AB237" s="1164"/>
      <c r="AC237" s="1164"/>
      <c r="AD237" s="1164"/>
      <c r="AE237" s="1155"/>
      <c r="AF237" s="1155"/>
      <c r="AG237" s="1155"/>
      <c r="AH237" s="1163"/>
      <c r="AI237" s="1164"/>
      <c r="AJ237" s="1164"/>
      <c r="AK237" s="1164"/>
      <c r="AL237" s="1164"/>
      <c r="AM237" s="1164"/>
      <c r="AN237" s="1164"/>
      <c r="AO237" s="1164"/>
      <c r="AP237" s="1164"/>
      <c r="AQ237" s="1164"/>
      <c r="AR237" s="1164"/>
      <c r="AS237" s="1164"/>
      <c r="AT237" s="1164"/>
    </row>
    <row r="238" ht="15.75" customHeight="1">
      <c r="A238" s="852"/>
      <c r="B238" s="852"/>
      <c r="C238" s="1156"/>
      <c r="D238" s="1157"/>
      <c r="E238" s="1158"/>
      <c r="F238" s="1159"/>
      <c r="G238" s="1160"/>
      <c r="H238" s="1161"/>
      <c r="I238" s="1155"/>
      <c r="J238" s="1162"/>
      <c r="K238" s="1162"/>
      <c r="L238" s="1162"/>
      <c r="M238" s="1162"/>
      <c r="N238" s="1162"/>
      <c r="O238" s="1155"/>
      <c r="P238" s="1155"/>
      <c r="Q238" s="1155"/>
      <c r="R238" s="1163"/>
      <c r="S238" s="1164"/>
      <c r="T238" s="1164"/>
      <c r="U238" s="1164"/>
      <c r="V238" s="1164"/>
      <c r="W238" s="1164"/>
      <c r="X238" s="1164"/>
      <c r="Y238" s="1164"/>
      <c r="Z238" s="1164"/>
      <c r="AA238" s="1164"/>
      <c r="AB238" s="1164"/>
      <c r="AC238" s="1164"/>
      <c r="AD238" s="1164"/>
      <c r="AE238" s="1155"/>
      <c r="AF238" s="1155"/>
      <c r="AG238" s="1155"/>
      <c r="AH238" s="1163"/>
      <c r="AI238" s="1164"/>
      <c r="AJ238" s="1164"/>
      <c r="AK238" s="1164"/>
      <c r="AL238" s="1164"/>
      <c r="AM238" s="1164"/>
      <c r="AN238" s="1164"/>
      <c r="AO238" s="1164"/>
      <c r="AP238" s="1164"/>
      <c r="AQ238" s="1164"/>
      <c r="AR238" s="1164"/>
      <c r="AS238" s="1164"/>
      <c r="AT238" s="1164"/>
    </row>
    <row r="239" ht="15.75" customHeight="1">
      <c r="A239" s="852"/>
      <c r="B239" s="852"/>
      <c r="C239" s="1156"/>
      <c r="D239" s="1157"/>
      <c r="E239" s="1158"/>
      <c r="F239" s="1159"/>
      <c r="G239" s="1160"/>
      <c r="H239" s="1161"/>
      <c r="I239" s="1155"/>
      <c r="J239" s="1162"/>
      <c r="K239" s="1162"/>
      <c r="L239" s="1162"/>
      <c r="M239" s="1162"/>
      <c r="N239" s="1162"/>
      <c r="O239" s="1155"/>
      <c r="P239" s="1155"/>
      <c r="Q239" s="1155"/>
      <c r="R239" s="1163"/>
      <c r="S239" s="1164"/>
      <c r="T239" s="1164"/>
      <c r="U239" s="1164"/>
      <c r="V239" s="1164"/>
      <c r="W239" s="1164"/>
      <c r="X239" s="1164"/>
      <c r="Y239" s="1164"/>
      <c r="Z239" s="1164"/>
      <c r="AA239" s="1164"/>
      <c r="AB239" s="1164"/>
      <c r="AC239" s="1164"/>
      <c r="AD239" s="1164"/>
      <c r="AE239" s="1155"/>
      <c r="AF239" s="1155"/>
      <c r="AG239" s="1155"/>
      <c r="AH239" s="1163"/>
      <c r="AI239" s="1164"/>
      <c r="AJ239" s="1164"/>
      <c r="AK239" s="1164"/>
      <c r="AL239" s="1164"/>
      <c r="AM239" s="1164"/>
      <c r="AN239" s="1164"/>
      <c r="AO239" s="1164"/>
      <c r="AP239" s="1164"/>
      <c r="AQ239" s="1164"/>
      <c r="AR239" s="1164"/>
      <c r="AS239" s="1164"/>
      <c r="AT239" s="1164"/>
    </row>
    <row r="240" ht="15.75" customHeight="1">
      <c r="A240" s="852"/>
      <c r="B240" s="852"/>
      <c r="C240" s="1156"/>
      <c r="D240" s="1157"/>
      <c r="E240" s="1158"/>
      <c r="F240" s="1159"/>
      <c r="G240" s="1160"/>
      <c r="H240" s="1161"/>
      <c r="I240" s="1155"/>
      <c r="J240" s="1162"/>
      <c r="K240" s="1162"/>
      <c r="L240" s="1162"/>
      <c r="M240" s="1162"/>
      <c r="N240" s="1162"/>
      <c r="O240" s="1155"/>
      <c r="P240" s="1155"/>
      <c r="Q240" s="1155"/>
      <c r="R240" s="1163"/>
      <c r="S240" s="1164"/>
      <c r="T240" s="1164"/>
      <c r="U240" s="1164"/>
      <c r="V240" s="1164"/>
      <c r="W240" s="1164"/>
      <c r="X240" s="1164"/>
      <c r="Y240" s="1164"/>
      <c r="Z240" s="1164"/>
      <c r="AA240" s="1164"/>
      <c r="AB240" s="1164"/>
      <c r="AC240" s="1164"/>
      <c r="AD240" s="1164"/>
      <c r="AE240" s="1155"/>
      <c r="AF240" s="1155"/>
      <c r="AG240" s="1155"/>
      <c r="AH240" s="1163"/>
      <c r="AI240" s="1164"/>
      <c r="AJ240" s="1164"/>
      <c r="AK240" s="1164"/>
      <c r="AL240" s="1164"/>
      <c r="AM240" s="1164"/>
      <c r="AN240" s="1164"/>
      <c r="AO240" s="1164"/>
      <c r="AP240" s="1164"/>
      <c r="AQ240" s="1164"/>
      <c r="AR240" s="1164"/>
      <c r="AS240" s="1164"/>
      <c r="AT240" s="1164"/>
    </row>
    <row r="241" ht="15.75" customHeight="1">
      <c r="A241" s="852"/>
      <c r="B241" s="852"/>
      <c r="C241" s="1156"/>
      <c r="D241" s="1157"/>
      <c r="E241" s="1158"/>
      <c r="F241" s="1159"/>
      <c r="G241" s="1160"/>
      <c r="H241" s="1161"/>
      <c r="I241" s="1155"/>
      <c r="J241" s="1162"/>
      <c r="K241" s="1162"/>
      <c r="L241" s="1162"/>
      <c r="M241" s="1162"/>
      <c r="N241" s="1162"/>
      <c r="O241" s="1155"/>
      <c r="P241" s="1155"/>
      <c r="Q241" s="1155"/>
      <c r="R241" s="1163"/>
      <c r="S241" s="1164"/>
      <c r="T241" s="1164"/>
      <c r="U241" s="1164"/>
      <c r="V241" s="1164"/>
      <c r="W241" s="1164"/>
      <c r="X241" s="1164"/>
      <c r="Y241" s="1164"/>
      <c r="Z241" s="1164"/>
      <c r="AA241" s="1164"/>
      <c r="AB241" s="1164"/>
      <c r="AC241" s="1164"/>
      <c r="AD241" s="1164"/>
      <c r="AE241" s="1155"/>
      <c r="AF241" s="1155"/>
      <c r="AG241" s="1155"/>
      <c r="AH241" s="1163"/>
      <c r="AI241" s="1164"/>
      <c r="AJ241" s="1164"/>
      <c r="AK241" s="1164"/>
      <c r="AL241" s="1164"/>
      <c r="AM241" s="1164"/>
      <c r="AN241" s="1164"/>
      <c r="AO241" s="1164"/>
      <c r="AP241" s="1164"/>
      <c r="AQ241" s="1164"/>
      <c r="AR241" s="1164"/>
      <c r="AS241" s="1164"/>
      <c r="AT241" s="1164"/>
    </row>
    <row r="242" ht="15.75" customHeight="1">
      <c r="A242" s="852"/>
      <c r="B242" s="852"/>
      <c r="C242" s="1156"/>
      <c r="D242" s="1157"/>
      <c r="E242" s="1158"/>
      <c r="F242" s="1159"/>
      <c r="G242" s="1160"/>
      <c r="H242" s="1161"/>
      <c r="I242" s="1155"/>
      <c r="J242" s="1162"/>
      <c r="K242" s="1162"/>
      <c r="L242" s="1162"/>
      <c r="M242" s="1162"/>
      <c r="N242" s="1162"/>
      <c r="O242" s="1155"/>
      <c r="P242" s="1155"/>
      <c r="Q242" s="1155"/>
      <c r="R242" s="1163"/>
      <c r="S242" s="1164"/>
      <c r="T242" s="1164"/>
      <c r="U242" s="1164"/>
      <c r="V242" s="1164"/>
      <c r="W242" s="1164"/>
      <c r="X242" s="1164"/>
      <c r="Y242" s="1164"/>
      <c r="Z242" s="1164"/>
      <c r="AA242" s="1164"/>
      <c r="AB242" s="1164"/>
      <c r="AC242" s="1164"/>
      <c r="AD242" s="1164"/>
      <c r="AE242" s="1155"/>
      <c r="AF242" s="1155"/>
      <c r="AG242" s="1155"/>
      <c r="AH242" s="1163"/>
      <c r="AI242" s="1164"/>
      <c r="AJ242" s="1164"/>
      <c r="AK242" s="1164"/>
      <c r="AL242" s="1164"/>
      <c r="AM242" s="1164"/>
      <c r="AN242" s="1164"/>
      <c r="AO242" s="1164"/>
      <c r="AP242" s="1164"/>
      <c r="AQ242" s="1164"/>
      <c r="AR242" s="1164"/>
      <c r="AS242" s="1164"/>
      <c r="AT242" s="1164"/>
    </row>
    <row r="243" ht="15.75" customHeight="1">
      <c r="A243" s="852"/>
      <c r="B243" s="852"/>
      <c r="C243" s="1156"/>
      <c r="D243" s="1157"/>
      <c r="E243" s="1158"/>
      <c r="F243" s="1159"/>
      <c r="G243" s="1160"/>
      <c r="H243" s="1161"/>
      <c r="I243" s="1155"/>
      <c r="J243" s="1162"/>
      <c r="K243" s="1162"/>
      <c r="L243" s="1162"/>
      <c r="M243" s="1162"/>
      <c r="N243" s="1162"/>
      <c r="O243" s="1155"/>
      <c r="P243" s="1155"/>
      <c r="Q243" s="1155"/>
      <c r="R243" s="1163"/>
      <c r="S243" s="1164"/>
      <c r="T243" s="1164"/>
      <c r="U243" s="1164"/>
      <c r="V243" s="1164"/>
      <c r="W243" s="1164"/>
      <c r="X243" s="1164"/>
      <c r="Y243" s="1164"/>
      <c r="Z243" s="1164"/>
      <c r="AA243" s="1164"/>
      <c r="AB243" s="1164"/>
      <c r="AC243" s="1164"/>
      <c r="AD243" s="1164"/>
      <c r="AE243" s="1155"/>
      <c r="AF243" s="1155"/>
      <c r="AG243" s="1155"/>
      <c r="AH243" s="1163"/>
      <c r="AI243" s="1164"/>
      <c r="AJ243" s="1164"/>
      <c r="AK243" s="1164"/>
      <c r="AL243" s="1164"/>
      <c r="AM243" s="1164"/>
      <c r="AN243" s="1164"/>
      <c r="AO243" s="1164"/>
      <c r="AP243" s="1164"/>
      <c r="AQ243" s="1164"/>
      <c r="AR243" s="1164"/>
      <c r="AS243" s="1164"/>
      <c r="AT243" s="1164"/>
    </row>
    <row r="244" ht="15.75" customHeight="1">
      <c r="A244" s="852"/>
      <c r="B244" s="852"/>
      <c r="C244" s="1156"/>
      <c r="D244" s="1157"/>
      <c r="E244" s="1158"/>
      <c r="F244" s="1159"/>
      <c r="G244" s="1160"/>
      <c r="H244" s="1161"/>
      <c r="I244" s="1155"/>
      <c r="J244" s="1162"/>
      <c r="K244" s="1162"/>
      <c r="L244" s="1162"/>
      <c r="M244" s="1162"/>
      <c r="N244" s="1162"/>
      <c r="O244" s="1155"/>
      <c r="P244" s="1155"/>
      <c r="Q244" s="1155"/>
      <c r="R244" s="1163"/>
      <c r="S244" s="1164"/>
      <c r="T244" s="1164"/>
      <c r="U244" s="1164"/>
      <c r="V244" s="1164"/>
      <c r="W244" s="1164"/>
      <c r="X244" s="1164"/>
      <c r="Y244" s="1164"/>
      <c r="Z244" s="1164"/>
      <c r="AA244" s="1164"/>
      <c r="AB244" s="1164"/>
      <c r="AC244" s="1164"/>
      <c r="AD244" s="1164"/>
      <c r="AE244" s="1155"/>
      <c r="AF244" s="1155"/>
      <c r="AG244" s="1155"/>
      <c r="AH244" s="1163"/>
      <c r="AI244" s="1164"/>
      <c r="AJ244" s="1164"/>
      <c r="AK244" s="1164"/>
      <c r="AL244" s="1164"/>
      <c r="AM244" s="1164"/>
      <c r="AN244" s="1164"/>
      <c r="AO244" s="1164"/>
      <c r="AP244" s="1164"/>
      <c r="AQ244" s="1164"/>
      <c r="AR244" s="1164"/>
      <c r="AS244" s="1164"/>
      <c r="AT244" s="1164"/>
    </row>
    <row r="245" ht="15.75" customHeight="1">
      <c r="A245" s="852"/>
      <c r="B245" s="852"/>
      <c r="C245" s="1156"/>
      <c r="D245" s="1157"/>
      <c r="E245" s="1158"/>
      <c r="F245" s="1159"/>
      <c r="G245" s="1160"/>
      <c r="H245" s="1161"/>
      <c r="I245" s="1155"/>
      <c r="J245" s="1162"/>
      <c r="K245" s="1162"/>
      <c r="L245" s="1162"/>
      <c r="M245" s="1162"/>
      <c r="N245" s="1162"/>
      <c r="O245" s="1155"/>
      <c r="P245" s="1155"/>
      <c r="Q245" s="1155"/>
      <c r="R245" s="1163"/>
      <c r="S245" s="1164"/>
      <c r="T245" s="1164"/>
      <c r="U245" s="1164"/>
      <c r="V245" s="1164"/>
      <c r="W245" s="1164"/>
      <c r="X245" s="1164"/>
      <c r="Y245" s="1164"/>
      <c r="Z245" s="1164"/>
      <c r="AA245" s="1164"/>
      <c r="AB245" s="1164"/>
      <c r="AC245" s="1164"/>
      <c r="AD245" s="1164"/>
      <c r="AE245" s="1155"/>
      <c r="AF245" s="1155"/>
      <c r="AG245" s="1155"/>
      <c r="AH245" s="1163"/>
      <c r="AI245" s="1164"/>
      <c r="AJ245" s="1164"/>
      <c r="AK245" s="1164"/>
      <c r="AL245" s="1164"/>
      <c r="AM245" s="1164"/>
      <c r="AN245" s="1164"/>
      <c r="AO245" s="1164"/>
      <c r="AP245" s="1164"/>
      <c r="AQ245" s="1164"/>
      <c r="AR245" s="1164"/>
      <c r="AS245" s="1164"/>
      <c r="AT245" s="1164"/>
    </row>
    <row r="246" ht="15.75" customHeight="1">
      <c r="A246" s="852"/>
      <c r="B246" s="852"/>
      <c r="C246" s="1156"/>
      <c r="D246" s="1157"/>
      <c r="E246" s="1158"/>
      <c r="F246" s="1159"/>
      <c r="G246" s="1160"/>
      <c r="H246" s="1161"/>
      <c r="I246" s="1155"/>
      <c r="J246" s="1162"/>
      <c r="K246" s="1162"/>
      <c r="L246" s="1162"/>
      <c r="M246" s="1162"/>
      <c r="N246" s="1162"/>
      <c r="O246" s="1155"/>
      <c r="P246" s="1155"/>
      <c r="Q246" s="1155"/>
      <c r="R246" s="1163"/>
      <c r="S246" s="1164"/>
      <c r="T246" s="1164"/>
      <c r="U246" s="1164"/>
      <c r="V246" s="1164"/>
      <c r="W246" s="1164"/>
      <c r="X246" s="1164"/>
      <c r="Y246" s="1164"/>
      <c r="Z246" s="1164"/>
      <c r="AA246" s="1164"/>
      <c r="AB246" s="1164"/>
      <c r="AC246" s="1164"/>
      <c r="AD246" s="1164"/>
      <c r="AE246" s="1155"/>
      <c r="AF246" s="1155"/>
      <c r="AG246" s="1155"/>
      <c r="AH246" s="1163"/>
      <c r="AI246" s="1164"/>
      <c r="AJ246" s="1164"/>
      <c r="AK246" s="1164"/>
      <c r="AL246" s="1164"/>
      <c r="AM246" s="1164"/>
      <c r="AN246" s="1164"/>
      <c r="AO246" s="1164"/>
      <c r="AP246" s="1164"/>
      <c r="AQ246" s="1164"/>
      <c r="AR246" s="1164"/>
      <c r="AS246" s="1164"/>
      <c r="AT246" s="1164"/>
    </row>
    <row r="247" ht="15.75" customHeight="1">
      <c r="A247" s="852"/>
      <c r="B247" s="852"/>
      <c r="C247" s="1156"/>
      <c r="D247" s="1157"/>
      <c r="E247" s="1158"/>
      <c r="F247" s="1159"/>
      <c r="G247" s="1160"/>
      <c r="H247" s="1161"/>
      <c r="I247" s="1155"/>
      <c r="J247" s="1162"/>
      <c r="K247" s="1162"/>
      <c r="L247" s="1162"/>
      <c r="M247" s="1162"/>
      <c r="N247" s="1162"/>
      <c r="O247" s="1155"/>
      <c r="P247" s="1155"/>
      <c r="Q247" s="1155"/>
      <c r="R247" s="1163"/>
      <c r="S247" s="1164"/>
      <c r="T247" s="1164"/>
      <c r="U247" s="1164"/>
      <c r="V247" s="1164"/>
      <c r="W247" s="1164"/>
      <c r="X247" s="1164"/>
      <c r="Y247" s="1164"/>
      <c r="Z247" s="1164"/>
      <c r="AA247" s="1164"/>
      <c r="AB247" s="1164"/>
      <c r="AC247" s="1164"/>
      <c r="AD247" s="1164"/>
      <c r="AE247" s="1155"/>
      <c r="AF247" s="1155"/>
      <c r="AG247" s="1155"/>
      <c r="AH247" s="1163"/>
      <c r="AI247" s="1164"/>
      <c r="AJ247" s="1164"/>
      <c r="AK247" s="1164"/>
      <c r="AL247" s="1164"/>
      <c r="AM247" s="1164"/>
      <c r="AN247" s="1164"/>
      <c r="AO247" s="1164"/>
      <c r="AP247" s="1164"/>
      <c r="AQ247" s="1164"/>
      <c r="AR247" s="1164"/>
      <c r="AS247" s="1164"/>
      <c r="AT247" s="1164"/>
    </row>
    <row r="248" ht="15.75" customHeight="1">
      <c r="A248" s="852"/>
      <c r="B248" s="852"/>
      <c r="C248" s="1156"/>
      <c r="D248" s="1157"/>
      <c r="E248" s="1158"/>
      <c r="F248" s="1159"/>
      <c r="G248" s="1160"/>
      <c r="H248" s="1161"/>
      <c r="I248" s="1155"/>
      <c r="J248" s="1162"/>
      <c r="K248" s="1162"/>
      <c r="L248" s="1162"/>
      <c r="M248" s="1162"/>
      <c r="N248" s="1162"/>
      <c r="O248" s="1155"/>
      <c r="P248" s="1155"/>
      <c r="Q248" s="1155"/>
      <c r="R248" s="1163"/>
      <c r="S248" s="1164"/>
      <c r="T248" s="1164"/>
      <c r="U248" s="1164"/>
      <c r="V248" s="1164"/>
      <c r="W248" s="1164"/>
      <c r="X248" s="1164"/>
      <c r="Y248" s="1164"/>
      <c r="Z248" s="1164"/>
      <c r="AA248" s="1164"/>
      <c r="AB248" s="1164"/>
      <c r="AC248" s="1164"/>
      <c r="AD248" s="1164"/>
      <c r="AE248" s="1155"/>
      <c r="AF248" s="1155"/>
      <c r="AG248" s="1155"/>
      <c r="AH248" s="1163"/>
      <c r="AI248" s="1164"/>
      <c r="AJ248" s="1164"/>
      <c r="AK248" s="1164"/>
      <c r="AL248" s="1164"/>
      <c r="AM248" s="1164"/>
      <c r="AN248" s="1164"/>
      <c r="AO248" s="1164"/>
      <c r="AP248" s="1164"/>
      <c r="AQ248" s="1164"/>
      <c r="AR248" s="1164"/>
      <c r="AS248" s="1164"/>
      <c r="AT248" s="1164"/>
    </row>
    <row r="249" ht="15.75" customHeight="1">
      <c r="A249" s="852"/>
      <c r="B249" s="852"/>
      <c r="C249" s="1156"/>
      <c r="D249" s="1157"/>
      <c r="E249" s="1158"/>
      <c r="F249" s="1159"/>
      <c r="G249" s="1160"/>
      <c r="H249" s="1161"/>
      <c r="I249" s="1155"/>
      <c r="J249" s="1162"/>
      <c r="K249" s="1162"/>
      <c r="L249" s="1162"/>
      <c r="M249" s="1162"/>
      <c r="N249" s="1162"/>
      <c r="O249" s="1155"/>
      <c r="P249" s="1155"/>
      <c r="Q249" s="1155"/>
      <c r="R249" s="1163"/>
      <c r="S249" s="1164"/>
      <c r="T249" s="1164"/>
      <c r="U249" s="1164"/>
      <c r="V249" s="1164"/>
      <c r="W249" s="1164"/>
      <c r="X249" s="1164"/>
      <c r="Y249" s="1164"/>
      <c r="Z249" s="1164"/>
      <c r="AA249" s="1164"/>
      <c r="AB249" s="1164"/>
      <c r="AC249" s="1164"/>
      <c r="AD249" s="1164"/>
      <c r="AE249" s="1155"/>
      <c r="AF249" s="1155"/>
      <c r="AG249" s="1155"/>
      <c r="AH249" s="1163"/>
      <c r="AI249" s="1164"/>
      <c r="AJ249" s="1164"/>
      <c r="AK249" s="1164"/>
      <c r="AL249" s="1164"/>
      <c r="AM249" s="1164"/>
      <c r="AN249" s="1164"/>
      <c r="AO249" s="1164"/>
      <c r="AP249" s="1164"/>
      <c r="AQ249" s="1164"/>
      <c r="AR249" s="1164"/>
      <c r="AS249" s="1164"/>
      <c r="AT249" s="1164"/>
    </row>
    <row r="250" ht="15.75" customHeight="1">
      <c r="A250" s="852"/>
      <c r="B250" s="852"/>
      <c r="C250" s="1156"/>
      <c r="D250" s="1157"/>
      <c r="E250" s="1158"/>
      <c r="F250" s="1159"/>
      <c r="G250" s="1160"/>
      <c r="H250" s="1161"/>
      <c r="I250" s="1155"/>
      <c r="J250" s="1162"/>
      <c r="K250" s="1162"/>
      <c r="L250" s="1162"/>
      <c r="M250" s="1162"/>
      <c r="N250" s="1162"/>
      <c r="O250" s="1155"/>
      <c r="P250" s="1155"/>
      <c r="Q250" s="1155"/>
      <c r="R250" s="1163"/>
      <c r="S250" s="1164"/>
      <c r="T250" s="1164"/>
      <c r="U250" s="1164"/>
      <c r="V250" s="1164"/>
      <c r="W250" s="1164"/>
      <c r="X250" s="1164"/>
      <c r="Y250" s="1164"/>
      <c r="Z250" s="1164"/>
      <c r="AA250" s="1164"/>
      <c r="AB250" s="1164"/>
      <c r="AC250" s="1164"/>
      <c r="AD250" s="1164"/>
      <c r="AE250" s="1155"/>
      <c r="AF250" s="1155"/>
      <c r="AG250" s="1155"/>
      <c r="AH250" s="1163"/>
      <c r="AI250" s="1164"/>
      <c r="AJ250" s="1164"/>
      <c r="AK250" s="1164"/>
      <c r="AL250" s="1164"/>
      <c r="AM250" s="1164"/>
      <c r="AN250" s="1164"/>
      <c r="AO250" s="1164"/>
      <c r="AP250" s="1164"/>
      <c r="AQ250" s="1164"/>
      <c r="AR250" s="1164"/>
      <c r="AS250" s="1164"/>
      <c r="AT250" s="1164"/>
    </row>
    <row r="251" ht="15.75" customHeight="1">
      <c r="A251" s="852"/>
      <c r="B251" s="852"/>
      <c r="C251" s="1156"/>
      <c r="D251" s="1157"/>
      <c r="E251" s="1158"/>
      <c r="F251" s="1159"/>
      <c r="G251" s="1160"/>
      <c r="H251" s="1161"/>
      <c r="I251" s="1155"/>
      <c r="J251" s="1162"/>
      <c r="K251" s="1162"/>
      <c r="L251" s="1162"/>
      <c r="M251" s="1162"/>
      <c r="N251" s="1162"/>
      <c r="O251" s="1155"/>
      <c r="P251" s="1155"/>
      <c r="Q251" s="1155"/>
      <c r="R251" s="1163"/>
      <c r="S251" s="1164"/>
      <c r="T251" s="1164"/>
      <c r="U251" s="1164"/>
      <c r="V251" s="1164"/>
      <c r="W251" s="1164"/>
      <c r="X251" s="1164"/>
      <c r="Y251" s="1164"/>
      <c r="Z251" s="1164"/>
      <c r="AA251" s="1164"/>
      <c r="AB251" s="1164"/>
      <c r="AC251" s="1164"/>
      <c r="AD251" s="1164"/>
      <c r="AE251" s="1155"/>
      <c r="AF251" s="1155"/>
      <c r="AG251" s="1155"/>
      <c r="AH251" s="1163"/>
      <c r="AI251" s="1164"/>
      <c r="AJ251" s="1164"/>
      <c r="AK251" s="1164"/>
      <c r="AL251" s="1164"/>
      <c r="AM251" s="1164"/>
      <c r="AN251" s="1164"/>
      <c r="AO251" s="1164"/>
      <c r="AP251" s="1164"/>
      <c r="AQ251" s="1164"/>
      <c r="AR251" s="1164"/>
      <c r="AS251" s="1164"/>
      <c r="AT251" s="1164"/>
    </row>
    <row r="252" ht="15.75" customHeight="1">
      <c r="A252" s="852"/>
      <c r="B252" s="852"/>
      <c r="C252" s="1156"/>
      <c r="D252" s="1157"/>
      <c r="E252" s="1158"/>
      <c r="F252" s="1159"/>
      <c r="G252" s="1160"/>
      <c r="H252" s="1161"/>
      <c r="I252" s="1155"/>
      <c r="J252" s="1162"/>
      <c r="K252" s="1162"/>
      <c r="L252" s="1162"/>
      <c r="M252" s="1162"/>
      <c r="N252" s="1162"/>
      <c r="O252" s="1155"/>
      <c r="P252" s="1155"/>
      <c r="Q252" s="1155"/>
      <c r="R252" s="1163"/>
      <c r="S252" s="1164"/>
      <c r="T252" s="1164"/>
      <c r="U252" s="1164"/>
      <c r="V252" s="1164"/>
      <c r="W252" s="1164"/>
      <c r="X252" s="1164"/>
      <c r="Y252" s="1164"/>
      <c r="Z252" s="1164"/>
      <c r="AA252" s="1164"/>
      <c r="AB252" s="1164"/>
      <c r="AC252" s="1164"/>
      <c r="AD252" s="1164"/>
      <c r="AE252" s="1155"/>
      <c r="AF252" s="1155"/>
      <c r="AG252" s="1155"/>
      <c r="AH252" s="1163"/>
      <c r="AI252" s="1164"/>
      <c r="AJ252" s="1164"/>
      <c r="AK252" s="1164"/>
      <c r="AL252" s="1164"/>
      <c r="AM252" s="1164"/>
      <c r="AN252" s="1164"/>
      <c r="AO252" s="1164"/>
      <c r="AP252" s="1164"/>
      <c r="AQ252" s="1164"/>
      <c r="AR252" s="1164"/>
      <c r="AS252" s="1164"/>
      <c r="AT252" s="1164"/>
    </row>
    <row r="253" ht="15.75" customHeight="1">
      <c r="A253" s="852"/>
      <c r="B253" s="852"/>
      <c r="C253" s="1156"/>
      <c r="D253" s="1157"/>
      <c r="E253" s="1158"/>
      <c r="F253" s="1159"/>
      <c r="G253" s="1160"/>
      <c r="H253" s="1161"/>
      <c r="I253" s="1155"/>
      <c r="J253" s="1162"/>
      <c r="K253" s="1162"/>
      <c r="L253" s="1162"/>
      <c r="M253" s="1162"/>
      <c r="N253" s="1162"/>
      <c r="O253" s="1155"/>
      <c r="P253" s="1155"/>
      <c r="Q253" s="1155"/>
      <c r="R253" s="1163"/>
      <c r="S253" s="1164"/>
      <c r="T253" s="1164"/>
      <c r="U253" s="1164"/>
      <c r="V253" s="1164"/>
      <c r="W253" s="1164"/>
      <c r="X253" s="1164"/>
      <c r="Y253" s="1164"/>
      <c r="Z253" s="1164"/>
      <c r="AA253" s="1164"/>
      <c r="AB253" s="1164"/>
      <c r="AC253" s="1164"/>
      <c r="AD253" s="1164"/>
      <c r="AE253" s="1155"/>
      <c r="AF253" s="1155"/>
      <c r="AG253" s="1155"/>
      <c r="AH253" s="1163"/>
      <c r="AI253" s="1164"/>
      <c r="AJ253" s="1164"/>
      <c r="AK253" s="1164"/>
      <c r="AL253" s="1164"/>
      <c r="AM253" s="1164"/>
      <c r="AN253" s="1164"/>
      <c r="AO253" s="1164"/>
      <c r="AP253" s="1164"/>
      <c r="AQ253" s="1164"/>
      <c r="AR253" s="1164"/>
      <c r="AS253" s="1164"/>
      <c r="AT253" s="1164"/>
    </row>
    <row r="254" ht="15.75" customHeight="1">
      <c r="A254" s="852"/>
      <c r="B254" s="852"/>
      <c r="C254" s="1156"/>
      <c r="D254" s="1157"/>
      <c r="E254" s="1158"/>
      <c r="F254" s="1159"/>
      <c r="G254" s="1160"/>
      <c r="H254" s="1161"/>
      <c r="I254" s="1155"/>
      <c r="J254" s="1162"/>
      <c r="K254" s="1162"/>
      <c r="L254" s="1162"/>
      <c r="M254" s="1162"/>
      <c r="N254" s="1162"/>
      <c r="O254" s="1155"/>
      <c r="P254" s="1155"/>
      <c r="Q254" s="1155"/>
      <c r="R254" s="1163"/>
      <c r="S254" s="1164"/>
      <c r="T254" s="1164"/>
      <c r="U254" s="1164"/>
      <c r="V254" s="1164"/>
      <c r="W254" s="1164"/>
      <c r="X254" s="1164"/>
      <c r="Y254" s="1164"/>
      <c r="Z254" s="1164"/>
      <c r="AA254" s="1164"/>
      <c r="AB254" s="1164"/>
      <c r="AC254" s="1164"/>
      <c r="AD254" s="1164"/>
      <c r="AE254" s="1155"/>
      <c r="AF254" s="1155"/>
      <c r="AG254" s="1155"/>
      <c r="AH254" s="1163"/>
      <c r="AI254" s="1164"/>
      <c r="AJ254" s="1164"/>
      <c r="AK254" s="1164"/>
      <c r="AL254" s="1164"/>
      <c r="AM254" s="1164"/>
      <c r="AN254" s="1164"/>
      <c r="AO254" s="1164"/>
      <c r="AP254" s="1164"/>
      <c r="AQ254" s="1164"/>
      <c r="AR254" s="1164"/>
      <c r="AS254" s="1164"/>
      <c r="AT254" s="1164"/>
    </row>
    <row r="255" ht="15.75" customHeight="1">
      <c r="A255" s="852"/>
      <c r="B255" s="852"/>
      <c r="C255" s="1156"/>
      <c r="D255" s="1157"/>
      <c r="E255" s="1158"/>
      <c r="F255" s="1159"/>
      <c r="G255" s="1160"/>
      <c r="H255" s="1161"/>
      <c r="I255" s="1155"/>
      <c r="J255" s="1162"/>
      <c r="K255" s="1162"/>
      <c r="L255" s="1162"/>
      <c r="M255" s="1162"/>
      <c r="N255" s="1162"/>
      <c r="O255" s="1155"/>
      <c r="P255" s="1155"/>
      <c r="Q255" s="1155"/>
      <c r="R255" s="1163"/>
      <c r="S255" s="1164"/>
      <c r="T255" s="1164"/>
      <c r="U255" s="1164"/>
      <c r="V255" s="1164"/>
      <c r="W255" s="1164"/>
      <c r="X255" s="1164"/>
      <c r="Y255" s="1164"/>
      <c r="Z255" s="1164"/>
      <c r="AA255" s="1164"/>
      <c r="AB255" s="1164"/>
      <c r="AC255" s="1164"/>
      <c r="AD255" s="1164"/>
      <c r="AE255" s="1155"/>
      <c r="AF255" s="1155"/>
      <c r="AG255" s="1155"/>
      <c r="AH255" s="1163"/>
      <c r="AI255" s="1164"/>
      <c r="AJ255" s="1164"/>
      <c r="AK255" s="1164"/>
      <c r="AL255" s="1164"/>
      <c r="AM255" s="1164"/>
      <c r="AN255" s="1164"/>
      <c r="AO255" s="1164"/>
      <c r="AP255" s="1164"/>
      <c r="AQ255" s="1164"/>
      <c r="AR255" s="1164"/>
      <c r="AS255" s="1164"/>
      <c r="AT255" s="1164"/>
    </row>
    <row r="256" ht="15.75" customHeight="1">
      <c r="A256" s="852"/>
      <c r="B256" s="852"/>
      <c r="C256" s="1156"/>
      <c r="D256" s="1157"/>
      <c r="E256" s="1158"/>
      <c r="F256" s="1159"/>
      <c r="G256" s="1160"/>
      <c r="H256" s="1161"/>
      <c r="I256" s="1155"/>
      <c r="J256" s="1162"/>
      <c r="K256" s="1162"/>
      <c r="L256" s="1162"/>
      <c r="M256" s="1162"/>
      <c r="N256" s="1162"/>
      <c r="O256" s="1155"/>
      <c r="P256" s="1155"/>
      <c r="Q256" s="1155"/>
      <c r="R256" s="1163"/>
      <c r="S256" s="1164"/>
      <c r="T256" s="1164"/>
      <c r="U256" s="1164"/>
      <c r="V256" s="1164"/>
      <c r="W256" s="1164"/>
      <c r="X256" s="1164"/>
      <c r="Y256" s="1164"/>
      <c r="Z256" s="1164"/>
      <c r="AA256" s="1164"/>
      <c r="AB256" s="1164"/>
      <c r="AC256" s="1164"/>
      <c r="AD256" s="1164"/>
      <c r="AE256" s="1155"/>
      <c r="AF256" s="1155"/>
      <c r="AG256" s="1155"/>
      <c r="AH256" s="1163"/>
      <c r="AI256" s="1164"/>
      <c r="AJ256" s="1164"/>
      <c r="AK256" s="1164"/>
      <c r="AL256" s="1164"/>
      <c r="AM256" s="1164"/>
      <c r="AN256" s="1164"/>
      <c r="AO256" s="1164"/>
      <c r="AP256" s="1164"/>
      <c r="AQ256" s="1164"/>
      <c r="AR256" s="1164"/>
      <c r="AS256" s="1164"/>
      <c r="AT256" s="1164"/>
    </row>
    <row r="257" ht="15.75" customHeight="1">
      <c r="A257" s="852"/>
      <c r="B257" s="852"/>
      <c r="C257" s="1156"/>
      <c r="D257" s="1157"/>
      <c r="E257" s="1158"/>
      <c r="F257" s="1159"/>
      <c r="G257" s="1160"/>
      <c r="H257" s="1161"/>
      <c r="I257" s="1155"/>
      <c r="J257" s="1162"/>
      <c r="K257" s="1162"/>
      <c r="L257" s="1162"/>
      <c r="M257" s="1162"/>
      <c r="N257" s="1162"/>
      <c r="O257" s="1155"/>
      <c r="P257" s="1155"/>
      <c r="Q257" s="1155"/>
      <c r="R257" s="1163"/>
      <c r="S257" s="1164"/>
      <c r="T257" s="1164"/>
      <c r="U257" s="1164"/>
      <c r="V257" s="1164"/>
      <c r="W257" s="1164"/>
      <c r="X257" s="1164"/>
      <c r="Y257" s="1164"/>
      <c r="Z257" s="1164"/>
      <c r="AA257" s="1164"/>
      <c r="AB257" s="1164"/>
      <c r="AC257" s="1164"/>
      <c r="AD257" s="1164"/>
      <c r="AE257" s="1155"/>
      <c r="AF257" s="1155"/>
      <c r="AG257" s="1155"/>
      <c r="AH257" s="1163"/>
      <c r="AI257" s="1164"/>
      <c r="AJ257" s="1164"/>
      <c r="AK257" s="1164"/>
      <c r="AL257" s="1164"/>
      <c r="AM257" s="1164"/>
      <c r="AN257" s="1164"/>
      <c r="AO257" s="1164"/>
      <c r="AP257" s="1164"/>
      <c r="AQ257" s="1164"/>
      <c r="AR257" s="1164"/>
      <c r="AS257" s="1164"/>
      <c r="AT257" s="1164"/>
    </row>
    <row r="258" ht="15.75" customHeight="1">
      <c r="A258" s="852"/>
      <c r="B258" s="852"/>
      <c r="C258" s="1156"/>
      <c r="D258" s="1157"/>
      <c r="E258" s="1158"/>
      <c r="F258" s="1159"/>
      <c r="G258" s="1160"/>
      <c r="H258" s="1161"/>
      <c r="I258" s="1155"/>
      <c r="J258" s="1162"/>
      <c r="K258" s="1162"/>
      <c r="L258" s="1162"/>
      <c r="M258" s="1162"/>
      <c r="N258" s="1162"/>
      <c r="O258" s="1155"/>
      <c r="P258" s="1155"/>
      <c r="Q258" s="1155"/>
      <c r="R258" s="1163"/>
      <c r="S258" s="1164"/>
      <c r="T258" s="1164"/>
      <c r="U258" s="1164"/>
      <c r="V258" s="1164"/>
      <c r="W258" s="1164"/>
      <c r="X258" s="1164"/>
      <c r="Y258" s="1164"/>
      <c r="Z258" s="1164"/>
      <c r="AA258" s="1164"/>
      <c r="AB258" s="1164"/>
      <c r="AC258" s="1164"/>
      <c r="AD258" s="1164"/>
      <c r="AE258" s="1155"/>
      <c r="AF258" s="1155"/>
      <c r="AG258" s="1155"/>
      <c r="AH258" s="1163"/>
      <c r="AI258" s="1164"/>
      <c r="AJ258" s="1164"/>
      <c r="AK258" s="1164"/>
      <c r="AL258" s="1164"/>
      <c r="AM258" s="1164"/>
      <c r="AN258" s="1164"/>
      <c r="AO258" s="1164"/>
      <c r="AP258" s="1164"/>
      <c r="AQ258" s="1164"/>
      <c r="AR258" s="1164"/>
      <c r="AS258" s="1164"/>
      <c r="AT258" s="1164"/>
    </row>
    <row r="259" ht="15.75" customHeight="1">
      <c r="A259" s="852"/>
      <c r="B259" s="852"/>
      <c r="C259" s="1156"/>
      <c r="D259" s="1157"/>
      <c r="E259" s="1158"/>
      <c r="F259" s="1159"/>
      <c r="G259" s="1160"/>
      <c r="H259" s="1161"/>
      <c r="I259" s="1155"/>
      <c r="J259" s="1162"/>
      <c r="K259" s="1162"/>
      <c r="L259" s="1162"/>
      <c r="M259" s="1162"/>
      <c r="N259" s="1162"/>
      <c r="O259" s="1155"/>
      <c r="P259" s="1155"/>
      <c r="Q259" s="1155"/>
      <c r="R259" s="1163"/>
      <c r="S259" s="1164"/>
      <c r="T259" s="1164"/>
      <c r="U259" s="1164"/>
      <c r="V259" s="1164"/>
      <c r="W259" s="1164"/>
      <c r="X259" s="1164"/>
      <c r="Y259" s="1164"/>
      <c r="Z259" s="1164"/>
      <c r="AA259" s="1164"/>
      <c r="AB259" s="1164"/>
      <c r="AC259" s="1164"/>
      <c r="AD259" s="1164"/>
      <c r="AE259" s="1155"/>
      <c r="AF259" s="1155"/>
      <c r="AG259" s="1155"/>
      <c r="AH259" s="1163"/>
      <c r="AI259" s="1164"/>
      <c r="AJ259" s="1164"/>
      <c r="AK259" s="1164"/>
      <c r="AL259" s="1164"/>
      <c r="AM259" s="1164"/>
      <c r="AN259" s="1164"/>
      <c r="AO259" s="1164"/>
      <c r="AP259" s="1164"/>
      <c r="AQ259" s="1164"/>
      <c r="AR259" s="1164"/>
      <c r="AS259" s="1164"/>
      <c r="AT259" s="1164"/>
    </row>
    <row r="260" ht="15.75" customHeight="1">
      <c r="A260" s="852"/>
      <c r="B260" s="852"/>
      <c r="C260" s="1156"/>
      <c r="D260" s="1157"/>
      <c r="E260" s="1158"/>
      <c r="F260" s="1159"/>
      <c r="G260" s="1160"/>
      <c r="H260" s="1161"/>
      <c r="I260" s="1155"/>
      <c r="J260" s="1162"/>
      <c r="K260" s="1162"/>
      <c r="L260" s="1162"/>
      <c r="M260" s="1162"/>
      <c r="N260" s="1162"/>
      <c r="O260" s="1155"/>
      <c r="P260" s="1155"/>
      <c r="Q260" s="1155"/>
      <c r="R260" s="1163"/>
      <c r="S260" s="1164"/>
      <c r="T260" s="1164"/>
      <c r="U260" s="1164"/>
      <c r="V260" s="1164"/>
      <c r="W260" s="1164"/>
      <c r="X260" s="1164"/>
      <c r="Y260" s="1164"/>
      <c r="Z260" s="1164"/>
      <c r="AA260" s="1164"/>
      <c r="AB260" s="1164"/>
      <c r="AC260" s="1164"/>
      <c r="AD260" s="1164"/>
      <c r="AE260" s="1155"/>
      <c r="AF260" s="1155"/>
      <c r="AG260" s="1155"/>
      <c r="AH260" s="1163"/>
      <c r="AI260" s="1164"/>
      <c r="AJ260" s="1164"/>
      <c r="AK260" s="1164"/>
      <c r="AL260" s="1164"/>
      <c r="AM260" s="1164"/>
      <c r="AN260" s="1164"/>
      <c r="AO260" s="1164"/>
      <c r="AP260" s="1164"/>
      <c r="AQ260" s="1164"/>
      <c r="AR260" s="1164"/>
      <c r="AS260" s="1164"/>
      <c r="AT260" s="1164"/>
    </row>
    <row r="261" ht="15.75" customHeight="1">
      <c r="A261" s="852"/>
      <c r="B261" s="852"/>
      <c r="C261" s="1156"/>
      <c r="D261" s="1157"/>
      <c r="E261" s="1158"/>
      <c r="F261" s="1159"/>
      <c r="G261" s="1160"/>
      <c r="H261" s="1161"/>
      <c r="I261" s="1155"/>
      <c r="J261" s="1162"/>
      <c r="K261" s="1162"/>
      <c r="L261" s="1162"/>
      <c r="M261" s="1162"/>
      <c r="N261" s="1162"/>
      <c r="O261" s="1155"/>
      <c r="P261" s="1155"/>
      <c r="Q261" s="1155"/>
      <c r="R261" s="1163"/>
      <c r="S261" s="1164"/>
      <c r="T261" s="1164"/>
      <c r="U261" s="1164"/>
      <c r="V261" s="1164"/>
      <c r="W261" s="1164"/>
      <c r="X261" s="1164"/>
      <c r="Y261" s="1164"/>
      <c r="Z261" s="1164"/>
      <c r="AA261" s="1164"/>
      <c r="AB261" s="1164"/>
      <c r="AC261" s="1164"/>
      <c r="AD261" s="1164"/>
      <c r="AE261" s="1155"/>
      <c r="AF261" s="1155"/>
      <c r="AG261" s="1155"/>
      <c r="AH261" s="1163"/>
      <c r="AI261" s="1164"/>
      <c r="AJ261" s="1164"/>
      <c r="AK261" s="1164"/>
      <c r="AL261" s="1164"/>
      <c r="AM261" s="1164"/>
      <c r="AN261" s="1164"/>
      <c r="AO261" s="1164"/>
      <c r="AP261" s="1164"/>
      <c r="AQ261" s="1164"/>
      <c r="AR261" s="1164"/>
      <c r="AS261" s="1164"/>
      <c r="AT261" s="1164"/>
    </row>
    <row r="262" ht="15.75" customHeight="1">
      <c r="A262" s="852"/>
      <c r="B262" s="852"/>
      <c r="C262" s="1156"/>
      <c r="D262" s="1157"/>
      <c r="E262" s="1158"/>
      <c r="F262" s="1159"/>
      <c r="G262" s="1160"/>
      <c r="H262" s="1161"/>
      <c r="I262" s="1155"/>
      <c r="J262" s="1162"/>
      <c r="K262" s="1162"/>
      <c r="L262" s="1162"/>
      <c r="M262" s="1162"/>
      <c r="N262" s="1162"/>
      <c r="O262" s="1155"/>
      <c r="P262" s="1155"/>
      <c r="Q262" s="1155"/>
      <c r="R262" s="1163"/>
      <c r="S262" s="1164"/>
      <c r="T262" s="1164"/>
      <c r="U262" s="1164"/>
      <c r="V262" s="1164"/>
      <c r="W262" s="1164"/>
      <c r="X262" s="1164"/>
      <c r="Y262" s="1164"/>
      <c r="Z262" s="1164"/>
      <c r="AA262" s="1164"/>
      <c r="AB262" s="1164"/>
      <c r="AC262" s="1164"/>
      <c r="AD262" s="1164"/>
      <c r="AE262" s="1155"/>
      <c r="AF262" s="1155"/>
      <c r="AG262" s="1155"/>
      <c r="AH262" s="1163"/>
      <c r="AI262" s="1164"/>
      <c r="AJ262" s="1164"/>
      <c r="AK262" s="1164"/>
      <c r="AL262" s="1164"/>
      <c r="AM262" s="1164"/>
      <c r="AN262" s="1164"/>
      <c r="AO262" s="1164"/>
      <c r="AP262" s="1164"/>
      <c r="AQ262" s="1164"/>
      <c r="AR262" s="1164"/>
      <c r="AS262" s="1164"/>
      <c r="AT262" s="1164"/>
    </row>
    <row r="263" ht="15.75" customHeight="1">
      <c r="A263" s="852"/>
      <c r="B263" s="852"/>
      <c r="C263" s="1156"/>
      <c r="D263" s="1157"/>
      <c r="E263" s="1158"/>
      <c r="F263" s="1159"/>
      <c r="G263" s="1160"/>
      <c r="H263" s="1161"/>
      <c r="I263" s="1155"/>
      <c r="J263" s="1162"/>
      <c r="K263" s="1162"/>
      <c r="L263" s="1162"/>
      <c r="M263" s="1162"/>
      <c r="N263" s="1162"/>
      <c r="O263" s="1155"/>
      <c r="P263" s="1155"/>
      <c r="Q263" s="1155"/>
      <c r="R263" s="1163"/>
      <c r="S263" s="1164"/>
      <c r="T263" s="1164"/>
      <c r="U263" s="1164"/>
      <c r="V263" s="1164"/>
      <c r="W263" s="1164"/>
      <c r="X263" s="1164"/>
      <c r="Y263" s="1164"/>
      <c r="Z263" s="1164"/>
      <c r="AA263" s="1164"/>
      <c r="AB263" s="1164"/>
      <c r="AC263" s="1164"/>
      <c r="AD263" s="1164"/>
      <c r="AE263" s="1155"/>
      <c r="AF263" s="1155"/>
      <c r="AG263" s="1155"/>
      <c r="AH263" s="1163"/>
      <c r="AI263" s="1164"/>
      <c r="AJ263" s="1164"/>
      <c r="AK263" s="1164"/>
      <c r="AL263" s="1164"/>
      <c r="AM263" s="1164"/>
      <c r="AN263" s="1164"/>
      <c r="AO263" s="1164"/>
      <c r="AP263" s="1164"/>
      <c r="AQ263" s="1164"/>
      <c r="AR263" s="1164"/>
      <c r="AS263" s="1164"/>
      <c r="AT263" s="1164"/>
    </row>
    <row r="264" ht="15.75" customHeight="1">
      <c r="A264" s="852"/>
      <c r="B264" s="852"/>
      <c r="C264" s="1156"/>
      <c r="D264" s="1157"/>
      <c r="E264" s="1158"/>
      <c r="F264" s="1159"/>
      <c r="G264" s="1160"/>
      <c r="H264" s="1161"/>
      <c r="I264" s="1155"/>
      <c r="J264" s="1162"/>
      <c r="K264" s="1162"/>
      <c r="L264" s="1162"/>
      <c r="M264" s="1162"/>
      <c r="N264" s="1162"/>
      <c r="O264" s="1155"/>
      <c r="P264" s="1155"/>
      <c r="Q264" s="1155"/>
      <c r="R264" s="1163"/>
      <c r="S264" s="1164"/>
      <c r="T264" s="1164"/>
      <c r="U264" s="1164"/>
      <c r="V264" s="1164"/>
      <c r="W264" s="1164"/>
      <c r="X264" s="1164"/>
      <c r="Y264" s="1164"/>
      <c r="Z264" s="1164"/>
      <c r="AA264" s="1164"/>
      <c r="AB264" s="1164"/>
      <c r="AC264" s="1164"/>
      <c r="AD264" s="1164"/>
      <c r="AE264" s="1155"/>
      <c r="AF264" s="1155"/>
      <c r="AG264" s="1155"/>
      <c r="AH264" s="1163"/>
      <c r="AI264" s="1164"/>
      <c r="AJ264" s="1164"/>
      <c r="AK264" s="1164"/>
      <c r="AL264" s="1164"/>
      <c r="AM264" s="1164"/>
      <c r="AN264" s="1164"/>
      <c r="AO264" s="1164"/>
      <c r="AP264" s="1164"/>
      <c r="AQ264" s="1164"/>
      <c r="AR264" s="1164"/>
      <c r="AS264" s="1164"/>
      <c r="AT264" s="1164"/>
    </row>
    <row r="265" ht="15.75" customHeight="1">
      <c r="A265" s="852"/>
      <c r="B265" s="852"/>
      <c r="C265" s="1156"/>
      <c r="D265" s="1157"/>
      <c r="E265" s="1158"/>
      <c r="F265" s="1159"/>
      <c r="G265" s="1160"/>
      <c r="H265" s="1161"/>
      <c r="I265" s="1155"/>
      <c r="J265" s="1162"/>
      <c r="K265" s="1162"/>
      <c r="L265" s="1162"/>
      <c r="M265" s="1162"/>
      <c r="N265" s="1162"/>
      <c r="O265" s="1155"/>
      <c r="P265" s="1155"/>
      <c r="Q265" s="1155"/>
      <c r="R265" s="1163"/>
      <c r="S265" s="1164"/>
      <c r="T265" s="1164"/>
      <c r="U265" s="1164"/>
      <c r="V265" s="1164"/>
      <c r="W265" s="1164"/>
      <c r="X265" s="1164"/>
      <c r="Y265" s="1164"/>
      <c r="Z265" s="1164"/>
      <c r="AA265" s="1164"/>
      <c r="AB265" s="1164"/>
      <c r="AC265" s="1164"/>
      <c r="AD265" s="1164"/>
      <c r="AE265" s="1155"/>
      <c r="AF265" s="1155"/>
      <c r="AG265" s="1155"/>
      <c r="AH265" s="1163"/>
      <c r="AI265" s="1164"/>
      <c r="AJ265" s="1164"/>
      <c r="AK265" s="1164"/>
      <c r="AL265" s="1164"/>
      <c r="AM265" s="1164"/>
      <c r="AN265" s="1164"/>
      <c r="AO265" s="1164"/>
      <c r="AP265" s="1164"/>
      <c r="AQ265" s="1164"/>
      <c r="AR265" s="1164"/>
      <c r="AS265" s="1164"/>
      <c r="AT265" s="1164"/>
    </row>
    <row r="266" ht="15.75" customHeight="1">
      <c r="A266" s="852"/>
      <c r="B266" s="852"/>
      <c r="C266" s="1156"/>
      <c r="D266" s="1157"/>
      <c r="E266" s="1158"/>
      <c r="F266" s="1159"/>
      <c r="G266" s="1160"/>
      <c r="H266" s="1161"/>
      <c r="I266" s="1155"/>
      <c r="J266" s="1162"/>
      <c r="K266" s="1162"/>
      <c r="L266" s="1162"/>
      <c r="M266" s="1162"/>
      <c r="N266" s="1162"/>
      <c r="O266" s="1155"/>
      <c r="P266" s="1155"/>
      <c r="Q266" s="1155"/>
      <c r="R266" s="1163"/>
      <c r="S266" s="1164"/>
      <c r="T266" s="1164"/>
      <c r="U266" s="1164"/>
      <c r="V266" s="1164"/>
      <c r="W266" s="1164"/>
      <c r="X266" s="1164"/>
      <c r="Y266" s="1164"/>
      <c r="Z266" s="1164"/>
      <c r="AA266" s="1164"/>
      <c r="AB266" s="1164"/>
      <c r="AC266" s="1164"/>
      <c r="AD266" s="1164"/>
      <c r="AE266" s="1155"/>
      <c r="AF266" s="1155"/>
      <c r="AG266" s="1155"/>
      <c r="AH266" s="1163"/>
      <c r="AI266" s="1164"/>
      <c r="AJ266" s="1164"/>
      <c r="AK266" s="1164"/>
      <c r="AL266" s="1164"/>
      <c r="AM266" s="1164"/>
      <c r="AN266" s="1164"/>
      <c r="AO266" s="1164"/>
      <c r="AP266" s="1164"/>
      <c r="AQ266" s="1164"/>
      <c r="AR266" s="1164"/>
      <c r="AS266" s="1164"/>
      <c r="AT266" s="1164"/>
    </row>
    <row r="267" ht="15.75" customHeight="1">
      <c r="A267" s="852"/>
      <c r="B267" s="852"/>
      <c r="C267" s="1156"/>
      <c r="D267" s="1157"/>
      <c r="E267" s="1158"/>
      <c r="F267" s="1159"/>
      <c r="G267" s="1160"/>
      <c r="H267" s="1161"/>
      <c r="I267" s="1155"/>
      <c r="J267" s="1162"/>
      <c r="K267" s="1162"/>
      <c r="L267" s="1162"/>
      <c r="M267" s="1162"/>
      <c r="N267" s="1162"/>
      <c r="O267" s="1155"/>
      <c r="P267" s="1155"/>
      <c r="Q267" s="1155"/>
      <c r="R267" s="1163"/>
      <c r="S267" s="1164"/>
      <c r="T267" s="1164"/>
      <c r="U267" s="1164"/>
      <c r="V267" s="1164"/>
      <c r="W267" s="1164"/>
      <c r="X267" s="1164"/>
      <c r="Y267" s="1164"/>
      <c r="Z267" s="1164"/>
      <c r="AA267" s="1164"/>
      <c r="AB267" s="1164"/>
      <c r="AC267" s="1164"/>
      <c r="AD267" s="1164"/>
      <c r="AE267" s="1155"/>
      <c r="AF267" s="1155"/>
      <c r="AG267" s="1155"/>
      <c r="AH267" s="1163"/>
      <c r="AI267" s="1164"/>
      <c r="AJ267" s="1164"/>
      <c r="AK267" s="1164"/>
      <c r="AL267" s="1164"/>
      <c r="AM267" s="1164"/>
      <c r="AN267" s="1164"/>
      <c r="AO267" s="1164"/>
      <c r="AP267" s="1164"/>
      <c r="AQ267" s="1164"/>
      <c r="AR267" s="1164"/>
      <c r="AS267" s="1164"/>
      <c r="AT267" s="1164"/>
    </row>
    <row r="268" ht="15.75" customHeight="1">
      <c r="A268" s="852"/>
      <c r="B268" s="852"/>
      <c r="C268" s="1156"/>
      <c r="D268" s="1157"/>
      <c r="E268" s="1158"/>
      <c r="F268" s="1159"/>
      <c r="G268" s="1160"/>
      <c r="H268" s="1161"/>
      <c r="I268" s="1155"/>
      <c r="J268" s="1162"/>
      <c r="K268" s="1162"/>
      <c r="L268" s="1162"/>
      <c r="M268" s="1162"/>
      <c r="N268" s="1162"/>
      <c r="O268" s="1155"/>
      <c r="P268" s="1155"/>
      <c r="Q268" s="1155"/>
      <c r="R268" s="1163"/>
      <c r="S268" s="1164"/>
      <c r="T268" s="1164"/>
      <c r="U268" s="1164"/>
      <c r="V268" s="1164"/>
      <c r="W268" s="1164"/>
      <c r="X268" s="1164"/>
      <c r="Y268" s="1164"/>
      <c r="Z268" s="1164"/>
      <c r="AA268" s="1164"/>
      <c r="AB268" s="1164"/>
      <c r="AC268" s="1164"/>
      <c r="AD268" s="1164"/>
      <c r="AE268" s="1155"/>
      <c r="AF268" s="1155"/>
      <c r="AG268" s="1155"/>
      <c r="AH268" s="1163"/>
      <c r="AI268" s="1164"/>
      <c r="AJ268" s="1164"/>
      <c r="AK268" s="1164"/>
      <c r="AL268" s="1164"/>
      <c r="AM268" s="1164"/>
      <c r="AN268" s="1164"/>
      <c r="AO268" s="1164"/>
      <c r="AP268" s="1164"/>
      <c r="AQ268" s="1164"/>
      <c r="AR268" s="1164"/>
      <c r="AS268" s="1164"/>
      <c r="AT268" s="1164"/>
    </row>
    <row r="269" ht="15.75" customHeight="1">
      <c r="A269" s="852"/>
      <c r="B269" s="852"/>
      <c r="C269" s="1156"/>
      <c r="D269" s="1157"/>
      <c r="E269" s="1158"/>
      <c r="F269" s="1159"/>
      <c r="G269" s="1160"/>
      <c r="H269" s="1161"/>
      <c r="I269" s="1155"/>
      <c r="J269" s="1162"/>
      <c r="K269" s="1162"/>
      <c r="L269" s="1162"/>
      <c r="M269" s="1162"/>
      <c r="N269" s="1162"/>
      <c r="O269" s="1155"/>
      <c r="P269" s="1155"/>
      <c r="Q269" s="1155"/>
      <c r="R269" s="1163"/>
      <c r="S269" s="1164"/>
      <c r="T269" s="1164"/>
      <c r="U269" s="1164"/>
      <c r="V269" s="1164"/>
      <c r="W269" s="1164"/>
      <c r="X269" s="1164"/>
      <c r="Y269" s="1164"/>
      <c r="Z269" s="1164"/>
      <c r="AA269" s="1164"/>
      <c r="AB269" s="1164"/>
      <c r="AC269" s="1164"/>
      <c r="AD269" s="1164"/>
      <c r="AE269" s="1155"/>
      <c r="AF269" s="1155"/>
      <c r="AG269" s="1155"/>
      <c r="AH269" s="1163"/>
      <c r="AI269" s="1164"/>
      <c r="AJ269" s="1164"/>
      <c r="AK269" s="1164"/>
      <c r="AL269" s="1164"/>
      <c r="AM269" s="1164"/>
      <c r="AN269" s="1164"/>
      <c r="AO269" s="1164"/>
      <c r="AP269" s="1164"/>
      <c r="AQ269" s="1164"/>
      <c r="AR269" s="1164"/>
      <c r="AS269" s="1164"/>
      <c r="AT269" s="1164"/>
    </row>
    <row r="270" ht="15.75" customHeight="1">
      <c r="A270" s="852"/>
      <c r="B270" s="852"/>
      <c r="C270" s="1156"/>
      <c r="D270" s="1157"/>
      <c r="E270" s="1158"/>
      <c r="F270" s="1159"/>
      <c r="G270" s="1160"/>
      <c r="H270" s="1161"/>
      <c r="I270" s="1155"/>
      <c r="J270" s="1162"/>
      <c r="K270" s="1162"/>
      <c r="L270" s="1162"/>
      <c r="M270" s="1162"/>
      <c r="N270" s="1162"/>
      <c r="O270" s="1155"/>
      <c r="P270" s="1155"/>
      <c r="Q270" s="1155"/>
      <c r="R270" s="1163"/>
      <c r="S270" s="1164"/>
      <c r="T270" s="1164"/>
      <c r="U270" s="1164"/>
      <c r="V270" s="1164"/>
      <c r="W270" s="1164"/>
      <c r="X270" s="1164"/>
      <c r="Y270" s="1164"/>
      <c r="Z270" s="1164"/>
      <c r="AA270" s="1164"/>
      <c r="AB270" s="1164"/>
      <c r="AC270" s="1164"/>
      <c r="AD270" s="1164"/>
      <c r="AE270" s="1155"/>
      <c r="AF270" s="1155"/>
      <c r="AG270" s="1155"/>
      <c r="AH270" s="1163"/>
      <c r="AI270" s="1164"/>
      <c r="AJ270" s="1164"/>
      <c r="AK270" s="1164"/>
      <c r="AL270" s="1164"/>
      <c r="AM270" s="1164"/>
      <c r="AN270" s="1164"/>
      <c r="AO270" s="1164"/>
      <c r="AP270" s="1164"/>
      <c r="AQ270" s="1164"/>
      <c r="AR270" s="1164"/>
      <c r="AS270" s="1164"/>
      <c r="AT270" s="1164"/>
    </row>
    <row r="271" ht="15.75" customHeight="1">
      <c r="A271" s="852"/>
      <c r="B271" s="852"/>
      <c r="C271" s="1156"/>
      <c r="D271" s="1157"/>
      <c r="E271" s="1158"/>
      <c r="F271" s="1159"/>
      <c r="G271" s="1160"/>
      <c r="H271" s="1161"/>
      <c r="I271" s="1155"/>
      <c r="J271" s="1162"/>
      <c r="K271" s="1162"/>
      <c r="L271" s="1162"/>
      <c r="M271" s="1162"/>
      <c r="N271" s="1162"/>
      <c r="O271" s="1155"/>
      <c r="P271" s="1155"/>
      <c r="Q271" s="1155"/>
      <c r="R271" s="1163"/>
      <c r="S271" s="1164"/>
      <c r="T271" s="1164"/>
      <c r="U271" s="1164"/>
      <c r="V271" s="1164"/>
      <c r="W271" s="1164"/>
      <c r="X271" s="1164"/>
      <c r="Y271" s="1164"/>
      <c r="Z271" s="1164"/>
      <c r="AA271" s="1164"/>
      <c r="AB271" s="1164"/>
      <c r="AC271" s="1164"/>
      <c r="AD271" s="1164"/>
      <c r="AE271" s="1155"/>
      <c r="AF271" s="1155"/>
      <c r="AG271" s="1155"/>
      <c r="AH271" s="1163"/>
      <c r="AI271" s="1164"/>
      <c r="AJ271" s="1164"/>
      <c r="AK271" s="1164"/>
      <c r="AL271" s="1164"/>
      <c r="AM271" s="1164"/>
      <c r="AN271" s="1164"/>
      <c r="AO271" s="1164"/>
      <c r="AP271" s="1164"/>
      <c r="AQ271" s="1164"/>
      <c r="AR271" s="1164"/>
      <c r="AS271" s="1164"/>
      <c r="AT271" s="1164"/>
    </row>
    <row r="272" ht="15.75" customHeight="1">
      <c r="A272" s="852"/>
      <c r="B272" s="852"/>
      <c r="C272" s="1156"/>
      <c r="D272" s="1157"/>
      <c r="E272" s="1158"/>
      <c r="F272" s="1159"/>
      <c r="G272" s="1160"/>
      <c r="H272" s="1161"/>
      <c r="I272" s="1155"/>
      <c r="J272" s="1162"/>
      <c r="K272" s="1162"/>
      <c r="L272" s="1162"/>
      <c r="M272" s="1162"/>
      <c r="N272" s="1162"/>
      <c r="O272" s="1155"/>
      <c r="P272" s="1155"/>
      <c r="Q272" s="1155"/>
      <c r="R272" s="1163"/>
      <c r="S272" s="1164"/>
      <c r="T272" s="1164"/>
      <c r="U272" s="1164"/>
      <c r="V272" s="1164"/>
      <c r="W272" s="1164"/>
      <c r="X272" s="1164"/>
      <c r="Y272" s="1164"/>
      <c r="Z272" s="1164"/>
      <c r="AA272" s="1164"/>
      <c r="AB272" s="1164"/>
      <c r="AC272" s="1164"/>
      <c r="AD272" s="1164"/>
      <c r="AE272" s="1155"/>
      <c r="AF272" s="1155"/>
      <c r="AG272" s="1155"/>
      <c r="AH272" s="1163"/>
      <c r="AI272" s="1164"/>
      <c r="AJ272" s="1164"/>
      <c r="AK272" s="1164"/>
      <c r="AL272" s="1164"/>
      <c r="AM272" s="1164"/>
      <c r="AN272" s="1164"/>
      <c r="AO272" s="1164"/>
      <c r="AP272" s="1164"/>
      <c r="AQ272" s="1164"/>
      <c r="AR272" s="1164"/>
      <c r="AS272" s="1164"/>
      <c r="AT272" s="1164"/>
    </row>
    <row r="273" ht="15.75" customHeight="1">
      <c r="A273" s="852"/>
      <c r="B273" s="852"/>
      <c r="C273" s="1156"/>
      <c r="D273" s="1157"/>
      <c r="E273" s="1158"/>
      <c r="F273" s="1159"/>
      <c r="G273" s="1160"/>
      <c r="H273" s="1161"/>
      <c r="I273" s="1155"/>
      <c r="J273" s="1162"/>
      <c r="K273" s="1162"/>
      <c r="L273" s="1162"/>
      <c r="M273" s="1162"/>
      <c r="N273" s="1162"/>
      <c r="O273" s="1155"/>
      <c r="P273" s="1155"/>
      <c r="Q273" s="1155"/>
      <c r="R273" s="1163"/>
      <c r="S273" s="1164"/>
      <c r="T273" s="1164"/>
      <c r="U273" s="1164"/>
      <c r="V273" s="1164"/>
      <c r="W273" s="1164"/>
      <c r="X273" s="1164"/>
      <c r="Y273" s="1164"/>
      <c r="Z273" s="1164"/>
      <c r="AA273" s="1164"/>
      <c r="AB273" s="1164"/>
      <c r="AC273" s="1164"/>
      <c r="AD273" s="1164"/>
      <c r="AE273" s="1155"/>
      <c r="AF273" s="1155"/>
      <c r="AG273" s="1155"/>
      <c r="AH273" s="1163"/>
      <c r="AI273" s="1164"/>
      <c r="AJ273" s="1164"/>
      <c r="AK273" s="1164"/>
      <c r="AL273" s="1164"/>
      <c r="AM273" s="1164"/>
      <c r="AN273" s="1164"/>
      <c r="AO273" s="1164"/>
      <c r="AP273" s="1164"/>
      <c r="AQ273" s="1164"/>
      <c r="AR273" s="1164"/>
      <c r="AS273" s="1164"/>
      <c r="AT273" s="1164"/>
    </row>
    <row r="274" ht="15.75" customHeight="1">
      <c r="A274" s="852"/>
      <c r="B274" s="852"/>
      <c r="C274" s="1156"/>
      <c r="D274" s="1157"/>
      <c r="E274" s="1158"/>
      <c r="F274" s="1159"/>
      <c r="G274" s="1160"/>
      <c r="H274" s="1161"/>
      <c r="I274" s="1155"/>
      <c r="J274" s="1162"/>
      <c r="K274" s="1162"/>
      <c r="L274" s="1162"/>
      <c r="M274" s="1162"/>
      <c r="N274" s="1162"/>
      <c r="O274" s="1155"/>
      <c r="P274" s="1155"/>
      <c r="Q274" s="1155"/>
      <c r="R274" s="1163"/>
      <c r="S274" s="1164"/>
      <c r="T274" s="1164"/>
      <c r="U274" s="1164"/>
      <c r="V274" s="1164"/>
      <c r="W274" s="1164"/>
      <c r="X274" s="1164"/>
      <c r="Y274" s="1164"/>
      <c r="Z274" s="1164"/>
      <c r="AA274" s="1164"/>
      <c r="AB274" s="1164"/>
      <c r="AC274" s="1164"/>
      <c r="AD274" s="1164"/>
      <c r="AE274" s="1155"/>
      <c r="AF274" s="1155"/>
      <c r="AG274" s="1155"/>
      <c r="AH274" s="1163"/>
      <c r="AI274" s="1164"/>
      <c r="AJ274" s="1164"/>
      <c r="AK274" s="1164"/>
      <c r="AL274" s="1164"/>
      <c r="AM274" s="1164"/>
      <c r="AN274" s="1164"/>
      <c r="AO274" s="1164"/>
      <c r="AP274" s="1164"/>
      <c r="AQ274" s="1164"/>
      <c r="AR274" s="1164"/>
      <c r="AS274" s="1164"/>
      <c r="AT274" s="1164"/>
    </row>
    <row r="275" ht="15.75" customHeight="1">
      <c r="A275" s="852"/>
      <c r="B275" s="852"/>
      <c r="C275" s="1156"/>
      <c r="D275" s="1157"/>
      <c r="E275" s="1158"/>
      <c r="F275" s="1159"/>
      <c r="G275" s="1160"/>
      <c r="H275" s="1161"/>
      <c r="I275" s="1155"/>
      <c r="J275" s="1162"/>
      <c r="K275" s="1162"/>
      <c r="L275" s="1162"/>
      <c r="M275" s="1162"/>
      <c r="N275" s="1162"/>
      <c r="O275" s="1155"/>
      <c r="P275" s="1155"/>
      <c r="Q275" s="1155"/>
      <c r="R275" s="1163"/>
      <c r="S275" s="1164"/>
      <c r="T275" s="1164"/>
      <c r="U275" s="1164"/>
      <c r="V275" s="1164"/>
      <c r="W275" s="1164"/>
      <c r="X275" s="1164"/>
      <c r="Y275" s="1164"/>
      <c r="Z275" s="1164"/>
      <c r="AA275" s="1164"/>
      <c r="AB275" s="1164"/>
      <c r="AC275" s="1164"/>
      <c r="AD275" s="1164"/>
      <c r="AE275" s="1155"/>
      <c r="AF275" s="1155"/>
      <c r="AG275" s="1155"/>
      <c r="AH275" s="1163"/>
      <c r="AI275" s="1164"/>
      <c r="AJ275" s="1164"/>
      <c r="AK275" s="1164"/>
      <c r="AL275" s="1164"/>
      <c r="AM275" s="1164"/>
      <c r="AN275" s="1164"/>
      <c r="AO275" s="1164"/>
      <c r="AP275" s="1164"/>
      <c r="AQ275" s="1164"/>
      <c r="AR275" s="1164"/>
      <c r="AS275" s="1164"/>
      <c r="AT275" s="1164"/>
    </row>
    <row r="276" ht="15.75" customHeight="1">
      <c r="A276" s="852"/>
      <c r="B276" s="852"/>
      <c r="C276" s="1156"/>
      <c r="D276" s="1157"/>
      <c r="E276" s="1158"/>
      <c r="F276" s="1159"/>
      <c r="G276" s="1160"/>
      <c r="H276" s="1161"/>
      <c r="I276" s="1155"/>
      <c r="J276" s="1162"/>
      <c r="K276" s="1162"/>
      <c r="L276" s="1162"/>
      <c r="M276" s="1162"/>
      <c r="N276" s="1162"/>
      <c r="O276" s="1155"/>
      <c r="P276" s="1155"/>
      <c r="Q276" s="1155"/>
      <c r="R276" s="1163"/>
      <c r="S276" s="1164"/>
      <c r="T276" s="1164"/>
      <c r="U276" s="1164"/>
      <c r="V276" s="1164"/>
      <c r="W276" s="1164"/>
      <c r="X276" s="1164"/>
      <c r="Y276" s="1164"/>
      <c r="Z276" s="1164"/>
      <c r="AA276" s="1164"/>
      <c r="AB276" s="1164"/>
      <c r="AC276" s="1164"/>
      <c r="AD276" s="1164"/>
      <c r="AE276" s="1155"/>
      <c r="AF276" s="1155"/>
      <c r="AG276" s="1155"/>
      <c r="AH276" s="1163"/>
      <c r="AI276" s="1164"/>
      <c r="AJ276" s="1164"/>
      <c r="AK276" s="1164"/>
      <c r="AL276" s="1164"/>
      <c r="AM276" s="1164"/>
      <c r="AN276" s="1164"/>
      <c r="AO276" s="1164"/>
      <c r="AP276" s="1164"/>
      <c r="AQ276" s="1164"/>
      <c r="AR276" s="1164"/>
      <c r="AS276" s="1164"/>
      <c r="AT276" s="1164"/>
    </row>
    <row r="277" ht="15.75" customHeight="1">
      <c r="A277" s="852"/>
      <c r="B277" s="852"/>
      <c r="C277" s="1156"/>
      <c r="D277" s="1157"/>
      <c r="E277" s="1158"/>
      <c r="F277" s="1159"/>
      <c r="G277" s="1160"/>
      <c r="H277" s="1161"/>
      <c r="I277" s="1155"/>
      <c r="J277" s="1162"/>
      <c r="K277" s="1162"/>
      <c r="L277" s="1162"/>
      <c r="M277" s="1162"/>
      <c r="N277" s="1162"/>
      <c r="O277" s="1155"/>
      <c r="P277" s="1155"/>
      <c r="Q277" s="1155"/>
      <c r="R277" s="1163"/>
      <c r="S277" s="1164"/>
      <c r="T277" s="1164"/>
      <c r="U277" s="1164"/>
      <c r="V277" s="1164"/>
      <c r="W277" s="1164"/>
      <c r="X277" s="1164"/>
      <c r="Y277" s="1164"/>
      <c r="Z277" s="1164"/>
      <c r="AA277" s="1164"/>
      <c r="AB277" s="1164"/>
      <c r="AC277" s="1164"/>
      <c r="AD277" s="1164"/>
      <c r="AE277" s="1155"/>
      <c r="AF277" s="1155"/>
      <c r="AG277" s="1155"/>
      <c r="AH277" s="1163"/>
      <c r="AI277" s="1164"/>
      <c r="AJ277" s="1164"/>
      <c r="AK277" s="1164"/>
      <c r="AL277" s="1164"/>
      <c r="AM277" s="1164"/>
      <c r="AN277" s="1164"/>
      <c r="AO277" s="1164"/>
      <c r="AP277" s="1164"/>
      <c r="AQ277" s="1164"/>
      <c r="AR277" s="1164"/>
      <c r="AS277" s="1164"/>
      <c r="AT277" s="1164"/>
    </row>
    <row r="278" ht="15.75" customHeight="1">
      <c r="A278" s="852"/>
      <c r="B278" s="852"/>
      <c r="C278" s="1156"/>
      <c r="D278" s="1157"/>
      <c r="E278" s="1158"/>
      <c r="F278" s="1159"/>
      <c r="G278" s="1160"/>
      <c r="H278" s="1161"/>
      <c r="I278" s="1155"/>
      <c r="J278" s="1162"/>
      <c r="K278" s="1162"/>
      <c r="L278" s="1162"/>
      <c r="M278" s="1162"/>
      <c r="N278" s="1162"/>
      <c r="O278" s="1155"/>
      <c r="P278" s="1155"/>
      <c r="Q278" s="1155"/>
      <c r="R278" s="1163"/>
      <c r="S278" s="1164"/>
      <c r="T278" s="1164"/>
      <c r="U278" s="1164"/>
      <c r="V278" s="1164"/>
      <c r="W278" s="1164"/>
      <c r="X278" s="1164"/>
      <c r="Y278" s="1164"/>
      <c r="Z278" s="1164"/>
      <c r="AA278" s="1164"/>
      <c r="AB278" s="1164"/>
      <c r="AC278" s="1164"/>
      <c r="AD278" s="1164"/>
      <c r="AE278" s="1155"/>
      <c r="AF278" s="1155"/>
      <c r="AG278" s="1155"/>
      <c r="AH278" s="1163"/>
      <c r="AI278" s="1164"/>
      <c r="AJ278" s="1164"/>
      <c r="AK278" s="1164"/>
      <c r="AL278" s="1164"/>
      <c r="AM278" s="1164"/>
      <c r="AN278" s="1164"/>
      <c r="AO278" s="1164"/>
      <c r="AP278" s="1164"/>
      <c r="AQ278" s="1164"/>
      <c r="AR278" s="1164"/>
      <c r="AS278" s="1164"/>
      <c r="AT278" s="1164"/>
    </row>
    <row r="279" ht="15.75" customHeight="1">
      <c r="A279" s="852"/>
      <c r="B279" s="852"/>
      <c r="C279" s="1156"/>
      <c r="D279" s="1157"/>
      <c r="E279" s="1158"/>
      <c r="F279" s="1159"/>
      <c r="G279" s="1160"/>
      <c r="H279" s="1161"/>
      <c r="I279" s="1155"/>
      <c r="J279" s="1162"/>
      <c r="K279" s="1162"/>
      <c r="L279" s="1162"/>
      <c r="M279" s="1162"/>
      <c r="N279" s="1162"/>
      <c r="O279" s="1155"/>
      <c r="P279" s="1155"/>
      <c r="Q279" s="1155"/>
      <c r="R279" s="1163"/>
      <c r="S279" s="1164"/>
      <c r="T279" s="1164"/>
      <c r="U279" s="1164"/>
      <c r="V279" s="1164"/>
      <c r="W279" s="1164"/>
      <c r="X279" s="1164"/>
      <c r="Y279" s="1164"/>
      <c r="Z279" s="1164"/>
      <c r="AA279" s="1164"/>
      <c r="AB279" s="1164"/>
      <c r="AC279" s="1164"/>
      <c r="AD279" s="1164"/>
      <c r="AE279" s="1155"/>
      <c r="AF279" s="1155"/>
      <c r="AG279" s="1155"/>
      <c r="AH279" s="1163"/>
      <c r="AI279" s="1164"/>
      <c r="AJ279" s="1164"/>
      <c r="AK279" s="1164"/>
      <c r="AL279" s="1164"/>
      <c r="AM279" s="1164"/>
      <c r="AN279" s="1164"/>
      <c r="AO279" s="1164"/>
      <c r="AP279" s="1164"/>
      <c r="AQ279" s="1164"/>
      <c r="AR279" s="1164"/>
      <c r="AS279" s="1164"/>
      <c r="AT279" s="1164"/>
    </row>
    <row r="280" ht="15.75" customHeight="1">
      <c r="A280" s="852"/>
      <c r="B280" s="852"/>
      <c r="C280" s="1156"/>
      <c r="D280" s="1157"/>
      <c r="E280" s="1158"/>
      <c r="F280" s="1159"/>
      <c r="G280" s="1160"/>
      <c r="H280" s="1161"/>
      <c r="I280" s="1155"/>
      <c r="J280" s="1162"/>
      <c r="K280" s="1162"/>
      <c r="L280" s="1162"/>
      <c r="M280" s="1162"/>
      <c r="N280" s="1162"/>
      <c r="O280" s="1155"/>
      <c r="P280" s="1155"/>
      <c r="Q280" s="1155"/>
      <c r="R280" s="1163"/>
      <c r="S280" s="1164"/>
      <c r="T280" s="1164"/>
      <c r="U280" s="1164"/>
      <c r="V280" s="1164"/>
      <c r="W280" s="1164"/>
      <c r="X280" s="1164"/>
      <c r="Y280" s="1164"/>
      <c r="Z280" s="1164"/>
      <c r="AA280" s="1164"/>
      <c r="AB280" s="1164"/>
      <c r="AC280" s="1164"/>
      <c r="AD280" s="1164"/>
      <c r="AE280" s="1155"/>
      <c r="AF280" s="1155"/>
      <c r="AG280" s="1155"/>
      <c r="AH280" s="1163"/>
      <c r="AI280" s="1164"/>
      <c r="AJ280" s="1164"/>
      <c r="AK280" s="1164"/>
      <c r="AL280" s="1164"/>
      <c r="AM280" s="1164"/>
      <c r="AN280" s="1164"/>
      <c r="AO280" s="1164"/>
      <c r="AP280" s="1164"/>
      <c r="AQ280" s="1164"/>
      <c r="AR280" s="1164"/>
      <c r="AS280" s="1164"/>
      <c r="AT280" s="1164"/>
    </row>
    <row r="281" ht="15.75" customHeight="1">
      <c r="A281" s="852"/>
      <c r="B281" s="852"/>
      <c r="C281" s="1156"/>
      <c r="D281" s="1157"/>
      <c r="E281" s="1158"/>
      <c r="F281" s="1159"/>
      <c r="G281" s="1160"/>
      <c r="H281" s="1161"/>
      <c r="I281" s="1155"/>
      <c r="J281" s="1162"/>
      <c r="K281" s="1162"/>
      <c r="L281" s="1162"/>
      <c r="M281" s="1162"/>
      <c r="N281" s="1162"/>
      <c r="O281" s="1155"/>
      <c r="P281" s="1155"/>
      <c r="Q281" s="1155"/>
      <c r="R281" s="1163"/>
      <c r="S281" s="1164"/>
      <c r="T281" s="1164"/>
      <c r="U281" s="1164"/>
      <c r="V281" s="1164"/>
      <c r="W281" s="1164"/>
      <c r="X281" s="1164"/>
      <c r="Y281" s="1164"/>
      <c r="Z281" s="1164"/>
      <c r="AA281" s="1164"/>
      <c r="AB281" s="1164"/>
      <c r="AC281" s="1164"/>
      <c r="AD281" s="1164"/>
      <c r="AE281" s="1155"/>
      <c r="AF281" s="1155"/>
      <c r="AG281" s="1155"/>
      <c r="AH281" s="1163"/>
      <c r="AI281" s="1164"/>
      <c r="AJ281" s="1164"/>
      <c r="AK281" s="1164"/>
      <c r="AL281" s="1164"/>
      <c r="AM281" s="1164"/>
      <c r="AN281" s="1164"/>
      <c r="AO281" s="1164"/>
      <c r="AP281" s="1164"/>
      <c r="AQ281" s="1164"/>
      <c r="AR281" s="1164"/>
      <c r="AS281" s="1164"/>
      <c r="AT281" s="1164"/>
    </row>
    <row r="282" ht="15.75" customHeight="1">
      <c r="A282" s="852"/>
      <c r="B282" s="852"/>
      <c r="C282" s="1156"/>
      <c r="D282" s="1157"/>
      <c r="E282" s="1158"/>
      <c r="F282" s="1159"/>
      <c r="G282" s="1160"/>
      <c r="H282" s="1161"/>
      <c r="I282" s="1155"/>
      <c r="J282" s="1162"/>
      <c r="K282" s="1162"/>
      <c r="L282" s="1162"/>
      <c r="M282" s="1162"/>
      <c r="N282" s="1162"/>
      <c r="O282" s="1155"/>
      <c r="P282" s="1155"/>
      <c r="Q282" s="1155"/>
      <c r="R282" s="1163"/>
      <c r="S282" s="1164"/>
      <c r="T282" s="1164"/>
      <c r="U282" s="1164"/>
      <c r="V282" s="1164"/>
      <c r="W282" s="1164"/>
      <c r="X282" s="1164"/>
      <c r="Y282" s="1164"/>
      <c r="Z282" s="1164"/>
      <c r="AA282" s="1164"/>
      <c r="AB282" s="1164"/>
      <c r="AC282" s="1164"/>
      <c r="AD282" s="1164"/>
      <c r="AE282" s="1155"/>
      <c r="AF282" s="1155"/>
      <c r="AG282" s="1155"/>
      <c r="AH282" s="1163"/>
      <c r="AI282" s="1164"/>
      <c r="AJ282" s="1164"/>
      <c r="AK282" s="1164"/>
      <c r="AL282" s="1164"/>
      <c r="AM282" s="1164"/>
      <c r="AN282" s="1164"/>
      <c r="AO282" s="1164"/>
      <c r="AP282" s="1164"/>
      <c r="AQ282" s="1164"/>
      <c r="AR282" s="1164"/>
      <c r="AS282" s="1164"/>
      <c r="AT282" s="1164"/>
    </row>
    <row r="283" ht="15.75" customHeight="1">
      <c r="A283" s="852"/>
      <c r="B283" s="852"/>
      <c r="C283" s="1156"/>
      <c r="D283" s="1157"/>
      <c r="E283" s="1158"/>
      <c r="F283" s="1159"/>
      <c r="G283" s="1160"/>
      <c r="H283" s="1161"/>
      <c r="I283" s="1155"/>
      <c r="J283" s="1162"/>
      <c r="K283" s="1162"/>
      <c r="L283" s="1162"/>
      <c r="M283" s="1162"/>
      <c r="N283" s="1162"/>
      <c r="O283" s="1155"/>
      <c r="P283" s="1155"/>
      <c r="Q283" s="1155"/>
      <c r="R283" s="1163"/>
      <c r="S283" s="1164"/>
      <c r="T283" s="1164"/>
      <c r="U283" s="1164"/>
      <c r="V283" s="1164"/>
      <c r="W283" s="1164"/>
      <c r="X283" s="1164"/>
      <c r="Y283" s="1164"/>
      <c r="Z283" s="1164"/>
      <c r="AA283" s="1164"/>
      <c r="AB283" s="1164"/>
      <c r="AC283" s="1164"/>
      <c r="AD283" s="1164"/>
      <c r="AE283" s="1155"/>
      <c r="AF283" s="1155"/>
      <c r="AG283" s="1155"/>
      <c r="AH283" s="1163"/>
      <c r="AI283" s="1164"/>
      <c r="AJ283" s="1164"/>
      <c r="AK283" s="1164"/>
      <c r="AL283" s="1164"/>
      <c r="AM283" s="1164"/>
      <c r="AN283" s="1164"/>
      <c r="AO283" s="1164"/>
      <c r="AP283" s="1164"/>
      <c r="AQ283" s="1164"/>
      <c r="AR283" s="1164"/>
      <c r="AS283" s="1164"/>
      <c r="AT283" s="1164"/>
    </row>
    <row r="284" ht="15.75" customHeight="1">
      <c r="A284" s="852"/>
      <c r="B284" s="852"/>
      <c r="C284" s="1156"/>
      <c r="D284" s="1157"/>
      <c r="E284" s="1158"/>
      <c r="F284" s="1159"/>
      <c r="G284" s="1160"/>
      <c r="H284" s="1161"/>
      <c r="I284" s="1155"/>
      <c r="J284" s="1162"/>
      <c r="K284" s="1162"/>
      <c r="L284" s="1162"/>
      <c r="M284" s="1162"/>
      <c r="N284" s="1162"/>
      <c r="O284" s="1155"/>
      <c r="P284" s="1155"/>
      <c r="Q284" s="1155"/>
      <c r="R284" s="1163"/>
      <c r="S284" s="1164"/>
      <c r="T284" s="1164"/>
      <c r="U284" s="1164"/>
      <c r="V284" s="1164"/>
      <c r="W284" s="1164"/>
      <c r="X284" s="1164"/>
      <c r="Y284" s="1164"/>
      <c r="Z284" s="1164"/>
      <c r="AA284" s="1164"/>
      <c r="AB284" s="1164"/>
      <c r="AC284" s="1164"/>
      <c r="AD284" s="1164"/>
      <c r="AE284" s="1155"/>
      <c r="AF284" s="1155"/>
      <c r="AG284" s="1155"/>
      <c r="AH284" s="1163"/>
      <c r="AI284" s="1164"/>
      <c r="AJ284" s="1164"/>
      <c r="AK284" s="1164"/>
      <c r="AL284" s="1164"/>
      <c r="AM284" s="1164"/>
      <c r="AN284" s="1164"/>
      <c r="AO284" s="1164"/>
      <c r="AP284" s="1164"/>
      <c r="AQ284" s="1164"/>
      <c r="AR284" s="1164"/>
      <c r="AS284" s="1164"/>
      <c r="AT284" s="1164"/>
    </row>
    <row r="285" ht="15.75" customHeight="1">
      <c r="A285" s="852"/>
      <c r="B285" s="852"/>
      <c r="C285" s="1156"/>
      <c r="D285" s="1157"/>
      <c r="E285" s="1158"/>
      <c r="F285" s="1159"/>
      <c r="G285" s="1160"/>
      <c r="H285" s="1161"/>
      <c r="I285" s="1155"/>
      <c r="J285" s="1162"/>
      <c r="K285" s="1162"/>
      <c r="L285" s="1162"/>
      <c r="M285" s="1162"/>
      <c r="N285" s="1162"/>
      <c r="O285" s="1155"/>
      <c r="P285" s="1155"/>
      <c r="Q285" s="1155"/>
      <c r="R285" s="1163"/>
      <c r="S285" s="1164"/>
      <c r="T285" s="1164"/>
      <c r="U285" s="1164"/>
      <c r="V285" s="1164"/>
      <c r="W285" s="1164"/>
      <c r="X285" s="1164"/>
      <c r="Y285" s="1164"/>
      <c r="Z285" s="1164"/>
      <c r="AA285" s="1164"/>
      <c r="AB285" s="1164"/>
      <c r="AC285" s="1164"/>
      <c r="AD285" s="1164"/>
      <c r="AE285" s="1155"/>
      <c r="AF285" s="1155"/>
      <c r="AG285" s="1155"/>
      <c r="AH285" s="1163"/>
      <c r="AI285" s="1164"/>
      <c r="AJ285" s="1164"/>
      <c r="AK285" s="1164"/>
      <c r="AL285" s="1164"/>
      <c r="AM285" s="1164"/>
      <c r="AN285" s="1164"/>
      <c r="AO285" s="1164"/>
      <c r="AP285" s="1164"/>
      <c r="AQ285" s="1164"/>
      <c r="AR285" s="1164"/>
      <c r="AS285" s="1164"/>
      <c r="AT285" s="1164"/>
    </row>
    <row r="286" ht="15.75" customHeight="1">
      <c r="A286" s="852"/>
      <c r="B286" s="852"/>
      <c r="C286" s="1156"/>
      <c r="D286" s="1157"/>
      <c r="E286" s="1158"/>
      <c r="F286" s="1159"/>
      <c r="G286" s="1160"/>
      <c r="H286" s="1161"/>
      <c r="I286" s="1155"/>
      <c r="J286" s="1162"/>
      <c r="K286" s="1162"/>
      <c r="L286" s="1162"/>
      <c r="M286" s="1162"/>
      <c r="N286" s="1162"/>
      <c r="O286" s="1155"/>
      <c r="P286" s="1155"/>
      <c r="Q286" s="1155"/>
      <c r="R286" s="1163"/>
      <c r="S286" s="1164"/>
      <c r="T286" s="1164"/>
      <c r="U286" s="1164"/>
      <c r="V286" s="1164"/>
      <c r="W286" s="1164"/>
      <c r="X286" s="1164"/>
      <c r="Y286" s="1164"/>
      <c r="Z286" s="1164"/>
      <c r="AA286" s="1164"/>
      <c r="AB286" s="1164"/>
      <c r="AC286" s="1164"/>
      <c r="AD286" s="1164"/>
      <c r="AE286" s="1155"/>
      <c r="AF286" s="1155"/>
      <c r="AG286" s="1155"/>
      <c r="AH286" s="1163"/>
      <c r="AI286" s="1164"/>
      <c r="AJ286" s="1164"/>
      <c r="AK286" s="1164"/>
      <c r="AL286" s="1164"/>
      <c r="AM286" s="1164"/>
      <c r="AN286" s="1164"/>
      <c r="AO286" s="1164"/>
      <c r="AP286" s="1164"/>
      <c r="AQ286" s="1164"/>
      <c r="AR286" s="1164"/>
      <c r="AS286" s="1164"/>
      <c r="AT286" s="1164"/>
    </row>
    <row r="287" ht="15.75" customHeight="1">
      <c r="A287" s="852"/>
      <c r="B287" s="852"/>
      <c r="C287" s="1156"/>
      <c r="D287" s="1157"/>
      <c r="E287" s="1158"/>
      <c r="F287" s="1159"/>
      <c r="G287" s="1160"/>
      <c r="H287" s="1161"/>
      <c r="I287" s="1155"/>
      <c r="J287" s="1162"/>
      <c r="K287" s="1162"/>
      <c r="L287" s="1162"/>
      <c r="M287" s="1162"/>
      <c r="N287" s="1162"/>
      <c r="O287" s="1155"/>
      <c r="P287" s="1155"/>
      <c r="Q287" s="1155"/>
      <c r="R287" s="1163"/>
      <c r="S287" s="1164"/>
      <c r="T287" s="1164"/>
      <c r="U287" s="1164"/>
      <c r="V287" s="1164"/>
      <c r="W287" s="1164"/>
      <c r="X287" s="1164"/>
      <c r="Y287" s="1164"/>
      <c r="Z287" s="1164"/>
      <c r="AA287" s="1164"/>
      <c r="AB287" s="1164"/>
      <c r="AC287" s="1164"/>
      <c r="AD287" s="1164"/>
      <c r="AE287" s="1155"/>
      <c r="AF287" s="1155"/>
      <c r="AG287" s="1155"/>
      <c r="AH287" s="1163"/>
      <c r="AI287" s="1164"/>
      <c r="AJ287" s="1164"/>
      <c r="AK287" s="1164"/>
      <c r="AL287" s="1164"/>
      <c r="AM287" s="1164"/>
      <c r="AN287" s="1164"/>
      <c r="AO287" s="1164"/>
      <c r="AP287" s="1164"/>
      <c r="AQ287" s="1164"/>
      <c r="AR287" s="1164"/>
      <c r="AS287" s="1164"/>
      <c r="AT287" s="1164"/>
    </row>
    <row r="288" ht="15.75" customHeight="1">
      <c r="A288" s="852"/>
      <c r="B288" s="852"/>
      <c r="C288" s="1156"/>
      <c r="D288" s="1157"/>
      <c r="E288" s="1158"/>
      <c r="F288" s="1159"/>
      <c r="G288" s="1160"/>
      <c r="H288" s="1161"/>
      <c r="I288" s="1155"/>
      <c r="J288" s="1162"/>
      <c r="K288" s="1162"/>
      <c r="L288" s="1162"/>
      <c r="M288" s="1162"/>
      <c r="N288" s="1162"/>
      <c r="O288" s="1155"/>
      <c r="P288" s="1155"/>
      <c r="Q288" s="1155"/>
      <c r="R288" s="1163"/>
      <c r="S288" s="1164"/>
      <c r="T288" s="1164"/>
      <c r="U288" s="1164"/>
      <c r="V288" s="1164"/>
      <c r="W288" s="1164"/>
      <c r="X288" s="1164"/>
      <c r="Y288" s="1164"/>
      <c r="Z288" s="1164"/>
      <c r="AA288" s="1164"/>
      <c r="AB288" s="1164"/>
      <c r="AC288" s="1164"/>
      <c r="AD288" s="1164"/>
      <c r="AE288" s="1155"/>
      <c r="AF288" s="1155"/>
      <c r="AG288" s="1155"/>
      <c r="AH288" s="1163"/>
      <c r="AI288" s="1164"/>
      <c r="AJ288" s="1164"/>
      <c r="AK288" s="1164"/>
      <c r="AL288" s="1164"/>
      <c r="AM288" s="1164"/>
      <c r="AN288" s="1164"/>
      <c r="AO288" s="1164"/>
      <c r="AP288" s="1164"/>
      <c r="AQ288" s="1164"/>
      <c r="AR288" s="1164"/>
      <c r="AS288" s="1164"/>
      <c r="AT288" s="1164"/>
    </row>
    <row r="289" ht="15.75" customHeight="1">
      <c r="A289" s="852"/>
      <c r="B289" s="852"/>
      <c r="C289" s="1156"/>
      <c r="D289" s="1157"/>
      <c r="E289" s="1158"/>
      <c r="F289" s="1159"/>
      <c r="G289" s="1160"/>
      <c r="H289" s="1161"/>
      <c r="I289" s="1155"/>
      <c r="J289" s="1162"/>
      <c r="K289" s="1162"/>
      <c r="L289" s="1162"/>
      <c r="M289" s="1162"/>
      <c r="N289" s="1162"/>
      <c r="O289" s="1155"/>
      <c r="P289" s="1155"/>
      <c r="Q289" s="1155"/>
      <c r="R289" s="1163"/>
      <c r="S289" s="1164"/>
      <c r="T289" s="1164"/>
      <c r="U289" s="1164"/>
      <c r="V289" s="1164"/>
      <c r="W289" s="1164"/>
      <c r="X289" s="1164"/>
      <c r="Y289" s="1164"/>
      <c r="Z289" s="1164"/>
      <c r="AA289" s="1164"/>
      <c r="AB289" s="1164"/>
      <c r="AC289" s="1164"/>
      <c r="AD289" s="1164"/>
      <c r="AE289" s="1155"/>
      <c r="AF289" s="1155"/>
      <c r="AG289" s="1155"/>
      <c r="AH289" s="1163"/>
      <c r="AI289" s="1164"/>
      <c r="AJ289" s="1164"/>
      <c r="AK289" s="1164"/>
      <c r="AL289" s="1164"/>
      <c r="AM289" s="1164"/>
      <c r="AN289" s="1164"/>
      <c r="AO289" s="1164"/>
      <c r="AP289" s="1164"/>
      <c r="AQ289" s="1164"/>
      <c r="AR289" s="1164"/>
      <c r="AS289" s="1164"/>
      <c r="AT289" s="1164"/>
    </row>
    <row r="290" ht="15.75" customHeight="1">
      <c r="A290" s="852"/>
      <c r="B290" s="852"/>
      <c r="C290" s="1156"/>
      <c r="D290" s="1157"/>
      <c r="E290" s="1158"/>
      <c r="F290" s="1159"/>
      <c r="G290" s="1160"/>
      <c r="H290" s="1161"/>
      <c r="I290" s="1155"/>
      <c r="J290" s="1162"/>
      <c r="K290" s="1162"/>
      <c r="L290" s="1162"/>
      <c r="M290" s="1162"/>
      <c r="N290" s="1162"/>
      <c r="O290" s="1155"/>
      <c r="P290" s="1155"/>
      <c r="Q290" s="1155"/>
      <c r="R290" s="1163"/>
      <c r="S290" s="1164"/>
      <c r="T290" s="1164"/>
      <c r="U290" s="1164"/>
      <c r="V290" s="1164"/>
      <c r="W290" s="1164"/>
      <c r="X290" s="1164"/>
      <c r="Y290" s="1164"/>
      <c r="Z290" s="1164"/>
      <c r="AA290" s="1164"/>
      <c r="AB290" s="1164"/>
      <c r="AC290" s="1164"/>
      <c r="AD290" s="1164"/>
      <c r="AE290" s="1155"/>
      <c r="AF290" s="1155"/>
      <c r="AG290" s="1155"/>
      <c r="AH290" s="1163"/>
      <c r="AI290" s="1164"/>
      <c r="AJ290" s="1164"/>
      <c r="AK290" s="1164"/>
      <c r="AL290" s="1164"/>
      <c r="AM290" s="1164"/>
      <c r="AN290" s="1164"/>
      <c r="AO290" s="1164"/>
      <c r="AP290" s="1164"/>
      <c r="AQ290" s="1164"/>
      <c r="AR290" s="1164"/>
      <c r="AS290" s="1164"/>
      <c r="AT290" s="1164"/>
    </row>
    <row r="291" ht="15.75" customHeight="1">
      <c r="A291" s="852"/>
      <c r="B291" s="852"/>
      <c r="C291" s="1156"/>
      <c r="D291" s="1157"/>
      <c r="E291" s="1158"/>
      <c r="F291" s="1159"/>
      <c r="G291" s="1160"/>
      <c r="H291" s="1161"/>
      <c r="I291" s="1155"/>
      <c r="J291" s="1162"/>
      <c r="K291" s="1162"/>
      <c r="L291" s="1162"/>
      <c r="M291" s="1162"/>
      <c r="N291" s="1162"/>
      <c r="O291" s="1155"/>
      <c r="P291" s="1155"/>
      <c r="Q291" s="1155"/>
      <c r="R291" s="1163"/>
      <c r="S291" s="1164"/>
      <c r="T291" s="1164"/>
      <c r="U291" s="1164"/>
      <c r="V291" s="1164"/>
      <c r="W291" s="1164"/>
      <c r="X291" s="1164"/>
      <c r="Y291" s="1164"/>
      <c r="Z291" s="1164"/>
      <c r="AA291" s="1164"/>
      <c r="AB291" s="1164"/>
      <c r="AC291" s="1164"/>
      <c r="AD291" s="1164"/>
      <c r="AE291" s="1155"/>
      <c r="AF291" s="1155"/>
      <c r="AG291" s="1155"/>
      <c r="AH291" s="1163"/>
      <c r="AI291" s="1164"/>
      <c r="AJ291" s="1164"/>
      <c r="AK291" s="1164"/>
      <c r="AL291" s="1164"/>
      <c r="AM291" s="1164"/>
      <c r="AN291" s="1164"/>
      <c r="AO291" s="1164"/>
      <c r="AP291" s="1164"/>
      <c r="AQ291" s="1164"/>
      <c r="AR291" s="1164"/>
      <c r="AS291" s="1164"/>
      <c r="AT291" s="1164"/>
    </row>
    <row r="292" ht="15.75" customHeight="1">
      <c r="A292" s="852"/>
      <c r="B292" s="852"/>
      <c r="C292" s="1156"/>
      <c r="D292" s="1157"/>
      <c r="E292" s="1158"/>
      <c r="F292" s="1159"/>
      <c r="G292" s="1160"/>
      <c r="H292" s="1161"/>
      <c r="I292" s="1155"/>
      <c r="J292" s="1162"/>
      <c r="K292" s="1162"/>
      <c r="L292" s="1162"/>
      <c r="M292" s="1162"/>
      <c r="N292" s="1162"/>
      <c r="O292" s="1155"/>
      <c r="P292" s="1155"/>
      <c r="Q292" s="1155"/>
      <c r="R292" s="1163"/>
      <c r="S292" s="1164"/>
      <c r="T292" s="1164"/>
      <c r="U292" s="1164"/>
      <c r="V292" s="1164"/>
      <c r="W292" s="1164"/>
      <c r="X292" s="1164"/>
      <c r="Y292" s="1164"/>
      <c r="Z292" s="1164"/>
      <c r="AA292" s="1164"/>
      <c r="AB292" s="1164"/>
      <c r="AC292" s="1164"/>
      <c r="AD292" s="1164"/>
      <c r="AE292" s="1155"/>
      <c r="AF292" s="1155"/>
      <c r="AG292" s="1155"/>
      <c r="AH292" s="1163"/>
      <c r="AI292" s="1164"/>
      <c r="AJ292" s="1164"/>
      <c r="AK292" s="1164"/>
      <c r="AL292" s="1164"/>
      <c r="AM292" s="1164"/>
      <c r="AN292" s="1164"/>
      <c r="AO292" s="1164"/>
      <c r="AP292" s="1164"/>
      <c r="AQ292" s="1164"/>
      <c r="AR292" s="1164"/>
      <c r="AS292" s="1164"/>
      <c r="AT292" s="1164"/>
    </row>
    <row r="293" ht="15.75" customHeight="1">
      <c r="A293" s="852"/>
      <c r="B293" s="852"/>
      <c r="C293" s="1156"/>
      <c r="D293" s="1157"/>
      <c r="E293" s="1158"/>
      <c r="F293" s="1159"/>
      <c r="G293" s="1160"/>
      <c r="H293" s="1161"/>
      <c r="I293" s="1155"/>
      <c r="J293" s="1162"/>
      <c r="K293" s="1162"/>
      <c r="L293" s="1162"/>
      <c r="M293" s="1162"/>
      <c r="N293" s="1162"/>
      <c r="O293" s="1155"/>
      <c r="P293" s="1155"/>
      <c r="Q293" s="1155"/>
      <c r="R293" s="1163"/>
      <c r="S293" s="1164"/>
      <c r="T293" s="1164"/>
      <c r="U293" s="1164"/>
      <c r="V293" s="1164"/>
      <c r="W293" s="1164"/>
      <c r="X293" s="1164"/>
      <c r="Y293" s="1164"/>
      <c r="Z293" s="1164"/>
      <c r="AA293" s="1164"/>
      <c r="AB293" s="1164"/>
      <c r="AC293" s="1164"/>
      <c r="AD293" s="1164"/>
      <c r="AE293" s="1155"/>
      <c r="AF293" s="1155"/>
      <c r="AG293" s="1155"/>
      <c r="AH293" s="1163"/>
      <c r="AI293" s="1164"/>
      <c r="AJ293" s="1164"/>
      <c r="AK293" s="1164"/>
      <c r="AL293" s="1164"/>
      <c r="AM293" s="1164"/>
      <c r="AN293" s="1164"/>
      <c r="AO293" s="1164"/>
      <c r="AP293" s="1164"/>
      <c r="AQ293" s="1164"/>
      <c r="AR293" s="1164"/>
      <c r="AS293" s="1164"/>
      <c r="AT293" s="1164"/>
    </row>
    <row r="294" ht="15.75" customHeight="1">
      <c r="A294" s="852"/>
      <c r="B294" s="852"/>
      <c r="C294" s="1156"/>
      <c r="D294" s="1157"/>
      <c r="E294" s="1158"/>
      <c r="F294" s="1159"/>
      <c r="G294" s="1160"/>
      <c r="H294" s="1161"/>
      <c r="I294" s="1155"/>
      <c r="J294" s="1162"/>
      <c r="K294" s="1162"/>
      <c r="L294" s="1162"/>
      <c r="M294" s="1162"/>
      <c r="N294" s="1162"/>
      <c r="O294" s="1155"/>
      <c r="P294" s="1155"/>
      <c r="Q294" s="1155"/>
      <c r="R294" s="1163"/>
      <c r="S294" s="1164"/>
      <c r="T294" s="1164"/>
      <c r="U294" s="1164"/>
      <c r="V294" s="1164"/>
      <c r="W294" s="1164"/>
      <c r="X294" s="1164"/>
      <c r="Y294" s="1164"/>
      <c r="Z294" s="1164"/>
      <c r="AA294" s="1164"/>
      <c r="AB294" s="1164"/>
      <c r="AC294" s="1164"/>
      <c r="AD294" s="1164"/>
      <c r="AE294" s="1155"/>
      <c r="AF294" s="1155"/>
      <c r="AG294" s="1155"/>
      <c r="AH294" s="1163"/>
      <c r="AI294" s="1164"/>
      <c r="AJ294" s="1164"/>
      <c r="AK294" s="1164"/>
      <c r="AL294" s="1164"/>
      <c r="AM294" s="1164"/>
      <c r="AN294" s="1164"/>
      <c r="AO294" s="1164"/>
      <c r="AP294" s="1164"/>
      <c r="AQ294" s="1164"/>
      <c r="AR294" s="1164"/>
      <c r="AS294" s="1164"/>
      <c r="AT294" s="1164"/>
    </row>
    <row r="295" ht="15.75" customHeight="1">
      <c r="A295" s="852"/>
      <c r="B295" s="852"/>
      <c r="C295" s="1156"/>
      <c r="D295" s="1157"/>
      <c r="E295" s="1158"/>
      <c r="F295" s="1159"/>
      <c r="G295" s="1160"/>
      <c r="H295" s="1161"/>
      <c r="I295" s="1155"/>
      <c r="J295" s="1162"/>
      <c r="K295" s="1162"/>
      <c r="L295" s="1162"/>
      <c r="M295" s="1162"/>
      <c r="N295" s="1162"/>
      <c r="O295" s="1155"/>
      <c r="P295" s="1155"/>
      <c r="Q295" s="1155"/>
      <c r="R295" s="1163"/>
      <c r="S295" s="1164"/>
      <c r="T295" s="1164"/>
      <c r="U295" s="1164"/>
      <c r="V295" s="1164"/>
      <c r="W295" s="1164"/>
      <c r="X295" s="1164"/>
      <c r="Y295" s="1164"/>
      <c r="Z295" s="1164"/>
      <c r="AA295" s="1164"/>
      <c r="AB295" s="1164"/>
      <c r="AC295" s="1164"/>
      <c r="AD295" s="1164"/>
      <c r="AE295" s="1155"/>
      <c r="AF295" s="1155"/>
      <c r="AG295" s="1155"/>
      <c r="AH295" s="1163"/>
      <c r="AI295" s="1164"/>
      <c r="AJ295" s="1164"/>
      <c r="AK295" s="1164"/>
      <c r="AL295" s="1164"/>
      <c r="AM295" s="1164"/>
      <c r="AN295" s="1164"/>
      <c r="AO295" s="1164"/>
      <c r="AP295" s="1164"/>
      <c r="AQ295" s="1164"/>
      <c r="AR295" s="1164"/>
      <c r="AS295" s="1164"/>
      <c r="AT295" s="1164"/>
    </row>
    <row r="296" ht="15.75" customHeight="1">
      <c r="A296" s="852"/>
      <c r="B296" s="852"/>
      <c r="C296" s="1156"/>
      <c r="D296" s="1157"/>
      <c r="E296" s="1158"/>
      <c r="F296" s="1159"/>
      <c r="G296" s="1160"/>
      <c r="H296" s="1161"/>
      <c r="I296" s="1155"/>
      <c r="J296" s="1162"/>
      <c r="K296" s="1162"/>
      <c r="L296" s="1162"/>
      <c r="M296" s="1162"/>
      <c r="N296" s="1162"/>
      <c r="O296" s="1155"/>
      <c r="P296" s="1155"/>
      <c r="Q296" s="1155"/>
      <c r="R296" s="1163"/>
      <c r="S296" s="1164"/>
      <c r="T296" s="1164"/>
      <c r="U296" s="1164"/>
      <c r="V296" s="1164"/>
      <c r="W296" s="1164"/>
      <c r="X296" s="1164"/>
      <c r="Y296" s="1164"/>
      <c r="Z296" s="1164"/>
      <c r="AA296" s="1164"/>
      <c r="AB296" s="1164"/>
      <c r="AC296" s="1164"/>
      <c r="AD296" s="1164"/>
      <c r="AE296" s="1155"/>
      <c r="AF296" s="1155"/>
      <c r="AG296" s="1155"/>
      <c r="AH296" s="1163"/>
      <c r="AI296" s="1164"/>
      <c r="AJ296" s="1164"/>
      <c r="AK296" s="1164"/>
      <c r="AL296" s="1164"/>
      <c r="AM296" s="1164"/>
      <c r="AN296" s="1164"/>
      <c r="AO296" s="1164"/>
      <c r="AP296" s="1164"/>
      <c r="AQ296" s="1164"/>
      <c r="AR296" s="1164"/>
      <c r="AS296" s="1164"/>
      <c r="AT296" s="1164"/>
    </row>
    <row r="297" ht="15.75" customHeight="1">
      <c r="A297" s="852"/>
      <c r="B297" s="852"/>
      <c r="C297" s="1156"/>
      <c r="D297" s="1157"/>
      <c r="E297" s="1158"/>
      <c r="F297" s="1159"/>
      <c r="G297" s="1160"/>
      <c r="H297" s="1161"/>
      <c r="I297" s="1155"/>
      <c r="J297" s="1162"/>
      <c r="K297" s="1162"/>
      <c r="L297" s="1162"/>
      <c r="M297" s="1162"/>
      <c r="N297" s="1162"/>
      <c r="O297" s="1155"/>
      <c r="P297" s="1155"/>
      <c r="Q297" s="1155"/>
      <c r="R297" s="1163"/>
      <c r="S297" s="1164"/>
      <c r="T297" s="1164"/>
      <c r="U297" s="1164"/>
      <c r="V297" s="1164"/>
      <c r="W297" s="1164"/>
      <c r="X297" s="1164"/>
      <c r="Y297" s="1164"/>
      <c r="Z297" s="1164"/>
      <c r="AA297" s="1164"/>
      <c r="AB297" s="1164"/>
      <c r="AC297" s="1164"/>
      <c r="AD297" s="1164"/>
      <c r="AE297" s="1155"/>
      <c r="AF297" s="1155"/>
      <c r="AG297" s="1155"/>
      <c r="AH297" s="1163"/>
      <c r="AI297" s="1164"/>
      <c r="AJ297" s="1164"/>
      <c r="AK297" s="1164"/>
      <c r="AL297" s="1164"/>
      <c r="AM297" s="1164"/>
      <c r="AN297" s="1164"/>
      <c r="AO297" s="1164"/>
      <c r="AP297" s="1164"/>
      <c r="AQ297" s="1164"/>
      <c r="AR297" s="1164"/>
      <c r="AS297" s="1164"/>
      <c r="AT297" s="1164"/>
    </row>
    <row r="298" ht="15.75" customHeight="1">
      <c r="A298" s="852"/>
      <c r="B298" s="852"/>
      <c r="C298" s="1156"/>
      <c r="D298" s="1157"/>
      <c r="E298" s="1158"/>
      <c r="F298" s="1159"/>
      <c r="G298" s="1160"/>
      <c r="H298" s="1161"/>
      <c r="I298" s="1155"/>
      <c r="J298" s="1162"/>
      <c r="K298" s="1162"/>
      <c r="L298" s="1162"/>
      <c r="M298" s="1162"/>
      <c r="N298" s="1162"/>
      <c r="O298" s="1155"/>
      <c r="P298" s="1155"/>
      <c r="Q298" s="1155"/>
      <c r="R298" s="1163"/>
      <c r="S298" s="1164"/>
      <c r="T298" s="1164"/>
      <c r="U298" s="1164"/>
      <c r="V298" s="1164"/>
      <c r="W298" s="1164"/>
      <c r="X298" s="1164"/>
      <c r="Y298" s="1164"/>
      <c r="Z298" s="1164"/>
      <c r="AA298" s="1164"/>
      <c r="AB298" s="1164"/>
      <c r="AC298" s="1164"/>
      <c r="AD298" s="1164"/>
      <c r="AE298" s="1155"/>
      <c r="AF298" s="1155"/>
      <c r="AG298" s="1155"/>
      <c r="AH298" s="1163"/>
      <c r="AI298" s="1164"/>
      <c r="AJ298" s="1164"/>
      <c r="AK298" s="1164"/>
      <c r="AL298" s="1164"/>
      <c r="AM298" s="1164"/>
      <c r="AN298" s="1164"/>
      <c r="AO298" s="1164"/>
      <c r="AP298" s="1164"/>
      <c r="AQ298" s="1164"/>
      <c r="AR298" s="1164"/>
      <c r="AS298" s="1164"/>
      <c r="AT298" s="1164"/>
    </row>
    <row r="299" ht="15.75" customHeight="1">
      <c r="A299" s="852"/>
      <c r="B299" s="852"/>
      <c r="C299" s="1156"/>
      <c r="D299" s="1157"/>
      <c r="E299" s="1158"/>
      <c r="F299" s="1159"/>
      <c r="G299" s="1160"/>
      <c r="H299" s="1161"/>
      <c r="I299" s="1155"/>
      <c r="J299" s="1162"/>
      <c r="K299" s="1162"/>
      <c r="L299" s="1162"/>
      <c r="M299" s="1162"/>
      <c r="N299" s="1162"/>
      <c r="O299" s="1155"/>
      <c r="P299" s="1155"/>
      <c r="Q299" s="1155"/>
      <c r="R299" s="1163"/>
      <c r="S299" s="1164"/>
      <c r="T299" s="1164"/>
      <c r="U299" s="1164"/>
      <c r="V299" s="1164"/>
      <c r="W299" s="1164"/>
      <c r="X299" s="1164"/>
      <c r="Y299" s="1164"/>
      <c r="Z299" s="1164"/>
      <c r="AA299" s="1164"/>
      <c r="AB299" s="1164"/>
      <c r="AC299" s="1164"/>
      <c r="AD299" s="1164"/>
      <c r="AE299" s="1155"/>
      <c r="AF299" s="1155"/>
      <c r="AG299" s="1155"/>
      <c r="AH299" s="1163"/>
      <c r="AI299" s="1164"/>
      <c r="AJ299" s="1164"/>
      <c r="AK299" s="1164"/>
      <c r="AL299" s="1164"/>
      <c r="AM299" s="1164"/>
      <c r="AN299" s="1164"/>
      <c r="AO299" s="1164"/>
      <c r="AP299" s="1164"/>
      <c r="AQ299" s="1164"/>
      <c r="AR299" s="1164"/>
      <c r="AS299" s="1164"/>
      <c r="AT299" s="1164"/>
    </row>
    <row r="300" ht="15.75" customHeight="1">
      <c r="A300" s="852"/>
      <c r="B300" s="852"/>
      <c r="C300" s="1156"/>
      <c r="D300" s="1157"/>
      <c r="E300" s="1158"/>
      <c r="F300" s="1159"/>
      <c r="G300" s="1160"/>
      <c r="H300" s="1161"/>
      <c r="I300" s="1155"/>
      <c r="J300" s="1162"/>
      <c r="K300" s="1162"/>
      <c r="L300" s="1162"/>
      <c r="M300" s="1162"/>
      <c r="N300" s="1162"/>
      <c r="O300" s="1155"/>
      <c r="P300" s="1155"/>
      <c r="Q300" s="1155"/>
      <c r="R300" s="1163"/>
      <c r="S300" s="1164"/>
      <c r="T300" s="1164"/>
      <c r="U300" s="1164"/>
      <c r="V300" s="1164"/>
      <c r="W300" s="1164"/>
      <c r="X300" s="1164"/>
      <c r="Y300" s="1164"/>
      <c r="Z300" s="1164"/>
      <c r="AA300" s="1164"/>
      <c r="AB300" s="1164"/>
      <c r="AC300" s="1164"/>
      <c r="AD300" s="1164"/>
      <c r="AE300" s="1155"/>
      <c r="AF300" s="1155"/>
      <c r="AG300" s="1155"/>
      <c r="AH300" s="1163"/>
      <c r="AI300" s="1164"/>
      <c r="AJ300" s="1164"/>
      <c r="AK300" s="1164"/>
      <c r="AL300" s="1164"/>
      <c r="AM300" s="1164"/>
      <c r="AN300" s="1164"/>
      <c r="AO300" s="1164"/>
      <c r="AP300" s="1164"/>
      <c r="AQ300" s="1164"/>
      <c r="AR300" s="1164"/>
      <c r="AS300" s="1164"/>
      <c r="AT300" s="1164"/>
    </row>
    <row r="301" ht="15.75" customHeight="1">
      <c r="A301" s="852"/>
      <c r="B301" s="852"/>
      <c r="C301" s="1156"/>
      <c r="D301" s="1157"/>
      <c r="E301" s="1158"/>
      <c r="F301" s="1159"/>
      <c r="G301" s="1160"/>
      <c r="H301" s="1161"/>
      <c r="I301" s="1155"/>
      <c r="J301" s="1162"/>
      <c r="K301" s="1162"/>
      <c r="L301" s="1162"/>
      <c r="M301" s="1162"/>
      <c r="N301" s="1162"/>
      <c r="O301" s="1155"/>
      <c r="P301" s="1155"/>
      <c r="Q301" s="1155"/>
      <c r="R301" s="1163"/>
      <c r="S301" s="1164"/>
      <c r="T301" s="1164"/>
      <c r="U301" s="1164"/>
      <c r="V301" s="1164"/>
      <c r="W301" s="1164"/>
      <c r="X301" s="1164"/>
      <c r="Y301" s="1164"/>
      <c r="Z301" s="1164"/>
      <c r="AA301" s="1164"/>
      <c r="AB301" s="1164"/>
      <c r="AC301" s="1164"/>
      <c r="AD301" s="1164"/>
      <c r="AE301" s="1155"/>
      <c r="AF301" s="1155"/>
      <c r="AG301" s="1155"/>
      <c r="AH301" s="1163"/>
      <c r="AI301" s="1164"/>
      <c r="AJ301" s="1164"/>
      <c r="AK301" s="1164"/>
      <c r="AL301" s="1164"/>
      <c r="AM301" s="1164"/>
      <c r="AN301" s="1164"/>
      <c r="AO301" s="1164"/>
      <c r="AP301" s="1164"/>
      <c r="AQ301" s="1164"/>
      <c r="AR301" s="1164"/>
      <c r="AS301" s="1164"/>
      <c r="AT301" s="1164"/>
    </row>
    <row r="302" ht="15.75" customHeight="1">
      <c r="A302" s="852"/>
      <c r="B302" s="852"/>
      <c r="C302" s="1156"/>
      <c r="D302" s="1157"/>
      <c r="E302" s="1158"/>
      <c r="F302" s="1159"/>
      <c r="G302" s="1160"/>
      <c r="H302" s="1161"/>
      <c r="I302" s="1155"/>
      <c r="J302" s="1162"/>
      <c r="K302" s="1162"/>
      <c r="L302" s="1162"/>
      <c r="M302" s="1162"/>
      <c r="N302" s="1162"/>
      <c r="O302" s="1155"/>
      <c r="P302" s="1155"/>
      <c r="Q302" s="1155"/>
      <c r="R302" s="1163"/>
      <c r="S302" s="1164"/>
      <c r="T302" s="1164"/>
      <c r="U302" s="1164"/>
      <c r="V302" s="1164"/>
      <c r="W302" s="1164"/>
      <c r="X302" s="1164"/>
      <c r="Y302" s="1164"/>
      <c r="Z302" s="1164"/>
      <c r="AA302" s="1164"/>
      <c r="AB302" s="1164"/>
      <c r="AC302" s="1164"/>
      <c r="AD302" s="1164"/>
      <c r="AE302" s="1155"/>
      <c r="AF302" s="1155"/>
      <c r="AG302" s="1155"/>
      <c r="AH302" s="1163"/>
      <c r="AI302" s="1164"/>
      <c r="AJ302" s="1164"/>
      <c r="AK302" s="1164"/>
      <c r="AL302" s="1164"/>
      <c r="AM302" s="1164"/>
      <c r="AN302" s="1164"/>
      <c r="AO302" s="1164"/>
      <c r="AP302" s="1164"/>
      <c r="AQ302" s="1164"/>
      <c r="AR302" s="1164"/>
      <c r="AS302" s="1164"/>
      <c r="AT302" s="1164"/>
    </row>
    <row r="303" ht="15.75" customHeight="1">
      <c r="A303" s="852"/>
      <c r="B303" s="852"/>
      <c r="C303" s="1156"/>
      <c r="D303" s="1157"/>
      <c r="E303" s="1158"/>
      <c r="F303" s="1159"/>
      <c r="G303" s="1160"/>
      <c r="H303" s="1161"/>
      <c r="I303" s="1155"/>
      <c r="J303" s="1162"/>
      <c r="K303" s="1162"/>
      <c r="L303" s="1162"/>
      <c r="M303" s="1162"/>
      <c r="N303" s="1162"/>
      <c r="O303" s="1155"/>
      <c r="P303" s="1155"/>
      <c r="Q303" s="1155"/>
      <c r="R303" s="1163"/>
      <c r="S303" s="1164"/>
      <c r="T303" s="1164"/>
      <c r="U303" s="1164"/>
      <c r="V303" s="1164"/>
      <c r="W303" s="1164"/>
      <c r="X303" s="1164"/>
      <c r="Y303" s="1164"/>
      <c r="Z303" s="1164"/>
      <c r="AA303" s="1164"/>
      <c r="AB303" s="1164"/>
      <c r="AC303" s="1164"/>
      <c r="AD303" s="1164"/>
      <c r="AE303" s="1155"/>
      <c r="AF303" s="1155"/>
      <c r="AG303" s="1155"/>
      <c r="AH303" s="1163"/>
      <c r="AI303" s="1164"/>
      <c r="AJ303" s="1164"/>
      <c r="AK303" s="1164"/>
      <c r="AL303" s="1164"/>
      <c r="AM303" s="1164"/>
      <c r="AN303" s="1164"/>
      <c r="AO303" s="1164"/>
      <c r="AP303" s="1164"/>
      <c r="AQ303" s="1164"/>
      <c r="AR303" s="1164"/>
      <c r="AS303" s="1164"/>
      <c r="AT303" s="1164"/>
    </row>
    <row r="304" ht="15.75" customHeight="1">
      <c r="A304" s="852"/>
      <c r="B304" s="852"/>
      <c r="C304" s="1156"/>
      <c r="D304" s="1157"/>
      <c r="E304" s="1158"/>
      <c r="F304" s="1159"/>
      <c r="G304" s="1160"/>
      <c r="H304" s="1161"/>
      <c r="I304" s="1155"/>
      <c r="J304" s="1162"/>
      <c r="K304" s="1162"/>
      <c r="L304" s="1162"/>
      <c r="M304" s="1162"/>
      <c r="N304" s="1162"/>
      <c r="O304" s="1155"/>
      <c r="P304" s="1155"/>
      <c r="Q304" s="1155"/>
      <c r="R304" s="1163"/>
      <c r="S304" s="1164"/>
      <c r="T304" s="1164"/>
      <c r="U304" s="1164"/>
      <c r="V304" s="1164"/>
      <c r="W304" s="1164"/>
      <c r="X304" s="1164"/>
      <c r="Y304" s="1164"/>
      <c r="Z304" s="1164"/>
      <c r="AA304" s="1164"/>
      <c r="AB304" s="1164"/>
      <c r="AC304" s="1164"/>
      <c r="AD304" s="1164"/>
      <c r="AE304" s="1155"/>
      <c r="AF304" s="1155"/>
      <c r="AG304" s="1155"/>
      <c r="AH304" s="1163"/>
      <c r="AI304" s="1164"/>
      <c r="AJ304" s="1164"/>
      <c r="AK304" s="1164"/>
      <c r="AL304" s="1164"/>
      <c r="AM304" s="1164"/>
      <c r="AN304" s="1164"/>
      <c r="AO304" s="1164"/>
      <c r="AP304" s="1164"/>
      <c r="AQ304" s="1164"/>
      <c r="AR304" s="1164"/>
      <c r="AS304" s="1164"/>
      <c r="AT304" s="1164"/>
    </row>
    <row r="305" ht="15.75" customHeight="1">
      <c r="A305" s="852"/>
      <c r="B305" s="852"/>
      <c r="C305" s="1156"/>
      <c r="D305" s="1157"/>
      <c r="E305" s="1158"/>
      <c r="F305" s="1159"/>
      <c r="G305" s="1160"/>
      <c r="H305" s="1161"/>
      <c r="I305" s="1155"/>
      <c r="J305" s="1162"/>
      <c r="K305" s="1162"/>
      <c r="L305" s="1162"/>
      <c r="M305" s="1162"/>
      <c r="N305" s="1162"/>
      <c r="O305" s="1155"/>
      <c r="P305" s="1155"/>
      <c r="Q305" s="1155"/>
      <c r="R305" s="1163"/>
      <c r="S305" s="1164"/>
      <c r="T305" s="1164"/>
      <c r="U305" s="1164"/>
      <c r="V305" s="1164"/>
      <c r="W305" s="1164"/>
      <c r="X305" s="1164"/>
      <c r="Y305" s="1164"/>
      <c r="Z305" s="1164"/>
      <c r="AA305" s="1164"/>
      <c r="AB305" s="1164"/>
      <c r="AC305" s="1164"/>
      <c r="AD305" s="1164"/>
      <c r="AE305" s="1155"/>
      <c r="AF305" s="1155"/>
      <c r="AG305" s="1155"/>
      <c r="AH305" s="1163"/>
      <c r="AI305" s="1164"/>
      <c r="AJ305" s="1164"/>
      <c r="AK305" s="1164"/>
      <c r="AL305" s="1164"/>
      <c r="AM305" s="1164"/>
      <c r="AN305" s="1164"/>
      <c r="AO305" s="1164"/>
      <c r="AP305" s="1164"/>
      <c r="AQ305" s="1164"/>
      <c r="AR305" s="1164"/>
      <c r="AS305" s="1164"/>
      <c r="AT305" s="1164"/>
    </row>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I2:J2"/>
    <mergeCell ref="I51:I52"/>
    <mergeCell ref="J51:J52"/>
    <mergeCell ref="I83:I103"/>
    <mergeCell ref="J83:J103"/>
    <mergeCell ref="R1:AD1"/>
    <mergeCell ref="AH1:AT1"/>
    <mergeCell ref="F2:H2"/>
    <mergeCell ref="K2:L2"/>
    <mergeCell ref="M2:N2"/>
    <mergeCell ref="O2:AD2"/>
    <mergeCell ref="AE2:AT2"/>
  </mergeCells>
  <conditionalFormatting sqref="G4:G103">
    <cfRule type="notContainsBlanks" dxfId="0" priority="1">
      <formula>LEN(TRIM(G4))&gt;0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0"/>
    <col customWidth="1" min="2" max="6" width="12.63"/>
  </cols>
  <sheetData>
    <row r="1" ht="15.75" customHeight="1">
      <c r="A1" s="164" t="s">
        <v>1074</v>
      </c>
      <c r="B1" s="164" t="s">
        <v>1075</v>
      </c>
      <c r="C1" s="164" t="s">
        <v>1076</v>
      </c>
      <c r="D1" s="164" t="s">
        <v>1077</v>
      </c>
      <c r="E1" s="164" t="s">
        <v>1078</v>
      </c>
      <c r="F1" s="164" t="s">
        <v>1079</v>
      </c>
      <c r="G1" s="164" t="s">
        <v>1080</v>
      </c>
      <c r="H1" s="164" t="s">
        <v>1081</v>
      </c>
      <c r="I1" s="164" t="s">
        <v>1082</v>
      </c>
      <c r="J1" s="164" t="s">
        <v>1083</v>
      </c>
      <c r="K1" s="164" t="s">
        <v>1084</v>
      </c>
      <c r="L1" s="164" t="s">
        <v>1085</v>
      </c>
      <c r="M1" s="164" t="s">
        <v>1086</v>
      </c>
      <c r="N1" s="1165"/>
      <c r="O1" s="1165"/>
      <c r="P1" s="1165"/>
      <c r="Q1" s="1165"/>
      <c r="R1" s="1165"/>
      <c r="S1" s="1165"/>
      <c r="T1" s="1165"/>
    </row>
    <row r="2" ht="15.75" customHeight="1">
      <c r="A2" s="164" t="s">
        <v>1087</v>
      </c>
      <c r="B2" s="164" t="s">
        <v>1055</v>
      </c>
      <c r="C2" s="164" t="s">
        <v>1088</v>
      </c>
      <c r="D2" s="1166">
        <v>5.0</v>
      </c>
      <c r="E2" s="1166">
        <v>5.0</v>
      </c>
      <c r="F2" s="1166">
        <v>5.0</v>
      </c>
      <c r="G2" s="1166">
        <v>5.0</v>
      </c>
      <c r="H2" s="1166">
        <v>5.0</v>
      </c>
      <c r="I2" s="1166">
        <v>5.0</v>
      </c>
      <c r="J2" s="1166">
        <v>5.0</v>
      </c>
      <c r="K2" s="164" t="s">
        <v>1089</v>
      </c>
      <c r="L2" s="164"/>
      <c r="M2" s="164" t="s">
        <v>1090</v>
      </c>
      <c r="N2" s="1165" t="s">
        <v>1091</v>
      </c>
      <c r="O2" s="1165" t="s">
        <v>1092</v>
      </c>
      <c r="P2" s="1165" t="s">
        <v>1093</v>
      </c>
      <c r="Q2" s="1165"/>
      <c r="R2" s="1165"/>
      <c r="S2" s="1165"/>
      <c r="T2" s="1165"/>
    </row>
    <row r="3" ht="15.75" customHeight="1">
      <c r="A3" s="164" t="s">
        <v>1087</v>
      </c>
      <c r="B3" s="164" t="s">
        <v>1050</v>
      </c>
      <c r="C3" s="164" t="s">
        <v>1094</v>
      </c>
      <c r="D3" s="1166">
        <v>5.0</v>
      </c>
      <c r="E3" s="1166">
        <v>5.0</v>
      </c>
      <c r="F3" s="1166">
        <v>5.0</v>
      </c>
      <c r="G3" s="1166">
        <v>5.0</v>
      </c>
      <c r="H3" s="1166">
        <v>5.0</v>
      </c>
      <c r="I3" s="1166">
        <v>5.0</v>
      </c>
      <c r="J3" s="1166">
        <v>5.0</v>
      </c>
      <c r="K3" s="164" t="s">
        <v>1095</v>
      </c>
      <c r="L3" s="164"/>
      <c r="M3" s="164" t="s">
        <v>1096</v>
      </c>
      <c r="N3" s="1165"/>
      <c r="O3" s="1165"/>
      <c r="P3" s="1165"/>
      <c r="Q3" s="1165"/>
      <c r="R3" s="1165"/>
      <c r="S3" s="1165"/>
      <c r="T3" s="1165"/>
    </row>
    <row r="4" ht="15.75" customHeight="1">
      <c r="A4" s="164" t="s">
        <v>1097</v>
      </c>
      <c r="B4" s="164" t="s">
        <v>1063</v>
      </c>
      <c r="C4" s="164" t="s">
        <v>1098</v>
      </c>
      <c r="D4" s="1166">
        <v>5.0</v>
      </c>
      <c r="E4" s="1166">
        <v>5.0</v>
      </c>
      <c r="F4" s="1166">
        <v>5.0</v>
      </c>
      <c r="G4" s="1166">
        <v>5.0</v>
      </c>
      <c r="H4" s="1166">
        <v>5.0</v>
      </c>
      <c r="I4" s="1166">
        <v>5.0</v>
      </c>
      <c r="J4" s="1166">
        <v>5.0</v>
      </c>
      <c r="K4" s="164" t="s">
        <v>1099</v>
      </c>
      <c r="L4" s="164"/>
      <c r="M4" s="164" t="s">
        <v>1100</v>
      </c>
      <c r="N4" s="1165"/>
      <c r="O4" s="1165"/>
      <c r="P4" s="1165"/>
      <c r="Q4" s="1165"/>
      <c r="R4" s="1165"/>
      <c r="S4" s="1165"/>
      <c r="T4" s="1165"/>
    </row>
    <row r="5" ht="15.75" customHeight="1">
      <c r="A5" s="164" t="s">
        <v>1097</v>
      </c>
      <c r="B5" s="164" t="s">
        <v>1065</v>
      </c>
      <c r="C5" s="164" t="s">
        <v>1101</v>
      </c>
      <c r="D5" s="1166">
        <v>5.0</v>
      </c>
      <c r="E5" s="1166">
        <v>5.0</v>
      </c>
      <c r="F5" s="1166">
        <v>5.0</v>
      </c>
      <c r="G5" s="1166">
        <v>5.0</v>
      </c>
      <c r="H5" s="1166">
        <v>5.0</v>
      </c>
      <c r="I5" s="1166">
        <v>5.0</v>
      </c>
      <c r="J5" s="1166">
        <v>4.0</v>
      </c>
      <c r="K5" s="164" t="s">
        <v>1102</v>
      </c>
      <c r="L5" s="164"/>
      <c r="M5" s="164"/>
      <c r="N5" s="1165"/>
      <c r="O5" s="1165"/>
      <c r="P5" s="1165"/>
      <c r="Q5" s="1165"/>
      <c r="R5" s="1165"/>
      <c r="S5" s="1165"/>
      <c r="T5" s="1165"/>
    </row>
    <row r="6" ht="15.75" customHeight="1">
      <c r="A6" s="164" t="s">
        <v>1103</v>
      </c>
      <c r="B6" s="164" t="s">
        <v>1067</v>
      </c>
      <c r="C6" s="164" t="s">
        <v>1104</v>
      </c>
      <c r="D6" s="1166">
        <v>5.0</v>
      </c>
      <c r="E6" s="1166">
        <v>5.0</v>
      </c>
      <c r="F6" s="1166">
        <v>5.0</v>
      </c>
      <c r="G6" s="1166">
        <v>5.0</v>
      </c>
      <c r="H6" s="1166">
        <v>5.0</v>
      </c>
      <c r="I6" s="1166">
        <v>5.0</v>
      </c>
      <c r="J6" s="1166">
        <v>5.0</v>
      </c>
      <c r="K6" s="1167" t="s">
        <v>1105</v>
      </c>
      <c r="L6" s="164" t="s">
        <v>1106</v>
      </c>
      <c r="M6" s="164"/>
      <c r="N6" s="1165"/>
      <c r="O6" s="1165"/>
      <c r="P6" s="1165"/>
      <c r="Q6" s="1165"/>
      <c r="R6" s="1165"/>
      <c r="S6" s="1165"/>
      <c r="T6" s="1165"/>
    </row>
    <row r="7" ht="15.75" customHeight="1">
      <c r="A7" s="164" t="s">
        <v>1103</v>
      </c>
      <c r="B7" s="164" t="s">
        <v>1058</v>
      </c>
      <c r="C7" s="164" t="s">
        <v>1107</v>
      </c>
      <c r="D7" s="1166">
        <v>5.0</v>
      </c>
      <c r="E7" s="1166">
        <v>5.0</v>
      </c>
      <c r="F7" s="1166">
        <v>5.0</v>
      </c>
      <c r="G7" s="1166">
        <v>5.0</v>
      </c>
      <c r="H7" s="1166">
        <v>5.0</v>
      </c>
      <c r="I7" s="1166">
        <v>5.0</v>
      </c>
      <c r="J7" s="1166">
        <v>5.0</v>
      </c>
      <c r="K7" s="164" t="s">
        <v>1108</v>
      </c>
      <c r="L7" s="164"/>
      <c r="M7" s="164"/>
      <c r="N7" s="1165"/>
      <c r="O7" s="1165"/>
      <c r="P7" s="1165"/>
      <c r="Q7" s="1165"/>
      <c r="R7" s="1165"/>
      <c r="S7" s="1165"/>
      <c r="T7" s="1165"/>
    </row>
    <row r="8" ht="15.75" customHeight="1">
      <c r="A8" s="164" t="s">
        <v>1109</v>
      </c>
      <c r="B8" s="164" t="s">
        <v>1061</v>
      </c>
      <c r="C8" s="164" t="s">
        <v>1110</v>
      </c>
      <c r="D8" s="1166">
        <v>5.0</v>
      </c>
      <c r="E8" s="1166">
        <v>5.0</v>
      </c>
      <c r="F8" s="1166">
        <v>5.0</v>
      </c>
      <c r="G8" s="1166">
        <v>5.0</v>
      </c>
      <c r="H8" s="1166">
        <v>5.0</v>
      </c>
      <c r="I8" s="1166">
        <v>5.0</v>
      </c>
      <c r="J8" s="1166">
        <v>5.0</v>
      </c>
      <c r="K8" s="164" t="s">
        <v>1111</v>
      </c>
      <c r="L8" s="164"/>
      <c r="M8" s="164" t="s">
        <v>1112</v>
      </c>
      <c r="N8" s="1165" t="s">
        <v>1093</v>
      </c>
      <c r="O8" s="1165" t="s">
        <v>1113</v>
      </c>
      <c r="P8" s="1165" t="s">
        <v>1114</v>
      </c>
      <c r="Q8" s="1165"/>
      <c r="R8" s="1165"/>
      <c r="S8" s="1165"/>
      <c r="T8" s="1165"/>
    </row>
    <row r="9" ht="15.75" customHeight="1">
      <c r="A9" s="164" t="s">
        <v>1115</v>
      </c>
      <c r="B9" s="164" t="s">
        <v>1065</v>
      </c>
      <c r="C9" s="164" t="s">
        <v>1116</v>
      </c>
      <c r="D9" s="1166">
        <v>5.0</v>
      </c>
      <c r="E9" s="1166">
        <v>5.0</v>
      </c>
      <c r="F9" s="1166">
        <v>5.0</v>
      </c>
      <c r="G9" s="1166">
        <v>5.0</v>
      </c>
      <c r="H9" s="1166">
        <v>5.0</v>
      </c>
      <c r="I9" s="1166">
        <v>5.0</v>
      </c>
      <c r="J9" s="1166">
        <v>5.0</v>
      </c>
      <c r="K9" s="164" t="s">
        <v>1117</v>
      </c>
      <c r="L9" s="164"/>
      <c r="M9" s="164" t="s">
        <v>1118</v>
      </c>
      <c r="N9" s="1165"/>
      <c r="O9" s="1165"/>
      <c r="P9" s="1165"/>
      <c r="Q9" s="1165"/>
      <c r="R9" s="1165"/>
      <c r="S9" s="1165"/>
      <c r="T9" s="1165"/>
    </row>
    <row r="10" ht="15.75" customHeight="1">
      <c r="A10" s="164" t="s">
        <v>1119</v>
      </c>
      <c r="B10" s="164" t="s">
        <v>1052</v>
      </c>
      <c r="C10" s="164" t="s">
        <v>1120</v>
      </c>
      <c r="D10" s="1166">
        <v>5.0</v>
      </c>
      <c r="E10" s="1166">
        <v>5.0</v>
      </c>
      <c r="F10" s="1166">
        <v>5.0</v>
      </c>
      <c r="G10" s="1166">
        <v>5.0</v>
      </c>
      <c r="H10" s="1166">
        <v>5.0</v>
      </c>
      <c r="I10" s="1166">
        <v>5.0</v>
      </c>
      <c r="J10" s="1166">
        <v>5.0</v>
      </c>
      <c r="K10" s="164" t="s">
        <v>1121</v>
      </c>
      <c r="L10" s="164"/>
      <c r="M10" s="164" t="s">
        <v>1122</v>
      </c>
      <c r="N10" s="1165"/>
      <c r="O10" s="1165"/>
      <c r="P10" s="1165"/>
      <c r="Q10" s="1165"/>
      <c r="R10" s="1165"/>
      <c r="S10" s="1165"/>
      <c r="T10" s="1165"/>
    </row>
    <row r="11" ht="15.75" customHeight="1">
      <c r="A11" s="164" t="s">
        <v>1123</v>
      </c>
      <c r="B11" s="164" t="s">
        <v>1060</v>
      </c>
      <c r="C11" s="164" t="s">
        <v>1124</v>
      </c>
      <c r="D11" s="1166">
        <v>5.0</v>
      </c>
      <c r="E11" s="1166">
        <v>5.0</v>
      </c>
      <c r="F11" s="1166">
        <v>5.0</v>
      </c>
      <c r="G11" s="1166">
        <v>5.0</v>
      </c>
      <c r="H11" s="1166">
        <v>5.0</v>
      </c>
      <c r="I11" s="1166">
        <v>5.0</v>
      </c>
      <c r="J11" s="1166">
        <v>5.0</v>
      </c>
      <c r="K11" s="164" t="s">
        <v>1125</v>
      </c>
      <c r="L11" s="164"/>
      <c r="M11" s="164" t="s">
        <v>1126</v>
      </c>
      <c r="N11" s="1165" t="s">
        <v>1127</v>
      </c>
      <c r="O11" s="1165" t="s">
        <v>1091</v>
      </c>
      <c r="P11" s="1165" t="s">
        <v>1128</v>
      </c>
      <c r="Q11" s="1165" t="s">
        <v>1093</v>
      </c>
      <c r="R11" s="1165" t="s">
        <v>1113</v>
      </c>
      <c r="S11" s="1165" t="s">
        <v>1114</v>
      </c>
      <c r="T11" s="1165"/>
    </row>
    <row r="12" ht="15.75" customHeight="1">
      <c r="A12" s="164" t="s">
        <v>1129</v>
      </c>
      <c r="B12" s="164" t="s">
        <v>1069</v>
      </c>
      <c r="C12" s="164" t="s">
        <v>1130</v>
      </c>
      <c r="D12" s="1166">
        <v>5.0</v>
      </c>
      <c r="E12" s="1166">
        <v>5.0</v>
      </c>
      <c r="F12" s="1166">
        <v>5.0</v>
      </c>
      <c r="G12" s="1166">
        <v>5.0</v>
      </c>
      <c r="H12" s="1166">
        <v>5.0</v>
      </c>
      <c r="I12" s="1166">
        <v>5.0</v>
      </c>
      <c r="J12" s="1166">
        <v>5.0</v>
      </c>
      <c r="K12" s="164" t="s">
        <v>1131</v>
      </c>
      <c r="L12" s="164"/>
      <c r="M12" s="164" t="s">
        <v>1132</v>
      </c>
      <c r="N12" s="1165" t="s">
        <v>1133</v>
      </c>
      <c r="O12" s="1165" t="s">
        <v>1134</v>
      </c>
      <c r="P12" s="1165" t="s">
        <v>1135</v>
      </c>
      <c r="Q12" s="1165" t="s">
        <v>1127</v>
      </c>
      <c r="R12" s="1165" t="s">
        <v>1091</v>
      </c>
      <c r="S12" s="1165" t="s">
        <v>1128</v>
      </c>
      <c r="T12" s="1165" t="s">
        <v>1092</v>
      </c>
    </row>
    <row r="13" ht="15.75" customHeight="1">
      <c r="A13" s="164" t="s">
        <v>1136</v>
      </c>
      <c r="B13" s="164" t="s">
        <v>1068</v>
      </c>
      <c r="C13" s="164" t="s">
        <v>1137</v>
      </c>
      <c r="D13" s="1166">
        <v>5.0</v>
      </c>
      <c r="E13" s="1166">
        <v>5.0</v>
      </c>
      <c r="F13" s="1166">
        <v>5.0</v>
      </c>
      <c r="G13" s="1166">
        <v>5.0</v>
      </c>
      <c r="H13" s="1166">
        <v>5.0</v>
      </c>
      <c r="I13" s="1166">
        <v>5.0</v>
      </c>
      <c r="J13" s="1166">
        <v>5.0</v>
      </c>
      <c r="K13" s="164" t="s">
        <v>1138</v>
      </c>
      <c r="L13" s="164"/>
      <c r="M13" s="164" t="s">
        <v>1139</v>
      </c>
      <c r="N13" s="1165"/>
      <c r="O13" s="1165"/>
      <c r="P13" s="1165"/>
      <c r="Q13" s="1165"/>
      <c r="R13" s="1165"/>
      <c r="S13" s="1165"/>
      <c r="T13" s="1165"/>
    </row>
    <row r="14" ht="15.75" customHeight="1">
      <c r="A14" s="164" t="s">
        <v>1136</v>
      </c>
      <c r="B14" s="164" t="s">
        <v>1073</v>
      </c>
      <c r="C14" s="164" t="s">
        <v>1140</v>
      </c>
      <c r="D14" s="1166">
        <v>5.0</v>
      </c>
      <c r="E14" s="1166">
        <v>5.0</v>
      </c>
      <c r="F14" s="1166">
        <v>5.0</v>
      </c>
      <c r="G14" s="1166">
        <v>5.0</v>
      </c>
      <c r="H14" s="1166">
        <v>5.0</v>
      </c>
      <c r="I14" s="1166">
        <v>5.0</v>
      </c>
      <c r="J14" s="1166">
        <v>5.0</v>
      </c>
      <c r="K14" s="164" t="s">
        <v>1141</v>
      </c>
      <c r="L14" s="164" t="s">
        <v>1142</v>
      </c>
      <c r="M14" s="164" t="s">
        <v>1143</v>
      </c>
      <c r="N14" s="1165"/>
      <c r="O14" s="1165"/>
      <c r="P14" s="1165"/>
      <c r="Q14" s="1165"/>
      <c r="R14" s="1165"/>
      <c r="S14" s="1165"/>
      <c r="T14" s="1165"/>
    </row>
    <row r="15" ht="15.75" customHeight="1">
      <c r="A15" s="164" t="s">
        <v>1144</v>
      </c>
      <c r="B15" s="164" t="s">
        <v>1066</v>
      </c>
      <c r="C15" s="164" t="s">
        <v>1145</v>
      </c>
      <c r="D15" s="1166">
        <v>5.0</v>
      </c>
      <c r="E15" s="1166">
        <v>5.0</v>
      </c>
      <c r="F15" s="1166">
        <v>5.0</v>
      </c>
      <c r="G15" s="1166">
        <v>5.0</v>
      </c>
      <c r="H15" s="1166">
        <v>5.0</v>
      </c>
      <c r="I15" s="1166">
        <v>5.0</v>
      </c>
      <c r="J15" s="1166">
        <v>5.0</v>
      </c>
      <c r="K15" s="164" t="s">
        <v>1146</v>
      </c>
      <c r="L15" s="164" t="s">
        <v>1147</v>
      </c>
      <c r="M15" s="164" t="s">
        <v>1148</v>
      </c>
      <c r="N15" s="1165"/>
      <c r="O15" s="1165"/>
      <c r="P15" s="1165"/>
      <c r="Q15" s="1165"/>
      <c r="R15" s="1165"/>
      <c r="S15" s="1165"/>
      <c r="T15" s="1165"/>
    </row>
    <row r="16" ht="15.75" customHeight="1">
      <c r="A16" s="164" t="s">
        <v>1144</v>
      </c>
      <c r="B16" s="164" t="s">
        <v>1054</v>
      </c>
      <c r="C16" s="164" t="s">
        <v>1149</v>
      </c>
      <c r="D16" s="1166">
        <v>5.0</v>
      </c>
      <c r="E16" s="1166">
        <v>5.0</v>
      </c>
      <c r="F16" s="1166">
        <v>5.0</v>
      </c>
      <c r="G16" s="1166">
        <v>5.0</v>
      </c>
      <c r="H16" s="1166">
        <v>5.0</v>
      </c>
      <c r="I16" s="1166">
        <v>5.0</v>
      </c>
      <c r="J16" s="1166">
        <v>4.0</v>
      </c>
      <c r="K16" s="164" t="s">
        <v>1150</v>
      </c>
      <c r="L16" s="164" t="s">
        <v>1151</v>
      </c>
      <c r="M16" s="164" t="s">
        <v>1152</v>
      </c>
      <c r="N16" s="1165"/>
      <c r="O16" s="1165"/>
      <c r="P16" s="1165"/>
      <c r="Q16" s="1165"/>
      <c r="R16" s="1165"/>
      <c r="S16" s="1165"/>
      <c r="T16" s="1165"/>
    </row>
    <row r="17" ht="15.75" customHeight="1">
      <c r="A17" s="164" t="s">
        <v>1153</v>
      </c>
      <c r="B17" s="164" t="s">
        <v>1071</v>
      </c>
      <c r="C17" s="164" t="s">
        <v>1154</v>
      </c>
      <c r="D17" s="1166">
        <v>5.0</v>
      </c>
      <c r="E17" s="1166">
        <v>5.0</v>
      </c>
      <c r="F17" s="1166">
        <v>5.0</v>
      </c>
      <c r="G17" s="1166">
        <v>4.0</v>
      </c>
      <c r="H17" s="1166">
        <v>5.0</v>
      </c>
      <c r="I17" s="1166">
        <v>5.0</v>
      </c>
      <c r="J17" s="1166">
        <v>5.0</v>
      </c>
      <c r="K17" s="164" t="s">
        <v>1155</v>
      </c>
      <c r="L17" s="164"/>
      <c r="M17" s="164" t="s">
        <v>1156</v>
      </c>
      <c r="N17" s="1165"/>
      <c r="O17" s="1165"/>
      <c r="P17" s="1165"/>
      <c r="Q17" s="1165"/>
      <c r="R17" s="1165"/>
      <c r="S17" s="1165"/>
      <c r="T17" s="1165"/>
    </row>
    <row r="18" ht="15.75" customHeight="1">
      <c r="A18" s="164" t="s">
        <v>1157</v>
      </c>
      <c r="B18" s="164" t="s">
        <v>1065</v>
      </c>
      <c r="C18" s="164" t="s">
        <v>1158</v>
      </c>
      <c r="D18" s="1166">
        <v>5.0</v>
      </c>
      <c r="E18" s="1166">
        <v>5.0</v>
      </c>
      <c r="F18" s="1166">
        <v>5.0</v>
      </c>
      <c r="G18" s="1166">
        <v>5.0</v>
      </c>
      <c r="H18" s="1166">
        <v>5.0</v>
      </c>
      <c r="I18" s="1166">
        <v>5.0</v>
      </c>
      <c r="J18" s="1166">
        <v>5.0</v>
      </c>
      <c r="K18" s="164" t="s">
        <v>1159</v>
      </c>
      <c r="L18" s="164"/>
      <c r="M18" s="164" t="s">
        <v>1160</v>
      </c>
      <c r="N18" s="1165"/>
      <c r="O18" s="1165"/>
      <c r="P18" s="1165"/>
      <c r="Q18" s="1165"/>
      <c r="R18" s="1165"/>
      <c r="S18" s="1165"/>
      <c r="T18" s="1165"/>
    </row>
    <row r="19" ht="15.75" customHeight="1">
      <c r="A19" s="164" t="s">
        <v>1157</v>
      </c>
      <c r="B19" s="164" t="s">
        <v>1063</v>
      </c>
      <c r="C19" s="164" t="s">
        <v>1161</v>
      </c>
      <c r="D19" s="1166">
        <v>5.0</v>
      </c>
      <c r="E19" s="1166">
        <v>5.0</v>
      </c>
      <c r="F19" s="1166">
        <v>5.0</v>
      </c>
      <c r="G19" s="1166">
        <v>5.0</v>
      </c>
      <c r="H19" s="1166">
        <v>5.0</v>
      </c>
      <c r="I19" s="1166">
        <v>5.0</v>
      </c>
      <c r="J19" s="1166">
        <v>5.0</v>
      </c>
      <c r="K19" s="164" t="s">
        <v>1162</v>
      </c>
      <c r="L19" s="164"/>
      <c r="M19" s="164" t="s">
        <v>1163</v>
      </c>
      <c r="N19" s="1165"/>
      <c r="O19" s="1165"/>
      <c r="P19" s="1165"/>
      <c r="Q19" s="1165"/>
      <c r="R19" s="1165"/>
      <c r="S19" s="1165"/>
      <c r="T19" s="1165"/>
    </row>
    <row r="20" ht="15.75" customHeight="1">
      <c r="A20" s="164" t="s">
        <v>1157</v>
      </c>
      <c r="B20" s="164" t="s">
        <v>1069</v>
      </c>
      <c r="C20" s="164" t="s">
        <v>1164</v>
      </c>
      <c r="D20" s="1166">
        <v>5.0</v>
      </c>
      <c r="E20" s="1166">
        <v>5.0</v>
      </c>
      <c r="F20" s="1166">
        <v>5.0</v>
      </c>
      <c r="G20" s="1166">
        <v>5.0</v>
      </c>
      <c r="H20" s="1166">
        <v>5.0</v>
      </c>
      <c r="I20" s="1166">
        <v>5.0</v>
      </c>
      <c r="J20" s="1166">
        <v>5.0</v>
      </c>
      <c r="K20" s="164" t="s">
        <v>1165</v>
      </c>
      <c r="L20" s="164"/>
      <c r="M20" s="164" t="s">
        <v>1166</v>
      </c>
      <c r="N20" s="1165"/>
      <c r="O20" s="1165"/>
      <c r="P20" s="1165"/>
      <c r="Q20" s="1165"/>
      <c r="R20" s="1165"/>
      <c r="S20" s="1165"/>
      <c r="T20" s="1165"/>
    </row>
    <row r="21" ht="15.75" customHeight="1">
      <c r="A21" s="164" t="s">
        <v>1167</v>
      </c>
      <c r="B21" s="164" t="s">
        <v>1065</v>
      </c>
      <c r="C21" s="164" t="s">
        <v>1168</v>
      </c>
      <c r="D21" s="1166">
        <v>5.0</v>
      </c>
      <c r="E21" s="1166">
        <v>5.0</v>
      </c>
      <c r="F21" s="1166">
        <v>5.0</v>
      </c>
      <c r="G21" s="1166">
        <v>5.0</v>
      </c>
      <c r="H21" s="1166">
        <v>5.0</v>
      </c>
      <c r="I21" s="1166">
        <v>5.0</v>
      </c>
      <c r="J21" s="1166">
        <v>5.0</v>
      </c>
      <c r="K21" s="164" t="s">
        <v>1169</v>
      </c>
      <c r="L21" s="164"/>
      <c r="M21" s="164" t="s">
        <v>1170</v>
      </c>
      <c r="N21" s="1165" t="s">
        <v>1128</v>
      </c>
      <c r="O21" s="1165" t="s">
        <v>1092</v>
      </c>
      <c r="P21" s="1165" t="s">
        <v>1171</v>
      </c>
      <c r="Q21" s="1165" t="s">
        <v>1093</v>
      </c>
      <c r="R21" s="1165" t="s">
        <v>1113</v>
      </c>
      <c r="S21" s="1165" t="s">
        <v>1114</v>
      </c>
      <c r="T21" s="1165"/>
    </row>
    <row r="22" ht="15.75" customHeight="1">
      <c r="A22" s="164" t="s">
        <v>1172</v>
      </c>
      <c r="B22" s="164" t="s">
        <v>1062</v>
      </c>
      <c r="C22" s="164" t="s">
        <v>1173</v>
      </c>
      <c r="D22" s="1166">
        <v>5.0</v>
      </c>
      <c r="E22" s="1166">
        <v>5.0</v>
      </c>
      <c r="F22" s="1166">
        <v>5.0</v>
      </c>
      <c r="G22" s="1166">
        <v>5.0</v>
      </c>
      <c r="H22" s="1166">
        <v>5.0</v>
      </c>
      <c r="I22" s="1166">
        <v>5.0</v>
      </c>
      <c r="J22" s="1166">
        <v>5.0</v>
      </c>
      <c r="K22" s="164" t="s">
        <v>1174</v>
      </c>
      <c r="L22" s="164"/>
      <c r="M22" s="164" t="s">
        <v>1175</v>
      </c>
      <c r="N22" s="1165" t="s">
        <v>1127</v>
      </c>
      <c r="O22" s="1165" t="s">
        <v>1091</v>
      </c>
      <c r="P22" s="1165" t="s">
        <v>1128</v>
      </c>
      <c r="Q22" s="1165" t="s">
        <v>1092</v>
      </c>
      <c r="R22" s="1165" t="s">
        <v>1171</v>
      </c>
      <c r="S22" s="1165" t="s">
        <v>1093</v>
      </c>
      <c r="T22" s="1165" t="s">
        <v>1113</v>
      </c>
    </row>
    <row r="23" ht="15.75" customHeight="1">
      <c r="A23" s="164" t="s">
        <v>1176</v>
      </c>
      <c r="B23" s="164" t="s">
        <v>1061</v>
      </c>
      <c r="C23" s="164" t="s">
        <v>1177</v>
      </c>
      <c r="D23" s="1166">
        <v>5.0</v>
      </c>
      <c r="E23" s="1166">
        <v>5.0</v>
      </c>
      <c r="F23" s="1166">
        <v>5.0</v>
      </c>
      <c r="G23" s="1166">
        <v>5.0</v>
      </c>
      <c r="H23" s="1166">
        <v>5.0</v>
      </c>
      <c r="I23" s="1166">
        <v>5.0</v>
      </c>
      <c r="J23" s="1166">
        <v>5.0</v>
      </c>
      <c r="K23" s="164" t="s">
        <v>1178</v>
      </c>
      <c r="L23" s="164" t="s">
        <v>1179</v>
      </c>
      <c r="M23" s="164" t="s">
        <v>1180</v>
      </c>
      <c r="N23" s="1165"/>
      <c r="O23" s="1165"/>
      <c r="P23" s="1165"/>
      <c r="Q23" s="1165"/>
      <c r="R23" s="1165"/>
      <c r="S23" s="1165"/>
      <c r="T23" s="1165"/>
    </row>
    <row r="24" ht="15.75" customHeight="1">
      <c r="A24" s="164" t="s">
        <v>1176</v>
      </c>
      <c r="B24" s="164" t="s">
        <v>1049</v>
      </c>
      <c r="C24" s="164" t="s">
        <v>1181</v>
      </c>
      <c r="D24" s="1166">
        <v>4.0</v>
      </c>
      <c r="E24" s="1166">
        <v>4.0</v>
      </c>
      <c r="F24" s="1166">
        <v>4.0</v>
      </c>
      <c r="G24" s="1166">
        <v>4.0</v>
      </c>
      <c r="H24" s="1166">
        <v>4.0</v>
      </c>
      <c r="I24" s="1166">
        <v>5.0</v>
      </c>
      <c r="J24" s="1166">
        <v>4.0</v>
      </c>
      <c r="K24" s="164" t="s">
        <v>1182</v>
      </c>
      <c r="L24" s="164" t="s">
        <v>1183</v>
      </c>
      <c r="M24" s="164"/>
      <c r="N24" s="1165"/>
      <c r="O24" s="1165"/>
      <c r="P24" s="1165"/>
      <c r="Q24" s="1165"/>
      <c r="R24" s="1165"/>
      <c r="S24" s="1165"/>
      <c r="T24" s="1165"/>
    </row>
    <row r="25" ht="15.75" customHeight="1">
      <c r="A25" s="164" t="s">
        <v>1184</v>
      </c>
      <c r="B25" s="164" t="s">
        <v>1061</v>
      </c>
      <c r="C25" s="164" t="s">
        <v>1185</v>
      </c>
      <c r="D25" s="1166">
        <v>5.0</v>
      </c>
      <c r="E25" s="1166">
        <v>5.0</v>
      </c>
      <c r="F25" s="1166">
        <v>5.0</v>
      </c>
      <c r="G25" s="1166">
        <v>5.0</v>
      </c>
      <c r="H25" s="1166">
        <v>5.0</v>
      </c>
      <c r="I25" s="1166">
        <v>5.0</v>
      </c>
      <c r="J25" s="1166">
        <v>5.0</v>
      </c>
      <c r="K25" s="164" t="s">
        <v>1186</v>
      </c>
      <c r="L25" s="164" t="s">
        <v>1187</v>
      </c>
      <c r="M25" s="164"/>
      <c r="N25" s="1165"/>
      <c r="O25" s="1165"/>
      <c r="P25" s="1165"/>
      <c r="Q25" s="1165"/>
      <c r="R25" s="1165"/>
      <c r="S25" s="1165"/>
      <c r="T25" s="1165"/>
    </row>
    <row r="26" ht="15.75" customHeight="1">
      <c r="A26" s="164" t="s">
        <v>1184</v>
      </c>
      <c r="B26" s="164" t="s">
        <v>1063</v>
      </c>
      <c r="C26" s="164" t="s">
        <v>1188</v>
      </c>
      <c r="D26" s="1166">
        <v>5.0</v>
      </c>
      <c r="E26" s="1166">
        <v>5.0</v>
      </c>
      <c r="F26" s="1166">
        <v>5.0</v>
      </c>
      <c r="G26" s="1166">
        <v>5.0</v>
      </c>
      <c r="H26" s="1166">
        <v>5.0</v>
      </c>
      <c r="I26" s="1166">
        <v>5.0</v>
      </c>
      <c r="J26" s="1166">
        <v>5.0</v>
      </c>
      <c r="K26" s="164" t="s">
        <v>1189</v>
      </c>
      <c r="L26" s="164" t="s">
        <v>1190</v>
      </c>
      <c r="M26" s="164" t="s">
        <v>1191</v>
      </c>
      <c r="N26" s="1165" t="s">
        <v>1127</v>
      </c>
      <c r="O26" s="1165" t="s">
        <v>1091</v>
      </c>
      <c r="P26" s="1165" t="s">
        <v>1092</v>
      </c>
      <c r="Q26" s="1165" t="s">
        <v>1171</v>
      </c>
      <c r="R26" s="1165" t="s">
        <v>1093</v>
      </c>
      <c r="S26" s="1165" t="s">
        <v>1113</v>
      </c>
      <c r="T26" s="1165" t="s">
        <v>1114</v>
      </c>
    </row>
    <row r="27" ht="15.75" customHeight="1">
      <c r="A27" s="164" t="s">
        <v>1184</v>
      </c>
      <c r="B27" s="164" t="s">
        <v>1053</v>
      </c>
      <c r="C27" s="164" t="s">
        <v>1192</v>
      </c>
      <c r="D27" s="1166">
        <v>5.0</v>
      </c>
      <c r="E27" s="1166">
        <v>5.0</v>
      </c>
      <c r="F27" s="1166">
        <v>5.0</v>
      </c>
      <c r="G27" s="1166">
        <v>5.0</v>
      </c>
      <c r="H27" s="1166">
        <v>5.0</v>
      </c>
      <c r="I27" s="1166">
        <v>5.0</v>
      </c>
      <c r="J27" s="1166">
        <v>5.0</v>
      </c>
      <c r="K27" s="164" t="s">
        <v>1193</v>
      </c>
      <c r="L27" s="164"/>
      <c r="M27" s="164"/>
      <c r="N27" s="1165"/>
      <c r="O27" s="1165"/>
      <c r="P27" s="1165"/>
      <c r="Q27" s="1165"/>
      <c r="R27" s="1165"/>
      <c r="S27" s="1165"/>
      <c r="T27" s="1165"/>
    </row>
    <row r="28" ht="15.75" customHeight="1">
      <c r="A28" s="164" t="s">
        <v>1194</v>
      </c>
      <c r="B28" s="164" t="s">
        <v>1046</v>
      </c>
      <c r="C28" s="164" t="s">
        <v>1195</v>
      </c>
      <c r="D28" s="1166">
        <v>5.0</v>
      </c>
      <c r="E28" s="1166">
        <v>5.0</v>
      </c>
      <c r="F28" s="1166">
        <v>5.0</v>
      </c>
      <c r="G28" s="1166">
        <v>5.0</v>
      </c>
      <c r="H28" s="1166">
        <v>5.0</v>
      </c>
      <c r="I28" s="1166">
        <v>5.0</v>
      </c>
      <c r="J28" s="1166">
        <v>5.0</v>
      </c>
      <c r="K28" s="164" t="s">
        <v>1196</v>
      </c>
      <c r="L28" s="164"/>
      <c r="M28" s="164" t="s">
        <v>1132</v>
      </c>
      <c r="N28" s="1165" t="s">
        <v>1133</v>
      </c>
      <c r="O28" s="1165" t="s">
        <v>1134</v>
      </c>
      <c r="P28" s="1165" t="s">
        <v>1135</v>
      </c>
      <c r="Q28" s="1165" t="s">
        <v>1127</v>
      </c>
      <c r="R28" s="1165" t="s">
        <v>1091</v>
      </c>
      <c r="S28" s="1165" t="s">
        <v>1128</v>
      </c>
      <c r="T28" s="1165" t="s">
        <v>1092</v>
      </c>
    </row>
    <row r="29" ht="15.75" customHeight="1">
      <c r="A29" s="164" t="s">
        <v>1197</v>
      </c>
      <c r="B29" s="164" t="s">
        <v>1058</v>
      </c>
      <c r="C29" s="164" t="s">
        <v>1198</v>
      </c>
      <c r="D29" s="1166">
        <v>5.0</v>
      </c>
      <c r="E29" s="1166">
        <v>5.0</v>
      </c>
      <c r="F29" s="1166">
        <v>3.0</v>
      </c>
      <c r="G29" s="1166">
        <v>5.0</v>
      </c>
      <c r="H29" s="1166">
        <v>4.0</v>
      </c>
      <c r="I29" s="1166">
        <v>5.0</v>
      </c>
      <c r="J29" s="1166">
        <v>4.0</v>
      </c>
      <c r="K29" s="164" t="s">
        <v>1199</v>
      </c>
      <c r="L29" s="164" t="s">
        <v>1200</v>
      </c>
      <c r="M29" s="164" t="s">
        <v>1201</v>
      </c>
      <c r="N29" s="1165"/>
      <c r="O29" s="1165"/>
      <c r="P29" s="1165"/>
      <c r="Q29" s="1165"/>
      <c r="R29" s="1165"/>
      <c r="S29" s="1165"/>
      <c r="T29" s="1165"/>
    </row>
    <row r="30" ht="15.75" customHeight="1">
      <c r="A30" s="164" t="s">
        <v>1202</v>
      </c>
      <c r="B30" s="164" t="s">
        <v>1048</v>
      </c>
      <c r="C30" s="164" t="s">
        <v>1203</v>
      </c>
      <c r="D30" s="1166">
        <v>5.0</v>
      </c>
      <c r="E30" s="1166">
        <v>5.0</v>
      </c>
      <c r="F30" s="1166">
        <v>5.0</v>
      </c>
      <c r="G30" s="1166">
        <v>5.0</v>
      </c>
      <c r="H30" s="1166">
        <v>5.0</v>
      </c>
      <c r="I30" s="1166">
        <v>5.0</v>
      </c>
      <c r="J30" s="1166">
        <v>5.0</v>
      </c>
      <c r="K30" s="164" t="s">
        <v>1204</v>
      </c>
      <c r="L30" s="164" t="s">
        <v>1205</v>
      </c>
      <c r="M30" s="164" t="s">
        <v>1206</v>
      </c>
      <c r="N30" s="1165" t="s">
        <v>1114</v>
      </c>
      <c r="O30" s="1165"/>
      <c r="P30" s="1165"/>
      <c r="Q30" s="1165"/>
      <c r="R30" s="1165"/>
      <c r="S30" s="1165"/>
      <c r="T30" s="1165"/>
    </row>
    <row r="31" ht="15.75" customHeight="1">
      <c r="A31" s="164" t="s">
        <v>1202</v>
      </c>
      <c r="B31" s="164" t="s">
        <v>1061</v>
      </c>
      <c r="C31" s="164" t="s">
        <v>1207</v>
      </c>
      <c r="D31" s="1166">
        <v>5.0</v>
      </c>
      <c r="E31" s="1166">
        <v>5.0</v>
      </c>
      <c r="F31" s="1166">
        <v>5.0</v>
      </c>
      <c r="G31" s="1166">
        <v>5.0</v>
      </c>
      <c r="H31" s="1166">
        <v>5.0</v>
      </c>
      <c r="I31" s="1166">
        <v>5.0</v>
      </c>
      <c r="J31" s="1166">
        <v>5.0</v>
      </c>
      <c r="K31" s="164" t="s">
        <v>1208</v>
      </c>
      <c r="L31" s="164"/>
      <c r="M31" s="164" t="s">
        <v>1209</v>
      </c>
      <c r="N31" s="1165"/>
      <c r="O31" s="1165"/>
      <c r="P31" s="1165"/>
      <c r="Q31" s="1165"/>
      <c r="R31" s="1165"/>
      <c r="S31" s="1165"/>
      <c r="T31" s="1165"/>
    </row>
    <row r="32" ht="15.75" customHeight="1">
      <c r="A32" s="164" t="s">
        <v>1210</v>
      </c>
      <c r="B32" s="164" t="s">
        <v>1070</v>
      </c>
      <c r="C32" s="164" t="s">
        <v>1211</v>
      </c>
      <c r="D32" s="1166">
        <v>5.0</v>
      </c>
      <c r="E32" s="1166">
        <v>5.0</v>
      </c>
      <c r="F32" s="1166">
        <v>5.0</v>
      </c>
      <c r="G32" s="1166">
        <v>5.0</v>
      </c>
      <c r="H32" s="1166">
        <v>5.0</v>
      </c>
      <c r="I32" s="1166">
        <v>5.0</v>
      </c>
      <c r="J32" s="1166">
        <v>5.0</v>
      </c>
      <c r="K32" s="164" t="s">
        <v>1212</v>
      </c>
      <c r="L32" s="164"/>
      <c r="M32" s="164" t="s">
        <v>1213</v>
      </c>
      <c r="N32" s="1165"/>
      <c r="O32" s="1165"/>
      <c r="P32" s="1165"/>
      <c r="Q32" s="1165"/>
      <c r="R32" s="1165"/>
      <c r="S32" s="1165"/>
      <c r="T32" s="1165"/>
    </row>
    <row r="33" ht="15.75" customHeight="1">
      <c r="A33" s="164" t="s">
        <v>1210</v>
      </c>
      <c r="B33" s="164" t="s">
        <v>1065</v>
      </c>
      <c r="C33" s="164" t="s">
        <v>1214</v>
      </c>
      <c r="D33" s="1166">
        <v>5.0</v>
      </c>
      <c r="E33" s="1166">
        <v>5.0</v>
      </c>
      <c r="F33" s="1166">
        <v>5.0</v>
      </c>
      <c r="G33" s="1166">
        <v>5.0</v>
      </c>
      <c r="H33" s="1166">
        <v>5.0</v>
      </c>
      <c r="I33" s="1166">
        <v>5.0</v>
      </c>
      <c r="J33" s="1166">
        <v>5.0</v>
      </c>
      <c r="K33" s="164" t="s">
        <v>1215</v>
      </c>
      <c r="L33" s="164"/>
      <c r="M33" s="164"/>
      <c r="N33" s="1165"/>
      <c r="O33" s="1165"/>
      <c r="P33" s="1165"/>
      <c r="Q33" s="1165"/>
      <c r="R33" s="1165"/>
      <c r="S33" s="1165"/>
      <c r="T33" s="1165"/>
    </row>
    <row r="34" ht="15.75" customHeight="1">
      <c r="A34" s="164" t="s">
        <v>1216</v>
      </c>
      <c r="B34" s="164" t="s">
        <v>1051</v>
      </c>
      <c r="C34" s="164" t="s">
        <v>1217</v>
      </c>
      <c r="D34" s="1166">
        <v>4.0</v>
      </c>
      <c r="E34" s="1166">
        <v>5.0</v>
      </c>
      <c r="F34" s="1166">
        <v>2.0</v>
      </c>
      <c r="G34" s="1166">
        <v>5.0</v>
      </c>
      <c r="H34" s="1166">
        <v>3.0</v>
      </c>
      <c r="I34" s="1166">
        <v>4.0</v>
      </c>
      <c r="J34" s="1166">
        <v>4.0</v>
      </c>
      <c r="K34" s="164" t="s">
        <v>1218</v>
      </c>
      <c r="L34" s="164"/>
      <c r="M34" s="164" t="s">
        <v>1219</v>
      </c>
      <c r="N34" s="1165" t="s">
        <v>1113</v>
      </c>
      <c r="O34" s="1165" t="s">
        <v>1114</v>
      </c>
      <c r="P34" s="1165"/>
      <c r="Q34" s="1165"/>
      <c r="R34" s="1165"/>
      <c r="S34" s="1165"/>
      <c r="T34" s="1165"/>
    </row>
    <row r="35" ht="15.75" customHeight="1">
      <c r="A35" s="164" t="s">
        <v>1216</v>
      </c>
      <c r="B35" s="164" t="s">
        <v>1058</v>
      </c>
      <c r="C35" s="164" t="s">
        <v>1220</v>
      </c>
      <c r="D35" s="1166">
        <v>5.0</v>
      </c>
      <c r="E35" s="1166">
        <v>5.0</v>
      </c>
      <c r="F35" s="1166">
        <v>5.0</v>
      </c>
      <c r="G35" s="1166">
        <v>5.0</v>
      </c>
      <c r="H35" s="1166">
        <v>5.0</v>
      </c>
      <c r="I35" s="1166">
        <v>5.0</v>
      </c>
      <c r="J35" s="1166">
        <v>5.0</v>
      </c>
      <c r="K35" s="164" t="s">
        <v>1221</v>
      </c>
      <c r="L35" s="164" t="s">
        <v>1222</v>
      </c>
      <c r="M35" s="164"/>
      <c r="N35" s="1165"/>
      <c r="O35" s="1165"/>
      <c r="P35" s="1165"/>
      <c r="Q35" s="1165"/>
      <c r="R35" s="1165"/>
      <c r="S35" s="1165"/>
      <c r="T35" s="1165"/>
    </row>
    <row r="36" ht="15.75" customHeight="1">
      <c r="A36" s="164" t="s">
        <v>1223</v>
      </c>
      <c r="B36" s="164" t="s">
        <v>1072</v>
      </c>
      <c r="C36" s="164" t="s">
        <v>1224</v>
      </c>
      <c r="D36" s="1166">
        <v>4.0</v>
      </c>
      <c r="E36" s="1166">
        <v>5.0</v>
      </c>
      <c r="F36" s="1166">
        <v>4.0</v>
      </c>
      <c r="G36" s="1166">
        <v>4.0</v>
      </c>
      <c r="H36" s="1166">
        <v>4.0</v>
      </c>
      <c r="I36" s="1166">
        <v>5.0</v>
      </c>
      <c r="J36" s="1166">
        <v>4.0</v>
      </c>
      <c r="K36" s="164" t="s">
        <v>1225</v>
      </c>
      <c r="L36" s="164" t="s">
        <v>1226</v>
      </c>
      <c r="M36" s="164" t="s">
        <v>1227</v>
      </c>
      <c r="N36" s="1165"/>
      <c r="O36" s="1165"/>
      <c r="P36" s="1165"/>
      <c r="Q36" s="1165"/>
      <c r="R36" s="1165"/>
      <c r="S36" s="1165"/>
      <c r="T36" s="1165"/>
    </row>
    <row r="37" ht="15.75" customHeight="1">
      <c r="A37" s="164" t="s">
        <v>1223</v>
      </c>
      <c r="B37" s="164" t="s">
        <v>1057</v>
      </c>
      <c r="C37" s="164" t="s">
        <v>1228</v>
      </c>
      <c r="D37" s="1166">
        <v>5.0</v>
      </c>
      <c r="E37" s="1166">
        <v>5.0</v>
      </c>
      <c r="F37" s="1166">
        <v>5.0</v>
      </c>
      <c r="G37" s="1166">
        <v>4.0</v>
      </c>
      <c r="H37" s="1166">
        <v>5.0</v>
      </c>
      <c r="I37" s="1166">
        <v>5.0</v>
      </c>
      <c r="J37" s="1166">
        <v>3.0</v>
      </c>
      <c r="K37" s="164" t="s">
        <v>1229</v>
      </c>
      <c r="L37" s="164"/>
      <c r="M37" s="164" t="s">
        <v>1230</v>
      </c>
      <c r="N37" s="1165" t="s">
        <v>1091</v>
      </c>
      <c r="O37" s="1165" t="s">
        <v>1171</v>
      </c>
      <c r="P37" s="1165" t="s">
        <v>1114</v>
      </c>
      <c r="Q37" s="1165"/>
      <c r="R37" s="1165"/>
      <c r="S37" s="1165"/>
      <c r="T37" s="1165"/>
    </row>
    <row r="38" ht="15.75" customHeight="1">
      <c r="A38" s="164" t="s">
        <v>1223</v>
      </c>
      <c r="B38" s="164" t="s">
        <v>1058</v>
      </c>
      <c r="C38" s="164" t="s">
        <v>1231</v>
      </c>
      <c r="D38" s="1166">
        <v>4.0</v>
      </c>
      <c r="E38" s="1166">
        <v>5.0</v>
      </c>
      <c r="F38" s="1166">
        <v>5.0</v>
      </c>
      <c r="G38" s="1166">
        <v>4.0</v>
      </c>
      <c r="H38" s="1166">
        <v>5.0</v>
      </c>
      <c r="I38" s="1166">
        <v>5.0</v>
      </c>
      <c r="J38" s="1166">
        <v>5.0</v>
      </c>
      <c r="K38" s="164" t="s">
        <v>1232</v>
      </c>
      <c r="L38" s="164"/>
      <c r="M38" s="164" t="s">
        <v>1233</v>
      </c>
      <c r="N38" s="1165"/>
      <c r="O38" s="1165"/>
      <c r="P38" s="1165"/>
      <c r="Q38" s="1165"/>
      <c r="R38" s="1165"/>
      <c r="S38" s="1165"/>
      <c r="T38" s="1165"/>
    </row>
    <row r="39" ht="15.75" customHeight="1">
      <c r="A39" s="164" t="s">
        <v>1234</v>
      </c>
      <c r="B39" s="164" t="s">
        <v>1069</v>
      </c>
      <c r="C39" s="164" t="s">
        <v>1235</v>
      </c>
      <c r="D39" s="1166">
        <v>5.0</v>
      </c>
      <c r="E39" s="1166">
        <v>5.0</v>
      </c>
      <c r="F39" s="1166">
        <v>5.0</v>
      </c>
      <c r="G39" s="1166">
        <v>5.0</v>
      </c>
      <c r="H39" s="1166">
        <v>5.0</v>
      </c>
      <c r="I39" s="1166">
        <v>5.0</v>
      </c>
      <c r="J39" s="1166">
        <v>5.0</v>
      </c>
      <c r="K39" s="1167" t="s">
        <v>1236</v>
      </c>
      <c r="L39" s="1167" t="s">
        <v>1237</v>
      </c>
      <c r="M39" s="164"/>
      <c r="N39" s="1165"/>
      <c r="O39" s="1165"/>
      <c r="P39" s="1165"/>
      <c r="Q39" s="1165"/>
      <c r="R39" s="1165"/>
      <c r="S39" s="1165"/>
      <c r="T39" s="1165"/>
    </row>
    <row r="40" ht="15.75" hidden="1" customHeight="1">
      <c r="A40" s="164" t="s">
        <v>1238</v>
      </c>
      <c r="B40" s="164" t="s">
        <v>1067</v>
      </c>
      <c r="C40" s="164" t="s">
        <v>1239</v>
      </c>
      <c r="D40" s="1166">
        <v>5.0</v>
      </c>
      <c r="E40" s="1166">
        <v>5.0</v>
      </c>
      <c r="F40" s="1166">
        <v>5.0</v>
      </c>
      <c r="G40" s="1166">
        <v>5.0</v>
      </c>
      <c r="H40" s="1166">
        <v>5.0</v>
      </c>
      <c r="I40" s="1166">
        <v>4.0</v>
      </c>
      <c r="J40" s="1166">
        <v>5.0</v>
      </c>
      <c r="K40" s="164" t="s">
        <v>1240</v>
      </c>
      <c r="L40" s="164"/>
      <c r="M40" s="164" t="s">
        <v>1241</v>
      </c>
    </row>
    <row r="41" ht="15.75" hidden="1" customHeight="1">
      <c r="A41" s="164" t="s">
        <v>1242</v>
      </c>
      <c r="B41" s="164" t="s">
        <v>1073</v>
      </c>
      <c r="C41" s="164" t="s">
        <v>1243</v>
      </c>
      <c r="D41" s="1166">
        <v>5.0</v>
      </c>
      <c r="E41" s="1166">
        <v>5.0</v>
      </c>
      <c r="F41" s="1166">
        <v>5.0</v>
      </c>
      <c r="G41" s="1166">
        <v>5.0</v>
      </c>
      <c r="H41" s="1166">
        <v>5.0</v>
      </c>
      <c r="I41" s="1166">
        <v>5.0</v>
      </c>
      <c r="J41" s="1166">
        <v>5.0</v>
      </c>
      <c r="K41" s="164" t="s">
        <v>1244</v>
      </c>
      <c r="L41" s="164" t="s">
        <v>1245</v>
      </c>
      <c r="M41" s="164" t="s">
        <v>1246</v>
      </c>
    </row>
    <row r="42" ht="15.75" hidden="1" customHeight="1">
      <c r="A42" s="164" t="s">
        <v>1247</v>
      </c>
      <c r="B42" s="164" t="s">
        <v>1069</v>
      </c>
      <c r="C42" s="164" t="s">
        <v>1248</v>
      </c>
      <c r="D42" s="1166">
        <v>5.0</v>
      </c>
      <c r="E42" s="1166">
        <v>5.0</v>
      </c>
      <c r="F42" s="1166">
        <v>5.0</v>
      </c>
      <c r="G42" s="1166">
        <v>5.0</v>
      </c>
      <c r="H42" s="1166">
        <v>5.0</v>
      </c>
      <c r="I42" s="1166">
        <v>5.0</v>
      </c>
      <c r="J42" s="1166">
        <v>5.0</v>
      </c>
      <c r="K42" s="164" t="s">
        <v>1249</v>
      </c>
      <c r="L42" s="164"/>
      <c r="M42" s="164" t="s">
        <v>1250</v>
      </c>
    </row>
    <row r="43" ht="15.75" hidden="1" customHeight="1">
      <c r="A43" s="164" t="s">
        <v>1247</v>
      </c>
      <c r="B43" s="164" t="s">
        <v>1044</v>
      </c>
      <c r="C43" s="164" t="s">
        <v>1251</v>
      </c>
      <c r="D43" s="1166">
        <v>5.0</v>
      </c>
      <c r="E43" s="1166">
        <v>5.0</v>
      </c>
      <c r="F43" s="1166">
        <v>5.0</v>
      </c>
      <c r="G43" s="1166">
        <v>5.0</v>
      </c>
      <c r="H43" s="1166">
        <v>5.0</v>
      </c>
      <c r="I43" s="1166">
        <v>5.0</v>
      </c>
      <c r="J43" s="1166">
        <v>5.0</v>
      </c>
      <c r="K43" s="164" t="s">
        <v>1252</v>
      </c>
      <c r="L43" s="164" t="s">
        <v>1253</v>
      </c>
      <c r="M43" s="164" t="s">
        <v>1254</v>
      </c>
    </row>
    <row r="44" ht="15.75" hidden="1" customHeight="1">
      <c r="A44" s="164" t="s">
        <v>1247</v>
      </c>
      <c r="B44" s="164" t="s">
        <v>1046</v>
      </c>
      <c r="C44" s="164" t="s">
        <v>1255</v>
      </c>
      <c r="D44" s="1166">
        <v>5.0</v>
      </c>
      <c r="E44" s="1166">
        <v>5.0</v>
      </c>
      <c r="F44" s="1166">
        <v>5.0</v>
      </c>
      <c r="G44" s="1166">
        <v>5.0</v>
      </c>
      <c r="H44" s="1166">
        <v>5.0</v>
      </c>
      <c r="I44" s="1166">
        <v>5.0</v>
      </c>
      <c r="J44" s="1166">
        <v>5.0</v>
      </c>
      <c r="K44" s="164" t="s">
        <v>1256</v>
      </c>
      <c r="L44" s="164"/>
      <c r="M44" s="164" t="s">
        <v>1257</v>
      </c>
    </row>
    <row r="45" ht="15.75" hidden="1" customHeight="1">
      <c r="A45" s="164" t="s">
        <v>1258</v>
      </c>
      <c r="B45" s="164" t="s">
        <v>1056</v>
      </c>
      <c r="C45" s="164" t="s">
        <v>1259</v>
      </c>
      <c r="D45" s="1166">
        <v>5.0</v>
      </c>
      <c r="E45" s="1166">
        <v>5.0</v>
      </c>
      <c r="F45" s="1166">
        <v>5.0</v>
      </c>
      <c r="G45" s="1166">
        <v>5.0</v>
      </c>
      <c r="H45" s="1166">
        <v>5.0</v>
      </c>
      <c r="I45" s="1166">
        <v>5.0</v>
      </c>
      <c r="J45" s="1166">
        <v>5.0</v>
      </c>
      <c r="K45" s="1167" t="s">
        <v>1260</v>
      </c>
      <c r="L45" s="164"/>
      <c r="M45" s="164"/>
    </row>
    <row r="46" ht="15.75" hidden="1" customHeight="1">
      <c r="A46" s="164" t="s">
        <v>1261</v>
      </c>
      <c r="B46" s="164" t="s">
        <v>1067</v>
      </c>
      <c r="C46" s="164" t="s">
        <v>1262</v>
      </c>
      <c r="D46" s="1166">
        <v>5.0</v>
      </c>
      <c r="E46" s="1166">
        <v>5.0</v>
      </c>
      <c r="F46" s="1166">
        <v>5.0</v>
      </c>
      <c r="G46" s="1166">
        <v>5.0</v>
      </c>
      <c r="H46" s="1166">
        <v>5.0</v>
      </c>
      <c r="I46" s="1166">
        <v>5.0</v>
      </c>
      <c r="J46" s="1166">
        <v>5.0</v>
      </c>
      <c r="K46" s="164" t="s">
        <v>1263</v>
      </c>
      <c r="L46" s="164"/>
      <c r="M46" s="164" t="s">
        <v>1264</v>
      </c>
    </row>
    <row r="47" ht="15.75" hidden="1" customHeight="1">
      <c r="A47" s="164" t="s">
        <v>1265</v>
      </c>
      <c r="B47" s="164" t="s">
        <v>1266</v>
      </c>
      <c r="C47" s="164" t="s">
        <v>1267</v>
      </c>
      <c r="D47" s="1166">
        <v>5.0</v>
      </c>
      <c r="E47" s="1166">
        <v>5.0</v>
      </c>
      <c r="F47" s="1166">
        <v>5.0</v>
      </c>
      <c r="G47" s="1166">
        <v>5.0</v>
      </c>
      <c r="H47" s="1166">
        <v>5.0</v>
      </c>
      <c r="I47" s="1166">
        <v>5.0</v>
      </c>
      <c r="J47" s="1166">
        <v>4.0</v>
      </c>
      <c r="K47" s="164" t="s">
        <v>1268</v>
      </c>
      <c r="L47" s="164" t="s">
        <v>1269</v>
      </c>
      <c r="M47" s="164" t="s">
        <v>1270</v>
      </c>
    </row>
    <row r="48" ht="15.75" hidden="1" customHeight="1">
      <c r="A48" s="164" t="s">
        <v>1271</v>
      </c>
      <c r="B48" s="164" t="s">
        <v>1046</v>
      </c>
      <c r="C48" s="164" t="s">
        <v>1272</v>
      </c>
      <c r="D48" s="1166">
        <v>4.0</v>
      </c>
      <c r="E48" s="1166">
        <v>4.0</v>
      </c>
      <c r="F48" s="1166">
        <v>5.0</v>
      </c>
      <c r="G48" s="1166">
        <v>5.0</v>
      </c>
      <c r="H48" s="1166">
        <v>4.0</v>
      </c>
      <c r="I48" s="1166">
        <v>4.0</v>
      </c>
      <c r="J48" s="1166">
        <v>4.0</v>
      </c>
      <c r="K48" s="164" t="s">
        <v>1273</v>
      </c>
      <c r="L48" s="164"/>
      <c r="M48" s="164"/>
    </row>
    <row r="49" ht="15.75" hidden="1" customHeight="1">
      <c r="A49" s="164" t="s">
        <v>1274</v>
      </c>
      <c r="B49" s="164" t="s">
        <v>1051</v>
      </c>
      <c r="C49" s="164" t="s">
        <v>1275</v>
      </c>
      <c r="D49" s="1166">
        <v>5.0</v>
      </c>
      <c r="E49" s="1166">
        <v>5.0</v>
      </c>
      <c r="F49" s="1166">
        <v>5.0</v>
      </c>
      <c r="G49" s="1166">
        <v>5.0</v>
      </c>
      <c r="H49" s="1166">
        <v>5.0</v>
      </c>
      <c r="I49" s="1166">
        <v>5.0</v>
      </c>
      <c r="J49" s="1166">
        <v>5.0</v>
      </c>
      <c r="K49" s="164" t="s">
        <v>1276</v>
      </c>
      <c r="L49" s="164" t="s">
        <v>1277</v>
      </c>
      <c r="M49" s="164" t="s">
        <v>1278</v>
      </c>
    </row>
    <row r="50" ht="15.75" hidden="1" customHeight="1">
      <c r="A50" s="164" t="s">
        <v>1279</v>
      </c>
      <c r="B50" s="164" t="s">
        <v>1062</v>
      </c>
      <c r="C50" s="164" t="s">
        <v>1280</v>
      </c>
      <c r="D50" s="1166">
        <v>5.0</v>
      </c>
      <c r="E50" s="1166">
        <v>5.0</v>
      </c>
      <c r="F50" s="1166">
        <v>5.0</v>
      </c>
      <c r="G50" s="1166">
        <v>5.0</v>
      </c>
      <c r="H50" s="1166">
        <v>5.0</v>
      </c>
      <c r="I50" s="1166">
        <v>5.0</v>
      </c>
      <c r="J50" s="1166">
        <v>5.0</v>
      </c>
      <c r="K50" s="164" t="s">
        <v>1281</v>
      </c>
      <c r="L50" s="164"/>
      <c r="M50" s="164"/>
    </row>
    <row r="51" ht="15.75" hidden="1" customHeight="1">
      <c r="A51" s="164" t="s">
        <v>1282</v>
      </c>
      <c r="B51" s="164" t="s">
        <v>1069</v>
      </c>
      <c r="C51" s="164" t="s">
        <v>1283</v>
      </c>
      <c r="D51" s="1166">
        <v>5.0</v>
      </c>
      <c r="E51" s="1166">
        <v>5.0</v>
      </c>
      <c r="F51" s="1166">
        <v>5.0</v>
      </c>
      <c r="G51" s="1166">
        <v>5.0</v>
      </c>
      <c r="H51" s="1166">
        <v>5.0</v>
      </c>
      <c r="I51" s="1166">
        <v>5.0</v>
      </c>
      <c r="J51" s="1166">
        <v>5.0</v>
      </c>
      <c r="K51" s="164" t="s">
        <v>1284</v>
      </c>
      <c r="L51" s="164"/>
      <c r="M51" s="164" t="s">
        <v>1132</v>
      </c>
    </row>
    <row r="52" ht="15.75" hidden="1" customHeight="1">
      <c r="A52" s="164" t="s">
        <v>1282</v>
      </c>
      <c r="B52" s="164" t="s">
        <v>1067</v>
      </c>
      <c r="C52" s="164" t="s">
        <v>1285</v>
      </c>
      <c r="D52" s="1166">
        <v>5.0</v>
      </c>
      <c r="E52" s="1166">
        <v>5.0</v>
      </c>
      <c r="F52" s="1166">
        <v>5.0</v>
      </c>
      <c r="G52" s="1166">
        <v>4.0</v>
      </c>
      <c r="H52" s="1166">
        <v>5.0</v>
      </c>
      <c r="I52" s="1166">
        <v>4.0</v>
      </c>
      <c r="J52" s="1166">
        <v>4.0</v>
      </c>
      <c r="K52" s="164" t="s">
        <v>1286</v>
      </c>
      <c r="L52" s="164"/>
      <c r="M52" s="164" t="s">
        <v>1287</v>
      </c>
    </row>
    <row r="53" ht="15.75" hidden="1" customHeight="1">
      <c r="A53" s="164" t="s">
        <v>1288</v>
      </c>
      <c r="B53" s="164" t="s">
        <v>1060</v>
      </c>
      <c r="C53" s="164" t="s">
        <v>1289</v>
      </c>
      <c r="D53" s="1166">
        <v>5.0</v>
      </c>
      <c r="E53" s="1166">
        <v>5.0</v>
      </c>
      <c r="F53" s="1166">
        <v>5.0</v>
      </c>
      <c r="G53" s="1166">
        <v>5.0</v>
      </c>
      <c r="H53" s="1166">
        <v>5.0</v>
      </c>
      <c r="I53" s="1166">
        <v>4.0</v>
      </c>
      <c r="J53" s="1166">
        <v>5.0</v>
      </c>
      <c r="K53" s="164" t="s">
        <v>1290</v>
      </c>
      <c r="L53" s="164"/>
      <c r="M53" s="164" t="s">
        <v>1291</v>
      </c>
    </row>
    <row r="54" ht="15.75" hidden="1" customHeight="1">
      <c r="A54" s="164" t="s">
        <v>1288</v>
      </c>
      <c r="B54" s="164" t="s">
        <v>1044</v>
      </c>
      <c r="C54" s="164" t="s">
        <v>1292</v>
      </c>
      <c r="D54" s="1166">
        <v>5.0</v>
      </c>
      <c r="E54" s="1166">
        <v>5.0</v>
      </c>
      <c r="F54" s="1166">
        <v>5.0</v>
      </c>
      <c r="G54" s="1166">
        <v>5.0</v>
      </c>
      <c r="H54" s="1166">
        <v>5.0</v>
      </c>
      <c r="I54" s="1166">
        <v>5.0</v>
      </c>
      <c r="J54" s="1166">
        <v>5.0</v>
      </c>
      <c r="K54" s="164" t="s">
        <v>1293</v>
      </c>
      <c r="L54" s="164" t="s">
        <v>1294</v>
      </c>
      <c r="M54" s="164" t="s">
        <v>1295</v>
      </c>
    </row>
    <row r="55" ht="15.75" hidden="1" customHeight="1">
      <c r="A55" s="164" t="s">
        <v>1288</v>
      </c>
      <c r="B55" s="164" t="s">
        <v>1051</v>
      </c>
      <c r="C55" s="164" t="s">
        <v>1296</v>
      </c>
      <c r="D55" s="1166">
        <v>5.0</v>
      </c>
      <c r="E55" s="1166">
        <v>5.0</v>
      </c>
      <c r="F55" s="1166">
        <v>5.0</v>
      </c>
      <c r="G55" s="1166">
        <v>5.0</v>
      </c>
      <c r="H55" s="1166">
        <v>5.0</v>
      </c>
      <c r="I55" s="1166">
        <v>5.0</v>
      </c>
      <c r="J55" s="1166">
        <v>5.0</v>
      </c>
      <c r="K55" s="164" t="s">
        <v>1297</v>
      </c>
      <c r="L55" s="164" t="s">
        <v>1298</v>
      </c>
      <c r="M55" s="164" t="s">
        <v>1299</v>
      </c>
    </row>
    <row r="56" ht="15.75" hidden="1" customHeight="1">
      <c r="A56" s="164" t="s">
        <v>1288</v>
      </c>
      <c r="B56" s="164" t="s">
        <v>1058</v>
      </c>
      <c r="C56" s="164" t="s">
        <v>1300</v>
      </c>
      <c r="D56" s="1166">
        <v>5.0</v>
      </c>
      <c r="E56" s="1166">
        <v>5.0</v>
      </c>
      <c r="F56" s="1166">
        <v>5.0</v>
      </c>
      <c r="G56" s="1166">
        <v>5.0</v>
      </c>
      <c r="H56" s="1166">
        <v>5.0</v>
      </c>
      <c r="I56" s="1166">
        <v>5.0</v>
      </c>
      <c r="J56" s="1166">
        <v>5.0</v>
      </c>
      <c r="K56" s="164" t="s">
        <v>1301</v>
      </c>
      <c r="L56" s="164" t="s">
        <v>1302</v>
      </c>
      <c r="M56" s="164" t="s">
        <v>1303</v>
      </c>
    </row>
    <row r="57" ht="15.75" hidden="1" customHeight="1">
      <c r="A57" s="164" t="s">
        <v>1304</v>
      </c>
      <c r="B57" s="164" t="s">
        <v>1052</v>
      </c>
      <c r="C57" s="164" t="s">
        <v>1305</v>
      </c>
      <c r="D57" s="1166">
        <v>5.0</v>
      </c>
      <c r="E57" s="1166">
        <v>5.0</v>
      </c>
      <c r="F57" s="1166">
        <v>5.0</v>
      </c>
      <c r="G57" s="1166">
        <v>5.0</v>
      </c>
      <c r="H57" s="1166">
        <v>5.0</v>
      </c>
      <c r="I57" s="1166">
        <v>5.0</v>
      </c>
      <c r="J57" s="1166">
        <v>5.0</v>
      </c>
      <c r="K57" s="164" t="s">
        <v>1306</v>
      </c>
      <c r="L57" s="164" t="s">
        <v>1307</v>
      </c>
      <c r="M57" s="164" t="s">
        <v>1308</v>
      </c>
    </row>
    <row r="58" ht="15.75" hidden="1" customHeight="1">
      <c r="A58" s="164" t="s">
        <v>1309</v>
      </c>
      <c r="B58" s="164" t="s">
        <v>1064</v>
      </c>
      <c r="C58" s="164" t="s">
        <v>1310</v>
      </c>
      <c r="D58" s="1166">
        <v>5.0</v>
      </c>
      <c r="E58" s="1166">
        <v>5.0</v>
      </c>
      <c r="F58" s="1166">
        <v>5.0</v>
      </c>
      <c r="G58" s="1166">
        <v>5.0</v>
      </c>
      <c r="H58" s="1166">
        <v>5.0</v>
      </c>
      <c r="I58" s="1166">
        <v>5.0</v>
      </c>
      <c r="J58" s="1166">
        <v>5.0</v>
      </c>
      <c r="K58" s="164" t="s">
        <v>1311</v>
      </c>
      <c r="L58" s="164"/>
      <c r="M58" s="164" t="s">
        <v>1312</v>
      </c>
    </row>
    <row r="59" ht="15.75" customHeight="1">
      <c r="A59" s="164"/>
      <c r="B59" s="164"/>
      <c r="C59" s="164"/>
      <c r="D59" s="164"/>
      <c r="E59" s="164"/>
      <c r="F59" s="164"/>
      <c r="G59" s="164"/>
      <c r="H59" s="164"/>
      <c r="I59" s="164"/>
      <c r="J59" s="164"/>
      <c r="K59" s="164"/>
      <c r="L59" s="164"/>
      <c r="M59" s="164"/>
    </row>
    <row r="60" ht="15.75" customHeight="1">
      <c r="A60" s="164"/>
      <c r="B60" s="164"/>
      <c r="C60" s="164"/>
      <c r="D60" s="164"/>
      <c r="E60" s="164"/>
      <c r="F60" s="164"/>
      <c r="G60" s="164"/>
      <c r="H60" s="164"/>
      <c r="I60" s="164"/>
      <c r="J60" s="164"/>
      <c r="K60" s="164"/>
      <c r="L60" s="164"/>
      <c r="M60" s="164"/>
    </row>
    <row r="61" ht="15.75" customHeight="1">
      <c r="A61" s="164"/>
      <c r="B61" s="164"/>
      <c r="C61" s="164"/>
      <c r="D61" s="164"/>
      <c r="E61" s="164"/>
      <c r="F61" s="164"/>
      <c r="G61" s="164"/>
      <c r="H61" s="164"/>
      <c r="I61" s="164"/>
      <c r="J61" s="164"/>
      <c r="K61" s="164"/>
      <c r="L61" s="164"/>
      <c r="M61" s="164"/>
    </row>
    <row r="62" ht="15.75" customHeight="1">
      <c r="A62" s="164"/>
      <c r="B62" s="164"/>
      <c r="C62" s="164"/>
      <c r="D62" s="164"/>
      <c r="E62" s="164"/>
      <c r="F62" s="164"/>
      <c r="G62" s="164"/>
      <c r="H62" s="164"/>
      <c r="I62" s="164"/>
      <c r="J62" s="164"/>
      <c r="K62" s="164"/>
      <c r="L62" s="164"/>
      <c r="M62" s="164"/>
    </row>
    <row r="63" ht="15.75" customHeight="1">
      <c r="A63" s="164"/>
      <c r="B63" s="164"/>
      <c r="C63" s="164"/>
      <c r="D63" s="164"/>
      <c r="E63" s="164"/>
      <c r="F63" s="164"/>
      <c r="G63" s="164"/>
      <c r="H63" s="164"/>
      <c r="I63" s="164"/>
      <c r="J63" s="164"/>
      <c r="K63" s="164"/>
      <c r="L63" s="164"/>
      <c r="M63" s="164"/>
    </row>
    <row r="64" ht="15.75" customHeight="1">
      <c r="A64" s="164"/>
      <c r="B64" s="164"/>
      <c r="C64" s="164"/>
      <c r="D64" s="164"/>
      <c r="E64" s="164"/>
      <c r="F64" s="164"/>
      <c r="G64" s="164"/>
      <c r="H64" s="164"/>
      <c r="I64" s="164"/>
      <c r="J64" s="164"/>
      <c r="K64" s="164"/>
      <c r="L64" s="164"/>
      <c r="M64" s="164"/>
    </row>
    <row r="65" ht="15.75" customHeight="1">
      <c r="A65" s="164"/>
      <c r="B65" s="164"/>
      <c r="C65" s="164"/>
      <c r="D65" s="164"/>
      <c r="E65" s="164"/>
      <c r="F65" s="164"/>
      <c r="G65" s="164"/>
      <c r="H65" s="164"/>
      <c r="I65" s="164"/>
      <c r="J65" s="164"/>
      <c r="K65" s="164"/>
      <c r="L65" s="164"/>
      <c r="M65" s="164"/>
    </row>
    <row r="66" ht="15.75" customHeight="1">
      <c r="A66" s="164"/>
      <c r="B66" s="164"/>
      <c r="C66" s="164"/>
      <c r="D66" s="164"/>
      <c r="E66" s="164"/>
      <c r="F66" s="164"/>
      <c r="G66" s="164"/>
      <c r="H66" s="164"/>
      <c r="I66" s="164"/>
      <c r="J66" s="164"/>
      <c r="K66" s="164"/>
      <c r="L66" s="164"/>
      <c r="M66" s="164"/>
    </row>
    <row r="67" ht="15.75" customHeight="1">
      <c r="A67" s="164"/>
      <c r="B67" s="164"/>
      <c r="C67" s="164"/>
      <c r="D67" s="164"/>
      <c r="E67" s="164"/>
      <c r="F67" s="164"/>
      <c r="G67" s="164"/>
      <c r="H67" s="164"/>
      <c r="I67" s="164"/>
      <c r="J67" s="164"/>
      <c r="K67" s="164"/>
      <c r="L67" s="164"/>
      <c r="M67" s="164"/>
    </row>
    <row r="68" ht="15.75" customHeight="1">
      <c r="A68" s="164"/>
      <c r="B68" s="164"/>
      <c r="C68" s="164"/>
      <c r="D68" s="164"/>
      <c r="E68" s="164"/>
      <c r="F68" s="164"/>
      <c r="G68" s="164"/>
      <c r="H68" s="164"/>
      <c r="I68" s="164"/>
      <c r="J68" s="164"/>
      <c r="K68" s="164"/>
      <c r="L68" s="164"/>
      <c r="M68" s="164"/>
    </row>
    <row r="69" ht="15.75" customHeight="1">
      <c r="A69" s="164"/>
      <c r="B69" s="164"/>
      <c r="C69" s="164"/>
      <c r="D69" s="164"/>
      <c r="E69" s="164"/>
      <c r="F69" s="164"/>
      <c r="G69" s="164"/>
      <c r="H69" s="164"/>
      <c r="I69" s="164"/>
      <c r="J69" s="164"/>
      <c r="K69" s="164"/>
      <c r="L69" s="164"/>
      <c r="M69" s="164"/>
    </row>
    <row r="70" ht="15.75" customHeight="1">
      <c r="A70" s="164"/>
      <c r="B70" s="164"/>
      <c r="C70" s="164"/>
      <c r="D70" s="164"/>
      <c r="E70" s="164"/>
      <c r="F70" s="164"/>
      <c r="G70" s="164"/>
      <c r="H70" s="164"/>
      <c r="I70" s="164"/>
      <c r="J70" s="164"/>
      <c r="K70" s="164"/>
      <c r="L70" s="164"/>
      <c r="M70" s="164"/>
    </row>
    <row r="71" ht="15.75" customHeight="1">
      <c r="A71" s="164"/>
      <c r="B71" s="164"/>
      <c r="C71" s="164"/>
      <c r="D71" s="164"/>
      <c r="E71" s="164"/>
      <c r="F71" s="164"/>
      <c r="G71" s="164"/>
      <c r="H71" s="164"/>
      <c r="I71" s="164"/>
      <c r="J71" s="164"/>
      <c r="K71" s="164"/>
      <c r="L71" s="164"/>
      <c r="M71" s="164"/>
    </row>
    <row r="72" ht="15.75" customHeight="1">
      <c r="A72" s="164"/>
      <c r="B72" s="164"/>
      <c r="C72" s="164"/>
      <c r="D72" s="164"/>
      <c r="E72" s="164"/>
      <c r="F72" s="164"/>
      <c r="G72" s="164"/>
      <c r="H72" s="164"/>
      <c r="I72" s="164"/>
      <c r="J72" s="164"/>
      <c r="K72" s="164"/>
      <c r="L72" s="164"/>
      <c r="M72" s="164"/>
    </row>
    <row r="73" ht="15.75" customHeight="1">
      <c r="A73" s="164"/>
      <c r="B73" s="164"/>
      <c r="C73" s="164"/>
      <c r="D73" s="164"/>
      <c r="E73" s="164"/>
      <c r="F73" s="164"/>
      <c r="G73" s="164"/>
      <c r="H73" s="164"/>
      <c r="I73" s="164"/>
      <c r="J73" s="164"/>
      <c r="K73" s="164"/>
      <c r="L73" s="164"/>
      <c r="M73" s="164"/>
    </row>
    <row r="74" ht="15.75" customHeight="1">
      <c r="A74" s="164"/>
      <c r="B74" s="164"/>
      <c r="C74" s="164"/>
      <c r="D74" s="164"/>
      <c r="E74" s="164"/>
      <c r="F74" s="164"/>
      <c r="G74" s="164"/>
      <c r="H74" s="164"/>
      <c r="I74" s="164"/>
      <c r="J74" s="164"/>
      <c r="K74" s="164"/>
      <c r="L74" s="164"/>
      <c r="M74" s="164"/>
    </row>
    <row r="75" ht="15.75" customHeight="1">
      <c r="A75" s="164"/>
      <c r="B75" s="164"/>
      <c r="C75" s="164"/>
      <c r="D75" s="164"/>
      <c r="E75" s="164"/>
      <c r="F75" s="164"/>
      <c r="G75" s="164"/>
      <c r="H75" s="164"/>
      <c r="I75" s="164"/>
      <c r="J75" s="164"/>
      <c r="K75" s="164"/>
      <c r="L75" s="164"/>
      <c r="M75" s="164"/>
    </row>
    <row r="76" ht="15.75" customHeight="1">
      <c r="A76" s="164"/>
      <c r="B76" s="164"/>
      <c r="C76" s="164"/>
      <c r="D76" s="164"/>
      <c r="E76" s="164"/>
      <c r="F76" s="164"/>
      <c r="G76" s="164"/>
      <c r="H76" s="164"/>
      <c r="I76" s="164"/>
      <c r="J76" s="164"/>
      <c r="K76" s="164"/>
      <c r="L76" s="164"/>
      <c r="M76" s="164"/>
    </row>
    <row r="77" ht="15.75" customHeight="1">
      <c r="A77" s="164"/>
      <c r="B77" s="164"/>
      <c r="C77" s="164"/>
      <c r="D77" s="164"/>
      <c r="E77" s="164"/>
      <c r="F77" s="164"/>
      <c r="G77" s="164"/>
      <c r="H77" s="164"/>
      <c r="I77" s="164"/>
      <c r="J77" s="164"/>
      <c r="K77" s="164"/>
      <c r="L77" s="164"/>
      <c r="M77" s="164"/>
    </row>
    <row r="78" ht="15.75" customHeight="1">
      <c r="A78" s="164"/>
      <c r="B78" s="164"/>
      <c r="C78" s="164"/>
      <c r="D78" s="164"/>
      <c r="E78" s="164"/>
      <c r="F78" s="164"/>
      <c r="G78" s="164"/>
      <c r="H78" s="164"/>
      <c r="I78" s="164"/>
      <c r="J78" s="164"/>
      <c r="K78" s="164"/>
      <c r="L78" s="164"/>
      <c r="M78" s="164"/>
    </row>
    <row r="79" ht="15.75" customHeight="1">
      <c r="A79" s="164"/>
      <c r="B79" s="164"/>
      <c r="C79" s="164"/>
      <c r="D79" s="164"/>
      <c r="E79" s="164"/>
      <c r="F79" s="164"/>
      <c r="G79" s="164"/>
      <c r="H79" s="164"/>
      <c r="I79" s="164"/>
      <c r="J79" s="164"/>
      <c r="K79" s="164"/>
      <c r="L79" s="164"/>
      <c r="M79" s="164"/>
    </row>
    <row r="80" ht="15.75" customHeight="1">
      <c r="A80" s="164"/>
      <c r="B80" s="164"/>
      <c r="C80" s="164"/>
      <c r="D80" s="164"/>
      <c r="E80" s="164"/>
      <c r="F80" s="164"/>
      <c r="G80" s="164"/>
      <c r="H80" s="164"/>
      <c r="I80" s="164"/>
      <c r="J80" s="164"/>
      <c r="K80" s="164"/>
      <c r="L80" s="164"/>
      <c r="M80" s="164"/>
    </row>
    <row r="81" ht="15.75" customHeight="1">
      <c r="A81" s="164"/>
      <c r="B81" s="164"/>
      <c r="C81" s="164"/>
      <c r="D81" s="164"/>
      <c r="E81" s="164"/>
      <c r="F81" s="164"/>
      <c r="G81" s="164"/>
      <c r="H81" s="164"/>
      <c r="I81" s="164"/>
      <c r="J81" s="164"/>
      <c r="K81" s="164"/>
      <c r="L81" s="164"/>
      <c r="M81" s="164"/>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64" t="s">
        <v>1313</v>
      </c>
      <c r="B1" s="164" t="s">
        <v>1075</v>
      </c>
      <c r="C1" s="164" t="s">
        <v>1314</v>
      </c>
      <c r="D1" s="164" t="s">
        <v>1315</v>
      </c>
      <c r="E1" s="164" t="s">
        <v>1316</v>
      </c>
      <c r="F1" s="164" t="s">
        <v>1317</v>
      </c>
      <c r="G1" s="164" t="s">
        <v>1318</v>
      </c>
      <c r="H1" s="164" t="s">
        <v>1319</v>
      </c>
      <c r="I1" s="164" t="s">
        <v>1320</v>
      </c>
    </row>
    <row r="2" ht="15.75" customHeight="1">
      <c r="A2" s="164" t="s">
        <v>1207</v>
      </c>
      <c r="B2" s="164" t="s">
        <v>1061</v>
      </c>
      <c r="C2" s="164" t="s">
        <v>1321</v>
      </c>
      <c r="D2" s="164" t="s">
        <v>1322</v>
      </c>
      <c r="E2" s="164" t="s">
        <v>1202</v>
      </c>
      <c r="F2" s="1166">
        <v>203.53</v>
      </c>
      <c r="G2" s="164" t="s">
        <v>1323</v>
      </c>
      <c r="H2" s="1166">
        <v>196.0</v>
      </c>
      <c r="I2" s="1166">
        <v>6.33</v>
      </c>
    </row>
    <row r="3" ht="15.75" customHeight="1">
      <c r="A3" s="164" t="s">
        <v>1324</v>
      </c>
      <c r="B3" s="164" t="s">
        <v>1051</v>
      </c>
      <c r="C3" s="164" t="s">
        <v>1325</v>
      </c>
      <c r="D3" s="164" t="s">
        <v>1322</v>
      </c>
      <c r="E3" s="164" t="s">
        <v>1216</v>
      </c>
      <c r="F3" s="1166">
        <v>105.14</v>
      </c>
      <c r="G3" s="164" t="s">
        <v>1323</v>
      </c>
      <c r="H3" s="1166">
        <v>90.0</v>
      </c>
      <c r="I3" s="1166">
        <v>3.27</v>
      </c>
    </row>
    <row r="4" ht="15.75" customHeight="1">
      <c r="A4" s="1166">
        <v>123466.0</v>
      </c>
      <c r="B4" s="164" t="s">
        <v>1326</v>
      </c>
      <c r="C4" s="164" t="s">
        <v>1327</v>
      </c>
      <c r="D4" s="164" t="s">
        <v>1322</v>
      </c>
      <c r="E4" s="164" t="s">
        <v>1216</v>
      </c>
      <c r="F4" s="1166">
        <v>84.76</v>
      </c>
      <c r="G4" s="164" t="s">
        <v>1328</v>
      </c>
      <c r="H4" s="1166">
        <v>84.76</v>
      </c>
      <c r="I4" s="164"/>
    </row>
    <row r="5" ht="15.75" customHeight="1">
      <c r="A5" s="1166">
        <v>123492.0</v>
      </c>
      <c r="B5" s="164" t="s">
        <v>1062</v>
      </c>
      <c r="C5" s="164" t="s">
        <v>1329</v>
      </c>
      <c r="D5" s="164" t="s">
        <v>1223</v>
      </c>
      <c r="E5" s="164" t="s">
        <v>1330</v>
      </c>
      <c r="F5" s="1166">
        <v>133.83</v>
      </c>
      <c r="G5" s="164" t="s">
        <v>1328</v>
      </c>
      <c r="H5" s="1166">
        <v>133.83</v>
      </c>
      <c r="I5" s="164"/>
    </row>
    <row r="6" ht="15.75" customHeight="1">
      <c r="A6" s="164" t="s">
        <v>1192</v>
      </c>
      <c r="B6" s="164" t="s">
        <v>1053</v>
      </c>
      <c r="C6" s="164" t="s">
        <v>1331</v>
      </c>
      <c r="D6" s="164" t="s">
        <v>1216</v>
      </c>
      <c r="E6" s="164" t="s">
        <v>1332</v>
      </c>
      <c r="F6" s="1166">
        <v>211.25</v>
      </c>
      <c r="G6" s="164" t="s">
        <v>1323</v>
      </c>
      <c r="H6" s="1166">
        <v>200.0</v>
      </c>
      <c r="I6" s="1166">
        <v>6.57</v>
      </c>
    </row>
    <row r="7" ht="15.75" customHeight="1">
      <c r="A7" s="164" t="s">
        <v>1198</v>
      </c>
      <c r="B7" s="164" t="s">
        <v>1058</v>
      </c>
      <c r="C7" s="164" t="s">
        <v>1333</v>
      </c>
      <c r="D7" s="164" t="s">
        <v>1216</v>
      </c>
      <c r="E7" s="164" t="s">
        <v>1197</v>
      </c>
      <c r="F7" s="1166">
        <v>180.38</v>
      </c>
      <c r="G7" s="164" t="s">
        <v>1323</v>
      </c>
      <c r="H7" s="1166">
        <v>162.0</v>
      </c>
      <c r="I7" s="1166">
        <v>5.61</v>
      </c>
    </row>
    <row r="8" ht="15.75" customHeight="1">
      <c r="A8" s="164" t="s">
        <v>1334</v>
      </c>
      <c r="B8" s="164" t="s">
        <v>1266</v>
      </c>
      <c r="C8" s="164" t="s">
        <v>1335</v>
      </c>
      <c r="D8" s="164" t="s">
        <v>1216</v>
      </c>
      <c r="E8" s="164" t="s">
        <v>1336</v>
      </c>
      <c r="F8" s="1166">
        <v>537.31</v>
      </c>
      <c r="G8" s="164" t="s">
        <v>1323</v>
      </c>
      <c r="H8" s="1166">
        <v>542.05</v>
      </c>
      <c r="I8" s="1166">
        <v>16.71</v>
      </c>
    </row>
    <row r="9" ht="15.75" customHeight="1">
      <c r="A9" s="164" t="s">
        <v>1168</v>
      </c>
      <c r="B9" s="164" t="s">
        <v>1065</v>
      </c>
      <c r="C9" s="164" t="s">
        <v>1337</v>
      </c>
      <c r="D9" s="164" t="s">
        <v>1210</v>
      </c>
      <c r="E9" s="164" t="s">
        <v>1338</v>
      </c>
      <c r="F9" s="1166">
        <v>523.3</v>
      </c>
      <c r="G9" s="164" t="s">
        <v>1323</v>
      </c>
      <c r="H9" s="1166">
        <v>517.5</v>
      </c>
      <c r="I9" s="1166">
        <v>16.27</v>
      </c>
    </row>
    <row r="10" ht="15.75" customHeight="1">
      <c r="A10" s="164" t="s">
        <v>1120</v>
      </c>
      <c r="B10" s="164" t="s">
        <v>1339</v>
      </c>
      <c r="C10" s="164" t="s">
        <v>1340</v>
      </c>
      <c r="D10" s="164" t="s">
        <v>1210</v>
      </c>
      <c r="E10" s="164" t="s">
        <v>1123</v>
      </c>
      <c r="F10" s="1166">
        <v>378.7</v>
      </c>
      <c r="G10" s="164" t="s">
        <v>1323</v>
      </c>
      <c r="H10" s="1166">
        <v>372.6</v>
      </c>
      <c r="I10" s="1166">
        <v>11.78</v>
      </c>
    </row>
    <row r="11" ht="15.75" customHeight="1">
      <c r="A11" s="164" t="s">
        <v>1341</v>
      </c>
      <c r="B11" s="164" t="s">
        <v>1072</v>
      </c>
      <c r="C11" s="164" t="s">
        <v>1342</v>
      </c>
      <c r="D11" s="164" t="s">
        <v>1330</v>
      </c>
      <c r="E11" s="164" t="s">
        <v>1119</v>
      </c>
      <c r="F11" s="1166">
        <v>883.57</v>
      </c>
      <c r="G11" s="164" t="s">
        <v>1323</v>
      </c>
      <c r="H11" s="1166">
        <v>891.0</v>
      </c>
      <c r="I11" s="1166">
        <v>27.48</v>
      </c>
    </row>
    <row r="12" ht="15.75" customHeight="1">
      <c r="A12" s="164" t="s">
        <v>1161</v>
      </c>
      <c r="B12" s="164" t="s">
        <v>1063</v>
      </c>
      <c r="C12" s="164" t="s">
        <v>1343</v>
      </c>
      <c r="D12" s="164" t="s">
        <v>1330</v>
      </c>
      <c r="E12" s="164" t="s">
        <v>1184</v>
      </c>
      <c r="F12" s="1166">
        <v>192.92</v>
      </c>
      <c r="G12" s="164" t="s">
        <v>1323</v>
      </c>
      <c r="H12" s="1166">
        <v>175.0</v>
      </c>
      <c r="I12" s="1166">
        <v>6.0</v>
      </c>
    </row>
    <row r="13" ht="15.75" customHeight="1">
      <c r="A13" s="164" t="s">
        <v>1344</v>
      </c>
      <c r="B13" s="164" t="s">
        <v>1345</v>
      </c>
      <c r="C13" s="164" t="s">
        <v>1346</v>
      </c>
      <c r="D13" s="164" t="s">
        <v>1202</v>
      </c>
      <c r="E13" s="164" t="s">
        <v>1347</v>
      </c>
      <c r="F13" s="1166">
        <v>984.38</v>
      </c>
      <c r="G13" s="164" t="s">
        <v>1323</v>
      </c>
      <c r="H13" s="1166">
        <v>990.5</v>
      </c>
      <c r="I13" s="1166">
        <v>30.61</v>
      </c>
    </row>
    <row r="14" ht="15.75" customHeight="1">
      <c r="A14" s="1166">
        <v>123456.0</v>
      </c>
      <c r="B14" s="164" t="s">
        <v>1348</v>
      </c>
      <c r="C14" s="164" t="s">
        <v>1349</v>
      </c>
      <c r="D14" s="164" t="s">
        <v>1202</v>
      </c>
      <c r="E14" s="164" t="s">
        <v>1087</v>
      </c>
      <c r="F14" s="1166">
        <v>400.0</v>
      </c>
      <c r="G14" s="164" t="s">
        <v>1328</v>
      </c>
      <c r="H14" s="1166">
        <v>400.0</v>
      </c>
      <c r="I14" s="164"/>
    </row>
    <row r="15" ht="15.75" customHeight="1">
      <c r="A15" s="164" t="s">
        <v>1350</v>
      </c>
      <c r="B15" s="164" t="s">
        <v>1051</v>
      </c>
      <c r="C15" s="164" t="s">
        <v>1351</v>
      </c>
      <c r="D15" s="164" t="s">
        <v>1197</v>
      </c>
      <c r="E15" s="164" t="s">
        <v>1153</v>
      </c>
      <c r="F15" s="1166">
        <v>290.06</v>
      </c>
      <c r="G15" s="164" t="s">
        <v>1323</v>
      </c>
      <c r="H15" s="1166">
        <v>281.7</v>
      </c>
      <c r="I15" s="1166">
        <v>9.02</v>
      </c>
    </row>
    <row r="16" ht="15.75" customHeight="1">
      <c r="A16" s="164" t="s">
        <v>1164</v>
      </c>
      <c r="B16" s="164" t="s">
        <v>1069</v>
      </c>
      <c r="C16" s="164" t="s">
        <v>1352</v>
      </c>
      <c r="D16" s="164" t="s">
        <v>1197</v>
      </c>
      <c r="E16" s="164" t="s">
        <v>1157</v>
      </c>
      <c r="F16" s="1166">
        <v>437.83</v>
      </c>
      <c r="G16" s="164" t="s">
        <v>1323</v>
      </c>
      <c r="H16" s="1166">
        <v>423.9</v>
      </c>
      <c r="I16" s="1166">
        <v>13.62</v>
      </c>
    </row>
    <row r="17" ht="15.75" customHeight="1">
      <c r="A17" s="1166">
        <v>6.979695445E9</v>
      </c>
      <c r="B17" s="164" t="s">
        <v>1353</v>
      </c>
      <c r="C17" s="164" t="s">
        <v>1354</v>
      </c>
      <c r="D17" s="164" t="s">
        <v>1197</v>
      </c>
      <c r="E17" s="164" t="s">
        <v>1184</v>
      </c>
      <c r="F17" s="1166">
        <v>105.0</v>
      </c>
      <c r="G17" s="1168" t="s">
        <v>1355</v>
      </c>
      <c r="H17" s="1166">
        <v>80.0</v>
      </c>
      <c r="I17" s="164"/>
    </row>
    <row r="18" ht="15.75" customHeight="1">
      <c r="A18" s="164" t="s">
        <v>1088</v>
      </c>
      <c r="B18" s="164" t="s">
        <v>1055</v>
      </c>
      <c r="C18" s="164" t="s">
        <v>1356</v>
      </c>
      <c r="D18" s="164" t="s">
        <v>1194</v>
      </c>
      <c r="E18" s="164" t="s">
        <v>1087</v>
      </c>
      <c r="F18" s="1166">
        <v>359.98</v>
      </c>
      <c r="G18" s="164" t="s">
        <v>1323</v>
      </c>
      <c r="H18" s="1166">
        <v>354.2</v>
      </c>
      <c r="I18" s="1166">
        <v>11.2</v>
      </c>
    </row>
    <row r="19" ht="15.75" customHeight="1">
      <c r="A19" s="164" t="s">
        <v>1357</v>
      </c>
      <c r="B19" s="164" t="s">
        <v>1048</v>
      </c>
      <c r="C19" s="164" t="s">
        <v>1358</v>
      </c>
      <c r="D19" s="164" t="s">
        <v>1194</v>
      </c>
      <c r="E19" s="164" t="s">
        <v>1359</v>
      </c>
      <c r="F19" s="1166">
        <v>777.94</v>
      </c>
      <c r="G19" s="164" t="s">
        <v>1323</v>
      </c>
      <c r="H19" s="1166">
        <v>787.5</v>
      </c>
      <c r="I19" s="1166">
        <v>24.2</v>
      </c>
    </row>
    <row r="20" ht="15.75" customHeight="1">
      <c r="A20" s="1166">
        <v>123459.0</v>
      </c>
      <c r="B20" s="164" t="s">
        <v>1360</v>
      </c>
      <c r="C20" s="164" t="s">
        <v>1361</v>
      </c>
      <c r="D20" s="164" t="s">
        <v>1184</v>
      </c>
      <c r="E20" s="164" t="s">
        <v>1144</v>
      </c>
      <c r="F20" s="1166">
        <v>317.84</v>
      </c>
      <c r="G20" s="164" t="s">
        <v>1328</v>
      </c>
      <c r="H20" s="1166">
        <v>317.84</v>
      </c>
      <c r="I20" s="164"/>
    </row>
    <row r="21" ht="15.75" customHeight="1">
      <c r="A21" s="164" t="s">
        <v>1362</v>
      </c>
      <c r="B21" s="164" t="s">
        <v>1063</v>
      </c>
      <c r="C21" s="164" t="s">
        <v>1363</v>
      </c>
      <c r="D21" s="164" t="s">
        <v>1338</v>
      </c>
      <c r="E21" s="164" t="s">
        <v>1144</v>
      </c>
      <c r="F21" s="1166">
        <v>259.87</v>
      </c>
      <c r="G21" s="164" t="s">
        <v>1323</v>
      </c>
      <c r="H21" s="1166">
        <v>239.4</v>
      </c>
      <c r="I21" s="1166">
        <v>8.08</v>
      </c>
    </row>
    <row r="22" ht="15.75" customHeight="1">
      <c r="A22" s="1166">
        <v>123462.0</v>
      </c>
      <c r="B22" s="164" t="s">
        <v>1364</v>
      </c>
      <c r="C22" s="164" t="s">
        <v>1015</v>
      </c>
      <c r="D22" s="164" t="s">
        <v>1338</v>
      </c>
      <c r="E22" s="164" t="s">
        <v>1172</v>
      </c>
      <c r="F22" s="1166">
        <v>70.63</v>
      </c>
      <c r="G22" s="164" t="s">
        <v>1328</v>
      </c>
      <c r="H22" s="1166">
        <v>70.63</v>
      </c>
      <c r="I22" s="164"/>
    </row>
    <row r="23" ht="15.75" customHeight="1">
      <c r="A23" s="1166">
        <v>123464.0</v>
      </c>
      <c r="B23" s="164" t="s">
        <v>1365</v>
      </c>
      <c r="C23" s="164" t="s">
        <v>1366</v>
      </c>
      <c r="D23" s="164" t="s">
        <v>1338</v>
      </c>
      <c r="E23" s="164" t="s">
        <v>1359</v>
      </c>
      <c r="F23" s="1166">
        <v>400.0</v>
      </c>
      <c r="G23" s="164" t="s">
        <v>1328</v>
      </c>
      <c r="H23" s="1166">
        <v>400.0</v>
      </c>
      <c r="I23" s="164"/>
    </row>
    <row r="24" ht="15.75" customHeight="1">
      <c r="A24" s="164" t="s">
        <v>1367</v>
      </c>
      <c r="B24" s="164" t="s">
        <v>1368</v>
      </c>
      <c r="C24" s="164" t="s">
        <v>1369</v>
      </c>
      <c r="D24" s="164" t="s">
        <v>1176</v>
      </c>
      <c r="E24" s="164" t="s">
        <v>1370</v>
      </c>
      <c r="F24" s="1166">
        <v>488.09</v>
      </c>
      <c r="G24" s="164" t="s">
        <v>1323</v>
      </c>
      <c r="H24" s="1166">
        <v>481.0</v>
      </c>
      <c r="I24" s="1166">
        <v>15.18</v>
      </c>
    </row>
    <row r="25" ht="15.75" customHeight="1">
      <c r="A25" s="164" t="s">
        <v>1371</v>
      </c>
      <c r="B25" s="164" t="s">
        <v>1372</v>
      </c>
      <c r="C25" s="164" t="s">
        <v>1373</v>
      </c>
      <c r="D25" s="164" t="s">
        <v>1176</v>
      </c>
      <c r="E25" s="164" t="s">
        <v>1359</v>
      </c>
      <c r="F25" s="1166">
        <v>463.97</v>
      </c>
      <c r="G25" s="164" t="s">
        <v>1323</v>
      </c>
      <c r="H25" s="1166">
        <v>456.0</v>
      </c>
      <c r="I25" s="1166">
        <v>14.43</v>
      </c>
    </row>
    <row r="26" ht="15.75" customHeight="1">
      <c r="A26" s="1166">
        <v>123501.0</v>
      </c>
      <c r="B26" s="164" t="s">
        <v>1374</v>
      </c>
      <c r="C26" s="164" t="s">
        <v>1375</v>
      </c>
      <c r="D26" s="164" t="s">
        <v>1172</v>
      </c>
      <c r="E26" s="164" t="s">
        <v>1103</v>
      </c>
      <c r="F26" s="1166">
        <v>219.33</v>
      </c>
      <c r="G26" s="164" t="s">
        <v>1328</v>
      </c>
      <c r="H26" s="1166">
        <v>219.33</v>
      </c>
      <c r="I26" s="164"/>
    </row>
    <row r="27" ht="15.75" customHeight="1">
      <c r="A27" s="164" t="s">
        <v>1158</v>
      </c>
      <c r="B27" s="164" t="s">
        <v>1065</v>
      </c>
      <c r="C27" s="164" t="s">
        <v>1376</v>
      </c>
      <c r="D27" s="164" t="s">
        <v>1377</v>
      </c>
      <c r="E27" s="164" t="s">
        <v>1157</v>
      </c>
      <c r="F27" s="1166">
        <v>149.51</v>
      </c>
      <c r="G27" s="164" t="s">
        <v>1323</v>
      </c>
      <c r="H27" s="1166">
        <v>130.0</v>
      </c>
      <c r="I27" s="1166">
        <v>4.65</v>
      </c>
    </row>
    <row r="28" ht="15.75" customHeight="1">
      <c r="A28" s="1166">
        <v>123469.0</v>
      </c>
      <c r="B28" s="164" t="s">
        <v>1378</v>
      </c>
      <c r="C28" s="164" t="s">
        <v>1379</v>
      </c>
      <c r="D28" s="164" t="s">
        <v>1377</v>
      </c>
      <c r="E28" s="164" t="s">
        <v>1380</v>
      </c>
      <c r="F28" s="1166">
        <v>500.0</v>
      </c>
      <c r="G28" s="164" t="s">
        <v>1328</v>
      </c>
      <c r="H28" s="1166">
        <v>500.0</v>
      </c>
      <c r="I28" s="164"/>
    </row>
    <row r="29" ht="15.75" customHeight="1">
      <c r="A29" s="164" t="s">
        <v>1381</v>
      </c>
      <c r="B29" s="164" t="s">
        <v>1054</v>
      </c>
      <c r="C29" s="164" t="s">
        <v>1382</v>
      </c>
      <c r="D29" s="164" t="s">
        <v>1167</v>
      </c>
      <c r="E29" s="164" t="s">
        <v>1383</v>
      </c>
      <c r="F29" s="1166">
        <v>362.2</v>
      </c>
      <c r="G29" s="164" t="s">
        <v>1323</v>
      </c>
      <c r="H29" s="1166">
        <v>356.5</v>
      </c>
      <c r="I29" s="1166">
        <v>11.27</v>
      </c>
    </row>
    <row r="30" ht="15.75" customHeight="1">
      <c r="A30" s="164" t="s">
        <v>1107</v>
      </c>
      <c r="B30" s="164" t="s">
        <v>1058</v>
      </c>
      <c r="C30" s="164" t="s">
        <v>1384</v>
      </c>
      <c r="D30" s="164" t="s">
        <v>1167</v>
      </c>
      <c r="E30" s="164" t="s">
        <v>1144</v>
      </c>
      <c r="F30" s="1166">
        <v>178.46</v>
      </c>
      <c r="G30" s="164" t="s">
        <v>1323</v>
      </c>
      <c r="H30" s="1166">
        <v>160.0</v>
      </c>
      <c r="I30" s="1166">
        <v>5.55</v>
      </c>
    </row>
    <row r="31" ht="15.75" customHeight="1">
      <c r="A31" s="1166">
        <v>123502.0</v>
      </c>
      <c r="B31" s="164" t="s">
        <v>1064</v>
      </c>
      <c r="C31" s="164" t="s">
        <v>1385</v>
      </c>
      <c r="D31" s="164" t="s">
        <v>1167</v>
      </c>
      <c r="E31" s="164" t="s">
        <v>1153</v>
      </c>
      <c r="F31" s="1166">
        <v>168.03</v>
      </c>
      <c r="G31" s="164" t="s">
        <v>1328</v>
      </c>
      <c r="H31" s="1166">
        <v>168.03</v>
      </c>
      <c r="I31" s="164"/>
    </row>
    <row r="32" ht="15.75" customHeight="1">
      <c r="A32" s="164" t="s">
        <v>1386</v>
      </c>
      <c r="B32" s="164" t="s">
        <v>1044</v>
      </c>
      <c r="C32" s="164" t="s">
        <v>1387</v>
      </c>
      <c r="D32" s="164" t="s">
        <v>1157</v>
      </c>
      <c r="E32" s="164" t="s">
        <v>1388</v>
      </c>
      <c r="F32" s="1166">
        <v>1511.18</v>
      </c>
      <c r="G32" s="164" t="s">
        <v>1323</v>
      </c>
      <c r="H32" s="1169">
        <v>1511.64</v>
      </c>
      <c r="I32" s="1166">
        <v>47.0</v>
      </c>
    </row>
    <row r="33" ht="15.75" customHeight="1">
      <c r="A33" s="164" t="s">
        <v>1389</v>
      </c>
      <c r="B33" s="164" t="s">
        <v>1390</v>
      </c>
      <c r="C33" s="164" t="s">
        <v>1391</v>
      </c>
      <c r="D33" s="164" t="s">
        <v>1157</v>
      </c>
      <c r="E33" s="164" t="s">
        <v>1392</v>
      </c>
      <c r="F33" s="1166">
        <v>751.06</v>
      </c>
      <c r="G33" s="164" t="s">
        <v>1323</v>
      </c>
      <c r="H33" s="1166">
        <v>748.63</v>
      </c>
      <c r="I33" s="1166">
        <v>23.36</v>
      </c>
    </row>
    <row r="34" ht="15.75" customHeight="1">
      <c r="A34" s="164" t="s">
        <v>1393</v>
      </c>
      <c r="B34" s="164" t="s">
        <v>1394</v>
      </c>
      <c r="C34" s="164" t="s">
        <v>1395</v>
      </c>
      <c r="D34" s="164" t="s">
        <v>1157</v>
      </c>
      <c r="E34" s="164" t="s">
        <v>1392</v>
      </c>
      <c r="F34" s="1166">
        <v>415.74</v>
      </c>
      <c r="G34" s="164" t="s">
        <v>1323</v>
      </c>
      <c r="H34" s="1166">
        <v>406.0</v>
      </c>
      <c r="I34" s="1166">
        <v>12.93</v>
      </c>
    </row>
    <row r="35" ht="15.75" customHeight="1">
      <c r="A35" s="164" t="s">
        <v>1130</v>
      </c>
      <c r="B35" s="164" t="s">
        <v>1069</v>
      </c>
      <c r="C35" s="164" t="s">
        <v>1396</v>
      </c>
      <c r="D35" s="164" t="s">
        <v>1157</v>
      </c>
      <c r="E35" s="164" t="s">
        <v>1144</v>
      </c>
      <c r="F35" s="1166">
        <v>182.31</v>
      </c>
      <c r="G35" s="164" t="s">
        <v>1323</v>
      </c>
      <c r="H35" s="1166">
        <v>159.0</v>
      </c>
      <c r="I35" s="1166">
        <v>5.67</v>
      </c>
    </row>
    <row r="36" ht="15.75" customHeight="1">
      <c r="A36" s="164" t="s">
        <v>1397</v>
      </c>
      <c r="B36" s="164" t="s">
        <v>1065</v>
      </c>
      <c r="C36" s="164" t="s">
        <v>1398</v>
      </c>
      <c r="D36" s="164" t="s">
        <v>1399</v>
      </c>
      <c r="E36" s="164" t="s">
        <v>1123</v>
      </c>
      <c r="F36" s="1166">
        <v>327.96</v>
      </c>
      <c r="G36" s="164" t="s">
        <v>1323</v>
      </c>
      <c r="H36" s="1166">
        <v>315.0</v>
      </c>
      <c r="I36" s="1166">
        <v>10.2</v>
      </c>
    </row>
    <row r="37" ht="15.75" customHeight="1">
      <c r="A37" s="164" t="s">
        <v>1400</v>
      </c>
      <c r="B37" s="164" t="s">
        <v>1401</v>
      </c>
      <c r="C37" s="164" t="s">
        <v>1402</v>
      </c>
      <c r="D37" s="164" t="s">
        <v>1399</v>
      </c>
      <c r="E37" s="164" t="s">
        <v>1392</v>
      </c>
      <c r="F37" s="1166">
        <v>509.31</v>
      </c>
      <c r="G37" s="164" t="s">
        <v>1323</v>
      </c>
      <c r="H37" s="1166">
        <v>503.0</v>
      </c>
      <c r="I37" s="1166">
        <v>15.84</v>
      </c>
    </row>
    <row r="38" ht="15.75" customHeight="1">
      <c r="A38" s="1166">
        <v>123484.0</v>
      </c>
      <c r="B38" s="164" t="s">
        <v>1049</v>
      </c>
      <c r="C38" s="164" t="s">
        <v>1403</v>
      </c>
      <c r="D38" s="164" t="s">
        <v>1399</v>
      </c>
      <c r="E38" s="164" t="s">
        <v>1136</v>
      </c>
      <c r="F38" s="1166">
        <v>83.64</v>
      </c>
      <c r="G38" s="164" t="s">
        <v>1328</v>
      </c>
      <c r="H38" s="1166">
        <v>57.64</v>
      </c>
      <c r="I38" s="164"/>
    </row>
    <row r="39" ht="15.75" customHeight="1">
      <c r="A39" s="164" t="s">
        <v>1124</v>
      </c>
      <c r="B39" s="164" t="s">
        <v>1060</v>
      </c>
      <c r="C39" s="164" t="s">
        <v>1404</v>
      </c>
      <c r="D39" s="164" t="s">
        <v>1153</v>
      </c>
      <c r="E39" s="164" t="s">
        <v>1123</v>
      </c>
      <c r="F39" s="1166">
        <v>193.88</v>
      </c>
      <c r="G39" s="164" t="s">
        <v>1323</v>
      </c>
      <c r="H39" s="1166">
        <v>176.0</v>
      </c>
      <c r="I39" s="1166">
        <v>6.03</v>
      </c>
    </row>
    <row r="40" ht="15.75" customHeight="1">
      <c r="A40" s="164" t="s">
        <v>1405</v>
      </c>
      <c r="B40" s="164" t="s">
        <v>1051</v>
      </c>
      <c r="C40" s="164" t="s">
        <v>1406</v>
      </c>
      <c r="D40" s="164" t="s">
        <v>1153</v>
      </c>
      <c r="E40" s="164" t="s">
        <v>1129</v>
      </c>
      <c r="F40" s="1166">
        <v>99.35</v>
      </c>
      <c r="G40" s="164" t="s">
        <v>1323</v>
      </c>
      <c r="H40" s="1166">
        <v>84.0</v>
      </c>
      <c r="I40" s="1166">
        <v>3.09</v>
      </c>
    </row>
    <row r="41" ht="15.75" customHeight="1">
      <c r="A41" s="164" t="s">
        <v>1407</v>
      </c>
      <c r="B41" s="164" t="s">
        <v>1053</v>
      </c>
      <c r="C41" s="164" t="s">
        <v>1408</v>
      </c>
      <c r="D41" s="164" t="s">
        <v>1153</v>
      </c>
      <c r="E41" s="164" t="s">
        <v>1409</v>
      </c>
      <c r="F41" s="1166">
        <v>516.06</v>
      </c>
      <c r="G41" s="164" t="s">
        <v>1323</v>
      </c>
      <c r="H41" s="1166">
        <v>510.0</v>
      </c>
      <c r="I41" s="1166">
        <v>16.05</v>
      </c>
    </row>
    <row r="42" ht="15.75" customHeight="1">
      <c r="A42" s="164" t="s">
        <v>1410</v>
      </c>
      <c r="B42" s="164" t="s">
        <v>1411</v>
      </c>
      <c r="C42" s="164" t="s">
        <v>1412</v>
      </c>
      <c r="D42" s="164" t="s">
        <v>1153</v>
      </c>
      <c r="E42" s="164" t="s">
        <v>1123</v>
      </c>
      <c r="F42" s="1166">
        <v>182.0</v>
      </c>
      <c r="G42" s="1168" t="s">
        <v>1355</v>
      </c>
      <c r="H42" s="1166">
        <v>157.0</v>
      </c>
      <c r="I42" s="1166">
        <v>43.89</v>
      </c>
    </row>
    <row r="43" ht="15.75" customHeight="1">
      <c r="A43" s="1166">
        <v>123467.0</v>
      </c>
      <c r="B43" s="164" t="s">
        <v>1326</v>
      </c>
      <c r="C43" s="164" t="s">
        <v>1413</v>
      </c>
      <c r="D43" s="164" t="s">
        <v>1153</v>
      </c>
      <c r="E43" s="164" t="s">
        <v>1129</v>
      </c>
      <c r="F43" s="1166">
        <v>106.54</v>
      </c>
      <c r="G43" s="164" t="s">
        <v>1328</v>
      </c>
      <c r="H43" s="1166">
        <v>106.54</v>
      </c>
      <c r="I43" s="164"/>
    </row>
    <row r="44" ht="15.75" customHeight="1">
      <c r="A44" s="1166">
        <v>123503.0</v>
      </c>
      <c r="B44" s="164" t="s">
        <v>1064</v>
      </c>
      <c r="C44" s="164" t="s">
        <v>1385</v>
      </c>
      <c r="D44" s="164" t="s">
        <v>1153</v>
      </c>
      <c r="E44" s="164" t="s">
        <v>1414</v>
      </c>
      <c r="F44" s="1166">
        <v>323.42</v>
      </c>
      <c r="G44" s="164" t="s">
        <v>1328</v>
      </c>
      <c r="H44" s="1166">
        <v>323.42</v>
      </c>
      <c r="I44" s="164"/>
    </row>
    <row r="45" ht="15.75" customHeight="1">
      <c r="A45" s="1166">
        <v>123504.0</v>
      </c>
      <c r="B45" s="164" t="s">
        <v>1073</v>
      </c>
      <c r="C45" s="164" t="s">
        <v>1415</v>
      </c>
      <c r="D45" s="164" t="s">
        <v>1144</v>
      </c>
      <c r="E45" s="164" t="s">
        <v>1416</v>
      </c>
      <c r="F45" s="1166">
        <v>500.0</v>
      </c>
      <c r="G45" s="164" t="s">
        <v>1328</v>
      </c>
      <c r="H45" s="1166">
        <v>500.0</v>
      </c>
      <c r="I45" s="164"/>
    </row>
    <row r="46" ht="15.75" customHeight="1">
      <c r="A46" s="164" t="s">
        <v>1417</v>
      </c>
      <c r="B46" s="164" t="s">
        <v>1069</v>
      </c>
      <c r="C46" s="164" t="s">
        <v>1418</v>
      </c>
      <c r="D46" s="164" t="s">
        <v>1136</v>
      </c>
      <c r="E46" s="164" t="s">
        <v>1336</v>
      </c>
      <c r="F46" s="1166">
        <v>581.08</v>
      </c>
      <c r="G46" s="164" t="s">
        <v>1323</v>
      </c>
      <c r="H46" s="1166">
        <v>572.4</v>
      </c>
      <c r="I46" s="1166">
        <v>18.07</v>
      </c>
    </row>
    <row r="47" ht="15.75" customHeight="1">
      <c r="A47" s="164" t="s">
        <v>1419</v>
      </c>
      <c r="B47" s="164" t="s">
        <v>1071</v>
      </c>
      <c r="C47" s="164" t="s">
        <v>1420</v>
      </c>
      <c r="D47" s="164" t="s">
        <v>1136</v>
      </c>
      <c r="E47" s="164" t="s">
        <v>1421</v>
      </c>
      <c r="F47" s="1166">
        <v>1208.86</v>
      </c>
      <c r="G47" s="164" t="s">
        <v>1323</v>
      </c>
      <c r="H47" s="1169">
        <v>1223.22</v>
      </c>
      <c r="I47" s="1166">
        <v>37.59</v>
      </c>
    </row>
    <row r="48" ht="15.75" customHeight="1">
      <c r="A48" s="164" t="s">
        <v>1422</v>
      </c>
      <c r="B48" s="164" t="s">
        <v>1046</v>
      </c>
      <c r="C48" s="164" t="s">
        <v>1423</v>
      </c>
      <c r="D48" s="164" t="s">
        <v>1136</v>
      </c>
      <c r="E48" s="164" t="s">
        <v>1119</v>
      </c>
      <c r="F48" s="1166">
        <v>260.44</v>
      </c>
      <c r="G48" s="164" t="s">
        <v>1323</v>
      </c>
      <c r="H48" s="1166">
        <v>240.0</v>
      </c>
      <c r="I48" s="1166">
        <v>8.1</v>
      </c>
    </row>
    <row r="49" ht="15.75" customHeight="1">
      <c r="A49" s="1166">
        <v>123460.0</v>
      </c>
      <c r="B49" s="164" t="s">
        <v>1353</v>
      </c>
      <c r="C49" s="164" t="s">
        <v>1424</v>
      </c>
      <c r="D49" s="164" t="s">
        <v>1136</v>
      </c>
      <c r="E49" s="164" t="s">
        <v>1129</v>
      </c>
      <c r="F49" s="1166">
        <v>56.88</v>
      </c>
      <c r="G49" s="164" t="s">
        <v>1328</v>
      </c>
      <c r="H49" s="1166">
        <v>56.88</v>
      </c>
      <c r="I49" s="164"/>
    </row>
    <row r="50" ht="15.75" customHeight="1">
      <c r="A50" s="1166">
        <v>123497.0</v>
      </c>
      <c r="B50" s="164" t="s">
        <v>1066</v>
      </c>
      <c r="C50" s="164" t="s">
        <v>1425</v>
      </c>
      <c r="D50" s="164" t="s">
        <v>1136</v>
      </c>
      <c r="E50" s="164" t="s">
        <v>1426</v>
      </c>
      <c r="F50" s="1166">
        <v>727.51</v>
      </c>
      <c r="G50" s="164" t="s">
        <v>1328</v>
      </c>
      <c r="H50" s="1166">
        <v>727.51</v>
      </c>
      <c r="I50" s="164"/>
    </row>
    <row r="51" ht="15.75" customHeight="1">
      <c r="A51" s="164" t="s">
        <v>1427</v>
      </c>
      <c r="B51" s="164" t="s">
        <v>1051</v>
      </c>
      <c r="C51" s="164" t="s">
        <v>1428</v>
      </c>
      <c r="D51" s="164" t="s">
        <v>1123</v>
      </c>
      <c r="E51" s="164" t="s">
        <v>1429</v>
      </c>
      <c r="F51" s="1166">
        <v>176.52</v>
      </c>
      <c r="G51" s="164" t="s">
        <v>1323</v>
      </c>
      <c r="H51" s="1166">
        <v>158.0</v>
      </c>
      <c r="I51" s="1166">
        <v>5.49</v>
      </c>
    </row>
    <row r="52" ht="15.75" customHeight="1">
      <c r="A52" s="164" t="s">
        <v>1430</v>
      </c>
      <c r="B52" s="164" t="s">
        <v>1339</v>
      </c>
      <c r="C52" s="164" t="s">
        <v>1431</v>
      </c>
      <c r="D52" s="164" t="s">
        <v>1123</v>
      </c>
      <c r="E52" s="164" t="s">
        <v>1109</v>
      </c>
      <c r="F52" s="1166">
        <v>176.5</v>
      </c>
      <c r="G52" s="164" t="s">
        <v>1323</v>
      </c>
      <c r="H52" s="1166">
        <v>158.25</v>
      </c>
      <c r="I52" s="1166">
        <v>5.72</v>
      </c>
    </row>
    <row r="53" ht="15.75" customHeight="1">
      <c r="A53" s="164" t="s">
        <v>1098</v>
      </c>
      <c r="B53" s="164" t="s">
        <v>1063</v>
      </c>
      <c r="C53" s="164" t="s">
        <v>1432</v>
      </c>
      <c r="D53" s="164" t="s">
        <v>1433</v>
      </c>
      <c r="E53" s="164" t="s">
        <v>1103</v>
      </c>
      <c r="F53" s="1166">
        <v>244.23</v>
      </c>
      <c r="G53" s="164" t="s">
        <v>1323</v>
      </c>
      <c r="H53" s="1166">
        <v>223.2</v>
      </c>
      <c r="I53" s="1166">
        <v>7.6</v>
      </c>
    </row>
    <row r="54" ht="15.75" customHeight="1">
      <c r="A54" s="164" t="s">
        <v>1434</v>
      </c>
      <c r="B54" s="164" t="s">
        <v>1435</v>
      </c>
      <c r="C54" s="164" t="s">
        <v>1436</v>
      </c>
      <c r="D54" s="164" t="s">
        <v>1433</v>
      </c>
      <c r="E54" s="164" t="s">
        <v>1437</v>
      </c>
      <c r="F54" s="1166">
        <v>343.67</v>
      </c>
      <c r="G54" s="164" t="s">
        <v>1323</v>
      </c>
      <c r="H54" s="1166">
        <v>335.0</v>
      </c>
      <c r="I54" s="1166">
        <v>10.8</v>
      </c>
    </row>
    <row r="55" ht="15.75" customHeight="1">
      <c r="A55" s="164" t="s">
        <v>1104</v>
      </c>
      <c r="B55" s="164" t="s">
        <v>1067</v>
      </c>
      <c r="C55" s="1167" t="s">
        <v>1438</v>
      </c>
      <c r="D55" s="164" t="s">
        <v>1414</v>
      </c>
      <c r="E55" s="164" t="s">
        <v>1439</v>
      </c>
      <c r="F55" s="1166">
        <v>98.34</v>
      </c>
      <c r="G55" s="164" t="s">
        <v>1323</v>
      </c>
      <c r="H55" s="1166">
        <v>76.95</v>
      </c>
      <c r="I55" s="1166">
        <v>3.06</v>
      </c>
    </row>
    <row r="56" ht="15.75" customHeight="1">
      <c r="A56" s="164" t="s">
        <v>1110</v>
      </c>
      <c r="B56" s="164" t="s">
        <v>1061</v>
      </c>
      <c r="C56" s="164" t="s">
        <v>1440</v>
      </c>
      <c r="D56" s="164" t="s">
        <v>1441</v>
      </c>
      <c r="E56" s="164" t="s">
        <v>1109</v>
      </c>
      <c r="F56" s="1166">
        <v>151.73</v>
      </c>
      <c r="G56" s="164" t="s">
        <v>1323</v>
      </c>
      <c r="H56" s="1166">
        <v>132.3</v>
      </c>
      <c r="I56" s="1166">
        <v>4.72</v>
      </c>
    </row>
    <row r="57" ht="15.75" customHeight="1">
      <c r="A57" s="164" t="s">
        <v>1094</v>
      </c>
      <c r="B57" s="164" t="s">
        <v>1050</v>
      </c>
      <c r="C57" s="164" t="s">
        <v>1442</v>
      </c>
      <c r="D57" s="164" t="s">
        <v>1119</v>
      </c>
      <c r="E57" s="164" t="s">
        <v>1336</v>
      </c>
      <c r="F57" s="1166">
        <v>196.78</v>
      </c>
      <c r="G57" s="164" t="s">
        <v>1323</v>
      </c>
      <c r="H57" s="1166">
        <v>174.0</v>
      </c>
      <c r="I57" s="1166">
        <v>6.12</v>
      </c>
    </row>
    <row r="58" ht="15.75" customHeight="1">
      <c r="A58" s="164" t="s">
        <v>1116</v>
      </c>
      <c r="B58" s="164" t="s">
        <v>1065</v>
      </c>
      <c r="C58" s="164" t="s">
        <v>1443</v>
      </c>
      <c r="D58" s="164" t="s">
        <v>1119</v>
      </c>
      <c r="E58" s="164" t="s">
        <v>1115</v>
      </c>
      <c r="F58" s="1166">
        <v>123.38</v>
      </c>
      <c r="G58" s="164" t="s">
        <v>1323</v>
      </c>
      <c r="H58" s="1166">
        <v>126.0</v>
      </c>
      <c r="I58" s="1166">
        <v>23.41</v>
      </c>
    </row>
    <row r="59" ht="15.75" customHeight="1">
      <c r="A59" s="164" t="s">
        <v>1444</v>
      </c>
      <c r="B59" s="164" t="s">
        <v>1445</v>
      </c>
      <c r="C59" s="164" t="s">
        <v>1446</v>
      </c>
      <c r="D59" s="164" t="s">
        <v>1115</v>
      </c>
      <c r="E59" s="164" t="s">
        <v>1447</v>
      </c>
      <c r="F59" s="1166">
        <v>744.66</v>
      </c>
      <c r="G59" s="164" t="s">
        <v>1323</v>
      </c>
      <c r="H59" s="1166">
        <v>747.0</v>
      </c>
      <c r="I59" s="1166">
        <v>23.17</v>
      </c>
    </row>
    <row r="60" ht="15.75" customHeight="1">
      <c r="A60" s="164" t="s">
        <v>1101</v>
      </c>
      <c r="B60" s="164" t="s">
        <v>1065</v>
      </c>
      <c r="C60" s="164" t="s">
        <v>1448</v>
      </c>
      <c r="D60" s="164" t="s">
        <v>1115</v>
      </c>
      <c r="E60" s="164" t="s">
        <v>1103</v>
      </c>
      <c r="F60" s="1166">
        <v>206.42</v>
      </c>
      <c r="G60" s="164" t="s">
        <v>1323</v>
      </c>
      <c r="H60" s="1166">
        <v>189.0</v>
      </c>
      <c r="I60" s="1166">
        <v>6.42</v>
      </c>
    </row>
    <row r="61" ht="15.75" customHeight="1">
      <c r="A61" s="164" t="s">
        <v>1449</v>
      </c>
      <c r="B61" s="164" t="s">
        <v>1070</v>
      </c>
      <c r="C61" s="164" t="s">
        <v>1450</v>
      </c>
      <c r="D61" s="164" t="s">
        <v>1109</v>
      </c>
      <c r="E61" s="164" t="s">
        <v>1426</v>
      </c>
      <c r="F61" s="1166">
        <v>902.86</v>
      </c>
      <c r="G61" s="164" t="s">
        <v>1323</v>
      </c>
      <c r="H61" s="1166">
        <v>896.0</v>
      </c>
      <c r="I61" s="1166">
        <v>28.08</v>
      </c>
    </row>
    <row r="62" ht="15.75" customHeight="1">
      <c r="A62" s="164" t="s">
        <v>1451</v>
      </c>
      <c r="B62" s="164" t="s">
        <v>1452</v>
      </c>
      <c r="C62" s="164" t="s">
        <v>1453</v>
      </c>
      <c r="D62" s="164" t="s">
        <v>1109</v>
      </c>
      <c r="E62" s="164" t="s">
        <v>1426</v>
      </c>
      <c r="F62" s="1166">
        <v>626.04</v>
      </c>
      <c r="G62" s="164" t="s">
        <v>1323</v>
      </c>
      <c r="H62" s="1166">
        <v>736.17</v>
      </c>
      <c r="I62" s="1166">
        <v>118.76</v>
      </c>
    </row>
    <row r="63" ht="15.75" customHeight="1">
      <c r="A63" s="164" t="s">
        <v>1454</v>
      </c>
      <c r="B63" s="164" t="s">
        <v>1455</v>
      </c>
      <c r="C63" s="164" t="s">
        <v>1456</v>
      </c>
      <c r="D63" s="164" t="s">
        <v>1103</v>
      </c>
      <c r="E63" s="164" t="s">
        <v>1457</v>
      </c>
      <c r="F63" s="1166">
        <v>449.51</v>
      </c>
      <c r="G63" s="164" t="s">
        <v>1323</v>
      </c>
      <c r="H63" s="1166">
        <v>441.0</v>
      </c>
      <c r="I63" s="1166">
        <v>13.98</v>
      </c>
    </row>
    <row r="64" ht="15.75" customHeight="1">
      <c r="A64" s="164" t="s">
        <v>1458</v>
      </c>
      <c r="B64" s="164" t="s">
        <v>1046</v>
      </c>
      <c r="C64" s="164" t="s">
        <v>1459</v>
      </c>
      <c r="D64" s="164" t="s">
        <v>1103</v>
      </c>
      <c r="E64" s="164" t="s">
        <v>1460</v>
      </c>
      <c r="F64" s="1166">
        <v>3783.74</v>
      </c>
      <c r="G64" s="164" t="s">
        <v>1323</v>
      </c>
      <c r="H64" s="1169">
        <v>3897.6</v>
      </c>
      <c r="I64" s="1166">
        <v>117.68</v>
      </c>
    </row>
    <row r="65" ht="15.75" customHeight="1">
      <c r="A65" s="164" t="s">
        <v>1461</v>
      </c>
      <c r="B65" s="164" t="s">
        <v>1051</v>
      </c>
      <c r="C65" s="164" t="s">
        <v>1462</v>
      </c>
      <c r="D65" s="164" t="s">
        <v>1103</v>
      </c>
      <c r="E65" s="164" t="s">
        <v>1463</v>
      </c>
      <c r="F65" s="1166">
        <v>1713.14</v>
      </c>
      <c r="G65" s="164" t="s">
        <v>1323</v>
      </c>
      <c r="H65" s="1169">
        <v>1757.0</v>
      </c>
      <c r="I65" s="1166">
        <v>53.28</v>
      </c>
    </row>
    <row r="66" ht="15.75" customHeight="1">
      <c r="A66" s="164" t="s">
        <v>1464</v>
      </c>
      <c r="B66" s="164" t="s">
        <v>1049</v>
      </c>
      <c r="C66" s="164" t="s">
        <v>1465</v>
      </c>
      <c r="D66" s="164" t="s">
        <v>1103</v>
      </c>
      <c r="E66" s="164" t="s">
        <v>1457</v>
      </c>
      <c r="F66" s="1166">
        <v>390.66</v>
      </c>
      <c r="G66" s="164" t="s">
        <v>1323</v>
      </c>
      <c r="H66" s="1166">
        <v>385.0</v>
      </c>
      <c r="I66" s="1166">
        <v>12.15</v>
      </c>
    </row>
    <row r="67" ht="15.75" customHeight="1">
      <c r="A67" s="164" t="s">
        <v>1466</v>
      </c>
      <c r="B67" s="164" t="s">
        <v>1467</v>
      </c>
      <c r="C67" s="164" t="s">
        <v>1468</v>
      </c>
      <c r="D67" s="164" t="s">
        <v>1103</v>
      </c>
      <c r="E67" s="164" t="s">
        <v>1469</v>
      </c>
      <c r="F67" s="1166">
        <v>1128.59</v>
      </c>
      <c r="G67" s="164" t="s">
        <v>1323</v>
      </c>
      <c r="H67" s="1169">
        <v>1140.0</v>
      </c>
      <c r="I67" s="1166">
        <v>35.1</v>
      </c>
    </row>
    <row r="68" ht="15.75" customHeight="1">
      <c r="A68" s="164" t="s">
        <v>1470</v>
      </c>
      <c r="B68" s="164" t="s">
        <v>1063</v>
      </c>
      <c r="C68" s="164" t="s">
        <v>1471</v>
      </c>
      <c r="D68" s="164" t="s">
        <v>1336</v>
      </c>
      <c r="E68" s="164" t="s">
        <v>1472</v>
      </c>
      <c r="F68" s="1166">
        <v>330.57</v>
      </c>
      <c r="G68" s="164" t="s">
        <v>1323</v>
      </c>
      <c r="H68" s="1166">
        <v>317.7</v>
      </c>
      <c r="I68" s="1166">
        <v>10.28</v>
      </c>
    </row>
    <row r="69" ht="15.75" customHeight="1">
      <c r="A69" s="164" t="s">
        <v>1473</v>
      </c>
      <c r="B69" s="164" t="s">
        <v>1474</v>
      </c>
      <c r="C69" s="164" t="s">
        <v>1475</v>
      </c>
      <c r="D69" s="164" t="s">
        <v>1097</v>
      </c>
      <c r="E69" s="164" t="s">
        <v>1469</v>
      </c>
      <c r="F69" s="1166">
        <v>388.73</v>
      </c>
      <c r="G69" s="164" t="s">
        <v>1323</v>
      </c>
      <c r="H69" s="1166">
        <v>378.0</v>
      </c>
      <c r="I69" s="1166">
        <v>12.09</v>
      </c>
    </row>
    <row r="70" ht="15.75" customHeight="1">
      <c r="A70" s="164" t="s">
        <v>1476</v>
      </c>
      <c r="B70" s="164" t="s">
        <v>1477</v>
      </c>
      <c r="C70" s="164" t="s">
        <v>1478</v>
      </c>
      <c r="D70" s="164" t="s">
        <v>1097</v>
      </c>
      <c r="E70" s="164" t="s">
        <v>1469</v>
      </c>
      <c r="F70" s="1166">
        <v>524.68</v>
      </c>
      <c r="G70" s="164" t="s">
        <v>1323</v>
      </c>
      <c r="H70" s="1166">
        <v>617.12</v>
      </c>
      <c r="I70" s="1166">
        <v>99.53</v>
      </c>
    </row>
    <row r="71" ht="15.75" customHeight="1">
      <c r="A71" s="164" t="s">
        <v>1479</v>
      </c>
      <c r="B71" s="164" t="s">
        <v>1061</v>
      </c>
      <c r="C71" s="164" t="s">
        <v>1480</v>
      </c>
      <c r="D71" s="164" t="s">
        <v>1481</v>
      </c>
      <c r="E71" s="164" t="s">
        <v>1482</v>
      </c>
      <c r="F71" s="1166">
        <v>444.83</v>
      </c>
      <c r="G71" s="164" t="s">
        <v>1323</v>
      </c>
      <c r="H71" s="1166">
        <v>519.4</v>
      </c>
      <c r="I71" s="1166">
        <v>84.38</v>
      </c>
    </row>
    <row r="72" ht="15.75" customHeight="1">
      <c r="A72" s="164" t="s">
        <v>1483</v>
      </c>
      <c r="B72" s="164" t="s">
        <v>1069</v>
      </c>
      <c r="C72" s="164" t="s">
        <v>1484</v>
      </c>
      <c r="D72" s="164" t="s">
        <v>1485</v>
      </c>
      <c r="E72" s="164" t="s">
        <v>1486</v>
      </c>
      <c r="F72" s="1166">
        <v>1242.4</v>
      </c>
      <c r="G72" s="164" t="s">
        <v>1323</v>
      </c>
      <c r="H72" s="1169">
        <v>1258.0</v>
      </c>
      <c r="I72" s="1166">
        <v>38.64</v>
      </c>
    </row>
    <row r="73" ht="15.75" customHeight="1">
      <c r="A73" s="164" t="s">
        <v>1487</v>
      </c>
      <c r="B73" s="164" t="s">
        <v>1360</v>
      </c>
      <c r="C73" s="164" t="s">
        <v>1488</v>
      </c>
      <c r="D73" s="164" t="s">
        <v>1485</v>
      </c>
      <c r="E73" s="164" t="s">
        <v>1489</v>
      </c>
      <c r="F73" s="1166">
        <v>465.74</v>
      </c>
      <c r="G73" s="164" t="s">
        <v>1323</v>
      </c>
      <c r="H73" s="1166">
        <v>540.0</v>
      </c>
      <c r="I73" s="1166">
        <v>88.35</v>
      </c>
    </row>
    <row r="74" ht="15.75" customHeight="1">
      <c r="A74" s="1166">
        <v>5.930431303E9</v>
      </c>
      <c r="B74" s="164" t="s">
        <v>1490</v>
      </c>
      <c r="C74" s="164" t="s">
        <v>1491</v>
      </c>
      <c r="D74" s="164" t="s">
        <v>1485</v>
      </c>
      <c r="E74" s="164" t="s">
        <v>1492</v>
      </c>
      <c r="F74" s="1166">
        <v>504.45</v>
      </c>
      <c r="G74" s="1168" t="s">
        <v>1355</v>
      </c>
      <c r="H74" s="1166">
        <v>434.45</v>
      </c>
      <c r="I74" s="1166">
        <v>116.02</v>
      </c>
    </row>
    <row r="75" ht="15.75" customHeight="1">
      <c r="A75" s="164" t="s">
        <v>1493</v>
      </c>
      <c r="B75" s="164" t="s">
        <v>1494</v>
      </c>
      <c r="C75" s="164" t="s">
        <v>1495</v>
      </c>
      <c r="D75" s="164" t="s">
        <v>1496</v>
      </c>
      <c r="E75" s="164" t="s">
        <v>1497</v>
      </c>
      <c r="F75" s="1166">
        <v>178.94</v>
      </c>
      <c r="G75" s="164" t="s">
        <v>1323</v>
      </c>
      <c r="H75" s="1166">
        <v>189.0</v>
      </c>
      <c r="I75" s="1166">
        <v>33.95</v>
      </c>
    </row>
    <row r="76" ht="15.75" customHeight="1">
      <c r="A76" s="164" t="s">
        <v>1498</v>
      </c>
      <c r="B76" s="164" t="s">
        <v>1050</v>
      </c>
      <c r="C76" s="164" t="s">
        <v>1499</v>
      </c>
      <c r="D76" s="164" t="s">
        <v>1087</v>
      </c>
      <c r="E76" s="164" t="s">
        <v>1500</v>
      </c>
      <c r="F76" s="1166">
        <v>474.58</v>
      </c>
      <c r="G76" s="164" t="s">
        <v>1323</v>
      </c>
      <c r="H76" s="1166">
        <v>462.0</v>
      </c>
      <c r="I76" s="1166">
        <v>14.76</v>
      </c>
    </row>
    <row r="77" ht="15.75" customHeight="1">
      <c r="A77" s="1166">
        <v>123458.0</v>
      </c>
      <c r="B77" s="164" t="s">
        <v>1501</v>
      </c>
      <c r="C77" s="164" t="s">
        <v>1361</v>
      </c>
      <c r="D77" s="164" t="s">
        <v>1087</v>
      </c>
      <c r="E77" s="164" t="s">
        <v>1500</v>
      </c>
      <c r="F77" s="1166">
        <v>550.0</v>
      </c>
      <c r="G77" s="164" t="s">
        <v>1328</v>
      </c>
      <c r="H77" s="1166">
        <v>550.0</v>
      </c>
      <c r="I77" s="164"/>
    </row>
    <row r="78" ht="15.75" customHeight="1">
      <c r="A78" s="164" t="s">
        <v>1502</v>
      </c>
      <c r="B78" s="164" t="s">
        <v>1364</v>
      </c>
      <c r="C78" s="164" t="s">
        <v>1503</v>
      </c>
      <c r="D78" s="164" t="s">
        <v>1087</v>
      </c>
      <c r="E78" s="164" t="s">
        <v>1504</v>
      </c>
      <c r="F78" s="1166">
        <v>535.77</v>
      </c>
      <c r="G78" s="164" t="s">
        <v>1323</v>
      </c>
      <c r="H78" s="1166">
        <v>630.7</v>
      </c>
      <c r="I78" s="1166">
        <v>101.64</v>
      </c>
    </row>
    <row r="79" ht="15.75" customHeight="1">
      <c r="A79" s="164" t="s">
        <v>1505</v>
      </c>
      <c r="B79" s="164" t="s">
        <v>1072</v>
      </c>
      <c r="C79" s="164" t="s">
        <v>1506</v>
      </c>
      <c r="D79" s="164" t="s">
        <v>1087</v>
      </c>
      <c r="E79" s="164" t="s">
        <v>1500</v>
      </c>
      <c r="F79" s="1166">
        <v>905.35</v>
      </c>
      <c r="G79" s="164" t="s">
        <v>1323</v>
      </c>
      <c r="H79" s="1169">
        <v>1078.0</v>
      </c>
      <c r="I79" s="1166">
        <v>171.74</v>
      </c>
    </row>
    <row r="80" ht="15.75" customHeight="1">
      <c r="A80" s="164"/>
      <c r="B80" s="164"/>
      <c r="C80" s="164"/>
      <c r="D80" s="164"/>
      <c r="E80" s="164"/>
      <c r="F80" s="164"/>
      <c r="G80" s="164"/>
      <c r="H80" s="164"/>
      <c r="I80" s="164"/>
    </row>
    <row r="81" ht="15.75" customHeight="1">
      <c r="A81" s="164"/>
      <c r="B81" s="164"/>
      <c r="C81" s="164"/>
      <c r="D81" s="164"/>
      <c r="E81" s="164"/>
      <c r="F81" s="164"/>
      <c r="G81" s="164"/>
      <c r="H81" s="164"/>
      <c r="I81" s="164"/>
    </row>
    <row r="82" ht="15.75" customHeight="1">
      <c r="A82" s="164"/>
      <c r="B82" s="164"/>
      <c r="C82" s="164"/>
      <c r="D82" s="164"/>
      <c r="E82" s="164"/>
      <c r="F82" s="164"/>
      <c r="G82" s="164"/>
      <c r="H82" s="164"/>
      <c r="I82" s="164"/>
    </row>
    <row r="83" ht="15.75" customHeight="1">
      <c r="A83" s="164"/>
      <c r="B83" s="164"/>
      <c r="C83" s="164"/>
      <c r="D83" s="164"/>
      <c r="E83" s="164"/>
      <c r="F83" s="164"/>
      <c r="G83" s="164"/>
      <c r="H83" s="164"/>
      <c r="I83" s="164"/>
    </row>
    <row r="84" ht="15.75" customHeight="1">
      <c r="A84" s="164"/>
      <c r="B84" s="164"/>
      <c r="C84" s="164"/>
      <c r="D84" s="164"/>
      <c r="E84" s="164"/>
      <c r="F84" s="164"/>
      <c r="G84" s="164"/>
      <c r="H84" s="164"/>
      <c r="I84" s="164"/>
    </row>
    <row r="85" ht="15.75" customHeight="1">
      <c r="A85" s="164"/>
      <c r="B85" s="164"/>
      <c r="C85" s="164"/>
      <c r="D85" s="164"/>
      <c r="E85" s="164"/>
      <c r="F85" s="164"/>
      <c r="G85" s="164"/>
      <c r="H85" s="164"/>
      <c r="I85" s="164"/>
    </row>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G17"/>
    <hyperlink r:id="rId2" ref="G42"/>
    <hyperlink r:id="rId3" ref="G74"/>
  </hyperlinks>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0.63"/>
    <col customWidth="1" min="3" max="26" width="6.75"/>
    <col customWidth="1" min="27" max="29" width="8.13"/>
  </cols>
  <sheetData>
    <row r="1" ht="15.75" customHeight="1">
      <c r="A1" s="164"/>
      <c r="B1" s="1170"/>
      <c r="C1" s="1171" t="s">
        <v>1042</v>
      </c>
      <c r="D1" s="865"/>
      <c r="E1" s="1171" t="s">
        <v>1043</v>
      </c>
      <c r="F1" s="865"/>
      <c r="G1" s="1171" t="s">
        <v>1041</v>
      </c>
      <c r="H1" s="865"/>
      <c r="I1" s="1171" t="s">
        <v>1507</v>
      </c>
      <c r="J1" s="865"/>
      <c r="K1" s="1171" t="s">
        <v>1508</v>
      </c>
      <c r="L1" s="865"/>
      <c r="M1" s="1171" t="s">
        <v>1509</v>
      </c>
      <c r="N1" s="865"/>
      <c r="O1" s="1171" t="s">
        <v>1510</v>
      </c>
      <c r="P1" s="865"/>
      <c r="Q1" s="1171" t="s">
        <v>1511</v>
      </c>
      <c r="R1" s="865"/>
      <c r="S1" s="1171" t="s">
        <v>1512</v>
      </c>
      <c r="T1" s="865"/>
      <c r="U1" s="1171" t="s">
        <v>1513</v>
      </c>
      <c r="V1" s="865"/>
      <c r="W1" s="1171" t="s">
        <v>1514</v>
      </c>
      <c r="X1" s="865"/>
      <c r="Y1" s="1171" t="s">
        <v>1515</v>
      </c>
      <c r="Z1" s="865"/>
      <c r="AA1" s="1172" t="s">
        <v>1516</v>
      </c>
      <c r="AB1" s="864"/>
      <c r="AC1" s="865"/>
    </row>
    <row r="2" ht="15.75" customHeight="1">
      <c r="A2" s="867" t="s">
        <v>1517</v>
      </c>
      <c r="B2" s="1173" t="s">
        <v>1518</v>
      </c>
      <c r="C2" s="1174" t="s">
        <v>1519</v>
      </c>
      <c r="D2" s="1175" t="s">
        <v>1520</v>
      </c>
      <c r="E2" s="1176" t="s">
        <v>1519</v>
      </c>
      <c r="F2" s="1177" t="s">
        <v>1520</v>
      </c>
      <c r="G2" s="1178" t="s">
        <v>1519</v>
      </c>
      <c r="H2" s="1177" t="s">
        <v>1520</v>
      </c>
      <c r="I2" s="1179" t="s">
        <v>1519</v>
      </c>
      <c r="J2" s="1177" t="s">
        <v>1520</v>
      </c>
      <c r="K2" s="1180" t="s">
        <v>1519</v>
      </c>
      <c r="L2" s="1177" t="s">
        <v>1520</v>
      </c>
      <c r="M2" s="1181" t="s">
        <v>1519</v>
      </c>
      <c r="N2" s="1177" t="s">
        <v>1520</v>
      </c>
      <c r="O2" s="1182" t="s">
        <v>1519</v>
      </c>
      <c r="P2" s="1177" t="s">
        <v>1520</v>
      </c>
      <c r="Q2" s="1183" t="s">
        <v>1519</v>
      </c>
      <c r="R2" s="1177" t="s">
        <v>1520</v>
      </c>
      <c r="S2" s="1180" t="s">
        <v>1519</v>
      </c>
      <c r="T2" s="1177" t="s">
        <v>1520</v>
      </c>
      <c r="U2" s="1181" t="s">
        <v>1519</v>
      </c>
      <c r="V2" s="1177" t="s">
        <v>1520</v>
      </c>
      <c r="W2" s="1182" t="s">
        <v>1519</v>
      </c>
      <c r="X2" s="1177" t="s">
        <v>1520</v>
      </c>
      <c r="Y2" s="1183" t="s">
        <v>1519</v>
      </c>
      <c r="Z2" s="1177" t="s">
        <v>1520</v>
      </c>
      <c r="AA2" s="1184" t="s">
        <v>1519</v>
      </c>
      <c r="AB2" s="1184" t="s">
        <v>1520</v>
      </c>
      <c r="AC2" s="1185" t="s">
        <v>1521</v>
      </c>
    </row>
    <row r="3" ht="15.75" customHeight="1">
      <c r="A3" s="1186" t="s">
        <v>123</v>
      </c>
      <c r="B3" s="1187"/>
      <c r="C3" s="1188">
        <f>SUMIF('Отзывы'!$B$4:$B984,$A3,'Отзывы'!S$4:S984)</f>
        <v>0</v>
      </c>
      <c r="D3" s="1189">
        <f>SUMIF('Отзывы'!$B$4:$B984,$A3,'Отзывы'!AI$4:AI984)</f>
        <v>0</v>
      </c>
      <c r="E3" s="1190">
        <f>SUMIF('Отзывы'!$B$4:$B984,$A3,'Отзывы'!U$4:U984)</f>
        <v>0</v>
      </c>
      <c r="F3" s="1191">
        <f>SUMIF('Отзывы'!$B$4:$B984,$A3,'Отзывы'!AK$4:AK984)</f>
        <v>0</v>
      </c>
      <c r="G3" s="1190"/>
      <c r="H3" s="1192"/>
      <c r="I3" s="1193"/>
      <c r="J3" s="1191"/>
      <c r="K3" s="1190"/>
      <c r="L3" s="1192"/>
      <c r="M3" s="1193"/>
      <c r="N3" s="1191"/>
      <c r="O3" s="1190"/>
      <c r="P3" s="1192"/>
      <c r="Q3" s="1193"/>
      <c r="R3" s="1191"/>
      <c r="S3" s="1190"/>
      <c r="T3" s="1192"/>
      <c r="U3" s="1193"/>
      <c r="V3" s="1191"/>
      <c r="W3" s="1190"/>
      <c r="X3" s="1192"/>
      <c r="Y3" s="1193"/>
      <c r="Z3" s="1191"/>
      <c r="AA3" s="1194">
        <f t="shared" ref="AA3:AB3" si="1">C3+E3+G3+I3+K3+M3+O3+Q3</f>
        <v>0</v>
      </c>
      <c r="AB3" s="1195">
        <f t="shared" si="1"/>
        <v>0</v>
      </c>
      <c r="AC3" s="1196" t="str">
        <f t="shared" ref="AC3:AC4" si="3">AB3/AA3</f>
        <v>#DIV/0!</v>
      </c>
    </row>
    <row r="4" ht="15.75" customHeight="1">
      <c r="A4" s="1186" t="s">
        <v>99</v>
      </c>
      <c r="B4" s="1197"/>
      <c r="C4" s="1198">
        <f>SUMIF('Отзывы'!$B$4:$B984,$A4,'Отзывы'!S$4:S984)</f>
        <v>0</v>
      </c>
      <c r="D4" s="1199">
        <f>SUMIF('Отзывы'!$B$4:$B984,$A4,'Отзывы'!AI$4:AI984)</f>
        <v>0</v>
      </c>
      <c r="E4" s="1200">
        <f>SUMIF('Отзывы'!$B$4:$B984,$A4,'Отзывы'!U$4:U984)</f>
        <v>0</v>
      </c>
      <c r="F4" s="1201">
        <f>SUMIF('Отзывы'!$B$4:$B984,$A4,'Отзывы'!AK$4:AK984)</f>
        <v>2</v>
      </c>
      <c r="G4" s="1200"/>
      <c r="H4" s="1202"/>
      <c r="I4" s="1203"/>
      <c r="J4" s="1201"/>
      <c r="K4" s="1200"/>
      <c r="L4" s="1202"/>
      <c r="M4" s="1203"/>
      <c r="N4" s="1201"/>
      <c r="O4" s="1200"/>
      <c r="P4" s="1202"/>
      <c r="Q4" s="1203"/>
      <c r="R4" s="1201"/>
      <c r="S4" s="1200"/>
      <c r="T4" s="1202"/>
      <c r="U4" s="1203"/>
      <c r="V4" s="1201"/>
      <c r="W4" s="1200"/>
      <c r="X4" s="1202"/>
      <c r="Y4" s="1203"/>
      <c r="Z4" s="1201"/>
      <c r="AA4" s="1204">
        <f t="shared" ref="AA4:AB4" si="2">C4+E4+G4+I4+K4+M4+O4+Q4</f>
        <v>0</v>
      </c>
      <c r="AB4" s="1205">
        <f t="shared" si="2"/>
        <v>2</v>
      </c>
      <c r="AC4" s="1206" t="str">
        <f t="shared" si="3"/>
        <v>#DIV/0!</v>
      </c>
    </row>
    <row r="5" ht="15.75" customHeight="1">
      <c r="A5" s="1186" t="s">
        <v>23</v>
      </c>
      <c r="B5" s="1197"/>
      <c r="C5" s="1198">
        <f>SUMIF('Отзывы'!$B$4:$B984,$A5,'Отзывы'!S$4:S984)</f>
        <v>0</v>
      </c>
      <c r="D5" s="1199">
        <f>SUMIF('Отзывы'!$B$4:$B984,$A5,'Отзывы'!AI$4:AI984)</f>
        <v>0</v>
      </c>
      <c r="E5" s="1200">
        <f>SUMIF('Отзывы'!$B$4:$B984,$A5,'Отзывы'!U$4:U984)</f>
        <v>0</v>
      </c>
      <c r="F5" s="1201">
        <f>SUMIF('Отзывы'!$B$4:$B984,$A5,'Отзывы'!AK$4:AK984)</f>
        <v>0</v>
      </c>
      <c r="G5" s="1200"/>
      <c r="H5" s="1207"/>
      <c r="I5" s="1203"/>
      <c r="J5" s="1208"/>
      <c r="K5" s="1200"/>
      <c r="L5" s="1207"/>
      <c r="M5" s="1203"/>
      <c r="N5" s="1208"/>
      <c r="O5" s="1200"/>
      <c r="P5" s="1202"/>
      <c r="Q5" s="1203"/>
      <c r="R5" s="1201"/>
      <c r="S5" s="1200"/>
      <c r="T5" s="1207"/>
      <c r="U5" s="1203"/>
      <c r="V5" s="1208"/>
      <c r="W5" s="1200"/>
      <c r="X5" s="1202"/>
      <c r="Y5" s="1203"/>
      <c r="Z5" s="1201"/>
      <c r="AA5" s="1204"/>
      <c r="AB5" s="1209"/>
      <c r="AC5" s="1206"/>
    </row>
    <row r="6" ht="15.75" customHeight="1">
      <c r="A6" s="1186" t="s">
        <v>146</v>
      </c>
      <c r="B6" s="1197"/>
      <c r="C6" s="1198">
        <f>SUMIF('Отзывы'!$B$4:$B984,$A6,'Отзывы'!S$4:S984)</f>
        <v>0</v>
      </c>
      <c r="D6" s="1199">
        <f>SUMIF('Отзывы'!$B$4:$B984,$A6,'Отзывы'!AI$4:AI984)</f>
        <v>2</v>
      </c>
      <c r="E6" s="1200">
        <f>SUMIF('Отзывы'!$B$4:$B984,$A6,'Отзывы'!U$4:U984)</f>
        <v>0</v>
      </c>
      <c r="F6" s="1201">
        <f>SUMIF('Отзывы'!$B$4:$B984,$A6,'Отзывы'!AK$4:AK984)</f>
        <v>3</v>
      </c>
      <c r="G6" s="1200"/>
      <c r="H6" s="1207"/>
      <c r="I6" s="1203"/>
      <c r="J6" s="1208"/>
      <c r="K6" s="1200"/>
      <c r="L6" s="1207"/>
      <c r="M6" s="1203"/>
      <c r="N6" s="1208"/>
      <c r="O6" s="1200"/>
      <c r="P6" s="1202"/>
      <c r="Q6" s="1203"/>
      <c r="R6" s="1201"/>
      <c r="S6" s="1200"/>
      <c r="T6" s="1207"/>
      <c r="U6" s="1203"/>
      <c r="V6" s="1208"/>
      <c r="W6" s="1200"/>
      <c r="X6" s="1202"/>
      <c r="Y6" s="1203"/>
      <c r="Z6" s="1201"/>
      <c r="AA6" s="1204">
        <f t="shared" ref="AA6:AB6" si="4">C6+E6+G6+I6+K6+M6+O6+Q6</f>
        <v>0</v>
      </c>
      <c r="AB6" s="1209">
        <f t="shared" si="4"/>
        <v>5</v>
      </c>
      <c r="AC6" s="1206" t="str">
        <f t="shared" ref="AC6:AC7" si="6">AB6/AA6</f>
        <v>#DIV/0!</v>
      </c>
    </row>
    <row r="7" ht="15.75" customHeight="1">
      <c r="A7" s="1186" t="s">
        <v>58</v>
      </c>
      <c r="B7" s="1210"/>
      <c r="C7" s="1211">
        <f>SUMIF('Отзывы'!$B$4:$B984,$A7,'Отзывы'!S$4:S984)</f>
        <v>0</v>
      </c>
      <c r="D7" s="1212">
        <f>SUMIF('Отзывы'!$B$4:$B984,$A7,'Отзывы'!AI$4:AI984)</f>
        <v>1</v>
      </c>
      <c r="E7" s="1213">
        <f>SUMIF('Отзывы'!$B$4:$B984,$A7,'Отзывы'!U$4:U984)</f>
        <v>0</v>
      </c>
      <c r="F7" s="1214">
        <f>SUMIF('Отзывы'!$B$4:$B984,$A7,'Отзывы'!AK$4:AK984)</f>
        <v>1</v>
      </c>
      <c r="G7" s="1213"/>
      <c r="H7" s="1215"/>
      <c r="I7" s="1216"/>
      <c r="J7" s="1214"/>
      <c r="K7" s="1213"/>
      <c r="L7" s="1215"/>
      <c r="M7" s="1216"/>
      <c r="N7" s="1214"/>
      <c r="O7" s="1213"/>
      <c r="P7" s="1215"/>
      <c r="Q7" s="1216"/>
      <c r="R7" s="1214"/>
      <c r="S7" s="1213"/>
      <c r="T7" s="1215"/>
      <c r="U7" s="1216"/>
      <c r="V7" s="1214"/>
      <c r="W7" s="1213"/>
      <c r="X7" s="1215"/>
      <c r="Y7" s="1216"/>
      <c r="Z7" s="1214"/>
      <c r="AA7" s="1217">
        <f t="shared" ref="AA7:AB7" si="5">C7+E7+G7+I7+K7+M7+O7+Q7</f>
        <v>0</v>
      </c>
      <c r="AB7" s="1218">
        <f t="shared" si="5"/>
        <v>2</v>
      </c>
      <c r="AC7" s="1219" t="str">
        <f t="shared" si="6"/>
        <v>#DIV/0!</v>
      </c>
    </row>
    <row r="8" ht="15.75" customHeight="1">
      <c r="A8" s="164"/>
      <c r="B8" s="1170"/>
      <c r="C8" s="164"/>
      <c r="D8" s="164"/>
      <c r="E8" s="164"/>
      <c r="F8" s="164"/>
      <c r="G8" s="164"/>
      <c r="H8" s="164"/>
      <c r="I8" s="164"/>
      <c r="J8" s="164"/>
      <c r="K8" s="164"/>
      <c r="L8" s="164"/>
      <c r="M8" s="164"/>
      <c r="N8" s="164"/>
      <c r="O8" s="164"/>
      <c r="P8" s="164"/>
      <c r="Q8" s="164"/>
      <c r="R8" s="164"/>
      <c r="S8" s="164"/>
      <c r="T8" s="164"/>
      <c r="U8" s="164"/>
      <c r="V8" s="164"/>
      <c r="W8" s="164"/>
      <c r="X8" s="164"/>
      <c r="Y8" s="164"/>
      <c r="Z8" s="164"/>
      <c r="AA8" s="164"/>
      <c r="AB8" s="164"/>
      <c r="AC8" s="1220"/>
    </row>
    <row r="9" ht="15.75" customHeight="1">
      <c r="A9" s="164"/>
      <c r="B9" s="1170"/>
      <c r="C9" s="164"/>
      <c r="D9" s="164"/>
      <c r="E9" s="164"/>
      <c r="F9" s="164"/>
      <c r="G9" s="164"/>
      <c r="H9" s="164"/>
      <c r="I9" s="164"/>
      <c r="J9" s="164"/>
      <c r="K9" s="164"/>
      <c r="L9" s="164"/>
      <c r="M9" s="164"/>
      <c r="N9" s="164"/>
      <c r="O9" s="164"/>
      <c r="P9" s="164"/>
      <c r="Q9" s="164"/>
      <c r="R9" s="164"/>
      <c r="S9" s="164"/>
      <c r="T9" s="164"/>
      <c r="U9" s="164"/>
      <c r="V9" s="164"/>
      <c r="W9" s="164"/>
      <c r="X9" s="164"/>
      <c r="Y9" s="164"/>
      <c r="Z9" s="164"/>
      <c r="AA9" s="164"/>
      <c r="AB9" s="164"/>
      <c r="AC9" s="1220"/>
    </row>
    <row r="10" ht="15.75" customHeight="1">
      <c r="A10" s="164"/>
      <c r="B10" s="1170"/>
      <c r="C10" s="164"/>
      <c r="D10" s="164"/>
      <c r="E10" s="164"/>
      <c r="F10" s="164"/>
      <c r="G10" s="164"/>
      <c r="H10" s="164"/>
      <c r="I10" s="164"/>
      <c r="J10" s="164"/>
      <c r="K10" s="164"/>
      <c r="L10" s="164"/>
      <c r="M10" s="164"/>
      <c r="N10" s="164"/>
      <c r="O10" s="164"/>
      <c r="P10" s="164"/>
      <c r="Q10" s="164"/>
      <c r="R10" s="164"/>
      <c r="S10" s="164"/>
      <c r="T10" s="164"/>
      <c r="U10" s="164"/>
      <c r="V10" s="164"/>
      <c r="W10" s="164"/>
      <c r="X10" s="164"/>
      <c r="Y10" s="164"/>
      <c r="Z10" s="164"/>
      <c r="AA10" s="164"/>
      <c r="AB10" s="164"/>
      <c r="AC10" s="1220"/>
    </row>
    <row r="11" ht="15.75" customHeight="1">
      <c r="A11" s="164"/>
      <c r="B11" s="1170"/>
      <c r="C11" s="164"/>
      <c r="D11" s="164"/>
      <c r="E11" s="164"/>
      <c r="F11" s="164"/>
      <c r="G11" s="164"/>
      <c r="H11" s="164"/>
      <c r="I11" s="164"/>
      <c r="J11" s="164"/>
      <c r="K11" s="164"/>
      <c r="L11" s="164"/>
      <c r="M11" s="164"/>
      <c r="N11" s="164"/>
      <c r="O11" s="164"/>
      <c r="P11" s="164"/>
      <c r="Q11" s="164"/>
      <c r="R11" s="164"/>
      <c r="S11" s="164"/>
      <c r="T11" s="164"/>
      <c r="U11" s="164"/>
      <c r="V11" s="164"/>
      <c r="W11" s="164"/>
      <c r="X11" s="164"/>
      <c r="Y11" s="164"/>
      <c r="Z11" s="164"/>
      <c r="AA11" s="164"/>
      <c r="AB11" s="164"/>
      <c r="AC11" s="1220"/>
    </row>
    <row r="12" ht="15.75" customHeight="1">
      <c r="A12" s="164"/>
      <c r="B12" s="1170"/>
      <c r="C12" s="164"/>
      <c r="D12" s="164"/>
      <c r="E12" s="164"/>
      <c r="F12" s="164"/>
      <c r="G12" s="164"/>
      <c r="H12" s="164"/>
      <c r="I12" s="164"/>
      <c r="J12" s="164"/>
      <c r="K12" s="164"/>
      <c r="L12" s="164"/>
      <c r="M12" s="164"/>
      <c r="N12" s="164"/>
      <c r="O12" s="164"/>
      <c r="P12" s="164"/>
      <c r="Q12" s="164"/>
      <c r="R12" s="164"/>
      <c r="S12" s="164"/>
      <c r="T12" s="164"/>
      <c r="U12" s="164"/>
      <c r="V12" s="164"/>
      <c r="W12" s="164"/>
      <c r="X12" s="164"/>
      <c r="Y12" s="164"/>
      <c r="Z12" s="164"/>
      <c r="AA12" s="164"/>
      <c r="AB12" s="164"/>
      <c r="AC12" s="1220"/>
    </row>
    <row r="13" ht="15.75" customHeight="1">
      <c r="A13" s="164"/>
      <c r="B13" s="1170"/>
      <c r="C13" s="164"/>
      <c r="D13" s="164"/>
      <c r="E13" s="164"/>
      <c r="F13" s="164"/>
      <c r="G13" s="164"/>
      <c r="H13" s="164"/>
      <c r="I13" s="164"/>
      <c r="J13" s="164"/>
      <c r="K13" s="164"/>
      <c r="L13" s="164"/>
      <c r="M13" s="164"/>
      <c r="N13" s="164"/>
      <c r="O13" s="164"/>
      <c r="P13" s="164"/>
      <c r="Q13" s="164"/>
      <c r="R13" s="164"/>
      <c r="S13" s="164"/>
      <c r="T13" s="164"/>
      <c r="U13" s="164"/>
      <c r="V13" s="164"/>
      <c r="W13" s="164"/>
      <c r="X13" s="164"/>
      <c r="Y13" s="164"/>
      <c r="Z13" s="164"/>
      <c r="AA13" s="164"/>
      <c r="AB13" s="164"/>
      <c r="AC13" s="1220"/>
    </row>
    <row r="14" ht="15.75" customHeight="1">
      <c r="A14" s="164"/>
      <c r="B14" s="1170"/>
      <c r="C14" s="164"/>
      <c r="D14" s="164"/>
      <c r="E14" s="164"/>
      <c r="F14" s="164"/>
      <c r="G14" s="164"/>
      <c r="H14" s="164"/>
      <c r="I14" s="164"/>
      <c r="J14" s="164"/>
      <c r="K14" s="164"/>
      <c r="L14" s="164"/>
      <c r="M14" s="164"/>
      <c r="N14" s="164"/>
      <c r="O14" s="164"/>
      <c r="P14" s="164"/>
      <c r="Q14" s="164"/>
      <c r="R14" s="164"/>
      <c r="S14" s="164"/>
      <c r="T14" s="164"/>
      <c r="U14" s="164"/>
      <c r="V14" s="164"/>
      <c r="W14" s="164"/>
      <c r="X14" s="164"/>
      <c r="Y14" s="164"/>
      <c r="Z14" s="164"/>
      <c r="AA14" s="164"/>
      <c r="AB14" s="164"/>
      <c r="AC14" s="1220"/>
    </row>
    <row r="15" ht="15.75" customHeight="1">
      <c r="A15" s="164"/>
      <c r="B15" s="1170"/>
      <c r="C15" s="164"/>
      <c r="D15" s="164"/>
      <c r="E15" s="164"/>
      <c r="F15" s="164"/>
      <c r="G15" s="164"/>
      <c r="H15" s="164"/>
      <c r="I15" s="164"/>
      <c r="J15" s="164"/>
      <c r="K15" s="164"/>
      <c r="L15" s="164"/>
      <c r="M15" s="164"/>
      <c r="N15" s="164"/>
      <c r="O15" s="164"/>
      <c r="P15" s="164"/>
      <c r="Q15" s="164"/>
      <c r="R15" s="164"/>
      <c r="S15" s="164"/>
      <c r="T15" s="164"/>
      <c r="U15" s="164"/>
      <c r="V15" s="164"/>
      <c r="W15" s="164"/>
      <c r="X15" s="164"/>
      <c r="Y15" s="164"/>
      <c r="Z15" s="164"/>
      <c r="AA15" s="164"/>
      <c r="AB15" s="164"/>
      <c r="AC15" s="1220"/>
    </row>
    <row r="16" ht="15.75" customHeight="1">
      <c r="A16" s="164"/>
      <c r="B16" s="1170"/>
      <c r="C16" s="164"/>
      <c r="D16" s="164"/>
      <c r="E16" s="164"/>
      <c r="F16" s="164"/>
      <c r="G16" s="164"/>
      <c r="H16" s="164"/>
      <c r="I16" s="164"/>
      <c r="J16" s="164"/>
      <c r="K16" s="164"/>
      <c r="L16" s="164"/>
      <c r="M16" s="164"/>
      <c r="N16" s="164"/>
      <c r="O16" s="164"/>
      <c r="P16" s="164"/>
      <c r="Q16" s="164"/>
      <c r="R16" s="164"/>
      <c r="S16" s="164"/>
      <c r="T16" s="164"/>
      <c r="U16" s="164"/>
      <c r="V16" s="164"/>
      <c r="W16" s="164"/>
      <c r="X16" s="164"/>
      <c r="Y16" s="164"/>
      <c r="Z16" s="164"/>
      <c r="AA16" s="164"/>
      <c r="AB16" s="164"/>
      <c r="AC16" s="1220"/>
    </row>
    <row r="17" ht="15.75" customHeight="1">
      <c r="A17" s="164"/>
      <c r="B17" s="1170"/>
      <c r="C17" s="164"/>
      <c r="D17" s="164"/>
      <c r="E17" s="164"/>
      <c r="F17" s="164"/>
      <c r="G17" s="164"/>
      <c r="H17" s="164"/>
      <c r="I17" s="164"/>
      <c r="J17" s="164"/>
      <c r="K17" s="164"/>
      <c r="L17" s="164"/>
      <c r="M17" s="164"/>
      <c r="N17" s="164"/>
      <c r="O17" s="164"/>
      <c r="P17" s="164"/>
      <c r="Q17" s="164"/>
      <c r="R17" s="164"/>
      <c r="S17" s="164"/>
      <c r="T17" s="164"/>
      <c r="U17" s="164"/>
      <c r="V17" s="164"/>
      <c r="W17" s="164"/>
      <c r="X17" s="164"/>
      <c r="Y17" s="164"/>
      <c r="Z17" s="164"/>
      <c r="AA17" s="164"/>
      <c r="AB17" s="164"/>
      <c r="AC17" s="1220"/>
    </row>
    <row r="18" ht="15.75" customHeight="1">
      <c r="A18" s="164"/>
      <c r="B18" s="1170"/>
      <c r="C18" s="164"/>
      <c r="D18" s="164"/>
      <c r="E18" s="164"/>
      <c r="F18" s="164"/>
      <c r="G18" s="164"/>
      <c r="H18" s="164"/>
      <c r="I18" s="164"/>
      <c r="J18" s="164"/>
      <c r="K18" s="164"/>
      <c r="L18" s="164"/>
      <c r="M18" s="164"/>
      <c r="N18" s="164"/>
      <c r="O18" s="164"/>
      <c r="P18" s="164"/>
      <c r="Q18" s="164"/>
      <c r="R18" s="164"/>
      <c r="S18" s="164"/>
      <c r="T18" s="164"/>
      <c r="U18" s="164"/>
      <c r="V18" s="164"/>
      <c r="W18" s="164"/>
      <c r="X18" s="164"/>
      <c r="Y18" s="164"/>
      <c r="Z18" s="164"/>
      <c r="AA18" s="164"/>
      <c r="AB18" s="164"/>
      <c r="AC18" s="1220"/>
    </row>
    <row r="19" ht="15.75" customHeight="1">
      <c r="A19" s="164"/>
      <c r="B19" s="1170"/>
      <c r="C19" s="164"/>
      <c r="D19" s="164"/>
      <c r="E19" s="164"/>
      <c r="F19" s="164"/>
      <c r="G19" s="164"/>
      <c r="H19" s="164"/>
      <c r="I19" s="164"/>
      <c r="J19" s="164"/>
      <c r="K19" s="164"/>
      <c r="L19" s="164"/>
      <c r="M19" s="164"/>
      <c r="N19" s="164"/>
      <c r="O19" s="164"/>
      <c r="P19" s="164"/>
      <c r="Q19" s="164"/>
      <c r="R19" s="164"/>
      <c r="S19" s="164"/>
      <c r="T19" s="164"/>
      <c r="U19" s="164"/>
      <c r="V19" s="164"/>
      <c r="W19" s="164"/>
      <c r="X19" s="164"/>
      <c r="Y19" s="164"/>
      <c r="Z19" s="164"/>
      <c r="AA19" s="164"/>
      <c r="AB19" s="164"/>
      <c r="AC19" s="1220"/>
    </row>
    <row r="20" ht="15.75" customHeight="1">
      <c r="A20" s="164"/>
      <c r="B20" s="1170"/>
      <c r="C20" s="164"/>
      <c r="D20" s="164"/>
      <c r="E20" s="164"/>
      <c r="F20" s="164"/>
      <c r="G20" s="164"/>
      <c r="H20" s="164"/>
      <c r="I20" s="164"/>
      <c r="J20" s="164"/>
      <c r="K20" s="164"/>
      <c r="L20" s="164"/>
      <c r="M20" s="164"/>
      <c r="N20" s="164"/>
      <c r="O20" s="164"/>
      <c r="P20" s="164"/>
      <c r="Q20" s="164"/>
      <c r="R20" s="164"/>
      <c r="S20" s="164"/>
      <c r="T20" s="164"/>
      <c r="U20" s="164"/>
      <c r="V20" s="164"/>
      <c r="W20" s="164"/>
      <c r="X20" s="164"/>
      <c r="Y20" s="164"/>
      <c r="Z20" s="164"/>
      <c r="AA20" s="164"/>
      <c r="AB20" s="164"/>
      <c r="AC20" s="1220"/>
    </row>
    <row r="21" ht="15.75" customHeight="1">
      <c r="A21" s="164"/>
      <c r="B21" s="1170"/>
      <c r="C21" s="164"/>
      <c r="D21" s="164"/>
      <c r="E21" s="164"/>
      <c r="F21" s="164"/>
      <c r="G21" s="164"/>
      <c r="H21" s="164"/>
      <c r="I21" s="164"/>
      <c r="J21" s="164"/>
      <c r="K21" s="164"/>
      <c r="L21" s="164"/>
      <c r="M21" s="164"/>
      <c r="N21" s="164"/>
      <c r="O21" s="164"/>
      <c r="P21" s="164"/>
      <c r="Q21" s="164"/>
      <c r="R21" s="164"/>
      <c r="S21" s="164"/>
      <c r="T21" s="164"/>
      <c r="U21" s="164"/>
      <c r="V21" s="164"/>
      <c r="W21" s="164"/>
      <c r="X21" s="164"/>
      <c r="Y21" s="164"/>
      <c r="Z21" s="164"/>
      <c r="AA21" s="164"/>
      <c r="AB21" s="164"/>
      <c r="AC21" s="1220"/>
    </row>
    <row r="22" ht="15.75" customHeight="1">
      <c r="A22" s="164"/>
      <c r="B22" s="1170"/>
      <c r="C22" s="164"/>
      <c r="D22" s="164"/>
      <c r="E22" s="164"/>
      <c r="F22" s="164"/>
      <c r="G22" s="164"/>
      <c r="H22" s="164"/>
      <c r="I22" s="164"/>
      <c r="J22" s="164"/>
      <c r="K22" s="164"/>
      <c r="L22" s="164"/>
      <c r="M22" s="164"/>
      <c r="N22" s="164"/>
      <c r="O22" s="164"/>
      <c r="P22" s="164"/>
      <c r="Q22" s="164"/>
      <c r="R22" s="164"/>
      <c r="S22" s="164"/>
      <c r="T22" s="164"/>
      <c r="U22" s="164"/>
      <c r="V22" s="164"/>
      <c r="W22" s="164"/>
      <c r="X22" s="164"/>
      <c r="Y22" s="164"/>
      <c r="Z22" s="164"/>
      <c r="AA22" s="164"/>
      <c r="AB22" s="164"/>
      <c r="AC22" s="1220"/>
    </row>
    <row r="23" ht="15.75" customHeight="1">
      <c r="A23" s="164"/>
      <c r="B23" s="1170"/>
      <c r="C23" s="164"/>
      <c r="D23" s="164"/>
      <c r="E23" s="164"/>
      <c r="F23" s="164"/>
      <c r="G23" s="164"/>
      <c r="H23" s="164"/>
      <c r="I23" s="164"/>
      <c r="J23" s="164"/>
      <c r="K23" s="164"/>
      <c r="L23" s="164"/>
      <c r="M23" s="164"/>
      <c r="N23" s="164"/>
      <c r="O23" s="164"/>
      <c r="P23" s="164"/>
      <c r="Q23" s="164"/>
      <c r="R23" s="164"/>
      <c r="S23" s="164"/>
      <c r="T23" s="164"/>
      <c r="U23" s="164"/>
      <c r="V23" s="164"/>
      <c r="W23" s="164"/>
      <c r="X23" s="164"/>
      <c r="Y23" s="164"/>
      <c r="Z23" s="164"/>
      <c r="AA23" s="164"/>
      <c r="AB23" s="164"/>
      <c r="AC23" s="1220"/>
    </row>
    <row r="24" ht="15.75" customHeight="1">
      <c r="A24" s="164"/>
      <c r="B24" s="1170"/>
      <c r="C24" s="164"/>
      <c r="D24" s="164"/>
      <c r="E24" s="164"/>
      <c r="F24" s="164"/>
      <c r="G24" s="164"/>
      <c r="H24" s="164"/>
      <c r="I24" s="164"/>
      <c r="J24" s="164"/>
      <c r="K24" s="164"/>
      <c r="L24" s="164"/>
      <c r="M24" s="164"/>
      <c r="N24" s="164"/>
      <c r="O24" s="164"/>
      <c r="P24" s="164"/>
      <c r="Q24" s="164"/>
      <c r="R24" s="164"/>
      <c r="S24" s="164"/>
      <c r="T24" s="164"/>
      <c r="U24" s="164"/>
      <c r="V24" s="164"/>
      <c r="W24" s="164"/>
      <c r="X24" s="164"/>
      <c r="Y24" s="164"/>
      <c r="Z24" s="164"/>
      <c r="AA24" s="164"/>
      <c r="AB24" s="164"/>
      <c r="AC24" s="1220"/>
    </row>
    <row r="25" ht="15.75" customHeight="1">
      <c r="A25" s="164"/>
      <c r="B25" s="1170"/>
      <c r="C25" s="164"/>
      <c r="D25" s="164"/>
      <c r="E25" s="164"/>
      <c r="F25" s="164"/>
      <c r="G25" s="164"/>
      <c r="H25" s="164"/>
      <c r="I25" s="164"/>
      <c r="J25" s="164"/>
      <c r="K25" s="164"/>
      <c r="L25" s="164"/>
      <c r="M25" s="164"/>
      <c r="N25" s="164"/>
      <c r="O25" s="164"/>
      <c r="P25" s="164"/>
      <c r="Q25" s="164"/>
      <c r="R25" s="164"/>
      <c r="S25" s="164"/>
      <c r="T25" s="164"/>
      <c r="U25" s="164"/>
      <c r="V25" s="164"/>
      <c r="W25" s="164"/>
      <c r="X25" s="164"/>
      <c r="Y25" s="164"/>
      <c r="Z25" s="164"/>
      <c r="AA25" s="164"/>
      <c r="AB25" s="164"/>
      <c r="AC25" s="1220"/>
    </row>
    <row r="26" ht="15.75" customHeight="1">
      <c r="A26" s="164"/>
      <c r="B26" s="1170"/>
      <c r="C26" s="164"/>
      <c r="D26" s="164"/>
      <c r="E26" s="164"/>
      <c r="F26" s="164"/>
      <c r="G26" s="164"/>
      <c r="H26" s="164"/>
      <c r="I26" s="164"/>
      <c r="J26" s="164"/>
      <c r="K26" s="164"/>
      <c r="L26" s="164"/>
      <c r="M26" s="164"/>
      <c r="N26" s="164"/>
      <c r="O26" s="164"/>
      <c r="P26" s="164"/>
      <c r="Q26" s="164"/>
      <c r="R26" s="164"/>
      <c r="S26" s="164"/>
      <c r="T26" s="164"/>
      <c r="U26" s="164"/>
      <c r="V26" s="164"/>
      <c r="W26" s="164"/>
      <c r="X26" s="164"/>
      <c r="Y26" s="164"/>
      <c r="Z26" s="164"/>
      <c r="AA26" s="164"/>
      <c r="AB26" s="164"/>
      <c r="AC26" s="1220"/>
    </row>
    <row r="27" ht="15.75" customHeight="1">
      <c r="A27" s="164"/>
      <c r="B27" s="1170"/>
      <c r="C27" s="164"/>
      <c r="D27" s="164"/>
      <c r="E27" s="164"/>
      <c r="F27" s="164"/>
      <c r="G27" s="164"/>
      <c r="H27" s="164"/>
      <c r="I27" s="164"/>
      <c r="J27" s="164"/>
      <c r="K27" s="164"/>
      <c r="L27" s="164"/>
      <c r="M27" s="164"/>
      <c r="N27" s="164"/>
      <c r="O27" s="164"/>
      <c r="P27" s="164"/>
      <c r="Q27" s="164"/>
      <c r="R27" s="164"/>
      <c r="S27" s="164"/>
      <c r="T27" s="164"/>
      <c r="U27" s="164"/>
      <c r="V27" s="164"/>
      <c r="W27" s="164"/>
      <c r="X27" s="164"/>
      <c r="Y27" s="164"/>
      <c r="Z27" s="164"/>
      <c r="AA27" s="164"/>
      <c r="AB27" s="164"/>
      <c r="AC27" s="1220"/>
    </row>
    <row r="28" ht="15.75" customHeight="1">
      <c r="A28" s="164"/>
      <c r="B28" s="1170"/>
      <c r="C28" s="164"/>
      <c r="D28" s="164"/>
      <c r="E28" s="164"/>
      <c r="F28" s="164"/>
      <c r="G28" s="164"/>
      <c r="H28" s="164"/>
      <c r="I28" s="164"/>
      <c r="J28" s="164"/>
      <c r="K28" s="164"/>
      <c r="L28" s="164"/>
      <c r="M28" s="164"/>
      <c r="N28" s="164"/>
      <c r="O28" s="164"/>
      <c r="P28" s="164"/>
      <c r="Q28" s="164"/>
      <c r="R28" s="164"/>
      <c r="S28" s="164"/>
      <c r="T28" s="164"/>
      <c r="U28" s="164"/>
      <c r="V28" s="164"/>
      <c r="W28" s="164"/>
      <c r="X28" s="164"/>
      <c r="Y28" s="164"/>
      <c r="Z28" s="164"/>
      <c r="AA28" s="164"/>
      <c r="AB28" s="164"/>
      <c r="AC28" s="1220"/>
    </row>
    <row r="29" ht="15.75" customHeight="1">
      <c r="A29" s="164"/>
      <c r="B29" s="1170"/>
      <c r="C29" s="164"/>
      <c r="D29" s="164"/>
      <c r="E29" s="164"/>
      <c r="F29" s="164"/>
      <c r="G29" s="164"/>
      <c r="H29" s="164"/>
      <c r="I29" s="164"/>
      <c r="J29" s="164"/>
      <c r="K29" s="164"/>
      <c r="L29" s="164"/>
      <c r="M29" s="164"/>
      <c r="N29" s="164"/>
      <c r="O29" s="164"/>
      <c r="P29" s="164"/>
      <c r="Q29" s="164"/>
      <c r="R29" s="164"/>
      <c r="S29" s="164"/>
      <c r="T29" s="164"/>
      <c r="U29" s="164"/>
      <c r="V29" s="164"/>
      <c r="W29" s="164"/>
      <c r="X29" s="164"/>
      <c r="Y29" s="164"/>
      <c r="Z29" s="164"/>
      <c r="AA29" s="164"/>
      <c r="AB29" s="164"/>
      <c r="AC29" s="1220"/>
    </row>
    <row r="30" ht="15.75" customHeight="1">
      <c r="A30" s="164"/>
      <c r="B30" s="1170"/>
      <c r="C30" s="164"/>
      <c r="D30" s="164"/>
      <c r="E30" s="164"/>
      <c r="F30" s="164"/>
      <c r="G30" s="164"/>
      <c r="H30" s="164"/>
      <c r="I30" s="164"/>
      <c r="J30" s="164"/>
      <c r="K30" s="164"/>
      <c r="L30" s="164"/>
      <c r="M30" s="164"/>
      <c r="N30" s="164"/>
      <c r="O30" s="164"/>
      <c r="P30" s="164"/>
      <c r="Q30" s="164"/>
      <c r="R30" s="164"/>
      <c r="S30" s="164"/>
      <c r="T30" s="164"/>
      <c r="U30" s="164"/>
      <c r="V30" s="164"/>
      <c r="W30" s="164"/>
      <c r="X30" s="164"/>
      <c r="Y30" s="164"/>
      <c r="Z30" s="164"/>
      <c r="AA30" s="164"/>
      <c r="AB30" s="164"/>
      <c r="AC30" s="1220"/>
    </row>
    <row r="31" ht="15.75" customHeight="1">
      <c r="A31" s="164"/>
      <c r="B31" s="1170"/>
      <c r="C31" s="164"/>
      <c r="D31" s="164"/>
      <c r="E31" s="164"/>
      <c r="F31" s="164"/>
      <c r="G31" s="164"/>
      <c r="H31" s="164"/>
      <c r="I31" s="164"/>
      <c r="J31" s="164"/>
      <c r="K31" s="164"/>
      <c r="L31" s="164"/>
      <c r="M31" s="164"/>
      <c r="N31" s="164"/>
      <c r="O31" s="164"/>
      <c r="P31" s="164"/>
      <c r="Q31" s="164"/>
      <c r="R31" s="164"/>
      <c r="S31" s="164"/>
      <c r="T31" s="164"/>
      <c r="U31" s="164"/>
      <c r="V31" s="164"/>
      <c r="W31" s="164"/>
      <c r="X31" s="164"/>
      <c r="Y31" s="164"/>
      <c r="Z31" s="164"/>
      <c r="AA31" s="164"/>
      <c r="AB31" s="164"/>
      <c r="AC31" s="1220"/>
    </row>
    <row r="32" ht="15.75" customHeight="1">
      <c r="A32" s="164"/>
      <c r="B32" s="1170"/>
      <c r="C32" s="164"/>
      <c r="D32" s="164"/>
      <c r="E32" s="164"/>
      <c r="F32" s="164"/>
      <c r="G32" s="164"/>
      <c r="H32" s="164"/>
      <c r="I32" s="164"/>
      <c r="J32" s="164"/>
      <c r="K32" s="164"/>
      <c r="L32" s="164"/>
      <c r="M32" s="164"/>
      <c r="N32" s="164"/>
      <c r="O32" s="164"/>
      <c r="P32" s="164"/>
      <c r="Q32" s="164"/>
      <c r="R32" s="164"/>
      <c r="S32" s="164"/>
      <c r="T32" s="164"/>
      <c r="U32" s="164"/>
      <c r="V32" s="164"/>
      <c r="W32" s="164"/>
      <c r="X32" s="164"/>
      <c r="Y32" s="164"/>
      <c r="Z32" s="164"/>
      <c r="AA32" s="164"/>
      <c r="AB32" s="164"/>
      <c r="AC32" s="1220"/>
    </row>
    <row r="33" ht="15.75" customHeight="1">
      <c r="A33" s="164"/>
      <c r="B33" s="1170"/>
      <c r="C33" s="164"/>
      <c r="D33" s="164"/>
      <c r="E33" s="164"/>
      <c r="F33" s="164"/>
      <c r="G33" s="164"/>
      <c r="H33" s="164"/>
      <c r="I33" s="164"/>
      <c r="J33" s="164"/>
      <c r="K33" s="164"/>
      <c r="L33" s="164"/>
      <c r="M33" s="164"/>
      <c r="N33" s="164"/>
      <c r="O33" s="164"/>
      <c r="P33" s="164"/>
      <c r="Q33" s="164"/>
      <c r="R33" s="164"/>
      <c r="S33" s="164"/>
      <c r="T33" s="164"/>
      <c r="U33" s="164"/>
      <c r="V33" s="164"/>
      <c r="W33" s="164"/>
      <c r="X33" s="164"/>
      <c r="Y33" s="164"/>
      <c r="Z33" s="164"/>
      <c r="AA33" s="164"/>
      <c r="AB33" s="164"/>
      <c r="AC33" s="1220"/>
    </row>
    <row r="34" ht="15.75" customHeight="1">
      <c r="A34" s="164"/>
      <c r="B34" s="1170"/>
      <c r="C34" s="164"/>
      <c r="D34" s="164"/>
      <c r="E34" s="164"/>
      <c r="F34" s="164"/>
      <c r="G34" s="164"/>
      <c r="H34" s="164"/>
      <c r="I34" s="164"/>
      <c r="J34" s="164"/>
      <c r="K34" s="164"/>
      <c r="L34" s="164"/>
      <c r="M34" s="164"/>
      <c r="N34" s="164"/>
      <c r="O34" s="164"/>
      <c r="P34" s="164"/>
      <c r="Q34" s="164"/>
      <c r="R34" s="164"/>
      <c r="S34" s="164"/>
      <c r="T34" s="164"/>
      <c r="U34" s="164"/>
      <c r="V34" s="164"/>
      <c r="W34" s="164"/>
      <c r="X34" s="164"/>
      <c r="Y34" s="164"/>
      <c r="Z34" s="164"/>
      <c r="AA34" s="164"/>
      <c r="AB34" s="164"/>
      <c r="AC34" s="1220"/>
    </row>
    <row r="35" ht="15.75" customHeight="1">
      <c r="A35" s="164"/>
      <c r="B35" s="1170"/>
      <c r="C35" s="164"/>
      <c r="D35" s="164"/>
      <c r="E35" s="164"/>
      <c r="F35" s="164"/>
      <c r="G35" s="164"/>
      <c r="H35" s="164"/>
      <c r="I35" s="164"/>
      <c r="J35" s="164"/>
      <c r="K35" s="164"/>
      <c r="L35" s="164"/>
      <c r="M35" s="164"/>
      <c r="N35" s="164"/>
      <c r="O35" s="164"/>
      <c r="P35" s="164"/>
      <c r="Q35" s="164"/>
      <c r="R35" s="164"/>
      <c r="S35" s="164"/>
      <c r="T35" s="164"/>
      <c r="U35" s="164"/>
      <c r="V35" s="164"/>
      <c r="W35" s="164"/>
      <c r="X35" s="164"/>
      <c r="Y35" s="164"/>
      <c r="Z35" s="164"/>
      <c r="AA35" s="164"/>
      <c r="AB35" s="164"/>
      <c r="AC35" s="1220"/>
    </row>
    <row r="36" ht="15.75" customHeight="1">
      <c r="A36" s="164"/>
      <c r="B36" s="1170"/>
      <c r="C36" s="164"/>
      <c r="D36" s="164"/>
      <c r="E36" s="164"/>
      <c r="F36" s="164"/>
      <c r="G36" s="164"/>
      <c r="H36" s="164"/>
      <c r="I36" s="164"/>
      <c r="J36" s="164"/>
      <c r="K36" s="164"/>
      <c r="L36" s="164"/>
      <c r="M36" s="164"/>
      <c r="N36" s="164"/>
      <c r="O36" s="164"/>
      <c r="P36" s="164"/>
      <c r="Q36" s="164"/>
      <c r="R36" s="164"/>
      <c r="S36" s="164"/>
      <c r="T36" s="164"/>
      <c r="U36" s="164"/>
      <c r="V36" s="164"/>
      <c r="W36" s="164"/>
      <c r="X36" s="164"/>
      <c r="Y36" s="164"/>
      <c r="Z36" s="164"/>
      <c r="AA36" s="164"/>
      <c r="AB36" s="164"/>
      <c r="AC36" s="1220"/>
    </row>
    <row r="37" ht="15.75" customHeight="1">
      <c r="A37" s="164"/>
      <c r="B37" s="1170"/>
      <c r="C37" s="164"/>
      <c r="D37" s="164"/>
      <c r="E37" s="164"/>
      <c r="F37" s="164"/>
      <c r="G37" s="164"/>
      <c r="H37" s="164"/>
      <c r="I37" s="164"/>
      <c r="J37" s="164"/>
      <c r="K37" s="164"/>
      <c r="L37" s="164"/>
      <c r="M37" s="164"/>
      <c r="N37" s="164"/>
      <c r="O37" s="164"/>
      <c r="P37" s="164"/>
      <c r="Q37" s="164"/>
      <c r="R37" s="164"/>
      <c r="S37" s="164"/>
      <c r="T37" s="164"/>
      <c r="U37" s="164"/>
      <c r="V37" s="164"/>
      <c r="W37" s="164"/>
      <c r="X37" s="164"/>
      <c r="Y37" s="164"/>
      <c r="Z37" s="164"/>
      <c r="AA37" s="164"/>
      <c r="AB37" s="164"/>
      <c r="AC37" s="1220"/>
    </row>
    <row r="38" ht="15.75" customHeight="1">
      <c r="A38" s="164"/>
      <c r="B38" s="1170"/>
      <c r="C38" s="164"/>
      <c r="D38" s="164"/>
      <c r="E38" s="164"/>
      <c r="F38" s="164"/>
      <c r="G38" s="164"/>
      <c r="H38" s="164"/>
      <c r="I38" s="164"/>
      <c r="J38" s="164"/>
      <c r="K38" s="164"/>
      <c r="L38" s="164"/>
      <c r="M38" s="164"/>
      <c r="N38" s="164"/>
      <c r="O38" s="164"/>
      <c r="P38" s="164"/>
      <c r="Q38" s="164"/>
      <c r="R38" s="164"/>
      <c r="S38" s="164"/>
      <c r="T38" s="164"/>
      <c r="U38" s="164"/>
      <c r="V38" s="164"/>
      <c r="W38" s="164"/>
      <c r="X38" s="164"/>
      <c r="Y38" s="164"/>
      <c r="Z38" s="164"/>
      <c r="AA38" s="164"/>
      <c r="AB38" s="164"/>
      <c r="AC38" s="1220"/>
    </row>
    <row r="39" ht="15.75" customHeight="1">
      <c r="A39" s="164"/>
      <c r="B39" s="1170"/>
      <c r="C39" s="164"/>
      <c r="D39" s="164"/>
      <c r="E39" s="164"/>
      <c r="F39" s="164"/>
      <c r="G39" s="164"/>
      <c r="H39" s="164"/>
      <c r="I39" s="164"/>
      <c r="J39" s="164"/>
      <c r="K39" s="164"/>
      <c r="L39" s="164"/>
      <c r="M39" s="164"/>
      <c r="N39" s="164"/>
      <c r="O39" s="164"/>
      <c r="P39" s="164"/>
      <c r="Q39" s="164"/>
      <c r="R39" s="164"/>
      <c r="S39" s="164"/>
      <c r="T39" s="164"/>
      <c r="U39" s="164"/>
      <c r="V39" s="164"/>
      <c r="W39" s="164"/>
      <c r="X39" s="164"/>
      <c r="Y39" s="164"/>
      <c r="Z39" s="164"/>
      <c r="AA39" s="164"/>
      <c r="AB39" s="164"/>
      <c r="AC39" s="1220"/>
    </row>
    <row r="40" ht="15.75" customHeight="1">
      <c r="A40" s="164"/>
      <c r="B40" s="1170"/>
      <c r="C40" s="164"/>
      <c r="D40" s="164"/>
      <c r="E40" s="164"/>
      <c r="F40" s="164"/>
      <c r="G40" s="164"/>
      <c r="H40" s="164"/>
      <c r="I40" s="164"/>
      <c r="J40" s="164"/>
      <c r="K40" s="164"/>
      <c r="L40" s="164"/>
      <c r="M40" s="164"/>
      <c r="N40" s="164"/>
      <c r="O40" s="164"/>
      <c r="P40" s="164"/>
      <c r="Q40" s="164"/>
      <c r="R40" s="164"/>
      <c r="S40" s="164"/>
      <c r="T40" s="164"/>
      <c r="U40" s="164"/>
      <c r="V40" s="164"/>
      <c r="W40" s="164"/>
      <c r="X40" s="164"/>
      <c r="Y40" s="164"/>
      <c r="Z40" s="164"/>
      <c r="AA40" s="164"/>
      <c r="AB40" s="164"/>
      <c r="AC40" s="1220"/>
    </row>
    <row r="41" ht="15.75" customHeight="1">
      <c r="A41" s="164"/>
      <c r="B41" s="1170"/>
      <c r="C41" s="164"/>
      <c r="D41" s="164"/>
      <c r="E41" s="164"/>
      <c r="F41" s="164"/>
      <c r="G41" s="164"/>
      <c r="H41" s="164"/>
      <c r="I41" s="164"/>
      <c r="J41" s="164"/>
      <c r="K41" s="164"/>
      <c r="L41" s="164"/>
      <c r="M41" s="164"/>
      <c r="N41" s="164"/>
      <c r="O41" s="164"/>
      <c r="P41" s="164"/>
      <c r="Q41" s="164"/>
      <c r="R41" s="164"/>
      <c r="S41" s="164"/>
      <c r="T41" s="164"/>
      <c r="U41" s="164"/>
      <c r="V41" s="164"/>
      <c r="W41" s="164"/>
      <c r="X41" s="164"/>
      <c r="Y41" s="164"/>
      <c r="Z41" s="164"/>
      <c r="AA41" s="164"/>
      <c r="AB41" s="164"/>
      <c r="AC41" s="1220"/>
    </row>
    <row r="42" ht="15.75" customHeight="1">
      <c r="A42" s="164"/>
      <c r="B42" s="1170"/>
      <c r="C42" s="164"/>
      <c r="D42" s="164"/>
      <c r="E42" s="164"/>
      <c r="F42" s="164"/>
      <c r="G42" s="164"/>
      <c r="H42" s="164"/>
      <c r="I42" s="164"/>
      <c r="J42" s="164"/>
      <c r="K42" s="164"/>
      <c r="L42" s="164"/>
      <c r="M42" s="164"/>
      <c r="N42" s="164"/>
      <c r="O42" s="164"/>
      <c r="P42" s="164"/>
      <c r="Q42" s="164"/>
      <c r="R42" s="164"/>
      <c r="S42" s="164"/>
      <c r="T42" s="164"/>
      <c r="U42" s="164"/>
      <c r="V42" s="164"/>
      <c r="W42" s="164"/>
      <c r="X42" s="164"/>
      <c r="Y42" s="164"/>
      <c r="Z42" s="164"/>
      <c r="AA42" s="164"/>
      <c r="AB42" s="164"/>
      <c r="AC42" s="1220"/>
    </row>
    <row r="43" ht="15.75" customHeight="1">
      <c r="A43" s="164"/>
      <c r="B43" s="1170"/>
      <c r="C43" s="164"/>
      <c r="D43" s="164"/>
      <c r="E43" s="164"/>
      <c r="F43" s="164"/>
      <c r="G43" s="164"/>
      <c r="H43" s="164"/>
      <c r="I43" s="164"/>
      <c r="J43" s="164"/>
      <c r="K43" s="164"/>
      <c r="L43" s="164"/>
      <c r="M43" s="164"/>
      <c r="N43" s="164"/>
      <c r="O43" s="164"/>
      <c r="P43" s="164"/>
      <c r="Q43" s="164"/>
      <c r="R43" s="164"/>
      <c r="S43" s="164"/>
      <c r="T43" s="164"/>
      <c r="U43" s="164"/>
      <c r="V43" s="164"/>
      <c r="W43" s="164"/>
      <c r="X43" s="164"/>
      <c r="Y43" s="164"/>
      <c r="Z43" s="164"/>
      <c r="AA43" s="164"/>
      <c r="AB43" s="164"/>
      <c r="AC43" s="1220"/>
    </row>
    <row r="44" ht="15.75" customHeight="1">
      <c r="A44" s="164"/>
      <c r="B44" s="1170"/>
      <c r="C44" s="164"/>
      <c r="D44" s="164"/>
      <c r="E44" s="164"/>
      <c r="F44" s="164"/>
      <c r="G44" s="164"/>
      <c r="H44" s="164"/>
      <c r="I44" s="164"/>
      <c r="J44" s="164"/>
      <c r="K44" s="164"/>
      <c r="L44" s="164"/>
      <c r="M44" s="164"/>
      <c r="N44" s="164"/>
      <c r="O44" s="164"/>
      <c r="P44" s="164"/>
      <c r="Q44" s="164"/>
      <c r="R44" s="164"/>
      <c r="S44" s="164"/>
      <c r="T44" s="164"/>
      <c r="U44" s="164"/>
      <c r="V44" s="164"/>
      <c r="W44" s="164"/>
      <c r="X44" s="164"/>
      <c r="Y44" s="164"/>
      <c r="Z44" s="164"/>
      <c r="AA44" s="164"/>
      <c r="AB44" s="164"/>
      <c r="AC44" s="1220"/>
    </row>
    <row r="45" ht="15.75" customHeight="1">
      <c r="A45" s="164"/>
      <c r="B45" s="1170"/>
      <c r="C45" s="164"/>
      <c r="D45" s="164"/>
      <c r="E45" s="164"/>
      <c r="F45" s="164"/>
      <c r="G45" s="164"/>
      <c r="H45" s="164"/>
      <c r="I45" s="164"/>
      <c r="J45" s="164"/>
      <c r="K45" s="164"/>
      <c r="L45" s="164"/>
      <c r="M45" s="164"/>
      <c r="N45" s="164"/>
      <c r="O45" s="164"/>
      <c r="P45" s="164"/>
      <c r="Q45" s="164"/>
      <c r="R45" s="164"/>
      <c r="S45" s="164"/>
      <c r="T45" s="164"/>
      <c r="U45" s="164"/>
      <c r="V45" s="164"/>
      <c r="W45" s="164"/>
      <c r="X45" s="164"/>
      <c r="Y45" s="164"/>
      <c r="Z45" s="164"/>
      <c r="AA45" s="164"/>
      <c r="AB45" s="164"/>
      <c r="AC45" s="1220"/>
    </row>
    <row r="46" ht="15.75" customHeight="1">
      <c r="A46" s="164"/>
      <c r="B46" s="1170"/>
      <c r="C46" s="164"/>
      <c r="D46" s="164"/>
      <c r="E46" s="164"/>
      <c r="F46" s="164"/>
      <c r="G46" s="164"/>
      <c r="H46" s="164"/>
      <c r="I46" s="164"/>
      <c r="J46" s="164"/>
      <c r="K46" s="164"/>
      <c r="L46" s="164"/>
      <c r="M46" s="164"/>
      <c r="N46" s="164"/>
      <c r="O46" s="164"/>
      <c r="P46" s="164"/>
      <c r="Q46" s="164"/>
      <c r="R46" s="164"/>
      <c r="S46" s="164"/>
      <c r="T46" s="164"/>
      <c r="U46" s="164"/>
      <c r="V46" s="164"/>
      <c r="W46" s="164"/>
      <c r="X46" s="164"/>
      <c r="Y46" s="164"/>
      <c r="Z46" s="164"/>
      <c r="AA46" s="164"/>
      <c r="AB46" s="164"/>
      <c r="AC46" s="1220"/>
    </row>
    <row r="47" ht="15.75" customHeight="1">
      <c r="A47" s="164"/>
      <c r="B47" s="1170"/>
      <c r="C47" s="164"/>
      <c r="D47" s="164"/>
      <c r="E47" s="164"/>
      <c r="F47" s="164"/>
      <c r="G47" s="164"/>
      <c r="H47" s="164"/>
      <c r="I47" s="164"/>
      <c r="J47" s="164"/>
      <c r="K47" s="164"/>
      <c r="L47" s="164"/>
      <c r="M47" s="164"/>
      <c r="N47" s="164"/>
      <c r="O47" s="164"/>
      <c r="P47" s="164"/>
      <c r="Q47" s="164"/>
      <c r="R47" s="164"/>
      <c r="S47" s="164"/>
      <c r="T47" s="164"/>
      <c r="U47" s="164"/>
      <c r="V47" s="164"/>
      <c r="W47" s="164"/>
      <c r="X47" s="164"/>
      <c r="Y47" s="164"/>
      <c r="Z47" s="164"/>
      <c r="AA47" s="164"/>
      <c r="AB47" s="164"/>
      <c r="AC47" s="1220"/>
    </row>
    <row r="48" ht="15.75" customHeight="1">
      <c r="A48" s="164"/>
      <c r="B48" s="1170"/>
      <c r="C48" s="164"/>
      <c r="D48" s="164"/>
      <c r="E48" s="164"/>
      <c r="F48" s="164"/>
      <c r="G48" s="164"/>
      <c r="H48" s="164"/>
      <c r="I48" s="164"/>
      <c r="J48" s="164"/>
      <c r="K48" s="164"/>
      <c r="L48" s="164"/>
      <c r="M48" s="164"/>
      <c r="N48" s="164"/>
      <c r="O48" s="164"/>
      <c r="P48" s="164"/>
      <c r="Q48" s="164"/>
      <c r="R48" s="164"/>
      <c r="S48" s="164"/>
      <c r="T48" s="164"/>
      <c r="U48" s="164"/>
      <c r="V48" s="164"/>
      <c r="W48" s="164"/>
      <c r="X48" s="164"/>
      <c r="Y48" s="164"/>
      <c r="Z48" s="164"/>
      <c r="AA48" s="164"/>
      <c r="AB48" s="164"/>
      <c r="AC48" s="1220"/>
    </row>
    <row r="49" ht="15.75" customHeight="1">
      <c r="A49" s="164"/>
      <c r="B49" s="1170"/>
      <c r="C49" s="164"/>
      <c r="D49" s="164"/>
      <c r="E49" s="164"/>
      <c r="F49" s="164"/>
      <c r="G49" s="164"/>
      <c r="H49" s="164"/>
      <c r="I49" s="164"/>
      <c r="J49" s="164"/>
      <c r="K49" s="164"/>
      <c r="L49" s="164"/>
      <c r="M49" s="164"/>
      <c r="N49" s="164"/>
      <c r="O49" s="164"/>
      <c r="P49" s="164"/>
      <c r="Q49" s="164"/>
      <c r="R49" s="164"/>
      <c r="S49" s="164"/>
      <c r="T49" s="164"/>
      <c r="U49" s="164"/>
      <c r="V49" s="164"/>
      <c r="W49" s="164"/>
      <c r="X49" s="164"/>
      <c r="Y49" s="164"/>
      <c r="Z49" s="164"/>
      <c r="AA49" s="164"/>
      <c r="AB49" s="164"/>
      <c r="AC49" s="1220"/>
    </row>
    <row r="50" ht="15.75" customHeight="1">
      <c r="A50" s="164"/>
      <c r="B50" s="1170"/>
      <c r="C50" s="164"/>
      <c r="D50" s="164"/>
      <c r="E50" s="164"/>
      <c r="F50" s="164"/>
      <c r="G50" s="164"/>
      <c r="H50" s="164"/>
      <c r="I50" s="164"/>
      <c r="J50" s="164"/>
      <c r="K50" s="164"/>
      <c r="L50" s="164"/>
      <c r="M50" s="164"/>
      <c r="N50" s="164"/>
      <c r="O50" s="164"/>
      <c r="P50" s="164"/>
      <c r="Q50" s="164"/>
      <c r="R50" s="164"/>
      <c r="S50" s="164"/>
      <c r="T50" s="164"/>
      <c r="U50" s="164"/>
      <c r="V50" s="164"/>
      <c r="W50" s="164"/>
      <c r="X50" s="164"/>
      <c r="Y50" s="164"/>
      <c r="Z50" s="164"/>
      <c r="AA50" s="164"/>
      <c r="AB50" s="164"/>
      <c r="AC50" s="1220"/>
    </row>
    <row r="51" ht="15.75" customHeight="1">
      <c r="A51" s="164"/>
      <c r="B51" s="1170"/>
      <c r="C51" s="164"/>
      <c r="D51" s="164"/>
      <c r="E51" s="164"/>
      <c r="F51" s="164"/>
      <c r="G51" s="164"/>
      <c r="H51" s="164"/>
      <c r="I51" s="164"/>
      <c r="J51" s="164"/>
      <c r="K51" s="164"/>
      <c r="L51" s="164"/>
      <c r="M51" s="164"/>
      <c r="N51" s="164"/>
      <c r="O51" s="164"/>
      <c r="P51" s="164"/>
      <c r="Q51" s="164"/>
      <c r="R51" s="164"/>
      <c r="S51" s="164"/>
      <c r="T51" s="164"/>
      <c r="U51" s="164"/>
      <c r="V51" s="164"/>
      <c r="W51" s="164"/>
      <c r="X51" s="164"/>
      <c r="Y51" s="164"/>
      <c r="Z51" s="164"/>
      <c r="AA51" s="164"/>
      <c r="AB51" s="164"/>
      <c r="AC51" s="1220"/>
    </row>
    <row r="52" ht="15.75" customHeight="1">
      <c r="A52" s="164"/>
      <c r="B52" s="1170"/>
      <c r="C52" s="164"/>
      <c r="D52" s="164"/>
      <c r="E52" s="164"/>
      <c r="F52" s="164"/>
      <c r="G52" s="164"/>
      <c r="H52" s="164"/>
      <c r="I52" s="164"/>
      <c r="J52" s="164"/>
      <c r="K52" s="164"/>
      <c r="L52" s="164"/>
      <c r="M52" s="164"/>
      <c r="N52" s="164"/>
      <c r="O52" s="164"/>
      <c r="P52" s="164"/>
      <c r="Q52" s="164"/>
      <c r="R52" s="164"/>
      <c r="S52" s="164"/>
      <c r="T52" s="164"/>
      <c r="U52" s="164"/>
      <c r="V52" s="164"/>
      <c r="W52" s="164"/>
      <c r="X52" s="164"/>
      <c r="Y52" s="164"/>
      <c r="Z52" s="164"/>
      <c r="AA52" s="164"/>
      <c r="AB52" s="164"/>
      <c r="AC52" s="1220"/>
    </row>
    <row r="53" ht="15.75" customHeight="1">
      <c r="A53" s="164"/>
      <c r="B53" s="1170"/>
      <c r="C53" s="164"/>
      <c r="D53" s="164"/>
      <c r="E53" s="164"/>
      <c r="F53" s="164"/>
      <c r="G53" s="164"/>
      <c r="H53" s="164"/>
      <c r="I53" s="164"/>
      <c r="J53" s="164"/>
      <c r="K53" s="164"/>
      <c r="L53" s="164"/>
      <c r="M53" s="164"/>
      <c r="N53" s="164"/>
      <c r="O53" s="164"/>
      <c r="P53" s="164"/>
      <c r="Q53" s="164"/>
      <c r="R53" s="164"/>
      <c r="S53" s="164"/>
      <c r="T53" s="164"/>
      <c r="U53" s="164"/>
      <c r="V53" s="164"/>
      <c r="W53" s="164"/>
      <c r="X53" s="164"/>
      <c r="Y53" s="164"/>
      <c r="Z53" s="164"/>
      <c r="AA53" s="164"/>
      <c r="AB53" s="164"/>
      <c r="AC53" s="1220"/>
    </row>
    <row r="54" ht="15.75" customHeight="1">
      <c r="A54" s="164"/>
      <c r="B54" s="1170"/>
      <c r="C54" s="164"/>
      <c r="D54" s="164"/>
      <c r="E54" s="164"/>
      <c r="F54" s="164"/>
      <c r="G54" s="164"/>
      <c r="H54" s="164"/>
      <c r="I54" s="164"/>
      <c r="J54" s="164"/>
      <c r="K54" s="164"/>
      <c r="L54" s="164"/>
      <c r="M54" s="164"/>
      <c r="N54" s="164"/>
      <c r="O54" s="164"/>
      <c r="P54" s="164"/>
      <c r="Q54" s="164"/>
      <c r="R54" s="164"/>
      <c r="S54" s="164"/>
      <c r="T54" s="164"/>
      <c r="U54" s="164"/>
      <c r="V54" s="164"/>
      <c r="W54" s="164"/>
      <c r="X54" s="164"/>
      <c r="Y54" s="164"/>
      <c r="Z54" s="164"/>
      <c r="AA54" s="164"/>
      <c r="AB54" s="164"/>
      <c r="AC54" s="1220"/>
    </row>
    <row r="55" ht="15.75" customHeight="1">
      <c r="A55" s="164"/>
      <c r="B55" s="1170"/>
      <c r="C55" s="164"/>
      <c r="D55" s="164"/>
      <c r="E55" s="164"/>
      <c r="F55" s="164"/>
      <c r="G55" s="164"/>
      <c r="H55" s="164"/>
      <c r="I55" s="164"/>
      <c r="J55" s="164"/>
      <c r="K55" s="164"/>
      <c r="L55" s="164"/>
      <c r="M55" s="164"/>
      <c r="N55" s="164"/>
      <c r="O55" s="164"/>
      <c r="P55" s="164"/>
      <c r="Q55" s="164"/>
      <c r="R55" s="164"/>
      <c r="S55" s="164"/>
      <c r="T55" s="164"/>
      <c r="U55" s="164"/>
      <c r="V55" s="164"/>
      <c r="W55" s="164"/>
      <c r="X55" s="164"/>
      <c r="Y55" s="164"/>
      <c r="Z55" s="164"/>
      <c r="AA55" s="164"/>
      <c r="AB55" s="164"/>
      <c r="AC55" s="1220"/>
    </row>
    <row r="56" ht="15.75" customHeight="1">
      <c r="A56" s="164"/>
      <c r="B56" s="1170"/>
      <c r="C56" s="164"/>
      <c r="D56" s="164"/>
      <c r="E56" s="164"/>
      <c r="F56" s="164"/>
      <c r="G56" s="164"/>
      <c r="H56" s="164"/>
      <c r="I56" s="164"/>
      <c r="J56" s="164"/>
      <c r="K56" s="164"/>
      <c r="L56" s="164"/>
      <c r="M56" s="164"/>
      <c r="N56" s="164"/>
      <c r="O56" s="164"/>
      <c r="P56" s="164"/>
      <c r="Q56" s="164"/>
      <c r="R56" s="164"/>
      <c r="S56" s="164"/>
      <c r="T56" s="164"/>
      <c r="U56" s="164"/>
      <c r="V56" s="164"/>
      <c r="W56" s="164"/>
      <c r="X56" s="164"/>
      <c r="Y56" s="164"/>
      <c r="Z56" s="164"/>
      <c r="AA56" s="164"/>
      <c r="AB56" s="164"/>
      <c r="AC56" s="1220"/>
    </row>
    <row r="57" ht="15.75" customHeight="1">
      <c r="A57" s="164"/>
      <c r="B57" s="1170"/>
      <c r="C57" s="164"/>
      <c r="D57" s="164"/>
      <c r="E57" s="164"/>
      <c r="F57" s="164"/>
      <c r="G57" s="164"/>
      <c r="H57" s="164"/>
      <c r="I57" s="164"/>
      <c r="J57" s="164"/>
      <c r="K57" s="164"/>
      <c r="L57" s="164"/>
      <c r="M57" s="164"/>
      <c r="N57" s="164"/>
      <c r="O57" s="164"/>
      <c r="P57" s="164"/>
      <c r="Q57" s="164"/>
      <c r="R57" s="164"/>
      <c r="S57" s="164"/>
      <c r="T57" s="164"/>
      <c r="U57" s="164"/>
      <c r="V57" s="164"/>
      <c r="W57" s="164"/>
      <c r="X57" s="164"/>
      <c r="Y57" s="164"/>
      <c r="Z57" s="164"/>
      <c r="AA57" s="164"/>
      <c r="AB57" s="164"/>
      <c r="AC57" s="1220"/>
    </row>
    <row r="58" ht="15.75" customHeight="1">
      <c r="A58" s="164"/>
      <c r="B58" s="1170"/>
      <c r="C58" s="164"/>
      <c r="D58" s="164"/>
      <c r="E58" s="164"/>
      <c r="F58" s="164"/>
      <c r="G58" s="164"/>
      <c r="H58" s="164"/>
      <c r="I58" s="164"/>
      <c r="J58" s="164"/>
      <c r="K58" s="164"/>
      <c r="L58" s="164"/>
      <c r="M58" s="164"/>
      <c r="N58" s="164"/>
      <c r="O58" s="164"/>
      <c r="P58" s="164"/>
      <c r="Q58" s="164"/>
      <c r="R58" s="164"/>
      <c r="S58" s="164"/>
      <c r="T58" s="164"/>
      <c r="U58" s="164"/>
      <c r="V58" s="164"/>
      <c r="W58" s="164"/>
      <c r="X58" s="164"/>
      <c r="Y58" s="164"/>
      <c r="Z58" s="164"/>
      <c r="AA58" s="164"/>
      <c r="AB58" s="164"/>
      <c r="AC58" s="1220"/>
    </row>
    <row r="59" ht="15.75" customHeight="1">
      <c r="A59" s="164"/>
      <c r="B59" s="1170"/>
      <c r="C59" s="164"/>
      <c r="D59" s="164"/>
      <c r="E59" s="164"/>
      <c r="F59" s="164"/>
      <c r="G59" s="164"/>
      <c r="H59" s="164"/>
      <c r="I59" s="164"/>
      <c r="J59" s="164"/>
      <c r="K59" s="164"/>
      <c r="L59" s="164"/>
      <c r="M59" s="164"/>
      <c r="N59" s="164"/>
      <c r="O59" s="164"/>
      <c r="P59" s="164"/>
      <c r="Q59" s="164"/>
      <c r="R59" s="164"/>
      <c r="S59" s="164"/>
      <c r="T59" s="164"/>
      <c r="U59" s="164"/>
      <c r="V59" s="164"/>
      <c r="W59" s="164"/>
      <c r="X59" s="164"/>
      <c r="Y59" s="164"/>
      <c r="Z59" s="164"/>
      <c r="AA59" s="164"/>
      <c r="AB59" s="164"/>
      <c r="AC59" s="1220"/>
    </row>
    <row r="60" ht="15.75" customHeight="1">
      <c r="A60" s="164"/>
      <c r="B60" s="1170"/>
      <c r="C60" s="164"/>
      <c r="D60" s="164"/>
      <c r="E60" s="164"/>
      <c r="F60" s="164"/>
      <c r="G60" s="164"/>
      <c r="H60" s="164"/>
      <c r="I60" s="164"/>
      <c r="J60" s="164"/>
      <c r="K60" s="164"/>
      <c r="L60" s="164"/>
      <c r="M60" s="164"/>
      <c r="N60" s="164"/>
      <c r="O60" s="164"/>
      <c r="P60" s="164"/>
      <c r="Q60" s="164"/>
      <c r="R60" s="164"/>
      <c r="S60" s="164"/>
      <c r="T60" s="164"/>
      <c r="U60" s="164"/>
      <c r="V60" s="164"/>
      <c r="W60" s="164"/>
      <c r="X60" s="164"/>
      <c r="Y60" s="164"/>
      <c r="Z60" s="164"/>
      <c r="AA60" s="164"/>
      <c r="AB60" s="164"/>
      <c r="AC60" s="1220"/>
    </row>
    <row r="61" ht="15.75" customHeight="1">
      <c r="A61" s="164"/>
      <c r="B61" s="1170"/>
      <c r="C61" s="164"/>
      <c r="D61" s="164"/>
      <c r="E61" s="164"/>
      <c r="F61" s="164"/>
      <c r="G61" s="164"/>
      <c r="H61" s="164"/>
      <c r="I61" s="164"/>
      <c r="J61" s="164"/>
      <c r="K61" s="164"/>
      <c r="L61" s="164"/>
      <c r="M61" s="164"/>
      <c r="N61" s="164"/>
      <c r="O61" s="164"/>
      <c r="P61" s="164"/>
      <c r="Q61" s="164"/>
      <c r="R61" s="164"/>
      <c r="S61" s="164"/>
      <c r="T61" s="164"/>
      <c r="U61" s="164"/>
      <c r="V61" s="164"/>
      <c r="W61" s="164"/>
      <c r="X61" s="164"/>
      <c r="Y61" s="164"/>
      <c r="Z61" s="164"/>
      <c r="AA61" s="164"/>
      <c r="AB61" s="164"/>
      <c r="AC61" s="1220"/>
    </row>
    <row r="62" ht="15.75" customHeight="1">
      <c r="A62" s="164"/>
      <c r="B62" s="1170"/>
      <c r="C62" s="164"/>
      <c r="D62" s="164"/>
      <c r="E62" s="164"/>
      <c r="F62" s="164"/>
      <c r="G62" s="164"/>
      <c r="H62" s="164"/>
      <c r="I62" s="164"/>
      <c r="J62" s="164"/>
      <c r="K62" s="164"/>
      <c r="L62" s="164"/>
      <c r="M62" s="164"/>
      <c r="N62" s="164"/>
      <c r="O62" s="164"/>
      <c r="P62" s="164"/>
      <c r="Q62" s="164"/>
      <c r="R62" s="164"/>
      <c r="S62" s="164"/>
      <c r="T62" s="164"/>
      <c r="U62" s="164"/>
      <c r="V62" s="164"/>
      <c r="W62" s="164"/>
      <c r="X62" s="164"/>
      <c r="Y62" s="164"/>
      <c r="Z62" s="164"/>
      <c r="AA62" s="164"/>
      <c r="AB62" s="164"/>
      <c r="AC62" s="1220"/>
    </row>
    <row r="63" ht="15.75" customHeight="1">
      <c r="A63" s="164"/>
      <c r="B63" s="1170"/>
      <c r="C63" s="164"/>
      <c r="D63" s="164"/>
      <c r="E63" s="164"/>
      <c r="F63" s="164"/>
      <c r="G63" s="164"/>
      <c r="H63" s="164"/>
      <c r="I63" s="164"/>
      <c r="J63" s="164"/>
      <c r="K63" s="164"/>
      <c r="L63" s="164"/>
      <c r="M63" s="164"/>
      <c r="N63" s="164"/>
      <c r="O63" s="164"/>
      <c r="P63" s="164"/>
      <c r="Q63" s="164"/>
      <c r="R63" s="164"/>
      <c r="S63" s="164"/>
      <c r="T63" s="164"/>
      <c r="U63" s="164"/>
      <c r="V63" s="164"/>
      <c r="W63" s="164"/>
      <c r="X63" s="164"/>
      <c r="Y63" s="164"/>
      <c r="Z63" s="164"/>
      <c r="AA63" s="164"/>
      <c r="AB63" s="164"/>
      <c r="AC63" s="1220"/>
    </row>
    <row r="64" ht="15.75" customHeight="1">
      <c r="A64" s="164"/>
      <c r="B64" s="1170"/>
      <c r="C64" s="164"/>
      <c r="D64" s="164"/>
      <c r="E64" s="164"/>
      <c r="F64" s="164"/>
      <c r="G64" s="164"/>
      <c r="H64" s="164"/>
      <c r="I64" s="164"/>
      <c r="J64" s="164"/>
      <c r="K64" s="164"/>
      <c r="L64" s="164"/>
      <c r="M64" s="164"/>
      <c r="N64" s="164"/>
      <c r="O64" s="164"/>
      <c r="P64" s="164"/>
      <c r="Q64" s="164"/>
      <c r="R64" s="164"/>
      <c r="S64" s="164"/>
      <c r="T64" s="164"/>
      <c r="U64" s="164"/>
      <c r="V64" s="164"/>
      <c r="W64" s="164"/>
      <c r="X64" s="164"/>
      <c r="Y64" s="164"/>
      <c r="Z64" s="164"/>
      <c r="AA64" s="164"/>
      <c r="AB64" s="164"/>
      <c r="AC64" s="1220"/>
    </row>
    <row r="65" ht="15.75" customHeight="1">
      <c r="A65" s="164"/>
      <c r="B65" s="1170"/>
      <c r="C65" s="164"/>
      <c r="D65" s="164"/>
      <c r="E65" s="164"/>
      <c r="F65" s="164"/>
      <c r="G65" s="164"/>
      <c r="H65" s="164"/>
      <c r="I65" s="164"/>
      <c r="J65" s="164"/>
      <c r="K65" s="164"/>
      <c r="L65" s="164"/>
      <c r="M65" s="164"/>
      <c r="N65" s="164"/>
      <c r="O65" s="164"/>
      <c r="P65" s="164"/>
      <c r="Q65" s="164"/>
      <c r="R65" s="164"/>
      <c r="S65" s="164"/>
      <c r="T65" s="164"/>
      <c r="U65" s="164"/>
      <c r="V65" s="164"/>
      <c r="W65" s="164"/>
      <c r="X65" s="164"/>
      <c r="Y65" s="164"/>
      <c r="Z65" s="164"/>
      <c r="AA65" s="164"/>
      <c r="AB65" s="164"/>
      <c r="AC65" s="1220"/>
    </row>
    <row r="66" ht="15.75" customHeight="1">
      <c r="A66" s="164"/>
      <c r="B66" s="1170"/>
      <c r="C66" s="164"/>
      <c r="D66" s="164"/>
      <c r="E66" s="164"/>
      <c r="F66" s="164"/>
      <c r="G66" s="164"/>
      <c r="H66" s="164"/>
      <c r="I66" s="164"/>
      <c r="J66" s="164"/>
      <c r="K66" s="164"/>
      <c r="L66" s="164"/>
      <c r="M66" s="164"/>
      <c r="N66" s="164"/>
      <c r="O66" s="164"/>
      <c r="P66" s="164"/>
      <c r="Q66" s="164"/>
      <c r="R66" s="164"/>
      <c r="S66" s="164"/>
      <c r="T66" s="164"/>
      <c r="U66" s="164"/>
      <c r="V66" s="164"/>
      <c r="W66" s="164"/>
      <c r="X66" s="164"/>
      <c r="Y66" s="164"/>
      <c r="Z66" s="164"/>
      <c r="AA66" s="164"/>
      <c r="AB66" s="164"/>
      <c r="AC66" s="1220"/>
    </row>
    <row r="67" ht="15.75" customHeight="1">
      <c r="A67" s="164"/>
      <c r="B67" s="1170"/>
      <c r="C67" s="164"/>
      <c r="D67" s="164"/>
      <c r="E67" s="164"/>
      <c r="F67" s="164"/>
      <c r="G67" s="164"/>
      <c r="H67" s="164"/>
      <c r="I67" s="164"/>
      <c r="J67" s="164"/>
      <c r="K67" s="164"/>
      <c r="L67" s="164"/>
      <c r="M67" s="164"/>
      <c r="N67" s="164"/>
      <c r="O67" s="164"/>
      <c r="P67" s="164"/>
      <c r="Q67" s="164"/>
      <c r="R67" s="164"/>
      <c r="S67" s="164"/>
      <c r="T67" s="164"/>
      <c r="U67" s="164"/>
      <c r="V67" s="164"/>
      <c r="W67" s="164"/>
      <c r="X67" s="164"/>
      <c r="Y67" s="164"/>
      <c r="Z67" s="164"/>
      <c r="AA67" s="164"/>
      <c r="AB67" s="164"/>
      <c r="AC67" s="1220"/>
    </row>
    <row r="68" ht="15.75" customHeight="1">
      <c r="A68" s="164"/>
      <c r="B68" s="1170"/>
      <c r="C68" s="164"/>
      <c r="D68" s="164"/>
      <c r="E68" s="164"/>
      <c r="F68" s="164"/>
      <c r="G68" s="164"/>
      <c r="H68" s="164"/>
      <c r="I68" s="164"/>
      <c r="J68" s="164"/>
      <c r="K68" s="164"/>
      <c r="L68" s="164"/>
      <c r="M68" s="164"/>
      <c r="N68" s="164"/>
      <c r="O68" s="164"/>
      <c r="P68" s="164"/>
      <c r="Q68" s="164"/>
      <c r="R68" s="164"/>
      <c r="S68" s="164"/>
      <c r="T68" s="164"/>
      <c r="U68" s="164"/>
      <c r="V68" s="164"/>
      <c r="W68" s="164"/>
      <c r="X68" s="164"/>
      <c r="Y68" s="164"/>
      <c r="Z68" s="164"/>
      <c r="AA68" s="164"/>
      <c r="AB68" s="164"/>
      <c r="AC68" s="1220"/>
    </row>
    <row r="69" ht="15.75" customHeight="1">
      <c r="A69" s="164"/>
      <c r="B69" s="1170"/>
      <c r="C69" s="164"/>
      <c r="D69" s="164"/>
      <c r="E69" s="164"/>
      <c r="F69" s="164"/>
      <c r="G69" s="164"/>
      <c r="H69" s="164"/>
      <c r="I69" s="164"/>
      <c r="J69" s="164"/>
      <c r="K69" s="164"/>
      <c r="L69" s="164"/>
      <c r="M69" s="164"/>
      <c r="N69" s="164"/>
      <c r="O69" s="164"/>
      <c r="P69" s="164"/>
      <c r="Q69" s="164"/>
      <c r="R69" s="164"/>
      <c r="S69" s="164"/>
      <c r="T69" s="164"/>
      <c r="U69" s="164"/>
      <c r="V69" s="164"/>
      <c r="W69" s="164"/>
      <c r="X69" s="164"/>
      <c r="Y69" s="164"/>
      <c r="Z69" s="164"/>
      <c r="AA69" s="164"/>
      <c r="AB69" s="164"/>
      <c r="AC69" s="1220"/>
    </row>
    <row r="70" ht="15.75" customHeight="1">
      <c r="A70" s="164"/>
      <c r="B70" s="1170"/>
      <c r="C70" s="164"/>
      <c r="D70" s="164"/>
      <c r="E70" s="164"/>
      <c r="F70" s="164"/>
      <c r="G70" s="164"/>
      <c r="H70" s="164"/>
      <c r="I70" s="164"/>
      <c r="J70" s="164"/>
      <c r="K70" s="164"/>
      <c r="L70" s="164"/>
      <c r="M70" s="164"/>
      <c r="N70" s="164"/>
      <c r="O70" s="164"/>
      <c r="P70" s="164"/>
      <c r="Q70" s="164"/>
      <c r="R70" s="164"/>
      <c r="S70" s="164"/>
      <c r="T70" s="164"/>
      <c r="U70" s="164"/>
      <c r="V70" s="164"/>
      <c r="W70" s="164"/>
      <c r="X70" s="164"/>
      <c r="Y70" s="164"/>
      <c r="Z70" s="164"/>
      <c r="AA70" s="164"/>
      <c r="AB70" s="164"/>
      <c r="AC70" s="1220"/>
    </row>
    <row r="71" ht="15.75" customHeight="1">
      <c r="A71" s="164"/>
      <c r="B71" s="1170"/>
      <c r="C71" s="164"/>
      <c r="D71" s="164"/>
      <c r="E71" s="164"/>
      <c r="F71" s="164"/>
      <c r="G71" s="164"/>
      <c r="H71" s="164"/>
      <c r="I71" s="164"/>
      <c r="J71" s="164"/>
      <c r="K71" s="164"/>
      <c r="L71" s="164"/>
      <c r="M71" s="164"/>
      <c r="N71" s="164"/>
      <c r="O71" s="164"/>
      <c r="P71" s="164"/>
      <c r="Q71" s="164"/>
      <c r="R71" s="164"/>
      <c r="S71" s="164"/>
      <c r="T71" s="164"/>
      <c r="U71" s="164"/>
      <c r="V71" s="164"/>
      <c r="W71" s="164"/>
      <c r="X71" s="164"/>
      <c r="Y71" s="164"/>
      <c r="Z71" s="164"/>
      <c r="AA71" s="164"/>
      <c r="AB71" s="164"/>
      <c r="AC71" s="1220"/>
    </row>
    <row r="72" ht="15.75" customHeight="1">
      <c r="A72" s="164"/>
      <c r="B72" s="1170"/>
      <c r="C72" s="164"/>
      <c r="D72" s="164"/>
      <c r="E72" s="164"/>
      <c r="F72" s="164"/>
      <c r="G72" s="164"/>
      <c r="H72" s="164"/>
      <c r="I72" s="164"/>
      <c r="J72" s="164"/>
      <c r="K72" s="164"/>
      <c r="L72" s="164"/>
      <c r="M72" s="164"/>
      <c r="N72" s="164"/>
      <c r="O72" s="164"/>
      <c r="P72" s="164"/>
      <c r="Q72" s="164"/>
      <c r="R72" s="164"/>
      <c r="S72" s="164"/>
      <c r="T72" s="164"/>
      <c r="U72" s="164"/>
      <c r="V72" s="164"/>
      <c r="W72" s="164"/>
      <c r="X72" s="164"/>
      <c r="Y72" s="164"/>
      <c r="Z72" s="164"/>
      <c r="AA72" s="164"/>
      <c r="AB72" s="164"/>
      <c r="AC72" s="1220"/>
    </row>
    <row r="73" ht="15.75" customHeight="1">
      <c r="A73" s="164"/>
      <c r="B73" s="1170"/>
      <c r="C73" s="164"/>
      <c r="D73" s="164"/>
      <c r="E73" s="164"/>
      <c r="F73" s="164"/>
      <c r="G73" s="164"/>
      <c r="H73" s="164"/>
      <c r="I73" s="164"/>
      <c r="J73" s="164"/>
      <c r="K73" s="164"/>
      <c r="L73" s="164"/>
      <c r="M73" s="164"/>
      <c r="N73" s="164"/>
      <c r="O73" s="164"/>
      <c r="P73" s="164"/>
      <c r="Q73" s="164"/>
      <c r="R73" s="164"/>
      <c r="S73" s="164"/>
      <c r="T73" s="164"/>
      <c r="U73" s="164"/>
      <c r="V73" s="164"/>
      <c r="W73" s="164"/>
      <c r="X73" s="164"/>
      <c r="Y73" s="164"/>
      <c r="Z73" s="164"/>
      <c r="AA73" s="164"/>
      <c r="AB73" s="164"/>
      <c r="AC73" s="1220"/>
    </row>
    <row r="74" ht="15.75" customHeight="1">
      <c r="A74" s="164"/>
      <c r="B74" s="1170"/>
      <c r="C74" s="164"/>
      <c r="D74" s="164"/>
      <c r="E74" s="164"/>
      <c r="F74" s="164"/>
      <c r="G74" s="164"/>
      <c r="H74" s="164"/>
      <c r="I74" s="164"/>
      <c r="J74" s="164"/>
      <c r="K74" s="164"/>
      <c r="L74" s="164"/>
      <c r="M74" s="164"/>
      <c r="N74" s="164"/>
      <c r="O74" s="164"/>
      <c r="P74" s="164"/>
      <c r="Q74" s="164"/>
      <c r="R74" s="164"/>
      <c r="S74" s="164"/>
      <c r="T74" s="164"/>
      <c r="U74" s="164"/>
      <c r="V74" s="164"/>
      <c r="W74" s="164"/>
      <c r="X74" s="164"/>
      <c r="Y74" s="164"/>
      <c r="Z74" s="164"/>
      <c r="AA74" s="164"/>
      <c r="AB74" s="164"/>
      <c r="AC74" s="1220"/>
    </row>
    <row r="75" ht="15.75" customHeight="1">
      <c r="A75" s="164"/>
      <c r="B75" s="1170"/>
      <c r="C75" s="164"/>
      <c r="D75" s="164"/>
      <c r="E75" s="164"/>
      <c r="F75" s="164"/>
      <c r="G75" s="164"/>
      <c r="H75" s="164"/>
      <c r="I75" s="164"/>
      <c r="J75" s="164"/>
      <c r="K75" s="164"/>
      <c r="L75" s="164"/>
      <c r="M75" s="164"/>
      <c r="N75" s="164"/>
      <c r="O75" s="164"/>
      <c r="P75" s="164"/>
      <c r="Q75" s="164"/>
      <c r="R75" s="164"/>
      <c r="S75" s="164"/>
      <c r="T75" s="164"/>
      <c r="U75" s="164"/>
      <c r="V75" s="164"/>
      <c r="W75" s="164"/>
      <c r="X75" s="164"/>
      <c r="Y75" s="164"/>
      <c r="Z75" s="164"/>
      <c r="AA75" s="164"/>
      <c r="AB75" s="164"/>
      <c r="AC75" s="1220"/>
    </row>
    <row r="76" ht="15.75" customHeight="1">
      <c r="A76" s="164"/>
      <c r="B76" s="1170"/>
      <c r="C76" s="164"/>
      <c r="D76" s="164"/>
      <c r="E76" s="164"/>
      <c r="F76" s="164"/>
      <c r="G76" s="164"/>
      <c r="H76" s="164"/>
      <c r="I76" s="164"/>
      <c r="J76" s="164"/>
      <c r="K76" s="164"/>
      <c r="L76" s="164"/>
      <c r="M76" s="164"/>
      <c r="N76" s="164"/>
      <c r="O76" s="164"/>
      <c r="P76" s="164"/>
      <c r="Q76" s="164"/>
      <c r="R76" s="164"/>
      <c r="S76" s="164"/>
      <c r="T76" s="164"/>
      <c r="U76" s="164"/>
      <c r="V76" s="164"/>
      <c r="W76" s="164"/>
      <c r="X76" s="164"/>
      <c r="Y76" s="164"/>
      <c r="Z76" s="164"/>
      <c r="AA76" s="164"/>
      <c r="AB76" s="164"/>
      <c r="AC76" s="1220"/>
    </row>
    <row r="77" ht="15.75" customHeight="1">
      <c r="A77" s="164"/>
      <c r="B77" s="1170"/>
      <c r="C77" s="164"/>
      <c r="D77" s="164"/>
      <c r="E77" s="164"/>
      <c r="F77" s="164"/>
      <c r="G77" s="164"/>
      <c r="H77" s="164"/>
      <c r="I77" s="164"/>
      <c r="J77" s="164"/>
      <c r="K77" s="164"/>
      <c r="L77" s="164"/>
      <c r="M77" s="164"/>
      <c r="N77" s="164"/>
      <c r="O77" s="164"/>
      <c r="P77" s="164"/>
      <c r="Q77" s="164"/>
      <c r="R77" s="164"/>
      <c r="S77" s="164"/>
      <c r="T77" s="164"/>
      <c r="U77" s="164"/>
      <c r="V77" s="164"/>
      <c r="W77" s="164"/>
      <c r="X77" s="164"/>
      <c r="Y77" s="164"/>
      <c r="Z77" s="164"/>
      <c r="AA77" s="164"/>
      <c r="AB77" s="164"/>
      <c r="AC77" s="1220"/>
    </row>
    <row r="78" ht="15.75" customHeight="1">
      <c r="A78" s="164"/>
      <c r="B78" s="1170"/>
      <c r="C78" s="164"/>
      <c r="D78" s="164"/>
      <c r="E78" s="164"/>
      <c r="F78" s="164"/>
      <c r="G78" s="164"/>
      <c r="H78" s="164"/>
      <c r="I78" s="164"/>
      <c r="J78" s="164"/>
      <c r="K78" s="164"/>
      <c r="L78" s="164"/>
      <c r="M78" s="164"/>
      <c r="N78" s="164"/>
      <c r="O78" s="164"/>
      <c r="P78" s="164"/>
      <c r="Q78" s="164"/>
      <c r="R78" s="164"/>
      <c r="S78" s="164"/>
      <c r="T78" s="164"/>
      <c r="U78" s="164"/>
      <c r="V78" s="164"/>
      <c r="W78" s="164"/>
      <c r="X78" s="164"/>
      <c r="Y78" s="164"/>
      <c r="Z78" s="164"/>
      <c r="AA78" s="164"/>
      <c r="AB78" s="164"/>
      <c r="AC78" s="1220"/>
    </row>
    <row r="79" ht="15.75" customHeight="1">
      <c r="A79" s="164"/>
      <c r="B79" s="1170"/>
      <c r="C79" s="164"/>
      <c r="D79" s="164"/>
      <c r="E79" s="164"/>
      <c r="F79" s="164"/>
      <c r="G79" s="164"/>
      <c r="H79" s="164"/>
      <c r="I79" s="164"/>
      <c r="J79" s="164"/>
      <c r="K79" s="164"/>
      <c r="L79" s="164"/>
      <c r="M79" s="164"/>
      <c r="N79" s="164"/>
      <c r="O79" s="164"/>
      <c r="P79" s="164"/>
      <c r="Q79" s="164"/>
      <c r="R79" s="164"/>
      <c r="S79" s="164"/>
      <c r="T79" s="164"/>
      <c r="U79" s="164"/>
      <c r="V79" s="164"/>
      <c r="W79" s="164"/>
      <c r="X79" s="164"/>
      <c r="Y79" s="164"/>
      <c r="Z79" s="164"/>
      <c r="AA79" s="164"/>
      <c r="AB79" s="164"/>
      <c r="AC79" s="1220"/>
    </row>
    <row r="80" ht="15.75" customHeight="1">
      <c r="A80" s="164"/>
      <c r="B80" s="1170"/>
      <c r="C80" s="164"/>
      <c r="D80" s="164"/>
      <c r="E80" s="164"/>
      <c r="F80" s="164"/>
      <c r="G80" s="164"/>
      <c r="H80" s="164"/>
      <c r="I80" s="164"/>
      <c r="J80" s="164"/>
      <c r="K80" s="164"/>
      <c r="L80" s="164"/>
      <c r="M80" s="164"/>
      <c r="N80" s="164"/>
      <c r="O80" s="164"/>
      <c r="P80" s="164"/>
      <c r="Q80" s="164"/>
      <c r="R80" s="164"/>
      <c r="S80" s="164"/>
      <c r="T80" s="164"/>
      <c r="U80" s="164"/>
      <c r="V80" s="164"/>
      <c r="W80" s="164"/>
      <c r="X80" s="164"/>
      <c r="Y80" s="164"/>
      <c r="Z80" s="164"/>
      <c r="AA80" s="164"/>
      <c r="AB80" s="164"/>
      <c r="AC80" s="1220"/>
    </row>
    <row r="81" ht="15.75" customHeight="1">
      <c r="A81" s="164"/>
      <c r="B81" s="1170"/>
      <c r="C81" s="164"/>
      <c r="D81" s="164"/>
      <c r="E81" s="164"/>
      <c r="F81" s="164"/>
      <c r="G81" s="164"/>
      <c r="H81" s="164"/>
      <c r="I81" s="164"/>
      <c r="J81" s="164"/>
      <c r="K81" s="164"/>
      <c r="L81" s="164"/>
      <c r="M81" s="164"/>
      <c r="N81" s="164"/>
      <c r="O81" s="164"/>
      <c r="P81" s="164"/>
      <c r="Q81" s="164"/>
      <c r="R81" s="164"/>
      <c r="S81" s="164"/>
      <c r="T81" s="164"/>
      <c r="U81" s="164"/>
      <c r="V81" s="164"/>
      <c r="W81" s="164"/>
      <c r="X81" s="164"/>
      <c r="Y81" s="164"/>
      <c r="Z81" s="164"/>
      <c r="AA81" s="164"/>
      <c r="AB81" s="164"/>
      <c r="AC81" s="1220"/>
    </row>
    <row r="82" ht="15.75" customHeight="1">
      <c r="A82" s="164"/>
      <c r="B82" s="1170"/>
      <c r="C82" s="164"/>
      <c r="D82" s="164"/>
      <c r="E82" s="164"/>
      <c r="F82" s="164"/>
      <c r="G82" s="164"/>
      <c r="H82" s="164"/>
      <c r="I82" s="164"/>
      <c r="J82" s="164"/>
      <c r="K82" s="164"/>
      <c r="L82" s="164"/>
      <c r="M82" s="164"/>
      <c r="N82" s="164"/>
      <c r="O82" s="164"/>
      <c r="P82" s="164"/>
      <c r="Q82" s="164"/>
      <c r="R82" s="164"/>
      <c r="S82" s="164"/>
      <c r="T82" s="164"/>
      <c r="U82" s="164"/>
      <c r="V82" s="164"/>
      <c r="W82" s="164"/>
      <c r="X82" s="164"/>
      <c r="Y82" s="164"/>
      <c r="Z82" s="164"/>
      <c r="AA82" s="164"/>
      <c r="AB82" s="164"/>
      <c r="AC82" s="1220"/>
    </row>
    <row r="83" ht="15.75" customHeight="1">
      <c r="A83" s="164"/>
      <c r="B83" s="1170"/>
      <c r="C83" s="164"/>
      <c r="D83" s="164"/>
      <c r="E83" s="164"/>
      <c r="F83" s="164"/>
      <c r="G83" s="164"/>
      <c r="H83" s="164"/>
      <c r="I83" s="164"/>
      <c r="J83" s="164"/>
      <c r="K83" s="164"/>
      <c r="L83" s="164"/>
      <c r="M83" s="164"/>
      <c r="N83" s="164"/>
      <c r="O83" s="164"/>
      <c r="P83" s="164"/>
      <c r="Q83" s="164"/>
      <c r="R83" s="164"/>
      <c r="S83" s="164"/>
      <c r="T83" s="164"/>
      <c r="U83" s="164"/>
      <c r="V83" s="164"/>
      <c r="W83" s="164"/>
      <c r="X83" s="164"/>
      <c r="Y83" s="164"/>
      <c r="Z83" s="164"/>
      <c r="AA83" s="164"/>
      <c r="AB83" s="164"/>
      <c r="AC83" s="1220"/>
    </row>
    <row r="84" ht="15.75" customHeight="1">
      <c r="A84" s="164"/>
      <c r="B84" s="1170"/>
      <c r="C84" s="164"/>
      <c r="D84" s="164"/>
      <c r="E84" s="164"/>
      <c r="F84" s="164"/>
      <c r="G84" s="164"/>
      <c r="H84" s="164"/>
      <c r="I84" s="164"/>
      <c r="J84" s="164"/>
      <c r="K84" s="164"/>
      <c r="L84" s="164"/>
      <c r="M84" s="164"/>
      <c r="N84" s="164"/>
      <c r="O84" s="164"/>
      <c r="P84" s="164"/>
      <c r="Q84" s="164"/>
      <c r="R84" s="164"/>
      <c r="S84" s="164"/>
      <c r="T84" s="164"/>
      <c r="U84" s="164"/>
      <c r="V84" s="164"/>
      <c r="W84" s="164"/>
      <c r="X84" s="164"/>
      <c r="Y84" s="164"/>
      <c r="Z84" s="164"/>
      <c r="AA84" s="164"/>
      <c r="AB84" s="164"/>
      <c r="AC84" s="1220"/>
    </row>
    <row r="85" ht="15.75" customHeight="1">
      <c r="A85" s="164"/>
      <c r="B85" s="1170"/>
      <c r="C85" s="164"/>
      <c r="D85" s="164"/>
      <c r="E85" s="164"/>
      <c r="F85" s="164"/>
      <c r="G85" s="164"/>
      <c r="H85" s="164"/>
      <c r="I85" s="164"/>
      <c r="J85" s="164"/>
      <c r="K85" s="164"/>
      <c r="L85" s="164"/>
      <c r="M85" s="164"/>
      <c r="N85" s="164"/>
      <c r="O85" s="164"/>
      <c r="P85" s="164"/>
      <c r="Q85" s="164"/>
      <c r="R85" s="164"/>
      <c r="S85" s="164"/>
      <c r="T85" s="164"/>
      <c r="U85" s="164"/>
      <c r="V85" s="164"/>
      <c r="W85" s="164"/>
      <c r="X85" s="164"/>
      <c r="Y85" s="164"/>
      <c r="Z85" s="164"/>
      <c r="AA85" s="164"/>
      <c r="AB85" s="164"/>
      <c r="AC85" s="1220"/>
    </row>
    <row r="86" ht="15.75" customHeight="1">
      <c r="A86" s="164"/>
      <c r="B86" s="1170"/>
      <c r="C86" s="164"/>
      <c r="D86" s="164"/>
      <c r="E86" s="164"/>
      <c r="F86" s="164"/>
      <c r="G86" s="164"/>
      <c r="H86" s="164"/>
      <c r="I86" s="164"/>
      <c r="J86" s="164"/>
      <c r="K86" s="164"/>
      <c r="L86" s="164"/>
      <c r="M86" s="164"/>
      <c r="N86" s="164"/>
      <c r="O86" s="164"/>
      <c r="P86" s="164"/>
      <c r="Q86" s="164"/>
      <c r="R86" s="164"/>
      <c r="S86" s="164"/>
      <c r="T86" s="164"/>
      <c r="U86" s="164"/>
      <c r="V86" s="164"/>
      <c r="W86" s="164"/>
      <c r="X86" s="164"/>
      <c r="Y86" s="164"/>
      <c r="Z86" s="164"/>
      <c r="AA86" s="164"/>
      <c r="AB86" s="164"/>
      <c r="AC86" s="1220"/>
    </row>
    <row r="87" ht="15.75" customHeight="1">
      <c r="A87" s="164"/>
      <c r="B87" s="1170"/>
      <c r="C87" s="164"/>
      <c r="D87" s="164"/>
      <c r="E87" s="164"/>
      <c r="F87" s="164"/>
      <c r="G87" s="164"/>
      <c r="H87" s="164"/>
      <c r="I87" s="164"/>
      <c r="J87" s="164"/>
      <c r="K87" s="164"/>
      <c r="L87" s="164"/>
      <c r="M87" s="164"/>
      <c r="N87" s="164"/>
      <c r="O87" s="164"/>
      <c r="P87" s="164"/>
      <c r="Q87" s="164"/>
      <c r="R87" s="164"/>
      <c r="S87" s="164"/>
      <c r="T87" s="164"/>
      <c r="U87" s="164"/>
      <c r="V87" s="164"/>
      <c r="W87" s="164"/>
      <c r="X87" s="164"/>
      <c r="Y87" s="164"/>
      <c r="Z87" s="164"/>
      <c r="AA87" s="164"/>
      <c r="AB87" s="164"/>
      <c r="AC87" s="1220"/>
    </row>
    <row r="88" ht="15.75" customHeight="1">
      <c r="A88" s="164"/>
      <c r="B88" s="1170"/>
      <c r="C88" s="164"/>
      <c r="D88" s="164"/>
      <c r="E88" s="164"/>
      <c r="F88" s="164"/>
      <c r="G88" s="164"/>
      <c r="H88" s="164"/>
      <c r="I88" s="164"/>
      <c r="J88" s="164"/>
      <c r="K88" s="164"/>
      <c r="L88" s="164"/>
      <c r="M88" s="164"/>
      <c r="N88" s="164"/>
      <c r="O88" s="164"/>
      <c r="P88" s="164"/>
      <c r="Q88" s="164"/>
      <c r="R88" s="164"/>
      <c r="S88" s="164"/>
      <c r="T88" s="164"/>
      <c r="U88" s="164"/>
      <c r="V88" s="164"/>
      <c r="W88" s="164"/>
      <c r="X88" s="164"/>
      <c r="Y88" s="164"/>
      <c r="Z88" s="164"/>
      <c r="AA88" s="164"/>
      <c r="AB88" s="164"/>
      <c r="AC88" s="1220"/>
    </row>
    <row r="89" ht="15.75" customHeight="1">
      <c r="A89" s="164"/>
      <c r="B89" s="1170"/>
      <c r="C89" s="164"/>
      <c r="D89" s="164"/>
      <c r="E89" s="164"/>
      <c r="F89" s="164"/>
      <c r="G89" s="164"/>
      <c r="H89" s="164"/>
      <c r="I89" s="164"/>
      <c r="J89" s="164"/>
      <c r="K89" s="164"/>
      <c r="L89" s="164"/>
      <c r="M89" s="164"/>
      <c r="N89" s="164"/>
      <c r="O89" s="164"/>
      <c r="P89" s="164"/>
      <c r="Q89" s="164"/>
      <c r="R89" s="164"/>
      <c r="S89" s="164"/>
      <c r="T89" s="164"/>
      <c r="U89" s="164"/>
      <c r="V89" s="164"/>
      <c r="W89" s="164"/>
      <c r="X89" s="164"/>
      <c r="Y89" s="164"/>
      <c r="Z89" s="164"/>
      <c r="AA89" s="164"/>
      <c r="AB89" s="164"/>
      <c r="AC89" s="1220"/>
    </row>
    <row r="90" ht="15.75" customHeight="1">
      <c r="A90" s="164"/>
      <c r="B90" s="1170"/>
      <c r="C90" s="164"/>
      <c r="D90" s="164"/>
      <c r="E90" s="164"/>
      <c r="F90" s="164"/>
      <c r="G90" s="164"/>
      <c r="H90" s="164"/>
      <c r="I90" s="164"/>
      <c r="J90" s="164"/>
      <c r="K90" s="164"/>
      <c r="L90" s="164"/>
      <c r="M90" s="164"/>
      <c r="N90" s="164"/>
      <c r="O90" s="164"/>
      <c r="P90" s="164"/>
      <c r="Q90" s="164"/>
      <c r="R90" s="164"/>
      <c r="S90" s="164"/>
      <c r="T90" s="164"/>
      <c r="U90" s="164"/>
      <c r="V90" s="164"/>
      <c r="W90" s="164"/>
      <c r="X90" s="164"/>
      <c r="Y90" s="164"/>
      <c r="Z90" s="164"/>
      <c r="AA90" s="164"/>
      <c r="AB90" s="164"/>
      <c r="AC90" s="1220"/>
    </row>
    <row r="91" ht="15.75" customHeight="1">
      <c r="A91" s="164"/>
      <c r="B91" s="1170"/>
      <c r="C91" s="164"/>
      <c r="D91" s="164"/>
      <c r="E91" s="164"/>
      <c r="F91" s="164"/>
      <c r="G91" s="164"/>
      <c r="H91" s="164"/>
      <c r="I91" s="164"/>
      <c r="J91" s="164"/>
      <c r="K91" s="164"/>
      <c r="L91" s="164"/>
      <c r="M91" s="164"/>
      <c r="N91" s="164"/>
      <c r="O91" s="164"/>
      <c r="P91" s="164"/>
      <c r="Q91" s="164"/>
      <c r="R91" s="164"/>
      <c r="S91" s="164"/>
      <c r="T91" s="164"/>
      <c r="U91" s="164"/>
      <c r="V91" s="164"/>
      <c r="W91" s="164"/>
      <c r="X91" s="164"/>
      <c r="Y91" s="164"/>
      <c r="Z91" s="164"/>
      <c r="AA91" s="164"/>
      <c r="AB91" s="164"/>
      <c r="AC91" s="1220"/>
    </row>
    <row r="92" ht="15.75" customHeight="1">
      <c r="A92" s="164"/>
      <c r="B92" s="1170"/>
      <c r="C92" s="164"/>
      <c r="D92" s="164"/>
      <c r="E92" s="164"/>
      <c r="F92" s="164"/>
      <c r="G92" s="164"/>
      <c r="H92" s="164"/>
      <c r="I92" s="164"/>
      <c r="J92" s="164"/>
      <c r="K92" s="164"/>
      <c r="L92" s="164"/>
      <c r="M92" s="164"/>
      <c r="N92" s="164"/>
      <c r="O92" s="164"/>
      <c r="P92" s="164"/>
      <c r="Q92" s="164"/>
      <c r="R92" s="164"/>
      <c r="S92" s="164"/>
      <c r="T92" s="164"/>
      <c r="U92" s="164"/>
      <c r="V92" s="164"/>
      <c r="W92" s="164"/>
      <c r="X92" s="164"/>
      <c r="Y92" s="164"/>
      <c r="Z92" s="164"/>
      <c r="AA92" s="164"/>
      <c r="AB92" s="164"/>
      <c r="AC92" s="1220"/>
    </row>
    <row r="93" ht="15.75" customHeight="1">
      <c r="A93" s="164"/>
      <c r="B93" s="1170"/>
      <c r="C93" s="164"/>
      <c r="D93" s="164"/>
      <c r="E93" s="164"/>
      <c r="F93" s="164"/>
      <c r="G93" s="164"/>
      <c r="H93" s="164"/>
      <c r="I93" s="164"/>
      <c r="J93" s="164"/>
      <c r="K93" s="164"/>
      <c r="L93" s="164"/>
      <c r="M93" s="164"/>
      <c r="N93" s="164"/>
      <c r="O93" s="164"/>
      <c r="P93" s="164"/>
      <c r="Q93" s="164"/>
      <c r="R93" s="164"/>
      <c r="S93" s="164"/>
      <c r="T93" s="164"/>
      <c r="U93" s="164"/>
      <c r="V93" s="164"/>
      <c r="W93" s="164"/>
      <c r="X93" s="164"/>
      <c r="Y93" s="164"/>
      <c r="Z93" s="164"/>
      <c r="AA93" s="164"/>
      <c r="AB93" s="164"/>
      <c r="AC93" s="1220"/>
    </row>
    <row r="94" ht="15.75" customHeight="1">
      <c r="A94" s="164"/>
      <c r="B94" s="1170"/>
      <c r="C94" s="164"/>
      <c r="D94" s="164"/>
      <c r="E94" s="164"/>
      <c r="F94" s="164"/>
      <c r="G94" s="164"/>
      <c r="H94" s="164"/>
      <c r="I94" s="164"/>
      <c r="J94" s="164"/>
      <c r="K94" s="164"/>
      <c r="L94" s="164"/>
      <c r="M94" s="164"/>
      <c r="N94" s="164"/>
      <c r="O94" s="164"/>
      <c r="P94" s="164"/>
      <c r="Q94" s="164"/>
      <c r="R94" s="164"/>
      <c r="S94" s="164"/>
      <c r="T94" s="164"/>
      <c r="U94" s="164"/>
      <c r="V94" s="164"/>
      <c r="W94" s="164"/>
      <c r="X94" s="164"/>
      <c r="Y94" s="164"/>
      <c r="Z94" s="164"/>
      <c r="AA94" s="164"/>
      <c r="AB94" s="164"/>
      <c r="AC94" s="1220"/>
    </row>
    <row r="95" ht="15.75" customHeight="1">
      <c r="A95" s="164"/>
      <c r="B95" s="1170"/>
      <c r="C95" s="164"/>
      <c r="D95" s="164"/>
      <c r="E95" s="164"/>
      <c r="F95" s="164"/>
      <c r="G95" s="164"/>
      <c r="H95" s="164"/>
      <c r="I95" s="164"/>
      <c r="J95" s="164"/>
      <c r="K95" s="164"/>
      <c r="L95" s="164"/>
      <c r="M95" s="164"/>
      <c r="N95" s="164"/>
      <c r="O95" s="164"/>
      <c r="P95" s="164"/>
      <c r="Q95" s="164"/>
      <c r="R95" s="164"/>
      <c r="S95" s="164"/>
      <c r="T95" s="164"/>
      <c r="U95" s="164"/>
      <c r="V95" s="164"/>
      <c r="W95" s="164"/>
      <c r="X95" s="164"/>
      <c r="Y95" s="164"/>
      <c r="Z95" s="164"/>
      <c r="AA95" s="164"/>
      <c r="AB95" s="164"/>
      <c r="AC95" s="1220"/>
    </row>
    <row r="96" ht="15.75" customHeight="1">
      <c r="A96" s="164"/>
      <c r="B96" s="1170"/>
      <c r="C96" s="164"/>
      <c r="D96" s="164"/>
      <c r="E96" s="164"/>
      <c r="F96" s="164"/>
      <c r="G96" s="164"/>
      <c r="H96" s="164"/>
      <c r="I96" s="164"/>
      <c r="J96" s="164"/>
      <c r="K96" s="164"/>
      <c r="L96" s="164"/>
      <c r="M96" s="164"/>
      <c r="N96" s="164"/>
      <c r="O96" s="164"/>
      <c r="P96" s="164"/>
      <c r="Q96" s="164"/>
      <c r="R96" s="164"/>
      <c r="S96" s="164"/>
      <c r="T96" s="164"/>
      <c r="U96" s="164"/>
      <c r="V96" s="164"/>
      <c r="W96" s="164"/>
      <c r="X96" s="164"/>
      <c r="Y96" s="164"/>
      <c r="Z96" s="164"/>
      <c r="AA96" s="164"/>
      <c r="AB96" s="164"/>
      <c r="AC96" s="1220"/>
    </row>
    <row r="97" ht="15.75" customHeight="1">
      <c r="A97" s="164"/>
      <c r="B97" s="1170"/>
      <c r="C97" s="164"/>
      <c r="D97" s="164"/>
      <c r="E97" s="164"/>
      <c r="F97" s="164"/>
      <c r="G97" s="164"/>
      <c r="H97" s="164"/>
      <c r="I97" s="164"/>
      <c r="J97" s="164"/>
      <c r="K97" s="164"/>
      <c r="L97" s="164"/>
      <c r="M97" s="164"/>
      <c r="N97" s="164"/>
      <c r="O97" s="164"/>
      <c r="P97" s="164"/>
      <c r="Q97" s="164"/>
      <c r="R97" s="164"/>
      <c r="S97" s="164"/>
      <c r="T97" s="164"/>
      <c r="U97" s="164"/>
      <c r="V97" s="164"/>
      <c r="W97" s="164"/>
      <c r="X97" s="164"/>
      <c r="Y97" s="164"/>
      <c r="Z97" s="164"/>
      <c r="AA97" s="164"/>
      <c r="AB97" s="164"/>
      <c r="AC97" s="1220"/>
    </row>
    <row r="98" ht="15.75" customHeight="1">
      <c r="A98" s="164"/>
      <c r="B98" s="1170"/>
      <c r="C98" s="164"/>
      <c r="D98" s="164"/>
      <c r="E98" s="164"/>
      <c r="F98" s="164"/>
      <c r="G98" s="164"/>
      <c r="H98" s="164"/>
      <c r="I98" s="164"/>
      <c r="J98" s="164"/>
      <c r="K98" s="164"/>
      <c r="L98" s="164"/>
      <c r="M98" s="164"/>
      <c r="N98" s="164"/>
      <c r="O98" s="164"/>
      <c r="P98" s="164"/>
      <c r="Q98" s="164"/>
      <c r="R98" s="164"/>
      <c r="S98" s="164"/>
      <c r="T98" s="164"/>
      <c r="U98" s="164"/>
      <c r="V98" s="164"/>
      <c r="W98" s="164"/>
      <c r="X98" s="164"/>
      <c r="Y98" s="164"/>
      <c r="Z98" s="164"/>
      <c r="AA98" s="164"/>
      <c r="AB98" s="164"/>
      <c r="AC98" s="1220"/>
    </row>
    <row r="99" ht="15.75" customHeight="1">
      <c r="A99" s="164"/>
      <c r="B99" s="1170"/>
      <c r="C99" s="164"/>
      <c r="D99" s="164"/>
      <c r="E99" s="164"/>
      <c r="F99" s="164"/>
      <c r="G99" s="164"/>
      <c r="H99" s="164"/>
      <c r="I99" s="164"/>
      <c r="J99" s="164"/>
      <c r="K99" s="164"/>
      <c r="L99" s="164"/>
      <c r="M99" s="164"/>
      <c r="N99" s="164"/>
      <c r="O99" s="164"/>
      <c r="P99" s="164"/>
      <c r="Q99" s="164"/>
      <c r="R99" s="164"/>
      <c r="S99" s="164"/>
      <c r="T99" s="164"/>
      <c r="U99" s="164"/>
      <c r="V99" s="164"/>
      <c r="W99" s="164"/>
      <c r="X99" s="164"/>
      <c r="Y99" s="164"/>
      <c r="Z99" s="164"/>
      <c r="AA99" s="164"/>
      <c r="AB99" s="164"/>
      <c r="AC99" s="1220"/>
    </row>
    <row r="100" ht="15.75" customHeight="1">
      <c r="A100" s="164"/>
      <c r="B100" s="1170"/>
      <c r="C100" s="164"/>
      <c r="D100" s="164"/>
      <c r="E100" s="164"/>
      <c r="F100" s="164"/>
      <c r="G100" s="164"/>
      <c r="H100" s="164"/>
      <c r="I100" s="164"/>
      <c r="J100" s="164"/>
      <c r="K100" s="164"/>
      <c r="L100" s="164"/>
      <c r="M100" s="164"/>
      <c r="N100" s="164"/>
      <c r="O100" s="164"/>
      <c r="P100" s="164"/>
      <c r="Q100" s="164"/>
      <c r="R100" s="164"/>
      <c r="S100" s="164"/>
      <c r="T100" s="164"/>
      <c r="U100" s="164"/>
      <c r="V100" s="164"/>
      <c r="W100" s="164"/>
      <c r="X100" s="164"/>
      <c r="Y100" s="164"/>
      <c r="Z100" s="164"/>
      <c r="AA100" s="164"/>
      <c r="AB100" s="164"/>
      <c r="AC100" s="1220"/>
    </row>
    <row r="101" ht="15.75" customHeight="1">
      <c r="A101" s="164"/>
      <c r="B101" s="1170"/>
      <c r="C101" s="164"/>
      <c r="D101" s="164"/>
      <c r="E101" s="164"/>
      <c r="F101" s="164"/>
      <c r="G101" s="164"/>
      <c r="H101" s="164"/>
      <c r="I101" s="164"/>
      <c r="J101" s="164"/>
      <c r="K101" s="164"/>
      <c r="L101" s="164"/>
      <c r="M101" s="164"/>
      <c r="N101" s="164"/>
      <c r="O101" s="164"/>
      <c r="P101" s="164"/>
      <c r="Q101" s="164"/>
      <c r="R101" s="164"/>
      <c r="S101" s="164"/>
      <c r="T101" s="164"/>
      <c r="U101" s="164"/>
      <c r="V101" s="164"/>
      <c r="W101" s="164"/>
      <c r="X101" s="164"/>
      <c r="Y101" s="164"/>
      <c r="Z101" s="164"/>
      <c r="AA101" s="164"/>
      <c r="AB101" s="164"/>
      <c r="AC101" s="1220"/>
    </row>
    <row r="102" ht="15.75" customHeight="1">
      <c r="A102" s="164"/>
      <c r="B102" s="1170"/>
      <c r="C102" s="164"/>
      <c r="D102" s="164"/>
      <c r="E102" s="164"/>
      <c r="F102" s="164"/>
      <c r="G102" s="164"/>
      <c r="H102" s="164"/>
      <c r="I102" s="164"/>
      <c r="J102" s="164"/>
      <c r="K102" s="164"/>
      <c r="L102" s="164"/>
      <c r="M102" s="164"/>
      <c r="N102" s="164"/>
      <c r="O102" s="164"/>
      <c r="P102" s="164"/>
      <c r="Q102" s="164"/>
      <c r="R102" s="164"/>
      <c r="S102" s="164"/>
      <c r="T102" s="164"/>
      <c r="U102" s="164"/>
      <c r="V102" s="164"/>
      <c r="W102" s="164"/>
      <c r="X102" s="164"/>
      <c r="Y102" s="164"/>
      <c r="Z102" s="164"/>
      <c r="AA102" s="164"/>
      <c r="AB102" s="164"/>
      <c r="AC102" s="1220"/>
    </row>
    <row r="103" ht="15.75" customHeight="1">
      <c r="A103" s="164"/>
      <c r="B103" s="1170"/>
      <c r="C103" s="164"/>
      <c r="D103" s="164"/>
      <c r="E103" s="164"/>
      <c r="F103" s="164"/>
      <c r="G103" s="164"/>
      <c r="H103" s="164"/>
      <c r="I103" s="164"/>
      <c r="J103" s="164"/>
      <c r="K103" s="164"/>
      <c r="L103" s="164"/>
      <c r="M103" s="164"/>
      <c r="N103" s="164"/>
      <c r="O103" s="164"/>
      <c r="P103" s="164"/>
      <c r="Q103" s="164"/>
      <c r="R103" s="164"/>
      <c r="S103" s="164"/>
      <c r="T103" s="164"/>
      <c r="U103" s="164"/>
      <c r="V103" s="164"/>
      <c r="W103" s="164"/>
      <c r="X103" s="164"/>
      <c r="Y103" s="164"/>
      <c r="Z103" s="164"/>
      <c r="AA103" s="164"/>
      <c r="AB103" s="164"/>
      <c r="AC103" s="1220"/>
    </row>
    <row r="104" ht="15.75" customHeight="1">
      <c r="A104" s="164"/>
      <c r="B104" s="1170"/>
      <c r="C104" s="164"/>
      <c r="D104" s="164"/>
      <c r="E104" s="164"/>
      <c r="F104" s="164"/>
      <c r="G104" s="164"/>
      <c r="H104" s="164"/>
      <c r="I104" s="164"/>
      <c r="J104" s="164"/>
      <c r="K104" s="164"/>
      <c r="L104" s="164"/>
      <c r="M104" s="164"/>
      <c r="N104" s="164"/>
      <c r="O104" s="164"/>
      <c r="P104" s="164"/>
      <c r="Q104" s="164"/>
      <c r="R104" s="164"/>
      <c r="S104" s="164"/>
      <c r="T104" s="164"/>
      <c r="U104" s="164"/>
      <c r="V104" s="164"/>
      <c r="W104" s="164"/>
      <c r="X104" s="164"/>
      <c r="Y104" s="164"/>
      <c r="Z104" s="164"/>
      <c r="AA104" s="164"/>
      <c r="AB104" s="164"/>
      <c r="AC104" s="1220"/>
    </row>
    <row r="105" ht="15.75" customHeight="1">
      <c r="A105" s="164"/>
      <c r="B105" s="1170"/>
      <c r="C105" s="164"/>
      <c r="D105" s="164"/>
      <c r="E105" s="164"/>
      <c r="F105" s="164"/>
      <c r="G105" s="164"/>
      <c r="H105" s="164"/>
      <c r="I105" s="164"/>
      <c r="J105" s="164"/>
      <c r="K105" s="164"/>
      <c r="L105" s="164"/>
      <c r="M105" s="164"/>
      <c r="N105" s="164"/>
      <c r="O105" s="164"/>
      <c r="P105" s="164"/>
      <c r="Q105" s="164"/>
      <c r="R105" s="164"/>
      <c r="S105" s="164"/>
      <c r="T105" s="164"/>
      <c r="U105" s="164"/>
      <c r="V105" s="164"/>
      <c r="W105" s="164"/>
      <c r="X105" s="164"/>
      <c r="Y105" s="164"/>
      <c r="Z105" s="164"/>
      <c r="AA105" s="164"/>
      <c r="AB105" s="164"/>
      <c r="AC105" s="1220"/>
    </row>
    <row r="106" ht="15.75" customHeight="1">
      <c r="A106" s="164"/>
      <c r="B106" s="1170"/>
      <c r="C106" s="164"/>
      <c r="D106" s="164"/>
      <c r="E106" s="164"/>
      <c r="F106" s="164"/>
      <c r="G106" s="164"/>
      <c r="H106" s="164"/>
      <c r="I106" s="164"/>
      <c r="J106" s="164"/>
      <c r="K106" s="164"/>
      <c r="L106" s="164"/>
      <c r="M106" s="164"/>
      <c r="N106" s="164"/>
      <c r="O106" s="164"/>
      <c r="P106" s="164"/>
      <c r="Q106" s="164"/>
      <c r="R106" s="164"/>
      <c r="S106" s="164"/>
      <c r="T106" s="164"/>
      <c r="U106" s="164"/>
      <c r="V106" s="164"/>
      <c r="W106" s="164"/>
      <c r="X106" s="164"/>
      <c r="Y106" s="164"/>
      <c r="Z106" s="164"/>
      <c r="AA106" s="164"/>
      <c r="AB106" s="164"/>
      <c r="AC106" s="1220"/>
    </row>
    <row r="107" ht="15.75" customHeight="1">
      <c r="A107" s="164"/>
      <c r="B107" s="1170"/>
      <c r="C107" s="164"/>
      <c r="D107" s="164"/>
      <c r="E107" s="164"/>
      <c r="F107" s="164"/>
      <c r="G107" s="164"/>
      <c r="H107" s="164"/>
      <c r="I107" s="164"/>
      <c r="J107" s="164"/>
      <c r="K107" s="164"/>
      <c r="L107" s="164"/>
      <c r="M107" s="164"/>
      <c r="N107" s="164"/>
      <c r="O107" s="164"/>
      <c r="P107" s="164"/>
      <c r="Q107" s="164"/>
      <c r="R107" s="164"/>
      <c r="S107" s="164"/>
      <c r="T107" s="164"/>
      <c r="U107" s="164"/>
      <c r="V107" s="164"/>
      <c r="W107" s="164"/>
      <c r="X107" s="164"/>
      <c r="Y107" s="164"/>
      <c r="Z107" s="164"/>
      <c r="AA107" s="164"/>
      <c r="AB107" s="164"/>
      <c r="AC107" s="1220"/>
    </row>
    <row r="108" ht="15.75" customHeight="1">
      <c r="A108" s="164"/>
      <c r="B108" s="1170"/>
      <c r="C108" s="164"/>
      <c r="D108" s="164"/>
      <c r="E108" s="164"/>
      <c r="F108" s="164"/>
      <c r="G108" s="164"/>
      <c r="H108" s="164"/>
      <c r="I108" s="164"/>
      <c r="J108" s="164"/>
      <c r="K108" s="164"/>
      <c r="L108" s="164"/>
      <c r="M108" s="164"/>
      <c r="N108" s="164"/>
      <c r="O108" s="164"/>
      <c r="P108" s="164"/>
      <c r="Q108" s="164"/>
      <c r="R108" s="164"/>
      <c r="S108" s="164"/>
      <c r="T108" s="164"/>
      <c r="U108" s="164"/>
      <c r="V108" s="164"/>
      <c r="W108" s="164"/>
      <c r="X108" s="164"/>
      <c r="Y108" s="164"/>
      <c r="Z108" s="164"/>
      <c r="AA108" s="164"/>
      <c r="AB108" s="164"/>
      <c r="AC108" s="1220"/>
    </row>
    <row r="109" ht="15.75" customHeight="1">
      <c r="A109" s="164"/>
      <c r="B109" s="1170"/>
      <c r="C109" s="164"/>
      <c r="D109" s="164"/>
      <c r="E109" s="164"/>
      <c r="F109" s="164"/>
      <c r="G109" s="164"/>
      <c r="H109" s="164"/>
      <c r="I109" s="164"/>
      <c r="J109" s="164"/>
      <c r="K109" s="164"/>
      <c r="L109" s="164"/>
      <c r="M109" s="164"/>
      <c r="N109" s="164"/>
      <c r="O109" s="164"/>
      <c r="P109" s="164"/>
      <c r="Q109" s="164"/>
      <c r="R109" s="164"/>
      <c r="S109" s="164"/>
      <c r="T109" s="164"/>
      <c r="U109" s="164"/>
      <c r="V109" s="164"/>
      <c r="W109" s="164"/>
      <c r="X109" s="164"/>
      <c r="Y109" s="164"/>
      <c r="Z109" s="164"/>
      <c r="AA109" s="164"/>
      <c r="AB109" s="164"/>
      <c r="AC109" s="1220"/>
    </row>
    <row r="110" ht="15.75" customHeight="1">
      <c r="A110" s="164"/>
      <c r="B110" s="1170"/>
      <c r="C110" s="164"/>
      <c r="D110" s="164"/>
      <c r="E110" s="164"/>
      <c r="F110" s="164"/>
      <c r="G110" s="164"/>
      <c r="H110" s="164"/>
      <c r="I110" s="164"/>
      <c r="J110" s="164"/>
      <c r="K110" s="164"/>
      <c r="L110" s="164"/>
      <c r="M110" s="164"/>
      <c r="N110" s="164"/>
      <c r="O110" s="164"/>
      <c r="P110" s="164"/>
      <c r="Q110" s="164"/>
      <c r="R110" s="164"/>
      <c r="S110" s="164"/>
      <c r="T110" s="164"/>
      <c r="U110" s="164"/>
      <c r="V110" s="164"/>
      <c r="W110" s="164"/>
      <c r="X110" s="164"/>
      <c r="Y110" s="164"/>
      <c r="Z110" s="164"/>
      <c r="AA110" s="164"/>
      <c r="AB110" s="164"/>
      <c r="AC110" s="1220"/>
    </row>
    <row r="111" ht="15.75" customHeight="1">
      <c r="A111" s="164"/>
      <c r="B111" s="1170"/>
      <c r="C111" s="164"/>
      <c r="D111" s="164"/>
      <c r="E111" s="164"/>
      <c r="F111" s="164"/>
      <c r="G111" s="164"/>
      <c r="H111" s="164"/>
      <c r="I111" s="164"/>
      <c r="J111" s="164"/>
      <c r="K111" s="164"/>
      <c r="L111" s="164"/>
      <c r="M111" s="164"/>
      <c r="N111" s="164"/>
      <c r="O111" s="164"/>
      <c r="P111" s="164"/>
      <c r="Q111" s="164"/>
      <c r="R111" s="164"/>
      <c r="S111" s="164"/>
      <c r="T111" s="164"/>
      <c r="U111" s="164"/>
      <c r="V111" s="164"/>
      <c r="W111" s="164"/>
      <c r="X111" s="164"/>
      <c r="Y111" s="164"/>
      <c r="Z111" s="164"/>
      <c r="AA111" s="164"/>
      <c r="AB111" s="164"/>
      <c r="AC111" s="1220"/>
    </row>
    <row r="112" ht="15.75" customHeight="1">
      <c r="A112" s="164"/>
      <c r="B112" s="1170"/>
      <c r="C112" s="164"/>
      <c r="D112" s="164"/>
      <c r="E112" s="164"/>
      <c r="F112" s="164"/>
      <c r="G112" s="164"/>
      <c r="H112" s="164"/>
      <c r="I112" s="164"/>
      <c r="J112" s="164"/>
      <c r="K112" s="164"/>
      <c r="L112" s="164"/>
      <c r="M112" s="164"/>
      <c r="N112" s="164"/>
      <c r="O112" s="164"/>
      <c r="P112" s="164"/>
      <c r="Q112" s="164"/>
      <c r="R112" s="164"/>
      <c r="S112" s="164"/>
      <c r="T112" s="164"/>
      <c r="U112" s="164"/>
      <c r="V112" s="164"/>
      <c r="W112" s="164"/>
      <c r="X112" s="164"/>
      <c r="Y112" s="164"/>
      <c r="Z112" s="164"/>
      <c r="AA112" s="164"/>
      <c r="AB112" s="164"/>
      <c r="AC112" s="1220"/>
    </row>
    <row r="113" ht="15.75" customHeight="1">
      <c r="A113" s="164"/>
      <c r="B113" s="1170"/>
      <c r="C113" s="164"/>
      <c r="D113" s="164"/>
      <c r="E113" s="164"/>
      <c r="F113" s="164"/>
      <c r="G113" s="164"/>
      <c r="H113" s="164"/>
      <c r="I113" s="164"/>
      <c r="J113" s="164"/>
      <c r="K113" s="164"/>
      <c r="L113" s="164"/>
      <c r="M113" s="164"/>
      <c r="N113" s="164"/>
      <c r="O113" s="164"/>
      <c r="P113" s="164"/>
      <c r="Q113" s="164"/>
      <c r="R113" s="164"/>
      <c r="S113" s="164"/>
      <c r="T113" s="164"/>
      <c r="U113" s="164"/>
      <c r="V113" s="164"/>
      <c r="W113" s="164"/>
      <c r="X113" s="164"/>
      <c r="Y113" s="164"/>
      <c r="Z113" s="164"/>
      <c r="AA113" s="164"/>
      <c r="AB113" s="164"/>
      <c r="AC113" s="1220"/>
    </row>
    <row r="114" ht="15.75" customHeight="1">
      <c r="A114" s="164"/>
      <c r="B114" s="1170"/>
      <c r="C114" s="164"/>
      <c r="D114" s="164"/>
      <c r="E114" s="164"/>
      <c r="F114" s="164"/>
      <c r="G114" s="164"/>
      <c r="H114" s="164"/>
      <c r="I114" s="164"/>
      <c r="J114" s="164"/>
      <c r="K114" s="164"/>
      <c r="L114" s="164"/>
      <c r="M114" s="164"/>
      <c r="N114" s="164"/>
      <c r="O114" s="164"/>
      <c r="P114" s="164"/>
      <c r="Q114" s="164"/>
      <c r="R114" s="164"/>
      <c r="S114" s="164"/>
      <c r="T114" s="164"/>
      <c r="U114" s="164"/>
      <c r="V114" s="164"/>
      <c r="W114" s="164"/>
      <c r="X114" s="164"/>
      <c r="Y114" s="164"/>
      <c r="Z114" s="164"/>
      <c r="AA114" s="164"/>
      <c r="AB114" s="164"/>
      <c r="AC114" s="1220"/>
    </row>
    <row r="115" ht="15.75" customHeight="1">
      <c r="A115" s="164"/>
      <c r="B115" s="1170"/>
      <c r="C115" s="164"/>
      <c r="D115" s="164"/>
      <c r="E115" s="164"/>
      <c r="F115" s="164"/>
      <c r="G115" s="164"/>
      <c r="H115" s="164"/>
      <c r="I115" s="164"/>
      <c r="J115" s="164"/>
      <c r="K115" s="164"/>
      <c r="L115" s="164"/>
      <c r="M115" s="164"/>
      <c r="N115" s="164"/>
      <c r="O115" s="164"/>
      <c r="P115" s="164"/>
      <c r="Q115" s="164"/>
      <c r="R115" s="164"/>
      <c r="S115" s="164"/>
      <c r="T115" s="164"/>
      <c r="U115" s="164"/>
      <c r="V115" s="164"/>
      <c r="W115" s="164"/>
      <c r="X115" s="164"/>
      <c r="Y115" s="164"/>
      <c r="Z115" s="164"/>
      <c r="AA115" s="164"/>
      <c r="AB115" s="164"/>
      <c r="AC115" s="1220"/>
    </row>
    <row r="116" ht="15.75" customHeight="1">
      <c r="A116" s="164"/>
      <c r="B116" s="1170"/>
      <c r="C116" s="164"/>
      <c r="D116" s="164"/>
      <c r="E116" s="164"/>
      <c r="F116" s="164"/>
      <c r="G116" s="164"/>
      <c r="H116" s="164"/>
      <c r="I116" s="164"/>
      <c r="J116" s="164"/>
      <c r="K116" s="164"/>
      <c r="L116" s="164"/>
      <c r="M116" s="164"/>
      <c r="N116" s="164"/>
      <c r="O116" s="164"/>
      <c r="P116" s="164"/>
      <c r="Q116" s="164"/>
      <c r="R116" s="164"/>
      <c r="S116" s="164"/>
      <c r="T116" s="164"/>
      <c r="U116" s="164"/>
      <c r="V116" s="164"/>
      <c r="W116" s="164"/>
      <c r="X116" s="164"/>
      <c r="Y116" s="164"/>
      <c r="Z116" s="164"/>
      <c r="AA116" s="164"/>
      <c r="AB116" s="164"/>
      <c r="AC116" s="1220"/>
    </row>
    <row r="117" ht="15.75" customHeight="1">
      <c r="A117" s="164"/>
      <c r="B117" s="1170"/>
      <c r="C117" s="164"/>
      <c r="D117" s="164"/>
      <c r="E117" s="164"/>
      <c r="F117" s="164"/>
      <c r="G117" s="164"/>
      <c r="H117" s="164"/>
      <c r="I117" s="164"/>
      <c r="J117" s="164"/>
      <c r="K117" s="164"/>
      <c r="L117" s="164"/>
      <c r="M117" s="164"/>
      <c r="N117" s="164"/>
      <c r="O117" s="164"/>
      <c r="P117" s="164"/>
      <c r="Q117" s="164"/>
      <c r="R117" s="164"/>
      <c r="S117" s="164"/>
      <c r="T117" s="164"/>
      <c r="U117" s="164"/>
      <c r="V117" s="164"/>
      <c r="W117" s="164"/>
      <c r="X117" s="164"/>
      <c r="Y117" s="164"/>
      <c r="Z117" s="164"/>
      <c r="AA117" s="164"/>
      <c r="AB117" s="164"/>
      <c r="AC117" s="1220"/>
    </row>
    <row r="118" ht="15.75" customHeight="1">
      <c r="A118" s="164"/>
      <c r="B118" s="1170"/>
      <c r="C118" s="164"/>
      <c r="D118" s="164"/>
      <c r="E118" s="164"/>
      <c r="F118" s="164"/>
      <c r="G118" s="164"/>
      <c r="H118" s="164"/>
      <c r="I118" s="164"/>
      <c r="J118" s="164"/>
      <c r="K118" s="164"/>
      <c r="L118" s="164"/>
      <c r="M118" s="164"/>
      <c r="N118" s="164"/>
      <c r="O118" s="164"/>
      <c r="P118" s="164"/>
      <c r="Q118" s="164"/>
      <c r="R118" s="164"/>
      <c r="S118" s="164"/>
      <c r="T118" s="164"/>
      <c r="U118" s="164"/>
      <c r="V118" s="164"/>
      <c r="W118" s="164"/>
      <c r="X118" s="164"/>
      <c r="Y118" s="164"/>
      <c r="Z118" s="164"/>
      <c r="AA118" s="164"/>
      <c r="AB118" s="164"/>
      <c r="AC118" s="1220"/>
    </row>
    <row r="119" ht="15.75" customHeight="1">
      <c r="A119" s="164"/>
      <c r="B119" s="1170"/>
      <c r="C119" s="164"/>
      <c r="D119" s="164"/>
      <c r="E119" s="164"/>
      <c r="F119" s="164"/>
      <c r="G119" s="164"/>
      <c r="H119" s="164"/>
      <c r="I119" s="164"/>
      <c r="J119" s="164"/>
      <c r="K119" s="164"/>
      <c r="L119" s="164"/>
      <c r="M119" s="164"/>
      <c r="N119" s="164"/>
      <c r="O119" s="164"/>
      <c r="P119" s="164"/>
      <c r="Q119" s="164"/>
      <c r="R119" s="164"/>
      <c r="S119" s="164"/>
      <c r="T119" s="164"/>
      <c r="U119" s="164"/>
      <c r="V119" s="164"/>
      <c r="W119" s="164"/>
      <c r="X119" s="164"/>
      <c r="Y119" s="164"/>
      <c r="Z119" s="164"/>
      <c r="AA119" s="164"/>
      <c r="AB119" s="164"/>
      <c r="AC119" s="1220"/>
    </row>
    <row r="120" ht="15.75" customHeight="1">
      <c r="A120" s="164"/>
      <c r="B120" s="1170"/>
      <c r="C120" s="164"/>
      <c r="D120" s="164"/>
      <c r="E120" s="164"/>
      <c r="F120" s="164"/>
      <c r="G120" s="164"/>
      <c r="H120" s="164"/>
      <c r="I120" s="164"/>
      <c r="J120" s="164"/>
      <c r="K120" s="164"/>
      <c r="L120" s="164"/>
      <c r="M120" s="164"/>
      <c r="N120" s="164"/>
      <c r="O120" s="164"/>
      <c r="P120" s="164"/>
      <c r="Q120" s="164"/>
      <c r="R120" s="164"/>
      <c r="S120" s="164"/>
      <c r="T120" s="164"/>
      <c r="U120" s="164"/>
      <c r="V120" s="164"/>
      <c r="W120" s="164"/>
      <c r="X120" s="164"/>
      <c r="Y120" s="164"/>
      <c r="Z120" s="164"/>
      <c r="AA120" s="164"/>
      <c r="AB120" s="164"/>
      <c r="AC120" s="1220"/>
    </row>
    <row r="121" ht="15.75" customHeight="1">
      <c r="A121" s="164"/>
      <c r="B121" s="1170"/>
      <c r="C121" s="164"/>
      <c r="D121" s="164"/>
      <c r="E121" s="164"/>
      <c r="F121" s="164"/>
      <c r="G121" s="164"/>
      <c r="H121" s="164"/>
      <c r="I121" s="164"/>
      <c r="J121" s="164"/>
      <c r="K121" s="164"/>
      <c r="L121" s="164"/>
      <c r="M121" s="164"/>
      <c r="N121" s="164"/>
      <c r="O121" s="164"/>
      <c r="P121" s="164"/>
      <c r="Q121" s="164"/>
      <c r="R121" s="164"/>
      <c r="S121" s="164"/>
      <c r="T121" s="164"/>
      <c r="U121" s="164"/>
      <c r="V121" s="164"/>
      <c r="W121" s="164"/>
      <c r="X121" s="164"/>
      <c r="Y121" s="164"/>
      <c r="Z121" s="164"/>
      <c r="AA121" s="164"/>
      <c r="AB121" s="164"/>
      <c r="AC121" s="1220"/>
    </row>
    <row r="122" ht="15.75" customHeight="1">
      <c r="A122" s="164"/>
      <c r="B122" s="1170"/>
      <c r="C122" s="164"/>
      <c r="D122" s="164"/>
      <c r="E122" s="164"/>
      <c r="F122" s="164"/>
      <c r="G122" s="164"/>
      <c r="H122" s="164"/>
      <c r="I122" s="164"/>
      <c r="J122" s="164"/>
      <c r="K122" s="164"/>
      <c r="L122" s="164"/>
      <c r="M122" s="164"/>
      <c r="N122" s="164"/>
      <c r="O122" s="164"/>
      <c r="P122" s="164"/>
      <c r="Q122" s="164"/>
      <c r="R122" s="164"/>
      <c r="S122" s="164"/>
      <c r="T122" s="164"/>
      <c r="U122" s="164"/>
      <c r="V122" s="164"/>
      <c r="W122" s="164"/>
      <c r="X122" s="164"/>
      <c r="Y122" s="164"/>
      <c r="Z122" s="164"/>
      <c r="AA122" s="164"/>
      <c r="AB122" s="164"/>
      <c r="AC122" s="1220"/>
    </row>
    <row r="123" ht="15.75" customHeight="1">
      <c r="A123" s="164"/>
      <c r="B123" s="1170"/>
      <c r="C123" s="164"/>
      <c r="D123" s="164"/>
      <c r="E123" s="164"/>
      <c r="F123" s="164"/>
      <c r="G123" s="164"/>
      <c r="H123" s="164"/>
      <c r="I123" s="164"/>
      <c r="J123" s="164"/>
      <c r="K123" s="164"/>
      <c r="L123" s="164"/>
      <c r="M123" s="164"/>
      <c r="N123" s="164"/>
      <c r="O123" s="164"/>
      <c r="P123" s="164"/>
      <c r="Q123" s="164"/>
      <c r="R123" s="164"/>
      <c r="S123" s="164"/>
      <c r="T123" s="164"/>
      <c r="U123" s="164"/>
      <c r="V123" s="164"/>
      <c r="W123" s="164"/>
      <c r="X123" s="164"/>
      <c r="Y123" s="164"/>
      <c r="Z123" s="164"/>
      <c r="AA123" s="164"/>
      <c r="AB123" s="164"/>
      <c r="AC123" s="1220"/>
    </row>
    <row r="124" ht="15.75" customHeight="1">
      <c r="A124" s="164"/>
      <c r="B124" s="1170"/>
      <c r="C124" s="164"/>
      <c r="D124" s="164"/>
      <c r="E124" s="164"/>
      <c r="F124" s="164"/>
      <c r="G124" s="164"/>
      <c r="H124" s="164"/>
      <c r="I124" s="164"/>
      <c r="J124" s="164"/>
      <c r="K124" s="164"/>
      <c r="L124" s="164"/>
      <c r="M124" s="164"/>
      <c r="N124" s="164"/>
      <c r="O124" s="164"/>
      <c r="P124" s="164"/>
      <c r="Q124" s="164"/>
      <c r="R124" s="164"/>
      <c r="S124" s="164"/>
      <c r="T124" s="164"/>
      <c r="U124" s="164"/>
      <c r="V124" s="164"/>
      <c r="W124" s="164"/>
      <c r="X124" s="164"/>
      <c r="Y124" s="164"/>
      <c r="Z124" s="164"/>
      <c r="AA124" s="164"/>
      <c r="AB124" s="164"/>
      <c r="AC124" s="1220"/>
    </row>
    <row r="125" ht="15.75" customHeight="1">
      <c r="A125" s="164"/>
      <c r="B125" s="1170"/>
      <c r="C125" s="164"/>
      <c r="D125" s="164"/>
      <c r="E125" s="164"/>
      <c r="F125" s="164"/>
      <c r="G125" s="164"/>
      <c r="H125" s="164"/>
      <c r="I125" s="164"/>
      <c r="J125" s="164"/>
      <c r="K125" s="164"/>
      <c r="L125" s="164"/>
      <c r="M125" s="164"/>
      <c r="N125" s="164"/>
      <c r="O125" s="164"/>
      <c r="P125" s="164"/>
      <c r="Q125" s="164"/>
      <c r="R125" s="164"/>
      <c r="S125" s="164"/>
      <c r="T125" s="164"/>
      <c r="U125" s="164"/>
      <c r="V125" s="164"/>
      <c r="W125" s="164"/>
      <c r="X125" s="164"/>
      <c r="Y125" s="164"/>
      <c r="Z125" s="164"/>
      <c r="AA125" s="164"/>
      <c r="AB125" s="164"/>
      <c r="AC125" s="1220"/>
    </row>
    <row r="126" ht="15.75" customHeight="1">
      <c r="A126" s="164"/>
      <c r="B126" s="1170"/>
      <c r="C126" s="164"/>
      <c r="D126" s="164"/>
      <c r="E126" s="164"/>
      <c r="F126" s="164"/>
      <c r="G126" s="164"/>
      <c r="H126" s="164"/>
      <c r="I126" s="164"/>
      <c r="J126" s="164"/>
      <c r="K126" s="164"/>
      <c r="L126" s="164"/>
      <c r="M126" s="164"/>
      <c r="N126" s="164"/>
      <c r="O126" s="164"/>
      <c r="P126" s="164"/>
      <c r="Q126" s="164"/>
      <c r="R126" s="164"/>
      <c r="S126" s="164"/>
      <c r="T126" s="164"/>
      <c r="U126" s="164"/>
      <c r="V126" s="164"/>
      <c r="W126" s="164"/>
      <c r="X126" s="164"/>
      <c r="Y126" s="164"/>
      <c r="Z126" s="164"/>
      <c r="AA126" s="164"/>
      <c r="AB126" s="164"/>
      <c r="AC126" s="1220"/>
    </row>
    <row r="127" ht="15.75" customHeight="1">
      <c r="A127" s="164"/>
      <c r="B127" s="1170"/>
      <c r="C127" s="164"/>
      <c r="D127" s="164"/>
      <c r="E127" s="164"/>
      <c r="F127" s="164"/>
      <c r="G127" s="164"/>
      <c r="H127" s="164"/>
      <c r="I127" s="164"/>
      <c r="J127" s="164"/>
      <c r="K127" s="164"/>
      <c r="L127" s="164"/>
      <c r="M127" s="164"/>
      <c r="N127" s="164"/>
      <c r="O127" s="164"/>
      <c r="P127" s="164"/>
      <c r="Q127" s="164"/>
      <c r="R127" s="164"/>
      <c r="S127" s="164"/>
      <c r="T127" s="164"/>
      <c r="U127" s="164"/>
      <c r="V127" s="164"/>
      <c r="W127" s="164"/>
      <c r="X127" s="164"/>
      <c r="Y127" s="164"/>
      <c r="Z127" s="164"/>
      <c r="AA127" s="164"/>
      <c r="AB127" s="164"/>
      <c r="AC127" s="1220"/>
    </row>
    <row r="128" ht="15.75" customHeight="1">
      <c r="A128" s="164"/>
      <c r="B128" s="1170"/>
      <c r="C128" s="164"/>
      <c r="D128" s="164"/>
      <c r="E128" s="164"/>
      <c r="F128" s="164"/>
      <c r="G128" s="164"/>
      <c r="H128" s="164"/>
      <c r="I128" s="164"/>
      <c r="J128" s="164"/>
      <c r="K128" s="164"/>
      <c r="L128" s="164"/>
      <c r="M128" s="164"/>
      <c r="N128" s="164"/>
      <c r="O128" s="164"/>
      <c r="P128" s="164"/>
      <c r="Q128" s="164"/>
      <c r="R128" s="164"/>
      <c r="S128" s="164"/>
      <c r="T128" s="164"/>
      <c r="U128" s="164"/>
      <c r="V128" s="164"/>
      <c r="W128" s="164"/>
      <c r="X128" s="164"/>
      <c r="Y128" s="164"/>
      <c r="Z128" s="164"/>
      <c r="AA128" s="164"/>
      <c r="AB128" s="164"/>
      <c r="AC128" s="1220"/>
    </row>
    <row r="129" ht="15.75" customHeight="1">
      <c r="A129" s="164"/>
      <c r="B129" s="1170"/>
      <c r="C129" s="164"/>
      <c r="D129" s="164"/>
      <c r="E129" s="164"/>
      <c r="F129" s="164"/>
      <c r="G129" s="164"/>
      <c r="H129" s="164"/>
      <c r="I129" s="164"/>
      <c r="J129" s="164"/>
      <c r="K129" s="164"/>
      <c r="L129" s="164"/>
      <c r="M129" s="164"/>
      <c r="N129" s="164"/>
      <c r="O129" s="164"/>
      <c r="P129" s="164"/>
      <c r="Q129" s="164"/>
      <c r="R129" s="164"/>
      <c r="S129" s="164"/>
      <c r="T129" s="164"/>
      <c r="U129" s="164"/>
      <c r="V129" s="164"/>
      <c r="W129" s="164"/>
      <c r="X129" s="164"/>
      <c r="Y129" s="164"/>
      <c r="Z129" s="164"/>
      <c r="AA129" s="164"/>
      <c r="AB129" s="164"/>
      <c r="AC129" s="1220"/>
    </row>
    <row r="130" ht="15.75" customHeight="1">
      <c r="A130" s="164"/>
      <c r="B130" s="1170"/>
      <c r="C130" s="164"/>
      <c r="D130" s="164"/>
      <c r="E130" s="164"/>
      <c r="F130" s="164"/>
      <c r="G130" s="164"/>
      <c r="H130" s="164"/>
      <c r="I130" s="164"/>
      <c r="J130" s="164"/>
      <c r="K130" s="164"/>
      <c r="L130" s="164"/>
      <c r="M130" s="164"/>
      <c r="N130" s="164"/>
      <c r="O130" s="164"/>
      <c r="P130" s="164"/>
      <c r="Q130" s="164"/>
      <c r="R130" s="164"/>
      <c r="S130" s="164"/>
      <c r="T130" s="164"/>
      <c r="U130" s="164"/>
      <c r="V130" s="164"/>
      <c r="W130" s="164"/>
      <c r="X130" s="164"/>
      <c r="Y130" s="164"/>
      <c r="Z130" s="164"/>
      <c r="AA130" s="164"/>
      <c r="AB130" s="164"/>
      <c r="AC130" s="1220"/>
    </row>
    <row r="131" ht="15.75" customHeight="1">
      <c r="A131" s="164"/>
      <c r="B131" s="1170"/>
      <c r="C131" s="164"/>
      <c r="D131" s="164"/>
      <c r="E131" s="164"/>
      <c r="F131" s="164"/>
      <c r="G131" s="164"/>
      <c r="H131" s="164"/>
      <c r="I131" s="164"/>
      <c r="J131" s="164"/>
      <c r="K131" s="164"/>
      <c r="L131" s="164"/>
      <c r="M131" s="164"/>
      <c r="N131" s="164"/>
      <c r="O131" s="164"/>
      <c r="P131" s="164"/>
      <c r="Q131" s="164"/>
      <c r="R131" s="164"/>
      <c r="S131" s="164"/>
      <c r="T131" s="164"/>
      <c r="U131" s="164"/>
      <c r="V131" s="164"/>
      <c r="W131" s="164"/>
      <c r="X131" s="164"/>
      <c r="Y131" s="164"/>
      <c r="Z131" s="164"/>
      <c r="AA131" s="164"/>
      <c r="AB131" s="164"/>
      <c r="AC131" s="1220"/>
    </row>
    <row r="132" ht="15.75" customHeight="1">
      <c r="A132" s="164"/>
      <c r="B132" s="1170"/>
      <c r="C132" s="164"/>
      <c r="D132" s="164"/>
      <c r="E132" s="164"/>
      <c r="F132" s="164"/>
      <c r="G132" s="164"/>
      <c r="H132" s="164"/>
      <c r="I132" s="164"/>
      <c r="J132" s="164"/>
      <c r="K132" s="164"/>
      <c r="L132" s="164"/>
      <c r="M132" s="164"/>
      <c r="N132" s="164"/>
      <c r="O132" s="164"/>
      <c r="P132" s="164"/>
      <c r="Q132" s="164"/>
      <c r="R132" s="164"/>
      <c r="S132" s="164"/>
      <c r="T132" s="164"/>
      <c r="U132" s="164"/>
      <c r="V132" s="164"/>
      <c r="W132" s="164"/>
      <c r="X132" s="164"/>
      <c r="Y132" s="164"/>
      <c r="Z132" s="164"/>
      <c r="AA132" s="164"/>
      <c r="AB132" s="164"/>
      <c r="AC132" s="1220"/>
    </row>
    <row r="133" ht="15.75" customHeight="1">
      <c r="A133" s="164"/>
      <c r="B133" s="1170"/>
      <c r="C133" s="164"/>
      <c r="D133" s="164"/>
      <c r="E133" s="164"/>
      <c r="F133" s="164"/>
      <c r="G133" s="164"/>
      <c r="H133" s="164"/>
      <c r="I133" s="164"/>
      <c r="J133" s="164"/>
      <c r="K133" s="164"/>
      <c r="L133" s="164"/>
      <c r="M133" s="164"/>
      <c r="N133" s="164"/>
      <c r="O133" s="164"/>
      <c r="P133" s="164"/>
      <c r="Q133" s="164"/>
      <c r="R133" s="164"/>
      <c r="S133" s="164"/>
      <c r="T133" s="164"/>
      <c r="U133" s="164"/>
      <c r="V133" s="164"/>
      <c r="W133" s="164"/>
      <c r="X133" s="164"/>
      <c r="Y133" s="164"/>
      <c r="Z133" s="164"/>
      <c r="AA133" s="164"/>
      <c r="AB133" s="164"/>
      <c r="AC133" s="1220"/>
    </row>
    <row r="134" ht="15.75" customHeight="1">
      <c r="A134" s="164"/>
      <c r="B134" s="1170"/>
      <c r="C134" s="164"/>
      <c r="D134" s="164"/>
      <c r="E134" s="164"/>
      <c r="F134" s="164"/>
      <c r="G134" s="164"/>
      <c r="H134" s="164"/>
      <c r="I134" s="164"/>
      <c r="J134" s="164"/>
      <c r="K134" s="164"/>
      <c r="L134" s="164"/>
      <c r="M134" s="164"/>
      <c r="N134" s="164"/>
      <c r="O134" s="164"/>
      <c r="P134" s="164"/>
      <c r="Q134" s="164"/>
      <c r="R134" s="164"/>
      <c r="S134" s="164"/>
      <c r="T134" s="164"/>
      <c r="U134" s="164"/>
      <c r="V134" s="164"/>
      <c r="W134" s="164"/>
      <c r="X134" s="164"/>
      <c r="Y134" s="164"/>
      <c r="Z134" s="164"/>
      <c r="AA134" s="164"/>
      <c r="AB134" s="164"/>
      <c r="AC134" s="1220"/>
    </row>
    <row r="135" ht="15.75" customHeight="1">
      <c r="A135" s="164"/>
      <c r="B135" s="1170"/>
      <c r="C135" s="164"/>
      <c r="D135" s="164"/>
      <c r="E135" s="164"/>
      <c r="F135" s="164"/>
      <c r="G135" s="164"/>
      <c r="H135" s="164"/>
      <c r="I135" s="164"/>
      <c r="J135" s="164"/>
      <c r="K135" s="164"/>
      <c r="L135" s="164"/>
      <c r="M135" s="164"/>
      <c r="N135" s="164"/>
      <c r="O135" s="164"/>
      <c r="P135" s="164"/>
      <c r="Q135" s="164"/>
      <c r="R135" s="164"/>
      <c r="S135" s="164"/>
      <c r="T135" s="164"/>
      <c r="U135" s="164"/>
      <c r="V135" s="164"/>
      <c r="W135" s="164"/>
      <c r="X135" s="164"/>
      <c r="Y135" s="164"/>
      <c r="Z135" s="164"/>
      <c r="AA135" s="164"/>
      <c r="AB135" s="164"/>
      <c r="AC135" s="1220"/>
    </row>
    <row r="136" ht="15.75" customHeight="1">
      <c r="A136" s="164"/>
      <c r="B136" s="1170"/>
      <c r="C136" s="164"/>
      <c r="D136" s="164"/>
      <c r="E136" s="164"/>
      <c r="F136" s="164"/>
      <c r="G136" s="164"/>
      <c r="H136" s="164"/>
      <c r="I136" s="164"/>
      <c r="J136" s="164"/>
      <c r="K136" s="164"/>
      <c r="L136" s="164"/>
      <c r="M136" s="164"/>
      <c r="N136" s="164"/>
      <c r="O136" s="164"/>
      <c r="P136" s="164"/>
      <c r="Q136" s="164"/>
      <c r="R136" s="164"/>
      <c r="S136" s="164"/>
      <c r="T136" s="164"/>
      <c r="U136" s="164"/>
      <c r="V136" s="164"/>
      <c r="W136" s="164"/>
      <c r="X136" s="164"/>
      <c r="Y136" s="164"/>
      <c r="Z136" s="164"/>
      <c r="AA136" s="164"/>
      <c r="AB136" s="164"/>
      <c r="AC136" s="1220"/>
    </row>
    <row r="137" ht="15.75" customHeight="1">
      <c r="A137" s="164"/>
      <c r="B137" s="1170"/>
      <c r="C137" s="164"/>
      <c r="D137" s="164"/>
      <c r="E137" s="164"/>
      <c r="F137" s="164"/>
      <c r="G137" s="164"/>
      <c r="H137" s="164"/>
      <c r="I137" s="164"/>
      <c r="J137" s="164"/>
      <c r="K137" s="164"/>
      <c r="L137" s="164"/>
      <c r="M137" s="164"/>
      <c r="N137" s="164"/>
      <c r="O137" s="164"/>
      <c r="P137" s="164"/>
      <c r="Q137" s="164"/>
      <c r="R137" s="164"/>
      <c r="S137" s="164"/>
      <c r="T137" s="164"/>
      <c r="U137" s="164"/>
      <c r="V137" s="164"/>
      <c r="W137" s="164"/>
      <c r="X137" s="164"/>
      <c r="Y137" s="164"/>
      <c r="Z137" s="164"/>
      <c r="AA137" s="164"/>
      <c r="AB137" s="164"/>
      <c r="AC137" s="1220"/>
    </row>
    <row r="138" ht="15.75" customHeight="1">
      <c r="A138" s="164"/>
      <c r="B138" s="1170"/>
      <c r="C138" s="164"/>
      <c r="D138" s="164"/>
      <c r="E138" s="164"/>
      <c r="F138" s="164"/>
      <c r="G138" s="164"/>
      <c r="H138" s="164"/>
      <c r="I138" s="164"/>
      <c r="J138" s="164"/>
      <c r="K138" s="164"/>
      <c r="L138" s="164"/>
      <c r="M138" s="164"/>
      <c r="N138" s="164"/>
      <c r="O138" s="164"/>
      <c r="P138" s="164"/>
      <c r="Q138" s="164"/>
      <c r="R138" s="164"/>
      <c r="S138" s="164"/>
      <c r="T138" s="164"/>
      <c r="U138" s="164"/>
      <c r="V138" s="164"/>
      <c r="W138" s="164"/>
      <c r="X138" s="164"/>
      <c r="Y138" s="164"/>
      <c r="Z138" s="164"/>
      <c r="AA138" s="164"/>
      <c r="AB138" s="164"/>
      <c r="AC138" s="1220"/>
    </row>
    <row r="139" ht="15.75" customHeight="1">
      <c r="A139" s="164"/>
      <c r="B139" s="1170"/>
      <c r="C139" s="164"/>
      <c r="D139" s="164"/>
      <c r="E139" s="164"/>
      <c r="F139" s="164"/>
      <c r="G139" s="164"/>
      <c r="H139" s="164"/>
      <c r="I139" s="164"/>
      <c r="J139" s="164"/>
      <c r="K139" s="164"/>
      <c r="L139" s="164"/>
      <c r="M139" s="164"/>
      <c r="N139" s="164"/>
      <c r="O139" s="164"/>
      <c r="P139" s="164"/>
      <c r="Q139" s="164"/>
      <c r="R139" s="164"/>
      <c r="S139" s="164"/>
      <c r="T139" s="164"/>
      <c r="U139" s="164"/>
      <c r="V139" s="164"/>
      <c r="W139" s="164"/>
      <c r="X139" s="164"/>
      <c r="Y139" s="164"/>
      <c r="Z139" s="164"/>
      <c r="AA139" s="164"/>
      <c r="AB139" s="164"/>
      <c r="AC139" s="1220"/>
    </row>
    <row r="140" ht="15.75" customHeight="1">
      <c r="A140" s="164"/>
      <c r="B140" s="1170"/>
      <c r="C140" s="164"/>
      <c r="D140" s="164"/>
      <c r="E140" s="164"/>
      <c r="F140" s="164"/>
      <c r="G140" s="164"/>
      <c r="H140" s="164"/>
      <c r="I140" s="164"/>
      <c r="J140" s="164"/>
      <c r="K140" s="164"/>
      <c r="L140" s="164"/>
      <c r="M140" s="164"/>
      <c r="N140" s="164"/>
      <c r="O140" s="164"/>
      <c r="P140" s="164"/>
      <c r="Q140" s="164"/>
      <c r="R140" s="164"/>
      <c r="S140" s="164"/>
      <c r="T140" s="164"/>
      <c r="U140" s="164"/>
      <c r="V140" s="164"/>
      <c r="W140" s="164"/>
      <c r="X140" s="164"/>
      <c r="Y140" s="164"/>
      <c r="Z140" s="164"/>
      <c r="AA140" s="164"/>
      <c r="AB140" s="164"/>
      <c r="AC140" s="1220"/>
    </row>
    <row r="141" ht="15.75" customHeight="1">
      <c r="A141" s="164"/>
      <c r="B141" s="1170"/>
      <c r="C141" s="164"/>
      <c r="D141" s="164"/>
      <c r="E141" s="164"/>
      <c r="F141" s="164"/>
      <c r="G141" s="164"/>
      <c r="H141" s="164"/>
      <c r="I141" s="164"/>
      <c r="J141" s="164"/>
      <c r="K141" s="164"/>
      <c r="L141" s="164"/>
      <c r="M141" s="164"/>
      <c r="N141" s="164"/>
      <c r="O141" s="164"/>
      <c r="P141" s="164"/>
      <c r="Q141" s="164"/>
      <c r="R141" s="164"/>
      <c r="S141" s="164"/>
      <c r="T141" s="164"/>
      <c r="U141" s="164"/>
      <c r="V141" s="164"/>
      <c r="W141" s="164"/>
      <c r="X141" s="164"/>
      <c r="Y141" s="164"/>
      <c r="Z141" s="164"/>
      <c r="AA141" s="164"/>
      <c r="AB141" s="164"/>
      <c r="AC141" s="1220"/>
    </row>
    <row r="142" ht="15.75" customHeight="1">
      <c r="A142" s="164"/>
      <c r="B142" s="1170"/>
      <c r="C142" s="164"/>
      <c r="D142" s="164"/>
      <c r="E142" s="164"/>
      <c r="F142" s="164"/>
      <c r="G142" s="164"/>
      <c r="H142" s="164"/>
      <c r="I142" s="164"/>
      <c r="J142" s="164"/>
      <c r="K142" s="164"/>
      <c r="L142" s="164"/>
      <c r="M142" s="164"/>
      <c r="N142" s="164"/>
      <c r="O142" s="164"/>
      <c r="P142" s="164"/>
      <c r="Q142" s="164"/>
      <c r="R142" s="164"/>
      <c r="S142" s="164"/>
      <c r="T142" s="164"/>
      <c r="U142" s="164"/>
      <c r="V142" s="164"/>
      <c r="W142" s="164"/>
      <c r="X142" s="164"/>
      <c r="Y142" s="164"/>
      <c r="Z142" s="164"/>
      <c r="AA142" s="164"/>
      <c r="AB142" s="164"/>
      <c r="AC142" s="1220"/>
    </row>
    <row r="143" ht="15.75" customHeight="1">
      <c r="A143" s="164"/>
      <c r="B143" s="1170"/>
      <c r="C143" s="164"/>
      <c r="D143" s="164"/>
      <c r="E143" s="164"/>
      <c r="F143" s="164"/>
      <c r="G143" s="164"/>
      <c r="H143" s="164"/>
      <c r="I143" s="164"/>
      <c r="J143" s="164"/>
      <c r="K143" s="164"/>
      <c r="L143" s="164"/>
      <c r="M143" s="164"/>
      <c r="N143" s="164"/>
      <c r="O143" s="164"/>
      <c r="P143" s="164"/>
      <c r="Q143" s="164"/>
      <c r="R143" s="164"/>
      <c r="S143" s="164"/>
      <c r="T143" s="164"/>
      <c r="U143" s="164"/>
      <c r="V143" s="164"/>
      <c r="W143" s="164"/>
      <c r="X143" s="164"/>
      <c r="Y143" s="164"/>
      <c r="Z143" s="164"/>
      <c r="AA143" s="164"/>
      <c r="AB143" s="164"/>
      <c r="AC143" s="1220"/>
    </row>
    <row r="144" ht="15.75" customHeight="1">
      <c r="A144" s="164"/>
      <c r="B144" s="1170"/>
      <c r="C144" s="164"/>
      <c r="D144" s="164"/>
      <c r="E144" s="164"/>
      <c r="F144" s="164"/>
      <c r="G144" s="164"/>
      <c r="H144" s="164"/>
      <c r="I144" s="164"/>
      <c r="J144" s="164"/>
      <c r="K144" s="164"/>
      <c r="L144" s="164"/>
      <c r="M144" s="164"/>
      <c r="N144" s="164"/>
      <c r="O144" s="164"/>
      <c r="P144" s="164"/>
      <c r="Q144" s="164"/>
      <c r="R144" s="164"/>
      <c r="S144" s="164"/>
      <c r="T144" s="164"/>
      <c r="U144" s="164"/>
      <c r="V144" s="164"/>
      <c r="W144" s="164"/>
      <c r="X144" s="164"/>
      <c r="Y144" s="164"/>
      <c r="Z144" s="164"/>
      <c r="AA144" s="164"/>
      <c r="AB144" s="164"/>
      <c r="AC144" s="1220"/>
    </row>
    <row r="145" ht="15.75" customHeight="1">
      <c r="A145" s="164"/>
      <c r="B145" s="1170"/>
      <c r="C145" s="164"/>
      <c r="D145" s="164"/>
      <c r="E145" s="164"/>
      <c r="F145" s="164"/>
      <c r="G145" s="164"/>
      <c r="H145" s="164"/>
      <c r="I145" s="164"/>
      <c r="J145" s="164"/>
      <c r="K145" s="164"/>
      <c r="L145" s="164"/>
      <c r="M145" s="164"/>
      <c r="N145" s="164"/>
      <c r="O145" s="164"/>
      <c r="P145" s="164"/>
      <c r="Q145" s="164"/>
      <c r="R145" s="164"/>
      <c r="S145" s="164"/>
      <c r="T145" s="164"/>
      <c r="U145" s="164"/>
      <c r="V145" s="164"/>
      <c r="W145" s="164"/>
      <c r="X145" s="164"/>
      <c r="Y145" s="164"/>
      <c r="Z145" s="164"/>
      <c r="AA145" s="164"/>
      <c r="AB145" s="164"/>
      <c r="AC145" s="1220"/>
    </row>
    <row r="146" ht="15.75" customHeight="1">
      <c r="A146" s="164"/>
      <c r="B146" s="1170"/>
      <c r="C146" s="164"/>
      <c r="D146" s="164"/>
      <c r="E146" s="164"/>
      <c r="F146" s="164"/>
      <c r="G146" s="164"/>
      <c r="H146" s="164"/>
      <c r="I146" s="164"/>
      <c r="J146" s="164"/>
      <c r="K146" s="164"/>
      <c r="L146" s="164"/>
      <c r="M146" s="164"/>
      <c r="N146" s="164"/>
      <c r="O146" s="164"/>
      <c r="P146" s="164"/>
      <c r="Q146" s="164"/>
      <c r="R146" s="164"/>
      <c r="S146" s="164"/>
      <c r="T146" s="164"/>
      <c r="U146" s="164"/>
      <c r="V146" s="164"/>
      <c r="W146" s="164"/>
      <c r="X146" s="164"/>
      <c r="Y146" s="164"/>
      <c r="Z146" s="164"/>
      <c r="AA146" s="164"/>
      <c r="AB146" s="164"/>
      <c r="AC146" s="1220"/>
    </row>
    <row r="147" ht="15.75" customHeight="1">
      <c r="A147" s="164"/>
      <c r="B147" s="1170"/>
      <c r="C147" s="164"/>
      <c r="D147" s="164"/>
      <c r="E147" s="164"/>
      <c r="F147" s="164"/>
      <c r="G147" s="164"/>
      <c r="H147" s="164"/>
      <c r="I147" s="164"/>
      <c r="J147" s="164"/>
      <c r="K147" s="164"/>
      <c r="L147" s="164"/>
      <c r="M147" s="164"/>
      <c r="N147" s="164"/>
      <c r="O147" s="164"/>
      <c r="P147" s="164"/>
      <c r="Q147" s="164"/>
      <c r="R147" s="164"/>
      <c r="S147" s="164"/>
      <c r="T147" s="164"/>
      <c r="U147" s="164"/>
      <c r="V147" s="164"/>
      <c r="W147" s="164"/>
      <c r="X147" s="164"/>
      <c r="Y147" s="164"/>
      <c r="Z147" s="164"/>
      <c r="AA147" s="164"/>
      <c r="AB147" s="164"/>
      <c r="AC147" s="1220"/>
    </row>
    <row r="148" ht="15.75" customHeight="1">
      <c r="A148" s="164"/>
      <c r="B148" s="1170"/>
      <c r="C148" s="164"/>
      <c r="D148" s="164"/>
      <c r="E148" s="164"/>
      <c r="F148" s="164"/>
      <c r="G148" s="164"/>
      <c r="H148" s="164"/>
      <c r="I148" s="164"/>
      <c r="J148" s="164"/>
      <c r="K148" s="164"/>
      <c r="L148" s="164"/>
      <c r="M148" s="164"/>
      <c r="N148" s="164"/>
      <c r="O148" s="164"/>
      <c r="P148" s="164"/>
      <c r="Q148" s="164"/>
      <c r="R148" s="164"/>
      <c r="S148" s="164"/>
      <c r="T148" s="164"/>
      <c r="U148" s="164"/>
      <c r="V148" s="164"/>
      <c r="W148" s="164"/>
      <c r="X148" s="164"/>
      <c r="Y148" s="164"/>
      <c r="Z148" s="164"/>
      <c r="AA148" s="164"/>
      <c r="AB148" s="164"/>
      <c r="AC148" s="1220"/>
    </row>
    <row r="149" ht="15.75" customHeight="1">
      <c r="A149" s="164"/>
      <c r="B149" s="1170"/>
      <c r="C149" s="164"/>
      <c r="D149" s="164"/>
      <c r="E149" s="164"/>
      <c r="F149" s="164"/>
      <c r="G149" s="164"/>
      <c r="H149" s="164"/>
      <c r="I149" s="164"/>
      <c r="J149" s="164"/>
      <c r="K149" s="164"/>
      <c r="L149" s="164"/>
      <c r="M149" s="164"/>
      <c r="N149" s="164"/>
      <c r="O149" s="164"/>
      <c r="P149" s="164"/>
      <c r="Q149" s="164"/>
      <c r="R149" s="164"/>
      <c r="S149" s="164"/>
      <c r="T149" s="164"/>
      <c r="U149" s="164"/>
      <c r="V149" s="164"/>
      <c r="W149" s="164"/>
      <c r="X149" s="164"/>
      <c r="Y149" s="164"/>
      <c r="Z149" s="164"/>
      <c r="AA149" s="164"/>
      <c r="AB149" s="164"/>
      <c r="AC149" s="1220"/>
    </row>
    <row r="150" ht="15.75" customHeight="1">
      <c r="A150" s="164"/>
      <c r="B150" s="1170"/>
      <c r="C150" s="164"/>
      <c r="D150" s="164"/>
      <c r="E150" s="164"/>
      <c r="F150" s="164"/>
      <c r="G150" s="164"/>
      <c r="H150" s="164"/>
      <c r="I150" s="164"/>
      <c r="J150" s="164"/>
      <c r="K150" s="164"/>
      <c r="L150" s="164"/>
      <c r="M150" s="164"/>
      <c r="N150" s="164"/>
      <c r="O150" s="164"/>
      <c r="P150" s="164"/>
      <c r="Q150" s="164"/>
      <c r="R150" s="164"/>
      <c r="S150" s="164"/>
      <c r="T150" s="164"/>
      <c r="U150" s="164"/>
      <c r="V150" s="164"/>
      <c r="W150" s="164"/>
      <c r="X150" s="164"/>
      <c r="Y150" s="164"/>
      <c r="Z150" s="164"/>
      <c r="AA150" s="164"/>
      <c r="AB150" s="164"/>
      <c r="AC150" s="1220"/>
    </row>
    <row r="151" ht="15.75" customHeight="1">
      <c r="A151" s="164"/>
      <c r="B151" s="1170"/>
      <c r="C151" s="164"/>
      <c r="D151" s="164"/>
      <c r="E151" s="164"/>
      <c r="F151" s="164"/>
      <c r="G151" s="164"/>
      <c r="H151" s="164"/>
      <c r="I151" s="164"/>
      <c r="J151" s="164"/>
      <c r="K151" s="164"/>
      <c r="L151" s="164"/>
      <c r="M151" s="164"/>
      <c r="N151" s="164"/>
      <c r="O151" s="164"/>
      <c r="P151" s="164"/>
      <c r="Q151" s="164"/>
      <c r="R151" s="164"/>
      <c r="S151" s="164"/>
      <c r="T151" s="164"/>
      <c r="U151" s="164"/>
      <c r="V151" s="164"/>
      <c r="W151" s="164"/>
      <c r="X151" s="164"/>
      <c r="Y151" s="164"/>
      <c r="Z151" s="164"/>
      <c r="AA151" s="164"/>
      <c r="AB151" s="164"/>
      <c r="AC151" s="1220"/>
    </row>
    <row r="152" ht="15.75" customHeight="1">
      <c r="A152" s="164"/>
      <c r="B152" s="1170"/>
      <c r="C152" s="164"/>
      <c r="D152" s="164"/>
      <c r="E152" s="164"/>
      <c r="F152" s="164"/>
      <c r="G152" s="164"/>
      <c r="H152" s="164"/>
      <c r="I152" s="164"/>
      <c r="J152" s="164"/>
      <c r="K152" s="164"/>
      <c r="L152" s="164"/>
      <c r="M152" s="164"/>
      <c r="N152" s="164"/>
      <c r="O152" s="164"/>
      <c r="P152" s="164"/>
      <c r="Q152" s="164"/>
      <c r="R152" s="164"/>
      <c r="S152" s="164"/>
      <c r="T152" s="164"/>
      <c r="U152" s="164"/>
      <c r="V152" s="164"/>
      <c r="W152" s="164"/>
      <c r="X152" s="164"/>
      <c r="Y152" s="164"/>
      <c r="Z152" s="164"/>
      <c r="AA152" s="164"/>
      <c r="AB152" s="164"/>
      <c r="AC152" s="1220"/>
    </row>
    <row r="153" ht="15.75" customHeight="1">
      <c r="A153" s="164"/>
      <c r="B153" s="1170"/>
      <c r="C153" s="164"/>
      <c r="D153" s="164"/>
      <c r="E153" s="164"/>
      <c r="F153" s="164"/>
      <c r="G153" s="164"/>
      <c r="H153" s="164"/>
      <c r="I153" s="164"/>
      <c r="J153" s="164"/>
      <c r="K153" s="164"/>
      <c r="L153" s="164"/>
      <c r="M153" s="164"/>
      <c r="N153" s="164"/>
      <c r="O153" s="164"/>
      <c r="P153" s="164"/>
      <c r="Q153" s="164"/>
      <c r="R153" s="164"/>
      <c r="S153" s="164"/>
      <c r="T153" s="164"/>
      <c r="U153" s="164"/>
      <c r="V153" s="164"/>
      <c r="W153" s="164"/>
      <c r="X153" s="164"/>
      <c r="Y153" s="164"/>
      <c r="Z153" s="164"/>
      <c r="AA153" s="164"/>
      <c r="AB153" s="164"/>
      <c r="AC153" s="1220"/>
    </row>
    <row r="154" ht="15.75" customHeight="1">
      <c r="A154" s="164"/>
      <c r="B154" s="1170"/>
      <c r="C154" s="164"/>
      <c r="D154" s="164"/>
      <c r="E154" s="164"/>
      <c r="F154" s="164"/>
      <c r="G154" s="164"/>
      <c r="H154" s="164"/>
      <c r="I154" s="164"/>
      <c r="J154" s="164"/>
      <c r="K154" s="164"/>
      <c r="L154" s="164"/>
      <c r="M154" s="164"/>
      <c r="N154" s="164"/>
      <c r="O154" s="164"/>
      <c r="P154" s="164"/>
      <c r="Q154" s="164"/>
      <c r="R154" s="164"/>
      <c r="S154" s="164"/>
      <c r="T154" s="164"/>
      <c r="U154" s="164"/>
      <c r="V154" s="164"/>
      <c r="W154" s="164"/>
      <c r="X154" s="164"/>
      <c r="Y154" s="164"/>
      <c r="Z154" s="164"/>
      <c r="AA154" s="164"/>
      <c r="AB154" s="164"/>
      <c r="AC154" s="1220"/>
    </row>
    <row r="155" ht="15.75" customHeight="1">
      <c r="A155" s="164"/>
      <c r="B155" s="1170"/>
      <c r="C155" s="164"/>
      <c r="D155" s="164"/>
      <c r="E155" s="164"/>
      <c r="F155" s="164"/>
      <c r="G155" s="164"/>
      <c r="H155" s="164"/>
      <c r="I155" s="164"/>
      <c r="J155" s="164"/>
      <c r="K155" s="164"/>
      <c r="L155" s="164"/>
      <c r="M155" s="164"/>
      <c r="N155" s="164"/>
      <c r="O155" s="164"/>
      <c r="P155" s="164"/>
      <c r="Q155" s="164"/>
      <c r="R155" s="164"/>
      <c r="S155" s="164"/>
      <c r="T155" s="164"/>
      <c r="U155" s="164"/>
      <c r="V155" s="164"/>
      <c r="W155" s="164"/>
      <c r="X155" s="164"/>
      <c r="Y155" s="164"/>
      <c r="Z155" s="164"/>
      <c r="AA155" s="164"/>
      <c r="AB155" s="164"/>
      <c r="AC155" s="1220"/>
    </row>
    <row r="156" ht="15.75" customHeight="1">
      <c r="A156" s="164"/>
      <c r="B156" s="1170"/>
      <c r="C156" s="164"/>
      <c r="D156" s="164"/>
      <c r="E156" s="164"/>
      <c r="F156" s="164"/>
      <c r="G156" s="164"/>
      <c r="H156" s="164"/>
      <c r="I156" s="164"/>
      <c r="J156" s="164"/>
      <c r="K156" s="164"/>
      <c r="L156" s="164"/>
      <c r="M156" s="164"/>
      <c r="N156" s="164"/>
      <c r="O156" s="164"/>
      <c r="P156" s="164"/>
      <c r="Q156" s="164"/>
      <c r="R156" s="164"/>
      <c r="S156" s="164"/>
      <c r="T156" s="164"/>
      <c r="U156" s="164"/>
      <c r="V156" s="164"/>
      <c r="W156" s="164"/>
      <c r="X156" s="164"/>
      <c r="Y156" s="164"/>
      <c r="Z156" s="164"/>
      <c r="AA156" s="164"/>
      <c r="AB156" s="164"/>
      <c r="AC156" s="1220"/>
    </row>
    <row r="157" ht="15.75" customHeight="1">
      <c r="A157" s="164"/>
      <c r="B157" s="1170"/>
      <c r="C157" s="164"/>
      <c r="D157" s="164"/>
      <c r="E157" s="164"/>
      <c r="F157" s="164"/>
      <c r="G157" s="164"/>
      <c r="H157" s="164"/>
      <c r="I157" s="164"/>
      <c r="J157" s="164"/>
      <c r="K157" s="164"/>
      <c r="L157" s="164"/>
      <c r="M157" s="164"/>
      <c r="N157" s="164"/>
      <c r="O157" s="164"/>
      <c r="P157" s="164"/>
      <c r="Q157" s="164"/>
      <c r="R157" s="164"/>
      <c r="S157" s="164"/>
      <c r="T157" s="164"/>
      <c r="U157" s="164"/>
      <c r="V157" s="164"/>
      <c r="W157" s="164"/>
      <c r="X157" s="164"/>
      <c r="Y157" s="164"/>
      <c r="Z157" s="164"/>
      <c r="AA157" s="164"/>
      <c r="AB157" s="164"/>
      <c r="AC157" s="1220"/>
    </row>
    <row r="158" ht="15.75" customHeight="1">
      <c r="A158" s="164"/>
      <c r="B158" s="1170"/>
      <c r="C158" s="164"/>
      <c r="D158" s="164"/>
      <c r="E158" s="164"/>
      <c r="F158" s="164"/>
      <c r="G158" s="164"/>
      <c r="H158" s="164"/>
      <c r="I158" s="164"/>
      <c r="J158" s="164"/>
      <c r="K158" s="164"/>
      <c r="L158" s="164"/>
      <c r="M158" s="164"/>
      <c r="N158" s="164"/>
      <c r="O158" s="164"/>
      <c r="P158" s="164"/>
      <c r="Q158" s="164"/>
      <c r="R158" s="164"/>
      <c r="S158" s="164"/>
      <c r="T158" s="164"/>
      <c r="U158" s="164"/>
      <c r="V158" s="164"/>
      <c r="W158" s="164"/>
      <c r="X158" s="164"/>
      <c r="Y158" s="164"/>
      <c r="Z158" s="164"/>
      <c r="AA158" s="164"/>
      <c r="AB158" s="164"/>
      <c r="AC158" s="1220"/>
    </row>
    <row r="159" ht="15.75" customHeight="1">
      <c r="A159" s="164"/>
      <c r="B159" s="1170"/>
      <c r="C159" s="164"/>
      <c r="D159" s="164"/>
      <c r="E159" s="164"/>
      <c r="F159" s="164"/>
      <c r="G159" s="164"/>
      <c r="H159" s="164"/>
      <c r="I159" s="164"/>
      <c r="J159" s="164"/>
      <c r="K159" s="164"/>
      <c r="L159" s="164"/>
      <c r="M159" s="164"/>
      <c r="N159" s="164"/>
      <c r="O159" s="164"/>
      <c r="P159" s="164"/>
      <c r="Q159" s="164"/>
      <c r="R159" s="164"/>
      <c r="S159" s="164"/>
      <c r="T159" s="164"/>
      <c r="U159" s="164"/>
      <c r="V159" s="164"/>
      <c r="W159" s="164"/>
      <c r="X159" s="164"/>
      <c r="Y159" s="164"/>
      <c r="Z159" s="164"/>
      <c r="AA159" s="164"/>
      <c r="AB159" s="164"/>
      <c r="AC159" s="1220"/>
    </row>
    <row r="160" ht="15.75" customHeight="1">
      <c r="A160" s="164"/>
      <c r="B160" s="1170"/>
      <c r="C160" s="164"/>
      <c r="D160" s="164"/>
      <c r="E160" s="164"/>
      <c r="F160" s="164"/>
      <c r="G160" s="164"/>
      <c r="H160" s="164"/>
      <c r="I160" s="164"/>
      <c r="J160" s="164"/>
      <c r="K160" s="164"/>
      <c r="L160" s="164"/>
      <c r="M160" s="164"/>
      <c r="N160" s="164"/>
      <c r="O160" s="164"/>
      <c r="P160" s="164"/>
      <c r="Q160" s="164"/>
      <c r="R160" s="164"/>
      <c r="S160" s="164"/>
      <c r="T160" s="164"/>
      <c r="U160" s="164"/>
      <c r="V160" s="164"/>
      <c r="W160" s="164"/>
      <c r="X160" s="164"/>
      <c r="Y160" s="164"/>
      <c r="Z160" s="164"/>
      <c r="AA160" s="164"/>
      <c r="AB160" s="164"/>
      <c r="AC160" s="1220"/>
    </row>
    <row r="161" ht="15.75" customHeight="1">
      <c r="A161" s="164"/>
      <c r="B161" s="1170"/>
      <c r="C161" s="164"/>
      <c r="D161" s="164"/>
      <c r="E161" s="164"/>
      <c r="F161" s="164"/>
      <c r="G161" s="164"/>
      <c r="H161" s="164"/>
      <c r="I161" s="164"/>
      <c r="J161" s="164"/>
      <c r="K161" s="164"/>
      <c r="L161" s="164"/>
      <c r="M161" s="164"/>
      <c r="N161" s="164"/>
      <c r="O161" s="164"/>
      <c r="P161" s="164"/>
      <c r="Q161" s="164"/>
      <c r="R161" s="164"/>
      <c r="S161" s="164"/>
      <c r="T161" s="164"/>
      <c r="U161" s="164"/>
      <c r="V161" s="164"/>
      <c r="W161" s="164"/>
      <c r="X161" s="164"/>
      <c r="Y161" s="164"/>
      <c r="Z161" s="164"/>
      <c r="AA161" s="164"/>
      <c r="AB161" s="164"/>
      <c r="AC161" s="1220"/>
    </row>
    <row r="162" ht="15.75" customHeight="1">
      <c r="A162" s="164"/>
      <c r="B162" s="1170"/>
      <c r="C162" s="164"/>
      <c r="D162" s="164"/>
      <c r="E162" s="164"/>
      <c r="F162" s="164"/>
      <c r="G162" s="164"/>
      <c r="H162" s="164"/>
      <c r="I162" s="164"/>
      <c r="J162" s="164"/>
      <c r="K162" s="164"/>
      <c r="L162" s="164"/>
      <c r="M162" s="164"/>
      <c r="N162" s="164"/>
      <c r="O162" s="164"/>
      <c r="P162" s="164"/>
      <c r="Q162" s="164"/>
      <c r="R162" s="164"/>
      <c r="S162" s="164"/>
      <c r="T162" s="164"/>
      <c r="U162" s="164"/>
      <c r="V162" s="164"/>
      <c r="W162" s="164"/>
      <c r="X162" s="164"/>
      <c r="Y162" s="164"/>
      <c r="Z162" s="164"/>
      <c r="AA162" s="164"/>
      <c r="AB162" s="164"/>
      <c r="AC162" s="1220"/>
    </row>
    <row r="163" ht="15.75" customHeight="1">
      <c r="A163" s="164"/>
      <c r="B163" s="1170"/>
      <c r="C163" s="164"/>
      <c r="D163" s="164"/>
      <c r="E163" s="164"/>
      <c r="F163" s="164"/>
      <c r="G163" s="164"/>
      <c r="H163" s="164"/>
      <c r="I163" s="164"/>
      <c r="J163" s="164"/>
      <c r="K163" s="164"/>
      <c r="L163" s="164"/>
      <c r="M163" s="164"/>
      <c r="N163" s="164"/>
      <c r="O163" s="164"/>
      <c r="P163" s="164"/>
      <c r="Q163" s="164"/>
      <c r="R163" s="164"/>
      <c r="S163" s="164"/>
      <c r="T163" s="164"/>
      <c r="U163" s="164"/>
      <c r="V163" s="164"/>
      <c r="W163" s="164"/>
      <c r="X163" s="164"/>
      <c r="Y163" s="164"/>
      <c r="Z163" s="164"/>
      <c r="AA163" s="164"/>
      <c r="AB163" s="164"/>
      <c r="AC163" s="1220"/>
    </row>
    <row r="164" ht="15.75" customHeight="1">
      <c r="A164" s="164"/>
      <c r="B164" s="1170"/>
      <c r="C164" s="164"/>
      <c r="D164" s="164"/>
      <c r="E164" s="164"/>
      <c r="F164" s="164"/>
      <c r="G164" s="164"/>
      <c r="H164" s="164"/>
      <c r="I164" s="164"/>
      <c r="J164" s="164"/>
      <c r="K164" s="164"/>
      <c r="L164" s="164"/>
      <c r="M164" s="164"/>
      <c r="N164" s="164"/>
      <c r="O164" s="164"/>
      <c r="P164" s="164"/>
      <c r="Q164" s="164"/>
      <c r="R164" s="164"/>
      <c r="S164" s="164"/>
      <c r="T164" s="164"/>
      <c r="U164" s="164"/>
      <c r="V164" s="164"/>
      <c r="W164" s="164"/>
      <c r="X164" s="164"/>
      <c r="Y164" s="164"/>
      <c r="Z164" s="164"/>
      <c r="AA164" s="164"/>
      <c r="AB164" s="164"/>
      <c r="AC164" s="1220"/>
    </row>
    <row r="165" ht="15.75" customHeight="1">
      <c r="A165" s="164"/>
      <c r="B165" s="1170"/>
      <c r="C165" s="164"/>
      <c r="D165" s="164"/>
      <c r="E165" s="164"/>
      <c r="F165" s="164"/>
      <c r="G165" s="164"/>
      <c r="H165" s="164"/>
      <c r="I165" s="164"/>
      <c r="J165" s="164"/>
      <c r="K165" s="164"/>
      <c r="L165" s="164"/>
      <c r="M165" s="164"/>
      <c r="N165" s="164"/>
      <c r="O165" s="164"/>
      <c r="P165" s="164"/>
      <c r="Q165" s="164"/>
      <c r="R165" s="164"/>
      <c r="S165" s="164"/>
      <c r="T165" s="164"/>
      <c r="U165" s="164"/>
      <c r="V165" s="164"/>
      <c r="W165" s="164"/>
      <c r="X165" s="164"/>
      <c r="Y165" s="164"/>
      <c r="Z165" s="164"/>
      <c r="AA165" s="164"/>
      <c r="AB165" s="164"/>
      <c r="AC165" s="1220"/>
    </row>
    <row r="166" ht="15.75" customHeight="1">
      <c r="A166" s="164"/>
      <c r="B166" s="1170"/>
      <c r="C166" s="164"/>
      <c r="D166" s="164"/>
      <c r="E166" s="164"/>
      <c r="F166" s="164"/>
      <c r="G166" s="164"/>
      <c r="H166" s="164"/>
      <c r="I166" s="164"/>
      <c r="J166" s="164"/>
      <c r="K166" s="164"/>
      <c r="L166" s="164"/>
      <c r="M166" s="164"/>
      <c r="N166" s="164"/>
      <c r="O166" s="164"/>
      <c r="P166" s="164"/>
      <c r="Q166" s="164"/>
      <c r="R166" s="164"/>
      <c r="S166" s="164"/>
      <c r="T166" s="164"/>
      <c r="U166" s="164"/>
      <c r="V166" s="164"/>
      <c r="W166" s="164"/>
      <c r="X166" s="164"/>
      <c r="Y166" s="164"/>
      <c r="Z166" s="164"/>
      <c r="AA166" s="164"/>
      <c r="AB166" s="164"/>
      <c r="AC166" s="1220"/>
    </row>
    <row r="167" ht="15.75" customHeight="1">
      <c r="A167" s="164"/>
      <c r="B167" s="1170"/>
      <c r="C167" s="164"/>
      <c r="D167" s="164"/>
      <c r="E167" s="164"/>
      <c r="F167" s="164"/>
      <c r="G167" s="164"/>
      <c r="H167" s="164"/>
      <c r="I167" s="164"/>
      <c r="J167" s="164"/>
      <c r="K167" s="164"/>
      <c r="L167" s="164"/>
      <c r="M167" s="164"/>
      <c r="N167" s="164"/>
      <c r="O167" s="164"/>
      <c r="P167" s="164"/>
      <c r="Q167" s="164"/>
      <c r="R167" s="164"/>
      <c r="S167" s="164"/>
      <c r="T167" s="164"/>
      <c r="U167" s="164"/>
      <c r="V167" s="164"/>
      <c r="W167" s="164"/>
      <c r="X167" s="164"/>
      <c r="Y167" s="164"/>
      <c r="Z167" s="164"/>
      <c r="AA167" s="164"/>
      <c r="AB167" s="164"/>
      <c r="AC167" s="1220"/>
    </row>
    <row r="168" ht="15.75" customHeight="1">
      <c r="A168" s="164"/>
      <c r="B168" s="1170"/>
      <c r="C168" s="164"/>
      <c r="D168" s="164"/>
      <c r="E168" s="164"/>
      <c r="F168" s="164"/>
      <c r="G168" s="164"/>
      <c r="H168" s="164"/>
      <c r="I168" s="164"/>
      <c r="J168" s="164"/>
      <c r="K168" s="164"/>
      <c r="L168" s="164"/>
      <c r="M168" s="164"/>
      <c r="N168" s="164"/>
      <c r="O168" s="164"/>
      <c r="P168" s="164"/>
      <c r="Q168" s="164"/>
      <c r="R168" s="164"/>
      <c r="S168" s="164"/>
      <c r="T168" s="164"/>
      <c r="U168" s="164"/>
      <c r="V168" s="164"/>
      <c r="W168" s="164"/>
      <c r="X168" s="164"/>
      <c r="Y168" s="164"/>
      <c r="Z168" s="164"/>
      <c r="AA168" s="164"/>
      <c r="AB168" s="164"/>
      <c r="AC168" s="1220"/>
    </row>
    <row r="169" ht="15.75" customHeight="1">
      <c r="A169" s="164"/>
      <c r="B169" s="1170"/>
      <c r="C169" s="164"/>
      <c r="D169" s="164"/>
      <c r="E169" s="164"/>
      <c r="F169" s="164"/>
      <c r="G169" s="164"/>
      <c r="H169" s="164"/>
      <c r="I169" s="164"/>
      <c r="J169" s="164"/>
      <c r="K169" s="164"/>
      <c r="L169" s="164"/>
      <c r="M169" s="164"/>
      <c r="N169" s="164"/>
      <c r="O169" s="164"/>
      <c r="P169" s="164"/>
      <c r="Q169" s="164"/>
      <c r="R169" s="164"/>
      <c r="S169" s="164"/>
      <c r="T169" s="164"/>
      <c r="U169" s="164"/>
      <c r="V169" s="164"/>
      <c r="W169" s="164"/>
      <c r="X169" s="164"/>
      <c r="Y169" s="164"/>
      <c r="Z169" s="164"/>
      <c r="AA169" s="164"/>
      <c r="AB169" s="164"/>
      <c r="AC169" s="1220"/>
    </row>
    <row r="170" ht="15.75" customHeight="1">
      <c r="A170" s="164"/>
      <c r="B170" s="1170"/>
      <c r="C170" s="164"/>
      <c r="D170" s="164"/>
      <c r="E170" s="164"/>
      <c r="F170" s="164"/>
      <c r="G170" s="164"/>
      <c r="H170" s="164"/>
      <c r="I170" s="164"/>
      <c r="J170" s="164"/>
      <c r="K170" s="164"/>
      <c r="L170" s="164"/>
      <c r="M170" s="164"/>
      <c r="N170" s="164"/>
      <c r="O170" s="164"/>
      <c r="P170" s="164"/>
      <c r="Q170" s="164"/>
      <c r="R170" s="164"/>
      <c r="S170" s="164"/>
      <c r="T170" s="164"/>
      <c r="U170" s="164"/>
      <c r="V170" s="164"/>
      <c r="W170" s="164"/>
      <c r="X170" s="164"/>
      <c r="Y170" s="164"/>
      <c r="Z170" s="164"/>
      <c r="AA170" s="164"/>
      <c r="AB170" s="164"/>
      <c r="AC170" s="1220"/>
    </row>
    <row r="171" ht="15.75" customHeight="1">
      <c r="A171" s="164"/>
      <c r="B171" s="1170"/>
      <c r="C171" s="164"/>
      <c r="D171" s="164"/>
      <c r="E171" s="164"/>
      <c r="F171" s="164"/>
      <c r="G171" s="164"/>
      <c r="H171" s="164"/>
      <c r="I171" s="164"/>
      <c r="J171" s="164"/>
      <c r="K171" s="164"/>
      <c r="L171" s="164"/>
      <c r="M171" s="164"/>
      <c r="N171" s="164"/>
      <c r="O171" s="164"/>
      <c r="P171" s="164"/>
      <c r="Q171" s="164"/>
      <c r="R171" s="164"/>
      <c r="S171" s="164"/>
      <c r="T171" s="164"/>
      <c r="U171" s="164"/>
      <c r="V171" s="164"/>
      <c r="W171" s="164"/>
      <c r="X171" s="164"/>
      <c r="Y171" s="164"/>
      <c r="Z171" s="164"/>
      <c r="AA171" s="164"/>
      <c r="AB171" s="164"/>
      <c r="AC171" s="1220"/>
    </row>
    <row r="172" ht="15.75" customHeight="1">
      <c r="A172" s="164"/>
      <c r="B172" s="1170"/>
      <c r="C172" s="164"/>
      <c r="D172" s="164"/>
      <c r="E172" s="164"/>
      <c r="F172" s="164"/>
      <c r="G172" s="164"/>
      <c r="H172" s="164"/>
      <c r="I172" s="164"/>
      <c r="J172" s="164"/>
      <c r="K172" s="164"/>
      <c r="L172" s="164"/>
      <c r="M172" s="164"/>
      <c r="N172" s="164"/>
      <c r="O172" s="164"/>
      <c r="P172" s="164"/>
      <c r="Q172" s="164"/>
      <c r="R172" s="164"/>
      <c r="S172" s="164"/>
      <c r="T172" s="164"/>
      <c r="U172" s="164"/>
      <c r="V172" s="164"/>
      <c r="W172" s="164"/>
      <c r="X172" s="164"/>
      <c r="Y172" s="164"/>
      <c r="Z172" s="164"/>
      <c r="AA172" s="164"/>
      <c r="AB172" s="164"/>
      <c r="AC172" s="1220"/>
    </row>
    <row r="173" ht="15.75" customHeight="1">
      <c r="A173" s="164"/>
      <c r="B173" s="1170"/>
      <c r="C173" s="164"/>
      <c r="D173" s="164"/>
      <c r="E173" s="164"/>
      <c r="F173" s="164"/>
      <c r="G173" s="164"/>
      <c r="H173" s="164"/>
      <c r="I173" s="164"/>
      <c r="J173" s="164"/>
      <c r="K173" s="164"/>
      <c r="L173" s="164"/>
      <c r="M173" s="164"/>
      <c r="N173" s="164"/>
      <c r="O173" s="164"/>
      <c r="P173" s="164"/>
      <c r="Q173" s="164"/>
      <c r="R173" s="164"/>
      <c r="S173" s="164"/>
      <c r="T173" s="164"/>
      <c r="U173" s="164"/>
      <c r="V173" s="164"/>
      <c r="W173" s="164"/>
      <c r="X173" s="164"/>
      <c r="Y173" s="164"/>
      <c r="Z173" s="164"/>
      <c r="AA173" s="164"/>
      <c r="AB173" s="164"/>
      <c r="AC173" s="1220"/>
    </row>
    <row r="174" ht="15.75" customHeight="1">
      <c r="A174" s="164"/>
      <c r="B174" s="1170"/>
      <c r="C174" s="164"/>
      <c r="D174" s="164"/>
      <c r="E174" s="164"/>
      <c r="F174" s="164"/>
      <c r="G174" s="164"/>
      <c r="H174" s="164"/>
      <c r="I174" s="164"/>
      <c r="J174" s="164"/>
      <c r="K174" s="164"/>
      <c r="L174" s="164"/>
      <c r="M174" s="164"/>
      <c r="N174" s="164"/>
      <c r="O174" s="164"/>
      <c r="P174" s="164"/>
      <c r="Q174" s="164"/>
      <c r="R174" s="164"/>
      <c r="S174" s="164"/>
      <c r="T174" s="164"/>
      <c r="U174" s="164"/>
      <c r="V174" s="164"/>
      <c r="W174" s="164"/>
      <c r="X174" s="164"/>
      <c r="Y174" s="164"/>
      <c r="Z174" s="164"/>
      <c r="AA174" s="164"/>
      <c r="AB174" s="164"/>
      <c r="AC174" s="1220"/>
    </row>
    <row r="175" ht="15.75" customHeight="1">
      <c r="A175" s="164"/>
      <c r="B175" s="1170"/>
      <c r="C175" s="164"/>
      <c r="D175" s="164"/>
      <c r="E175" s="164"/>
      <c r="F175" s="164"/>
      <c r="G175" s="164"/>
      <c r="H175" s="164"/>
      <c r="I175" s="164"/>
      <c r="J175" s="164"/>
      <c r="K175" s="164"/>
      <c r="L175" s="164"/>
      <c r="M175" s="164"/>
      <c r="N175" s="164"/>
      <c r="O175" s="164"/>
      <c r="P175" s="164"/>
      <c r="Q175" s="164"/>
      <c r="R175" s="164"/>
      <c r="S175" s="164"/>
      <c r="T175" s="164"/>
      <c r="U175" s="164"/>
      <c r="V175" s="164"/>
      <c r="W175" s="164"/>
      <c r="X175" s="164"/>
      <c r="Y175" s="164"/>
      <c r="Z175" s="164"/>
      <c r="AA175" s="164"/>
      <c r="AB175" s="164"/>
      <c r="AC175" s="1220"/>
    </row>
    <row r="176" ht="15.75" customHeight="1">
      <c r="A176" s="164"/>
      <c r="B176" s="1170"/>
      <c r="C176" s="164"/>
      <c r="D176" s="164"/>
      <c r="E176" s="164"/>
      <c r="F176" s="164"/>
      <c r="G176" s="164"/>
      <c r="H176" s="164"/>
      <c r="I176" s="164"/>
      <c r="J176" s="164"/>
      <c r="K176" s="164"/>
      <c r="L176" s="164"/>
      <c r="M176" s="164"/>
      <c r="N176" s="164"/>
      <c r="O176" s="164"/>
      <c r="P176" s="164"/>
      <c r="Q176" s="164"/>
      <c r="R176" s="164"/>
      <c r="S176" s="164"/>
      <c r="T176" s="164"/>
      <c r="U176" s="164"/>
      <c r="V176" s="164"/>
      <c r="W176" s="164"/>
      <c r="X176" s="164"/>
      <c r="Y176" s="164"/>
      <c r="Z176" s="164"/>
      <c r="AA176" s="164"/>
      <c r="AB176" s="164"/>
      <c r="AC176" s="1220"/>
    </row>
    <row r="177" ht="15.75" customHeight="1">
      <c r="A177" s="164"/>
      <c r="B177" s="1170"/>
      <c r="C177" s="164"/>
      <c r="D177" s="164"/>
      <c r="E177" s="164"/>
      <c r="F177" s="164"/>
      <c r="G177" s="164"/>
      <c r="H177" s="164"/>
      <c r="I177" s="164"/>
      <c r="J177" s="164"/>
      <c r="K177" s="164"/>
      <c r="L177" s="164"/>
      <c r="M177" s="164"/>
      <c r="N177" s="164"/>
      <c r="O177" s="164"/>
      <c r="P177" s="164"/>
      <c r="Q177" s="164"/>
      <c r="R177" s="164"/>
      <c r="S177" s="164"/>
      <c r="T177" s="164"/>
      <c r="U177" s="164"/>
      <c r="V177" s="164"/>
      <c r="W177" s="164"/>
      <c r="X177" s="164"/>
      <c r="Y177" s="164"/>
      <c r="Z177" s="164"/>
      <c r="AA177" s="164"/>
      <c r="AB177" s="164"/>
      <c r="AC177" s="1220"/>
    </row>
    <row r="178" ht="15.75" customHeight="1">
      <c r="A178" s="164"/>
      <c r="B178" s="1170"/>
      <c r="C178" s="164"/>
      <c r="D178" s="164"/>
      <c r="E178" s="164"/>
      <c r="F178" s="164"/>
      <c r="G178" s="164"/>
      <c r="H178" s="164"/>
      <c r="I178" s="164"/>
      <c r="J178" s="164"/>
      <c r="K178" s="164"/>
      <c r="L178" s="164"/>
      <c r="M178" s="164"/>
      <c r="N178" s="164"/>
      <c r="O178" s="164"/>
      <c r="P178" s="164"/>
      <c r="Q178" s="164"/>
      <c r="R178" s="164"/>
      <c r="S178" s="164"/>
      <c r="T178" s="164"/>
      <c r="U178" s="164"/>
      <c r="V178" s="164"/>
      <c r="W178" s="164"/>
      <c r="X178" s="164"/>
      <c r="Y178" s="164"/>
      <c r="Z178" s="164"/>
      <c r="AA178" s="164"/>
      <c r="AB178" s="164"/>
      <c r="AC178" s="1220"/>
    </row>
    <row r="179" ht="15.75" customHeight="1">
      <c r="A179" s="164"/>
      <c r="B179" s="1170"/>
      <c r="C179" s="164"/>
      <c r="D179" s="164"/>
      <c r="E179" s="164"/>
      <c r="F179" s="164"/>
      <c r="G179" s="164"/>
      <c r="H179" s="164"/>
      <c r="I179" s="164"/>
      <c r="J179" s="164"/>
      <c r="K179" s="164"/>
      <c r="L179" s="164"/>
      <c r="M179" s="164"/>
      <c r="N179" s="164"/>
      <c r="O179" s="164"/>
      <c r="P179" s="164"/>
      <c r="Q179" s="164"/>
      <c r="R179" s="164"/>
      <c r="S179" s="164"/>
      <c r="T179" s="164"/>
      <c r="U179" s="164"/>
      <c r="V179" s="164"/>
      <c r="W179" s="164"/>
      <c r="X179" s="164"/>
      <c r="Y179" s="164"/>
      <c r="Z179" s="164"/>
      <c r="AA179" s="164"/>
      <c r="AB179" s="164"/>
      <c r="AC179" s="1220"/>
    </row>
    <row r="180" ht="15.75" customHeight="1">
      <c r="A180" s="164"/>
      <c r="B180" s="1170"/>
      <c r="C180" s="164"/>
      <c r="D180" s="164"/>
      <c r="E180" s="164"/>
      <c r="F180" s="164"/>
      <c r="G180" s="164"/>
      <c r="H180" s="164"/>
      <c r="I180" s="164"/>
      <c r="J180" s="164"/>
      <c r="K180" s="164"/>
      <c r="L180" s="164"/>
      <c r="M180" s="164"/>
      <c r="N180" s="164"/>
      <c r="O180" s="164"/>
      <c r="P180" s="164"/>
      <c r="Q180" s="164"/>
      <c r="R180" s="164"/>
      <c r="S180" s="164"/>
      <c r="T180" s="164"/>
      <c r="U180" s="164"/>
      <c r="V180" s="164"/>
      <c r="W180" s="164"/>
      <c r="X180" s="164"/>
      <c r="Y180" s="164"/>
      <c r="Z180" s="164"/>
      <c r="AA180" s="164"/>
      <c r="AB180" s="164"/>
      <c r="AC180" s="1220"/>
    </row>
    <row r="181" ht="15.75" customHeight="1">
      <c r="A181" s="164"/>
      <c r="B181" s="1170"/>
      <c r="C181" s="164"/>
      <c r="D181" s="164"/>
      <c r="E181" s="164"/>
      <c r="F181" s="164"/>
      <c r="G181" s="164"/>
      <c r="H181" s="164"/>
      <c r="I181" s="164"/>
      <c r="J181" s="164"/>
      <c r="K181" s="164"/>
      <c r="L181" s="164"/>
      <c r="M181" s="164"/>
      <c r="N181" s="164"/>
      <c r="O181" s="164"/>
      <c r="P181" s="164"/>
      <c r="Q181" s="164"/>
      <c r="R181" s="164"/>
      <c r="S181" s="164"/>
      <c r="T181" s="164"/>
      <c r="U181" s="164"/>
      <c r="V181" s="164"/>
      <c r="W181" s="164"/>
      <c r="X181" s="164"/>
      <c r="Y181" s="164"/>
      <c r="Z181" s="164"/>
      <c r="AA181" s="164"/>
      <c r="AB181" s="164"/>
      <c r="AC181" s="1220"/>
    </row>
    <row r="182" ht="15.75" customHeight="1">
      <c r="A182" s="164"/>
      <c r="B182" s="1170"/>
      <c r="C182" s="164"/>
      <c r="D182" s="164"/>
      <c r="E182" s="164"/>
      <c r="F182" s="164"/>
      <c r="G182" s="164"/>
      <c r="H182" s="164"/>
      <c r="I182" s="164"/>
      <c r="J182" s="164"/>
      <c r="K182" s="164"/>
      <c r="L182" s="164"/>
      <c r="M182" s="164"/>
      <c r="N182" s="164"/>
      <c r="O182" s="164"/>
      <c r="P182" s="164"/>
      <c r="Q182" s="164"/>
      <c r="R182" s="164"/>
      <c r="S182" s="164"/>
      <c r="T182" s="164"/>
      <c r="U182" s="164"/>
      <c r="V182" s="164"/>
      <c r="W182" s="164"/>
      <c r="X182" s="164"/>
      <c r="Y182" s="164"/>
      <c r="Z182" s="164"/>
      <c r="AA182" s="164"/>
      <c r="AB182" s="164"/>
      <c r="AC182" s="1220"/>
    </row>
    <row r="183" ht="15.75" customHeight="1">
      <c r="A183" s="164"/>
      <c r="B183" s="1170"/>
      <c r="C183" s="164"/>
      <c r="D183" s="164"/>
      <c r="E183" s="164"/>
      <c r="F183" s="164"/>
      <c r="G183" s="164"/>
      <c r="H183" s="164"/>
      <c r="I183" s="164"/>
      <c r="J183" s="164"/>
      <c r="K183" s="164"/>
      <c r="L183" s="164"/>
      <c r="M183" s="164"/>
      <c r="N183" s="164"/>
      <c r="O183" s="164"/>
      <c r="P183" s="164"/>
      <c r="Q183" s="164"/>
      <c r="R183" s="164"/>
      <c r="S183" s="164"/>
      <c r="T183" s="164"/>
      <c r="U183" s="164"/>
      <c r="V183" s="164"/>
      <c r="W183" s="164"/>
      <c r="X183" s="164"/>
      <c r="Y183" s="164"/>
      <c r="Z183" s="164"/>
      <c r="AA183" s="164"/>
      <c r="AB183" s="164"/>
      <c r="AC183" s="1220"/>
    </row>
    <row r="184" ht="15.75" customHeight="1">
      <c r="A184" s="164"/>
      <c r="B184" s="1170"/>
      <c r="C184" s="164"/>
      <c r="D184" s="164"/>
      <c r="E184" s="164"/>
      <c r="F184" s="164"/>
      <c r="G184" s="164"/>
      <c r="H184" s="164"/>
      <c r="I184" s="164"/>
      <c r="J184" s="164"/>
      <c r="K184" s="164"/>
      <c r="L184" s="164"/>
      <c r="M184" s="164"/>
      <c r="N184" s="164"/>
      <c r="O184" s="164"/>
      <c r="P184" s="164"/>
      <c r="Q184" s="164"/>
      <c r="R184" s="164"/>
      <c r="S184" s="164"/>
      <c r="T184" s="164"/>
      <c r="U184" s="164"/>
      <c r="V184" s="164"/>
      <c r="W184" s="164"/>
      <c r="X184" s="164"/>
      <c r="Y184" s="164"/>
      <c r="Z184" s="164"/>
      <c r="AA184" s="164"/>
      <c r="AB184" s="164"/>
      <c r="AC184" s="1220"/>
    </row>
    <row r="185" ht="15.75" customHeight="1">
      <c r="A185" s="164"/>
      <c r="B185" s="1170"/>
      <c r="C185" s="164"/>
      <c r="D185" s="164"/>
      <c r="E185" s="164"/>
      <c r="F185" s="164"/>
      <c r="G185" s="164"/>
      <c r="H185" s="164"/>
      <c r="I185" s="164"/>
      <c r="J185" s="164"/>
      <c r="K185" s="164"/>
      <c r="L185" s="164"/>
      <c r="M185" s="164"/>
      <c r="N185" s="164"/>
      <c r="O185" s="164"/>
      <c r="P185" s="164"/>
      <c r="Q185" s="164"/>
      <c r="R185" s="164"/>
      <c r="S185" s="164"/>
      <c r="T185" s="164"/>
      <c r="U185" s="164"/>
      <c r="V185" s="164"/>
      <c r="W185" s="164"/>
      <c r="X185" s="164"/>
      <c r="Y185" s="164"/>
      <c r="Z185" s="164"/>
      <c r="AA185" s="164"/>
      <c r="AB185" s="164"/>
      <c r="AC185" s="1220"/>
    </row>
    <row r="186" ht="15.75" customHeight="1">
      <c r="A186" s="164"/>
      <c r="B186" s="1170"/>
      <c r="C186" s="164"/>
      <c r="D186" s="164"/>
      <c r="E186" s="164"/>
      <c r="F186" s="164"/>
      <c r="G186" s="164"/>
      <c r="H186" s="164"/>
      <c r="I186" s="164"/>
      <c r="J186" s="164"/>
      <c r="K186" s="164"/>
      <c r="L186" s="164"/>
      <c r="M186" s="164"/>
      <c r="N186" s="164"/>
      <c r="O186" s="164"/>
      <c r="P186" s="164"/>
      <c r="Q186" s="164"/>
      <c r="R186" s="164"/>
      <c r="S186" s="164"/>
      <c r="T186" s="164"/>
      <c r="U186" s="164"/>
      <c r="V186" s="164"/>
      <c r="W186" s="164"/>
      <c r="X186" s="164"/>
      <c r="Y186" s="164"/>
      <c r="Z186" s="164"/>
      <c r="AA186" s="164"/>
      <c r="AB186" s="164"/>
      <c r="AC186" s="1220"/>
    </row>
    <row r="187" ht="15.75" customHeight="1">
      <c r="A187" s="164"/>
      <c r="B187" s="1170"/>
      <c r="C187" s="164"/>
      <c r="D187" s="164"/>
      <c r="E187" s="164"/>
      <c r="F187" s="164"/>
      <c r="G187" s="164"/>
      <c r="H187" s="164"/>
      <c r="I187" s="164"/>
      <c r="J187" s="164"/>
      <c r="K187" s="164"/>
      <c r="L187" s="164"/>
      <c r="M187" s="164"/>
      <c r="N187" s="164"/>
      <c r="O187" s="164"/>
      <c r="P187" s="164"/>
      <c r="Q187" s="164"/>
      <c r="R187" s="164"/>
      <c r="S187" s="164"/>
      <c r="T187" s="164"/>
      <c r="U187" s="164"/>
      <c r="V187" s="164"/>
      <c r="W187" s="164"/>
      <c r="X187" s="164"/>
      <c r="Y187" s="164"/>
      <c r="Z187" s="164"/>
      <c r="AA187" s="164"/>
      <c r="AB187" s="164"/>
      <c r="AC187" s="1220"/>
    </row>
    <row r="188" ht="15.75" customHeight="1">
      <c r="A188" s="164"/>
      <c r="B188" s="1170"/>
      <c r="C188" s="164"/>
      <c r="D188" s="164"/>
      <c r="E188" s="164"/>
      <c r="F188" s="164"/>
      <c r="G188" s="164"/>
      <c r="H188" s="164"/>
      <c r="I188" s="164"/>
      <c r="J188" s="164"/>
      <c r="K188" s="164"/>
      <c r="L188" s="164"/>
      <c r="M188" s="164"/>
      <c r="N188" s="164"/>
      <c r="O188" s="164"/>
      <c r="P188" s="164"/>
      <c r="Q188" s="164"/>
      <c r="R188" s="164"/>
      <c r="S188" s="164"/>
      <c r="T188" s="164"/>
      <c r="U188" s="164"/>
      <c r="V188" s="164"/>
      <c r="W188" s="164"/>
      <c r="X188" s="164"/>
      <c r="Y188" s="164"/>
      <c r="Z188" s="164"/>
      <c r="AA188" s="164"/>
      <c r="AB188" s="164"/>
      <c r="AC188" s="1220"/>
    </row>
    <row r="189" ht="15.75" customHeight="1">
      <c r="A189" s="164"/>
      <c r="B189" s="1170"/>
      <c r="C189" s="164"/>
      <c r="D189" s="164"/>
      <c r="E189" s="164"/>
      <c r="F189" s="164"/>
      <c r="G189" s="164"/>
      <c r="H189" s="164"/>
      <c r="I189" s="164"/>
      <c r="J189" s="164"/>
      <c r="K189" s="164"/>
      <c r="L189" s="164"/>
      <c r="M189" s="164"/>
      <c r="N189" s="164"/>
      <c r="O189" s="164"/>
      <c r="P189" s="164"/>
      <c r="Q189" s="164"/>
      <c r="R189" s="164"/>
      <c r="S189" s="164"/>
      <c r="T189" s="164"/>
      <c r="U189" s="164"/>
      <c r="V189" s="164"/>
      <c r="W189" s="164"/>
      <c r="X189" s="164"/>
      <c r="Y189" s="164"/>
      <c r="Z189" s="164"/>
      <c r="AA189" s="164"/>
      <c r="AB189" s="164"/>
      <c r="AC189" s="1220"/>
    </row>
    <row r="190" ht="15.75" customHeight="1">
      <c r="A190" s="164"/>
      <c r="B190" s="1170"/>
      <c r="C190" s="164"/>
      <c r="D190" s="164"/>
      <c r="E190" s="164"/>
      <c r="F190" s="164"/>
      <c r="G190" s="164"/>
      <c r="H190" s="164"/>
      <c r="I190" s="164"/>
      <c r="J190" s="164"/>
      <c r="K190" s="164"/>
      <c r="L190" s="164"/>
      <c r="M190" s="164"/>
      <c r="N190" s="164"/>
      <c r="O190" s="164"/>
      <c r="P190" s="164"/>
      <c r="Q190" s="164"/>
      <c r="R190" s="164"/>
      <c r="S190" s="164"/>
      <c r="T190" s="164"/>
      <c r="U190" s="164"/>
      <c r="V190" s="164"/>
      <c r="W190" s="164"/>
      <c r="X190" s="164"/>
      <c r="Y190" s="164"/>
      <c r="Z190" s="164"/>
      <c r="AA190" s="164"/>
      <c r="AB190" s="164"/>
      <c r="AC190" s="1220"/>
    </row>
    <row r="191" ht="15.75" customHeight="1">
      <c r="A191" s="164"/>
      <c r="B191" s="1170"/>
      <c r="C191" s="164"/>
      <c r="D191" s="164"/>
      <c r="E191" s="164"/>
      <c r="F191" s="164"/>
      <c r="G191" s="164"/>
      <c r="H191" s="164"/>
      <c r="I191" s="164"/>
      <c r="J191" s="164"/>
      <c r="K191" s="164"/>
      <c r="L191" s="164"/>
      <c r="M191" s="164"/>
      <c r="N191" s="164"/>
      <c r="O191" s="164"/>
      <c r="P191" s="164"/>
      <c r="Q191" s="164"/>
      <c r="R191" s="164"/>
      <c r="S191" s="164"/>
      <c r="T191" s="164"/>
      <c r="U191" s="164"/>
      <c r="V191" s="164"/>
      <c r="W191" s="164"/>
      <c r="X191" s="164"/>
      <c r="Y191" s="164"/>
      <c r="Z191" s="164"/>
      <c r="AA191" s="164"/>
      <c r="AB191" s="164"/>
      <c r="AC191" s="1220"/>
    </row>
    <row r="192" ht="15.75" customHeight="1">
      <c r="A192" s="164"/>
      <c r="B192" s="1170"/>
      <c r="C192" s="164"/>
      <c r="D192" s="164"/>
      <c r="E192" s="164"/>
      <c r="F192" s="164"/>
      <c r="G192" s="164"/>
      <c r="H192" s="164"/>
      <c r="I192" s="164"/>
      <c r="J192" s="164"/>
      <c r="K192" s="164"/>
      <c r="L192" s="164"/>
      <c r="M192" s="164"/>
      <c r="N192" s="164"/>
      <c r="O192" s="164"/>
      <c r="P192" s="164"/>
      <c r="Q192" s="164"/>
      <c r="R192" s="164"/>
      <c r="S192" s="164"/>
      <c r="T192" s="164"/>
      <c r="U192" s="164"/>
      <c r="V192" s="164"/>
      <c r="W192" s="164"/>
      <c r="X192" s="164"/>
      <c r="Y192" s="164"/>
      <c r="Z192" s="164"/>
      <c r="AA192" s="164"/>
      <c r="AB192" s="164"/>
      <c r="AC192" s="1220"/>
    </row>
    <row r="193" ht="15.75" customHeight="1">
      <c r="A193" s="164"/>
      <c r="B193" s="1170"/>
      <c r="C193" s="164"/>
      <c r="D193" s="164"/>
      <c r="E193" s="164"/>
      <c r="F193" s="164"/>
      <c r="G193" s="164"/>
      <c r="H193" s="164"/>
      <c r="I193" s="164"/>
      <c r="J193" s="164"/>
      <c r="K193" s="164"/>
      <c r="L193" s="164"/>
      <c r="M193" s="164"/>
      <c r="N193" s="164"/>
      <c r="O193" s="164"/>
      <c r="P193" s="164"/>
      <c r="Q193" s="164"/>
      <c r="R193" s="164"/>
      <c r="S193" s="164"/>
      <c r="T193" s="164"/>
      <c r="U193" s="164"/>
      <c r="V193" s="164"/>
      <c r="W193" s="164"/>
      <c r="X193" s="164"/>
      <c r="Y193" s="164"/>
      <c r="Z193" s="164"/>
      <c r="AA193" s="164"/>
      <c r="AB193" s="164"/>
      <c r="AC193" s="1220"/>
    </row>
    <row r="194" ht="15.75" customHeight="1">
      <c r="A194" s="164"/>
      <c r="B194" s="1170"/>
      <c r="C194" s="164"/>
      <c r="D194" s="164"/>
      <c r="E194" s="164"/>
      <c r="F194" s="164"/>
      <c r="G194" s="164"/>
      <c r="H194" s="164"/>
      <c r="I194" s="164"/>
      <c r="J194" s="164"/>
      <c r="K194" s="164"/>
      <c r="L194" s="164"/>
      <c r="M194" s="164"/>
      <c r="N194" s="164"/>
      <c r="O194" s="164"/>
      <c r="P194" s="164"/>
      <c r="Q194" s="164"/>
      <c r="R194" s="164"/>
      <c r="S194" s="164"/>
      <c r="T194" s="164"/>
      <c r="U194" s="164"/>
      <c r="V194" s="164"/>
      <c r="W194" s="164"/>
      <c r="X194" s="164"/>
      <c r="Y194" s="164"/>
      <c r="Z194" s="164"/>
      <c r="AA194" s="164"/>
      <c r="AB194" s="164"/>
      <c r="AC194" s="1220"/>
    </row>
    <row r="195" ht="15.75" customHeight="1">
      <c r="A195" s="164"/>
      <c r="B195" s="1170"/>
      <c r="C195" s="164"/>
      <c r="D195" s="164"/>
      <c r="E195" s="164"/>
      <c r="F195" s="164"/>
      <c r="G195" s="164"/>
      <c r="H195" s="164"/>
      <c r="I195" s="164"/>
      <c r="J195" s="164"/>
      <c r="K195" s="164"/>
      <c r="L195" s="164"/>
      <c r="M195" s="164"/>
      <c r="N195" s="164"/>
      <c r="O195" s="164"/>
      <c r="P195" s="164"/>
      <c r="Q195" s="164"/>
      <c r="R195" s="164"/>
      <c r="S195" s="164"/>
      <c r="T195" s="164"/>
      <c r="U195" s="164"/>
      <c r="V195" s="164"/>
      <c r="W195" s="164"/>
      <c r="X195" s="164"/>
      <c r="Y195" s="164"/>
      <c r="Z195" s="164"/>
      <c r="AA195" s="164"/>
      <c r="AB195" s="164"/>
      <c r="AC195" s="1220"/>
    </row>
    <row r="196" ht="15.75" customHeight="1">
      <c r="A196" s="164"/>
      <c r="B196" s="1170"/>
      <c r="C196" s="164"/>
      <c r="D196" s="164"/>
      <c r="E196" s="164"/>
      <c r="F196" s="164"/>
      <c r="G196" s="164"/>
      <c r="H196" s="164"/>
      <c r="I196" s="164"/>
      <c r="J196" s="164"/>
      <c r="K196" s="164"/>
      <c r="L196" s="164"/>
      <c r="M196" s="164"/>
      <c r="N196" s="164"/>
      <c r="O196" s="164"/>
      <c r="P196" s="164"/>
      <c r="Q196" s="164"/>
      <c r="R196" s="164"/>
      <c r="S196" s="164"/>
      <c r="T196" s="164"/>
      <c r="U196" s="164"/>
      <c r="V196" s="164"/>
      <c r="W196" s="164"/>
      <c r="X196" s="164"/>
      <c r="Y196" s="164"/>
      <c r="Z196" s="164"/>
      <c r="AA196" s="164"/>
      <c r="AB196" s="164"/>
      <c r="AC196" s="1220"/>
    </row>
    <row r="197" ht="15.75" customHeight="1">
      <c r="A197" s="164"/>
      <c r="B197" s="1170"/>
      <c r="C197" s="164"/>
      <c r="D197" s="164"/>
      <c r="E197" s="164"/>
      <c r="F197" s="164"/>
      <c r="G197" s="164"/>
      <c r="H197" s="164"/>
      <c r="I197" s="164"/>
      <c r="J197" s="164"/>
      <c r="K197" s="164"/>
      <c r="L197" s="164"/>
      <c r="M197" s="164"/>
      <c r="N197" s="164"/>
      <c r="O197" s="164"/>
      <c r="P197" s="164"/>
      <c r="Q197" s="164"/>
      <c r="R197" s="164"/>
      <c r="S197" s="164"/>
      <c r="T197" s="164"/>
      <c r="U197" s="164"/>
      <c r="V197" s="164"/>
      <c r="W197" s="164"/>
      <c r="X197" s="164"/>
      <c r="Y197" s="164"/>
      <c r="Z197" s="164"/>
      <c r="AA197" s="164"/>
      <c r="AB197" s="164"/>
      <c r="AC197" s="1220"/>
    </row>
    <row r="198" ht="15.75" customHeight="1">
      <c r="A198" s="164"/>
      <c r="B198" s="1170"/>
      <c r="C198" s="164"/>
      <c r="D198" s="164"/>
      <c r="E198" s="164"/>
      <c r="F198" s="164"/>
      <c r="G198" s="164"/>
      <c r="H198" s="164"/>
      <c r="I198" s="164"/>
      <c r="J198" s="164"/>
      <c r="K198" s="164"/>
      <c r="L198" s="164"/>
      <c r="M198" s="164"/>
      <c r="N198" s="164"/>
      <c r="O198" s="164"/>
      <c r="P198" s="164"/>
      <c r="Q198" s="164"/>
      <c r="R198" s="164"/>
      <c r="S198" s="164"/>
      <c r="T198" s="164"/>
      <c r="U198" s="164"/>
      <c r="V198" s="164"/>
      <c r="W198" s="164"/>
      <c r="X198" s="164"/>
      <c r="Y198" s="164"/>
      <c r="Z198" s="164"/>
      <c r="AA198" s="164"/>
      <c r="AB198" s="164"/>
      <c r="AC198" s="1220"/>
    </row>
    <row r="199" ht="15.75" customHeight="1">
      <c r="A199" s="164"/>
      <c r="B199" s="1170"/>
      <c r="C199" s="164"/>
      <c r="D199" s="164"/>
      <c r="E199" s="164"/>
      <c r="F199" s="164"/>
      <c r="G199" s="164"/>
      <c r="H199" s="164"/>
      <c r="I199" s="164"/>
      <c r="J199" s="164"/>
      <c r="K199" s="164"/>
      <c r="L199" s="164"/>
      <c r="M199" s="164"/>
      <c r="N199" s="164"/>
      <c r="O199" s="164"/>
      <c r="P199" s="164"/>
      <c r="Q199" s="164"/>
      <c r="R199" s="164"/>
      <c r="S199" s="164"/>
      <c r="T199" s="164"/>
      <c r="U199" s="164"/>
      <c r="V199" s="164"/>
      <c r="W199" s="164"/>
      <c r="X199" s="164"/>
      <c r="Y199" s="164"/>
      <c r="Z199" s="164"/>
      <c r="AA199" s="164"/>
      <c r="AB199" s="164"/>
      <c r="AC199" s="1220"/>
    </row>
    <row r="200" ht="15.75" customHeight="1">
      <c r="A200" s="164"/>
      <c r="B200" s="1170"/>
      <c r="C200" s="164"/>
      <c r="D200" s="164"/>
      <c r="E200" s="164"/>
      <c r="F200" s="164"/>
      <c r="G200" s="164"/>
      <c r="H200" s="164"/>
      <c r="I200" s="164"/>
      <c r="J200" s="164"/>
      <c r="K200" s="164"/>
      <c r="L200" s="164"/>
      <c r="M200" s="164"/>
      <c r="N200" s="164"/>
      <c r="O200" s="164"/>
      <c r="P200" s="164"/>
      <c r="Q200" s="164"/>
      <c r="R200" s="164"/>
      <c r="S200" s="164"/>
      <c r="T200" s="164"/>
      <c r="U200" s="164"/>
      <c r="V200" s="164"/>
      <c r="W200" s="164"/>
      <c r="X200" s="164"/>
      <c r="Y200" s="164"/>
      <c r="Z200" s="164"/>
      <c r="AA200" s="164"/>
      <c r="AB200" s="164"/>
      <c r="AC200" s="1220"/>
    </row>
    <row r="201" ht="15.75" customHeight="1">
      <c r="A201" s="164"/>
      <c r="B201" s="1170"/>
      <c r="C201" s="164"/>
      <c r="D201" s="164"/>
      <c r="E201" s="164"/>
      <c r="F201" s="164"/>
      <c r="G201" s="164"/>
      <c r="H201" s="164"/>
      <c r="I201" s="164"/>
      <c r="J201" s="164"/>
      <c r="K201" s="164"/>
      <c r="L201" s="164"/>
      <c r="M201" s="164"/>
      <c r="N201" s="164"/>
      <c r="O201" s="164"/>
      <c r="P201" s="164"/>
      <c r="Q201" s="164"/>
      <c r="R201" s="164"/>
      <c r="S201" s="164"/>
      <c r="T201" s="164"/>
      <c r="U201" s="164"/>
      <c r="V201" s="164"/>
      <c r="W201" s="164"/>
      <c r="X201" s="164"/>
      <c r="Y201" s="164"/>
      <c r="Z201" s="164"/>
      <c r="AA201" s="164"/>
      <c r="AB201" s="164"/>
      <c r="AC201" s="1220"/>
    </row>
    <row r="202" ht="15.75" customHeight="1">
      <c r="A202" s="164"/>
      <c r="B202" s="1170"/>
      <c r="C202" s="164"/>
      <c r="D202" s="164"/>
      <c r="E202" s="164"/>
      <c r="F202" s="164"/>
      <c r="G202" s="164"/>
      <c r="H202" s="164"/>
      <c r="I202" s="164"/>
      <c r="J202" s="164"/>
      <c r="K202" s="164"/>
      <c r="L202" s="164"/>
      <c r="M202" s="164"/>
      <c r="N202" s="164"/>
      <c r="O202" s="164"/>
      <c r="P202" s="164"/>
      <c r="Q202" s="164"/>
      <c r="R202" s="164"/>
      <c r="S202" s="164"/>
      <c r="T202" s="164"/>
      <c r="U202" s="164"/>
      <c r="V202" s="164"/>
      <c r="W202" s="164"/>
      <c r="X202" s="164"/>
      <c r="Y202" s="164"/>
      <c r="Z202" s="164"/>
      <c r="AA202" s="164"/>
      <c r="AB202" s="164"/>
      <c r="AC202" s="1220"/>
    </row>
    <row r="203" ht="15.75" customHeight="1">
      <c r="A203" s="164"/>
      <c r="B203" s="1170"/>
      <c r="C203" s="164"/>
      <c r="D203" s="164"/>
      <c r="E203" s="164"/>
      <c r="F203" s="164"/>
      <c r="G203" s="164"/>
      <c r="H203" s="164"/>
      <c r="I203" s="164"/>
      <c r="J203" s="164"/>
      <c r="K203" s="164"/>
      <c r="L203" s="164"/>
      <c r="M203" s="164"/>
      <c r="N203" s="164"/>
      <c r="O203" s="164"/>
      <c r="P203" s="164"/>
      <c r="Q203" s="164"/>
      <c r="R203" s="164"/>
      <c r="S203" s="164"/>
      <c r="T203" s="164"/>
      <c r="U203" s="164"/>
      <c r="V203" s="164"/>
      <c r="W203" s="164"/>
      <c r="X203" s="164"/>
      <c r="Y203" s="164"/>
      <c r="Z203" s="164"/>
      <c r="AA203" s="164"/>
      <c r="AB203" s="164"/>
      <c r="AC203" s="1220"/>
    </row>
    <row r="204" ht="15.75" customHeight="1">
      <c r="A204" s="164"/>
      <c r="B204" s="1170"/>
      <c r="C204" s="164"/>
      <c r="D204" s="164"/>
      <c r="E204" s="164"/>
      <c r="F204" s="164"/>
      <c r="G204" s="164"/>
      <c r="H204" s="164"/>
      <c r="I204" s="164"/>
      <c r="J204" s="164"/>
      <c r="K204" s="164"/>
      <c r="L204" s="164"/>
      <c r="M204" s="164"/>
      <c r="N204" s="164"/>
      <c r="O204" s="164"/>
      <c r="P204" s="164"/>
      <c r="Q204" s="164"/>
      <c r="R204" s="164"/>
      <c r="S204" s="164"/>
      <c r="T204" s="164"/>
      <c r="U204" s="164"/>
      <c r="V204" s="164"/>
      <c r="W204" s="164"/>
      <c r="X204" s="164"/>
      <c r="Y204" s="164"/>
      <c r="Z204" s="164"/>
      <c r="AA204" s="164"/>
      <c r="AB204" s="164"/>
      <c r="AC204" s="1220"/>
    </row>
    <row r="205" ht="15.75" customHeight="1">
      <c r="A205" s="164"/>
      <c r="B205" s="1170"/>
      <c r="C205" s="164"/>
      <c r="D205" s="164"/>
      <c r="E205" s="164"/>
      <c r="F205" s="164"/>
      <c r="G205" s="164"/>
      <c r="H205" s="164"/>
      <c r="I205" s="164"/>
      <c r="J205" s="164"/>
      <c r="K205" s="164"/>
      <c r="L205" s="164"/>
      <c r="M205" s="164"/>
      <c r="N205" s="164"/>
      <c r="O205" s="164"/>
      <c r="P205" s="164"/>
      <c r="Q205" s="164"/>
      <c r="R205" s="164"/>
      <c r="S205" s="164"/>
      <c r="T205" s="164"/>
      <c r="U205" s="164"/>
      <c r="V205" s="164"/>
      <c r="W205" s="164"/>
      <c r="X205" s="164"/>
      <c r="Y205" s="164"/>
      <c r="Z205" s="164"/>
      <c r="AA205" s="164"/>
      <c r="AB205" s="164"/>
      <c r="AC205" s="1220"/>
    </row>
    <row r="206" ht="15.75" customHeight="1">
      <c r="A206" s="164"/>
      <c r="B206" s="1170"/>
      <c r="C206" s="164"/>
      <c r="D206" s="164"/>
      <c r="E206" s="164"/>
      <c r="F206" s="164"/>
      <c r="G206" s="164"/>
      <c r="H206" s="164"/>
      <c r="I206" s="164"/>
      <c r="J206" s="164"/>
      <c r="K206" s="164"/>
      <c r="L206" s="164"/>
      <c r="M206" s="164"/>
      <c r="N206" s="164"/>
      <c r="O206" s="164"/>
      <c r="P206" s="164"/>
      <c r="Q206" s="164"/>
      <c r="R206" s="164"/>
      <c r="S206" s="164"/>
      <c r="T206" s="164"/>
      <c r="U206" s="164"/>
      <c r="V206" s="164"/>
      <c r="W206" s="164"/>
      <c r="X206" s="164"/>
      <c r="Y206" s="164"/>
      <c r="Z206" s="164"/>
      <c r="AA206" s="164"/>
      <c r="AB206" s="164"/>
      <c r="AC206" s="1220"/>
    </row>
    <row r="207" ht="15.75" customHeight="1">
      <c r="A207" s="164"/>
      <c r="B207" s="1170"/>
      <c r="C207" s="164"/>
      <c r="D207" s="164"/>
      <c r="E207" s="164"/>
      <c r="F207" s="164"/>
      <c r="G207" s="164"/>
      <c r="H207" s="164"/>
      <c r="I207" s="164"/>
      <c r="J207" s="164"/>
      <c r="K207" s="164"/>
      <c r="L207" s="164"/>
      <c r="M207" s="164"/>
      <c r="N207" s="164"/>
      <c r="O207" s="164"/>
      <c r="P207" s="164"/>
      <c r="Q207" s="164"/>
      <c r="R207" s="164"/>
      <c r="S207" s="164"/>
      <c r="T207" s="164"/>
      <c r="U207" s="164"/>
      <c r="V207" s="164"/>
      <c r="W207" s="164"/>
      <c r="X207" s="164"/>
      <c r="Y207" s="164"/>
      <c r="Z207" s="164"/>
      <c r="AA207" s="164"/>
      <c r="AB207" s="164"/>
      <c r="AC207" s="1220"/>
    </row>
    <row r="208" ht="15.75" customHeight="1">
      <c r="A208" s="164"/>
      <c r="B208" s="1170"/>
      <c r="C208" s="164"/>
      <c r="D208" s="164"/>
      <c r="E208" s="164"/>
      <c r="F208" s="164"/>
      <c r="G208" s="164"/>
      <c r="H208" s="164"/>
      <c r="I208" s="164"/>
      <c r="J208" s="164"/>
      <c r="K208" s="164"/>
      <c r="L208" s="164"/>
      <c r="M208" s="164"/>
      <c r="N208" s="164"/>
      <c r="O208" s="164"/>
      <c r="P208" s="164"/>
      <c r="Q208" s="164"/>
      <c r="R208" s="164"/>
      <c r="S208" s="164"/>
      <c r="T208" s="164"/>
      <c r="U208" s="164"/>
      <c r="V208" s="164"/>
      <c r="W208" s="164"/>
      <c r="X208" s="164"/>
      <c r="Y208" s="164"/>
      <c r="Z208" s="164"/>
      <c r="AA208" s="164"/>
      <c r="AB208" s="164"/>
      <c r="AC208" s="1220"/>
    </row>
    <row r="209" ht="15.75" customHeight="1">
      <c r="A209" s="164"/>
      <c r="B209" s="1170"/>
      <c r="C209" s="164"/>
      <c r="D209" s="164"/>
      <c r="E209" s="164"/>
      <c r="F209" s="164"/>
      <c r="G209" s="164"/>
      <c r="H209" s="164"/>
      <c r="I209" s="164"/>
      <c r="J209" s="164"/>
      <c r="K209" s="164"/>
      <c r="L209" s="164"/>
      <c r="M209" s="164"/>
      <c r="N209" s="164"/>
      <c r="O209" s="164"/>
      <c r="P209" s="164"/>
      <c r="Q209" s="164"/>
      <c r="R209" s="164"/>
      <c r="S209" s="164"/>
      <c r="T209" s="164"/>
      <c r="U209" s="164"/>
      <c r="V209" s="164"/>
      <c r="W209" s="164"/>
      <c r="X209" s="164"/>
      <c r="Y209" s="164"/>
      <c r="Z209" s="164"/>
      <c r="AA209" s="164"/>
      <c r="AB209" s="164"/>
      <c r="AC209" s="1220"/>
    </row>
    <row r="210" ht="15.75" customHeight="1">
      <c r="A210" s="164"/>
      <c r="B210" s="1170"/>
      <c r="C210" s="164"/>
      <c r="D210" s="164"/>
      <c r="E210" s="164"/>
      <c r="F210" s="164"/>
      <c r="G210" s="164"/>
      <c r="H210" s="164"/>
      <c r="I210" s="164"/>
      <c r="J210" s="164"/>
      <c r="K210" s="164"/>
      <c r="L210" s="164"/>
      <c r="M210" s="164"/>
      <c r="N210" s="164"/>
      <c r="O210" s="164"/>
      <c r="P210" s="164"/>
      <c r="Q210" s="164"/>
      <c r="R210" s="164"/>
      <c r="S210" s="164"/>
      <c r="T210" s="164"/>
      <c r="U210" s="164"/>
      <c r="V210" s="164"/>
      <c r="W210" s="164"/>
      <c r="X210" s="164"/>
      <c r="Y210" s="164"/>
      <c r="Z210" s="164"/>
      <c r="AA210" s="164"/>
      <c r="AB210" s="164"/>
      <c r="AC210" s="1220"/>
    </row>
    <row r="211" ht="15.75" customHeight="1">
      <c r="A211" s="164"/>
      <c r="B211" s="1170"/>
      <c r="C211" s="164"/>
      <c r="D211" s="164"/>
      <c r="E211" s="164"/>
      <c r="F211" s="164"/>
      <c r="G211" s="164"/>
      <c r="H211" s="164"/>
      <c r="I211" s="164"/>
      <c r="J211" s="164"/>
      <c r="K211" s="164"/>
      <c r="L211" s="164"/>
      <c r="M211" s="164"/>
      <c r="N211" s="164"/>
      <c r="O211" s="164"/>
      <c r="P211" s="164"/>
      <c r="Q211" s="164"/>
      <c r="R211" s="164"/>
      <c r="S211" s="164"/>
      <c r="T211" s="164"/>
      <c r="U211" s="164"/>
      <c r="V211" s="164"/>
      <c r="W211" s="164"/>
      <c r="X211" s="164"/>
      <c r="Y211" s="164"/>
      <c r="Z211" s="164"/>
      <c r="AA211" s="164"/>
      <c r="AB211" s="164"/>
      <c r="AC211" s="1220"/>
    </row>
    <row r="212" ht="15.75" customHeight="1">
      <c r="A212" s="164"/>
      <c r="B212" s="1170"/>
      <c r="C212" s="164"/>
      <c r="D212" s="164"/>
      <c r="E212" s="164"/>
      <c r="F212" s="164"/>
      <c r="G212" s="164"/>
      <c r="H212" s="164"/>
      <c r="I212" s="164"/>
      <c r="J212" s="164"/>
      <c r="K212" s="164"/>
      <c r="L212" s="164"/>
      <c r="M212" s="164"/>
      <c r="N212" s="164"/>
      <c r="O212" s="164"/>
      <c r="P212" s="164"/>
      <c r="Q212" s="164"/>
      <c r="R212" s="164"/>
      <c r="S212" s="164"/>
      <c r="T212" s="164"/>
      <c r="U212" s="164"/>
      <c r="V212" s="164"/>
      <c r="W212" s="164"/>
      <c r="X212" s="164"/>
      <c r="Y212" s="164"/>
      <c r="Z212" s="164"/>
      <c r="AA212" s="164"/>
      <c r="AB212" s="164"/>
      <c r="AC212" s="1220"/>
    </row>
    <row r="213" ht="15.75" customHeight="1">
      <c r="A213" s="164"/>
      <c r="B213" s="1170"/>
      <c r="C213" s="164"/>
      <c r="D213" s="164"/>
      <c r="E213" s="164"/>
      <c r="F213" s="164"/>
      <c r="G213" s="164"/>
      <c r="H213" s="164"/>
      <c r="I213" s="164"/>
      <c r="J213" s="164"/>
      <c r="K213" s="164"/>
      <c r="L213" s="164"/>
      <c r="M213" s="164"/>
      <c r="N213" s="164"/>
      <c r="O213" s="164"/>
      <c r="P213" s="164"/>
      <c r="Q213" s="164"/>
      <c r="R213" s="164"/>
      <c r="S213" s="164"/>
      <c r="T213" s="164"/>
      <c r="U213" s="164"/>
      <c r="V213" s="164"/>
      <c r="W213" s="164"/>
      <c r="X213" s="164"/>
      <c r="Y213" s="164"/>
      <c r="Z213" s="164"/>
      <c r="AA213" s="164"/>
      <c r="AB213" s="164"/>
      <c r="AC213" s="1220"/>
    </row>
    <row r="214" ht="15.75" customHeight="1">
      <c r="A214" s="164"/>
      <c r="B214" s="1170"/>
      <c r="C214" s="164"/>
      <c r="D214" s="164"/>
      <c r="E214" s="164"/>
      <c r="F214" s="164"/>
      <c r="G214" s="164"/>
      <c r="H214" s="164"/>
      <c r="I214" s="164"/>
      <c r="J214" s="164"/>
      <c r="K214" s="164"/>
      <c r="L214" s="164"/>
      <c r="M214" s="164"/>
      <c r="N214" s="164"/>
      <c r="O214" s="164"/>
      <c r="P214" s="164"/>
      <c r="Q214" s="164"/>
      <c r="R214" s="164"/>
      <c r="S214" s="164"/>
      <c r="T214" s="164"/>
      <c r="U214" s="164"/>
      <c r="V214" s="164"/>
      <c r="W214" s="164"/>
      <c r="X214" s="164"/>
      <c r="Y214" s="164"/>
      <c r="Z214" s="164"/>
      <c r="AA214" s="164"/>
      <c r="AB214" s="164"/>
      <c r="AC214" s="1220"/>
    </row>
    <row r="215" ht="15.75" customHeight="1">
      <c r="A215" s="164"/>
      <c r="B215" s="1170"/>
      <c r="C215" s="164"/>
      <c r="D215" s="164"/>
      <c r="E215" s="164"/>
      <c r="F215" s="164"/>
      <c r="G215" s="164"/>
      <c r="H215" s="164"/>
      <c r="I215" s="164"/>
      <c r="J215" s="164"/>
      <c r="K215" s="164"/>
      <c r="L215" s="164"/>
      <c r="M215" s="164"/>
      <c r="N215" s="164"/>
      <c r="O215" s="164"/>
      <c r="P215" s="164"/>
      <c r="Q215" s="164"/>
      <c r="R215" s="164"/>
      <c r="S215" s="164"/>
      <c r="T215" s="164"/>
      <c r="U215" s="164"/>
      <c r="V215" s="164"/>
      <c r="W215" s="164"/>
      <c r="X215" s="164"/>
      <c r="Y215" s="164"/>
      <c r="Z215" s="164"/>
      <c r="AA215" s="164"/>
      <c r="AB215" s="164"/>
      <c r="AC215" s="1220"/>
    </row>
    <row r="216" ht="15.75" customHeight="1">
      <c r="A216" s="164"/>
      <c r="B216" s="1170"/>
      <c r="C216" s="164"/>
      <c r="D216" s="164"/>
      <c r="E216" s="164"/>
      <c r="F216" s="164"/>
      <c r="G216" s="164"/>
      <c r="H216" s="164"/>
      <c r="I216" s="164"/>
      <c r="J216" s="164"/>
      <c r="K216" s="164"/>
      <c r="L216" s="164"/>
      <c r="M216" s="164"/>
      <c r="N216" s="164"/>
      <c r="O216" s="164"/>
      <c r="P216" s="164"/>
      <c r="Q216" s="164"/>
      <c r="R216" s="164"/>
      <c r="S216" s="164"/>
      <c r="T216" s="164"/>
      <c r="U216" s="164"/>
      <c r="V216" s="164"/>
      <c r="W216" s="164"/>
      <c r="X216" s="164"/>
      <c r="Y216" s="164"/>
      <c r="Z216" s="164"/>
      <c r="AA216" s="164"/>
      <c r="AB216" s="164"/>
      <c r="AC216" s="1220"/>
    </row>
    <row r="217" ht="15.75" customHeight="1">
      <c r="A217" s="164"/>
      <c r="B217" s="1170"/>
      <c r="C217" s="164"/>
      <c r="D217" s="164"/>
      <c r="E217" s="164"/>
      <c r="F217" s="164"/>
      <c r="G217" s="164"/>
      <c r="H217" s="164"/>
      <c r="I217" s="164"/>
      <c r="J217" s="164"/>
      <c r="K217" s="164"/>
      <c r="L217" s="164"/>
      <c r="M217" s="164"/>
      <c r="N217" s="164"/>
      <c r="O217" s="164"/>
      <c r="P217" s="164"/>
      <c r="Q217" s="164"/>
      <c r="R217" s="164"/>
      <c r="S217" s="164"/>
      <c r="T217" s="164"/>
      <c r="U217" s="164"/>
      <c r="V217" s="164"/>
      <c r="W217" s="164"/>
      <c r="X217" s="164"/>
      <c r="Y217" s="164"/>
      <c r="Z217" s="164"/>
      <c r="AA217" s="164"/>
      <c r="AB217" s="164"/>
      <c r="AC217" s="1220"/>
    </row>
    <row r="218" ht="15.75" customHeight="1">
      <c r="A218" s="164"/>
      <c r="B218" s="1170"/>
      <c r="C218" s="164"/>
      <c r="D218" s="164"/>
      <c r="E218" s="164"/>
      <c r="F218" s="164"/>
      <c r="G218" s="164"/>
      <c r="H218" s="164"/>
      <c r="I218" s="164"/>
      <c r="J218" s="164"/>
      <c r="K218" s="164"/>
      <c r="L218" s="164"/>
      <c r="M218" s="164"/>
      <c r="N218" s="164"/>
      <c r="O218" s="164"/>
      <c r="P218" s="164"/>
      <c r="Q218" s="164"/>
      <c r="R218" s="164"/>
      <c r="S218" s="164"/>
      <c r="T218" s="164"/>
      <c r="U218" s="164"/>
      <c r="V218" s="164"/>
      <c r="W218" s="164"/>
      <c r="X218" s="164"/>
      <c r="Y218" s="164"/>
      <c r="Z218" s="164"/>
      <c r="AA218" s="164"/>
      <c r="AB218" s="164"/>
      <c r="AC218" s="1220"/>
    </row>
    <row r="219" ht="15.75" customHeight="1">
      <c r="A219" s="164"/>
      <c r="B219" s="1170"/>
      <c r="C219" s="164"/>
      <c r="D219" s="164"/>
      <c r="E219" s="164"/>
      <c r="F219" s="164"/>
      <c r="G219" s="164"/>
      <c r="H219" s="164"/>
      <c r="I219" s="164"/>
      <c r="J219" s="164"/>
      <c r="K219" s="164"/>
      <c r="L219" s="164"/>
      <c r="M219" s="164"/>
      <c r="N219" s="164"/>
      <c r="O219" s="164"/>
      <c r="P219" s="164"/>
      <c r="Q219" s="164"/>
      <c r="R219" s="164"/>
      <c r="S219" s="164"/>
      <c r="T219" s="164"/>
      <c r="U219" s="164"/>
      <c r="V219" s="164"/>
      <c r="W219" s="164"/>
      <c r="X219" s="164"/>
      <c r="Y219" s="164"/>
      <c r="Z219" s="164"/>
      <c r="AA219" s="164"/>
      <c r="AB219" s="164"/>
      <c r="AC219" s="1220"/>
    </row>
    <row r="220" ht="15.75" customHeight="1">
      <c r="A220" s="164"/>
      <c r="B220" s="1170"/>
      <c r="C220" s="164"/>
      <c r="D220" s="164"/>
      <c r="E220" s="164"/>
      <c r="F220" s="164"/>
      <c r="G220" s="164"/>
      <c r="H220" s="164"/>
      <c r="I220" s="164"/>
      <c r="J220" s="164"/>
      <c r="K220" s="164"/>
      <c r="L220" s="164"/>
      <c r="M220" s="164"/>
      <c r="N220" s="164"/>
      <c r="O220" s="164"/>
      <c r="P220" s="164"/>
      <c r="Q220" s="164"/>
      <c r="R220" s="164"/>
      <c r="S220" s="164"/>
      <c r="T220" s="164"/>
      <c r="U220" s="164"/>
      <c r="V220" s="164"/>
      <c r="W220" s="164"/>
      <c r="X220" s="164"/>
      <c r="Y220" s="164"/>
      <c r="Z220" s="164"/>
      <c r="AA220" s="164"/>
      <c r="AB220" s="164"/>
      <c r="AC220" s="122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Q1:R1"/>
    <mergeCell ref="S1:T1"/>
    <mergeCell ref="U1:V1"/>
    <mergeCell ref="W1:X1"/>
    <mergeCell ref="Y1:Z1"/>
    <mergeCell ref="AA1:AC1"/>
    <mergeCell ref="C1:D1"/>
    <mergeCell ref="E1:F1"/>
    <mergeCell ref="G1:H1"/>
    <mergeCell ref="I1:J1"/>
    <mergeCell ref="K1:L1"/>
    <mergeCell ref="M1:N1"/>
    <mergeCell ref="O1:P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7BB8A"/>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hidden="1" min="1" max="1" width="11.75"/>
    <col customWidth="1" hidden="1" min="2" max="2" width="7.0"/>
    <col customWidth="1" min="3" max="3" width="12.63"/>
    <col customWidth="1" hidden="1" min="4" max="4" width="11.0"/>
    <col customWidth="1" hidden="1" min="5" max="5" width="13.25"/>
    <col customWidth="1" min="6" max="6" width="7.38"/>
    <col customWidth="1" min="7" max="7" width="11.63"/>
    <col customWidth="1" min="8" max="8" width="12.13"/>
    <col customWidth="1" min="9" max="9" width="11.38"/>
    <col customWidth="1" hidden="1" min="10" max="10" width="36.88"/>
    <col customWidth="1" min="11" max="11" width="10.25"/>
    <col customWidth="1" min="12" max="12" width="8.5"/>
    <col customWidth="1" min="13" max="18" width="11.38"/>
    <col customWidth="1" min="19" max="20" width="12.38"/>
  </cols>
  <sheetData>
    <row r="1" ht="33.0" customHeight="1">
      <c r="A1" s="251"/>
      <c r="B1" s="1221"/>
      <c r="C1" s="1222"/>
      <c r="D1" s="1223"/>
      <c r="E1" s="1223"/>
      <c r="F1" s="1223"/>
      <c r="G1" s="1223"/>
      <c r="H1" s="1224"/>
      <c r="I1" s="1225" t="s">
        <v>1522</v>
      </c>
      <c r="J1" s="1225" t="s">
        <v>1522</v>
      </c>
      <c r="K1" s="1225" t="s">
        <v>1522</v>
      </c>
      <c r="L1" s="1226"/>
      <c r="M1" s="1225" t="s">
        <v>1523</v>
      </c>
      <c r="N1" s="1227" t="s">
        <v>1524</v>
      </c>
      <c r="O1" s="1225" t="s">
        <v>1525</v>
      </c>
      <c r="P1" s="1228" t="s">
        <v>1526</v>
      </c>
      <c r="Q1" s="1225" t="s">
        <v>1527</v>
      </c>
      <c r="R1" s="1228" t="s">
        <v>1528</v>
      </c>
      <c r="S1" s="1227"/>
      <c r="T1" s="1227"/>
    </row>
    <row r="2" ht="32.25" customHeight="1">
      <c r="A2" s="251"/>
      <c r="B2" s="1229">
        <v>3.0</v>
      </c>
      <c r="C2" s="1230" t="s">
        <v>303</v>
      </c>
      <c r="D2" s="867" t="s">
        <v>933</v>
      </c>
      <c r="E2" s="867" t="s">
        <v>1529</v>
      </c>
      <c r="F2" s="867" t="s">
        <v>1530</v>
      </c>
      <c r="G2" s="867" t="s">
        <v>305</v>
      </c>
      <c r="H2" s="1231" t="s">
        <v>1531</v>
      </c>
      <c r="I2" s="1232" t="s">
        <v>1532</v>
      </c>
      <c r="J2" s="1233" t="s">
        <v>1533</v>
      </c>
      <c r="K2" s="1233"/>
      <c r="L2" s="1234" t="s">
        <v>908</v>
      </c>
      <c r="M2" s="1232" t="s">
        <v>1534</v>
      </c>
      <c r="N2" s="1235" t="s">
        <v>1535</v>
      </c>
      <c r="O2" s="1232" t="s">
        <v>1534</v>
      </c>
      <c r="P2" s="1235" t="s">
        <v>1535</v>
      </c>
      <c r="Q2" s="1232" t="s">
        <v>1534</v>
      </c>
      <c r="R2" s="1235" t="s">
        <v>1535</v>
      </c>
      <c r="S2" s="1234" t="s">
        <v>1536</v>
      </c>
      <c r="T2" s="1236"/>
    </row>
    <row r="3" ht="15.75" customHeight="1">
      <c r="A3" s="1237"/>
      <c r="B3" s="1238" t="str">
        <f>'1. Справочник'!B2</f>
        <v>Марина</v>
      </c>
      <c r="C3" s="12" t="str">
        <f>'1. Справочник'!C2</f>
        <v>WS В 503</v>
      </c>
      <c r="D3" s="1239">
        <v>7.0</v>
      </c>
      <c r="E3" s="1239" t="s">
        <v>1537</v>
      </c>
      <c r="F3" s="1240" t="str">
        <f>'1. Справочник'!F2</f>
        <v>1+1</v>
      </c>
      <c r="G3" s="1239" t="s">
        <v>518</v>
      </c>
      <c r="H3" s="1241">
        <v>800.0</v>
      </c>
      <c r="I3" s="1242">
        <v>50.0</v>
      </c>
      <c r="J3" s="1242">
        <v>50.0</v>
      </c>
      <c r="K3" s="1243">
        <f t="shared" ref="K3:K121" si="1">I3*1.2*2.7</f>
        <v>162</v>
      </c>
      <c r="L3" s="1244">
        <v>5.0</v>
      </c>
      <c r="M3" s="1242">
        <v>82.5925925925926</v>
      </c>
      <c r="N3" s="1245">
        <f t="shared" ref="N3:N121" si="2">M3*2.7*1.2</f>
        <v>267.6</v>
      </c>
      <c r="O3" s="1242">
        <v>109.07407407407405</v>
      </c>
      <c r="P3" s="1245">
        <f t="shared" ref="P3:P121" si="3">O3*2.7*1.2</f>
        <v>353.4</v>
      </c>
      <c r="Q3" s="1242">
        <v>137.5925925925926</v>
      </c>
      <c r="R3" s="1245">
        <f t="shared" ref="R3:R121" si="4">Q3*1.2*2.7</f>
        <v>445.8</v>
      </c>
      <c r="S3" s="1246">
        <v>5.0</v>
      </c>
      <c r="T3" s="1247"/>
    </row>
    <row r="4" ht="15.0" customHeight="1">
      <c r="A4" s="315"/>
      <c r="B4" s="1248" t="str">
        <f>'1. Справочник'!B3</f>
        <v>Марина</v>
      </c>
      <c r="C4" s="25" t="str">
        <f>'1. Справочник'!C3</f>
        <v>WS F 907</v>
      </c>
      <c r="D4" s="1249">
        <v>9.0</v>
      </c>
      <c r="E4" s="1249" t="s">
        <v>1538</v>
      </c>
      <c r="F4" s="1250" t="str">
        <f>'1. Справочник'!F3</f>
        <v>Студия</v>
      </c>
      <c r="G4" s="1251" t="s">
        <v>563</v>
      </c>
      <c r="H4" s="1252">
        <v>400.0</v>
      </c>
      <c r="I4" s="1242">
        <v>30.0</v>
      </c>
      <c r="J4" s="1242">
        <v>30.0</v>
      </c>
      <c r="K4" s="1243">
        <f t="shared" si="1"/>
        <v>97.2</v>
      </c>
      <c r="L4" s="1244">
        <v>3.0</v>
      </c>
      <c r="M4" s="1242">
        <v>45.925925925925924</v>
      </c>
      <c r="N4" s="1245">
        <f t="shared" si="2"/>
        <v>148.8</v>
      </c>
      <c r="O4" s="1242">
        <v>70.37037037037038</v>
      </c>
      <c r="P4" s="1245">
        <f t="shared" si="3"/>
        <v>228</v>
      </c>
      <c r="Q4" s="1242">
        <v>88.70370370370371</v>
      </c>
      <c r="R4" s="1245">
        <f t="shared" si="4"/>
        <v>287.4</v>
      </c>
      <c r="S4" s="1253">
        <v>3.0</v>
      </c>
      <c r="T4" s="1247"/>
    </row>
    <row r="5" ht="15.75" customHeight="1">
      <c r="B5" s="1248" t="str">
        <f>'1. Справочник'!B4</f>
        <v>Марина</v>
      </c>
      <c r="C5" s="25" t="str">
        <f>'1. Справочник'!C4</f>
        <v>WS В 212</v>
      </c>
      <c r="D5" s="1249">
        <v>9.0</v>
      </c>
      <c r="E5" s="1249" t="s">
        <v>1537</v>
      </c>
      <c r="F5" s="1250" t="str">
        <f>'1. Справочник'!F4</f>
        <v>1+2</v>
      </c>
      <c r="G5" s="1251" t="s">
        <v>518</v>
      </c>
      <c r="H5" s="1252">
        <v>850.0</v>
      </c>
      <c r="I5" s="1242">
        <v>60.0</v>
      </c>
      <c r="J5" s="1242">
        <v>60.0</v>
      </c>
      <c r="K5" s="1243">
        <f t="shared" si="1"/>
        <v>194.4</v>
      </c>
      <c r="L5" s="1244">
        <v>3.0</v>
      </c>
      <c r="M5" s="1242">
        <v>104.99999999999999</v>
      </c>
      <c r="N5" s="1245">
        <f t="shared" si="2"/>
        <v>340.2</v>
      </c>
      <c r="O5" s="1242">
        <v>129.44444444444446</v>
      </c>
      <c r="P5" s="1245">
        <f t="shared" si="3"/>
        <v>419.4</v>
      </c>
      <c r="Q5" s="1242">
        <v>170.1851851851852</v>
      </c>
      <c r="R5" s="1245">
        <f t="shared" si="4"/>
        <v>551.4</v>
      </c>
      <c r="S5" s="1246">
        <v>5.0</v>
      </c>
      <c r="T5" s="1247"/>
    </row>
    <row r="6" ht="15.0" customHeight="1">
      <c r="B6" s="1248" t="str">
        <f>'1. Справочник'!B5</f>
        <v>Марина</v>
      </c>
      <c r="C6" s="25" t="str">
        <f>'1. Справочник'!C5</f>
        <v>WS В 1510</v>
      </c>
      <c r="D6" s="1249">
        <v>7.0</v>
      </c>
      <c r="E6" s="1249" t="s">
        <v>1539</v>
      </c>
      <c r="F6" s="1250" t="str">
        <f>'1. Справочник'!F5</f>
        <v>Студия</v>
      </c>
      <c r="G6" s="1251" t="s">
        <v>518</v>
      </c>
      <c r="H6" s="1252">
        <v>450.0</v>
      </c>
      <c r="I6" s="1242">
        <v>30.0</v>
      </c>
      <c r="J6" s="1242">
        <v>30.0</v>
      </c>
      <c r="K6" s="1243">
        <f t="shared" si="1"/>
        <v>97.2</v>
      </c>
      <c r="L6" s="1254">
        <v>3.0</v>
      </c>
      <c r="M6" s="1242">
        <v>45.925925925925924</v>
      </c>
      <c r="N6" s="1245">
        <f t="shared" si="2"/>
        <v>148.8</v>
      </c>
      <c r="O6" s="1242">
        <v>70.37037037037038</v>
      </c>
      <c r="P6" s="1245">
        <f t="shared" si="3"/>
        <v>228</v>
      </c>
      <c r="Q6" s="1242">
        <v>88.70370370370371</v>
      </c>
      <c r="R6" s="1245">
        <f t="shared" si="4"/>
        <v>287.4</v>
      </c>
      <c r="S6" s="1253">
        <v>3.0</v>
      </c>
      <c r="T6" s="1247"/>
    </row>
    <row r="7" ht="15.75" customHeight="1">
      <c r="B7" s="1248" t="str">
        <f>'1. Справочник'!B6</f>
        <v>Марина</v>
      </c>
      <c r="C7" s="25" t="str">
        <f>'1. Справочник'!C6</f>
        <v>WS В 807</v>
      </c>
      <c r="D7" s="1249">
        <v>7.0</v>
      </c>
      <c r="E7" s="1249" t="s">
        <v>1539</v>
      </c>
      <c r="F7" s="1250" t="str">
        <f>'1. Справочник'!F6</f>
        <v>Студия</v>
      </c>
      <c r="G7" s="1251" t="s">
        <v>518</v>
      </c>
      <c r="H7" s="1252">
        <v>450.0</v>
      </c>
      <c r="I7" s="1242">
        <v>25.0</v>
      </c>
      <c r="J7" s="1242">
        <v>25.0</v>
      </c>
      <c r="K7" s="1243">
        <f t="shared" si="1"/>
        <v>81</v>
      </c>
      <c r="L7" s="1254">
        <v>3.0</v>
      </c>
      <c r="M7" s="1242">
        <v>45.925925925925924</v>
      </c>
      <c r="N7" s="1245">
        <f t="shared" si="2"/>
        <v>148.8</v>
      </c>
      <c r="O7" s="1242">
        <v>70.37037037037038</v>
      </c>
      <c r="P7" s="1245">
        <f t="shared" si="3"/>
        <v>228</v>
      </c>
      <c r="Q7" s="1242">
        <v>88.70370370370371</v>
      </c>
      <c r="R7" s="1245">
        <f t="shared" si="4"/>
        <v>287.4</v>
      </c>
      <c r="S7" s="1253">
        <v>3.0</v>
      </c>
      <c r="T7" s="1247"/>
    </row>
    <row r="8" ht="15.75" customHeight="1">
      <c r="A8" s="1255"/>
      <c r="B8" s="1248" t="str">
        <f>'1. Справочник'!B7</f>
        <v>Марина</v>
      </c>
      <c r="C8" s="25" t="str">
        <f>'1. Справочник'!C7</f>
        <v>WS E 1202</v>
      </c>
      <c r="D8" s="1249">
        <v>9.0</v>
      </c>
      <c r="E8" s="1249" t="s">
        <v>1537</v>
      </c>
      <c r="F8" s="1250" t="str">
        <f>'1. Справочник'!F7</f>
        <v>1+1</v>
      </c>
      <c r="G8" s="1251" t="s">
        <v>518</v>
      </c>
      <c r="H8" s="1252">
        <v>800.0</v>
      </c>
      <c r="I8" s="1242">
        <v>55.0</v>
      </c>
      <c r="J8" s="1242">
        <v>55.0</v>
      </c>
      <c r="K8" s="1243">
        <f t="shared" si="1"/>
        <v>178.2</v>
      </c>
      <c r="L8" s="1244">
        <v>3.0</v>
      </c>
      <c r="M8" s="1242">
        <v>82.5925925925926</v>
      </c>
      <c r="N8" s="1245">
        <f t="shared" si="2"/>
        <v>267.6</v>
      </c>
      <c r="O8" s="1242">
        <v>109.07407407407405</v>
      </c>
      <c r="P8" s="1245">
        <f t="shared" si="3"/>
        <v>353.4</v>
      </c>
      <c r="Q8" s="1242">
        <v>137.5925925925926</v>
      </c>
      <c r="R8" s="1245">
        <f t="shared" si="4"/>
        <v>445.8</v>
      </c>
      <c r="S8" s="1246">
        <v>5.0</v>
      </c>
      <c r="T8" s="1247"/>
    </row>
    <row r="9" ht="15.75" customHeight="1">
      <c r="A9" s="1256"/>
      <c r="B9" s="1248" t="str">
        <f>'1. Справочник'!B8</f>
        <v>Марина</v>
      </c>
      <c r="C9" s="25" t="str">
        <f>'1. Справочник'!C8</f>
        <v>WS A 409</v>
      </c>
      <c r="D9" s="1249">
        <v>9.0</v>
      </c>
      <c r="E9" s="1249" t="s">
        <v>1539</v>
      </c>
      <c r="F9" s="1250" t="str">
        <f>'1. Справочник'!F8</f>
        <v>Студия</v>
      </c>
      <c r="G9" s="1251" t="s">
        <v>563</v>
      </c>
      <c r="H9" s="1252">
        <v>450.0</v>
      </c>
      <c r="I9" s="1242">
        <v>30.0</v>
      </c>
      <c r="J9" s="1242">
        <v>30.0</v>
      </c>
      <c r="K9" s="1243">
        <f t="shared" si="1"/>
        <v>97.2</v>
      </c>
      <c r="L9" s="1257">
        <v>3.0</v>
      </c>
      <c r="M9" s="1242">
        <v>45.925925925925924</v>
      </c>
      <c r="N9" s="1245">
        <f t="shared" si="2"/>
        <v>148.8</v>
      </c>
      <c r="O9" s="1242">
        <v>70.37037037037038</v>
      </c>
      <c r="P9" s="1245">
        <f t="shared" si="3"/>
        <v>228</v>
      </c>
      <c r="Q9" s="1242">
        <v>88.70370370370371</v>
      </c>
      <c r="R9" s="1245">
        <f t="shared" si="4"/>
        <v>287.4</v>
      </c>
      <c r="S9" s="1257">
        <v>3.0</v>
      </c>
      <c r="T9" s="1247"/>
    </row>
    <row r="10" ht="15.75" customHeight="1">
      <c r="A10" s="1256"/>
      <c r="B10" s="1248" t="str">
        <f>'1. Справочник'!B9</f>
        <v>Марина</v>
      </c>
      <c r="C10" s="25" t="str">
        <f>'1. Справочник'!C9</f>
        <v>WS A 608</v>
      </c>
      <c r="D10" s="1249">
        <v>5.0</v>
      </c>
      <c r="E10" s="1249" t="s">
        <v>1538</v>
      </c>
      <c r="F10" s="1250" t="str">
        <f>'1. Справочник'!F9</f>
        <v>Студия</v>
      </c>
      <c r="G10" s="1251" t="s">
        <v>518</v>
      </c>
      <c r="H10" s="1252">
        <v>450.0</v>
      </c>
      <c r="I10" s="1242">
        <v>30.0</v>
      </c>
      <c r="J10" s="1242">
        <v>30.0</v>
      </c>
      <c r="K10" s="1243">
        <f t="shared" si="1"/>
        <v>97.2</v>
      </c>
      <c r="L10" s="1254">
        <v>3.0</v>
      </c>
      <c r="M10" s="1242">
        <v>45.925925925925924</v>
      </c>
      <c r="N10" s="1245">
        <f t="shared" si="2"/>
        <v>148.8</v>
      </c>
      <c r="O10" s="1242">
        <v>70.37037037037038</v>
      </c>
      <c r="P10" s="1245">
        <f t="shared" si="3"/>
        <v>228</v>
      </c>
      <c r="Q10" s="1242">
        <v>88.70370370370371</v>
      </c>
      <c r="R10" s="1245">
        <f t="shared" si="4"/>
        <v>287.4</v>
      </c>
      <c r="S10" s="1253">
        <v>3.0</v>
      </c>
      <c r="T10" s="1247"/>
    </row>
    <row r="11" ht="15.0" customHeight="1">
      <c r="A11" s="1258"/>
      <c r="B11" s="1248" t="str">
        <f>'1. Справочник'!B10</f>
        <v>Марина</v>
      </c>
      <c r="C11" s="25" t="str">
        <f>'1. Справочник'!C10</f>
        <v>WS A907</v>
      </c>
      <c r="D11" s="1249">
        <v>7.0</v>
      </c>
      <c r="E11" s="1249" t="s">
        <v>1538</v>
      </c>
      <c r="F11" s="1250" t="str">
        <f>'1. Справочник'!F10</f>
        <v>Студия/твин</v>
      </c>
      <c r="G11" s="1251" t="s">
        <v>518</v>
      </c>
      <c r="H11" s="1252">
        <v>400.0</v>
      </c>
      <c r="I11" s="1242">
        <v>30.0</v>
      </c>
      <c r="J11" s="1242">
        <v>30.0</v>
      </c>
      <c r="K11" s="1243">
        <f t="shared" si="1"/>
        <v>97.2</v>
      </c>
      <c r="L11" s="1254">
        <v>3.0</v>
      </c>
      <c r="M11" s="1242">
        <v>45.925925925925924</v>
      </c>
      <c r="N11" s="1245">
        <f t="shared" si="2"/>
        <v>148.8</v>
      </c>
      <c r="O11" s="1242">
        <v>70.37037037037038</v>
      </c>
      <c r="P11" s="1245">
        <f t="shared" si="3"/>
        <v>228</v>
      </c>
      <c r="Q11" s="1242">
        <v>88.70370370370371</v>
      </c>
      <c r="R11" s="1245">
        <f t="shared" si="4"/>
        <v>287.4</v>
      </c>
      <c r="S11" s="1253">
        <v>3.0</v>
      </c>
      <c r="T11" s="1247"/>
    </row>
    <row r="12" ht="15.75" customHeight="1">
      <c r="A12" s="1259"/>
      <c r="B12" s="1248" t="str">
        <f>'1. Справочник'!B11</f>
        <v>Марина</v>
      </c>
      <c r="C12" s="25" t="str">
        <f>'1. Справочник'!C11</f>
        <v>WS Е804</v>
      </c>
      <c r="D12" s="1249">
        <v>7.0</v>
      </c>
      <c r="E12" s="1249" t="s">
        <v>1538</v>
      </c>
      <c r="F12" s="1250" t="str">
        <f>'1. Справочник'!F11</f>
        <v>Студия/твин</v>
      </c>
      <c r="G12" s="1251" t="s">
        <v>518</v>
      </c>
      <c r="H12" s="1252">
        <v>400.0</v>
      </c>
      <c r="I12" s="1242">
        <v>30.0</v>
      </c>
      <c r="J12" s="1242">
        <v>30.0</v>
      </c>
      <c r="K12" s="1243">
        <f t="shared" si="1"/>
        <v>97.2</v>
      </c>
      <c r="L12" s="1254">
        <v>3.0</v>
      </c>
      <c r="M12" s="1242">
        <v>45.925925925925924</v>
      </c>
      <c r="N12" s="1245">
        <f t="shared" si="2"/>
        <v>148.8</v>
      </c>
      <c r="O12" s="1242">
        <v>70.37037037037038</v>
      </c>
      <c r="P12" s="1245">
        <f t="shared" si="3"/>
        <v>228</v>
      </c>
      <c r="Q12" s="1242">
        <v>88.70370370370371</v>
      </c>
      <c r="R12" s="1245">
        <f t="shared" si="4"/>
        <v>287.4</v>
      </c>
      <c r="S12" s="1253">
        <v>3.0</v>
      </c>
      <c r="T12" s="1247"/>
    </row>
    <row r="13" ht="15.75" customHeight="1">
      <c r="A13" s="1259"/>
      <c r="B13" s="1248" t="str">
        <f>'1. Справочник'!B12</f>
        <v>Марина</v>
      </c>
      <c r="C13" s="25" t="str">
        <f>'1. Справочник'!C12</f>
        <v>WS E704</v>
      </c>
      <c r="D13" s="1249">
        <v>4.0</v>
      </c>
      <c r="E13" s="1249" t="s">
        <v>1539</v>
      </c>
      <c r="F13" s="1250" t="str">
        <f>'1. Справочник'!F12</f>
        <v>Студия</v>
      </c>
      <c r="G13" s="1251" t="s">
        <v>518</v>
      </c>
      <c r="H13" s="1252">
        <v>450.0</v>
      </c>
      <c r="I13" s="1242">
        <v>30.0</v>
      </c>
      <c r="J13" s="1242">
        <v>30.0</v>
      </c>
      <c r="K13" s="1243">
        <f t="shared" si="1"/>
        <v>97.2</v>
      </c>
      <c r="L13" s="1254">
        <v>3.0</v>
      </c>
      <c r="M13" s="1242">
        <v>45.925925925925924</v>
      </c>
      <c r="N13" s="1245">
        <f t="shared" si="2"/>
        <v>148.8</v>
      </c>
      <c r="O13" s="1242">
        <v>70.37037037037038</v>
      </c>
      <c r="P13" s="1245">
        <f t="shared" si="3"/>
        <v>228</v>
      </c>
      <c r="Q13" s="1242">
        <v>88.70370370370371</v>
      </c>
      <c r="R13" s="1245">
        <f t="shared" si="4"/>
        <v>287.4</v>
      </c>
      <c r="S13" s="1253">
        <v>3.0</v>
      </c>
      <c r="T13" s="1247"/>
    </row>
    <row r="14" ht="15.75" customHeight="1">
      <c r="A14" s="1259"/>
      <c r="B14" s="1248" t="str">
        <f>'1. Справочник'!B13</f>
        <v>Марина</v>
      </c>
      <c r="C14" s="25" t="str">
        <f>'1. Справочник'!C13</f>
        <v>WS A805</v>
      </c>
      <c r="D14" s="1249">
        <v>7.0</v>
      </c>
      <c r="E14" s="1249" t="s">
        <v>1539</v>
      </c>
      <c r="F14" s="1250" t="str">
        <f>'1. Справочник'!F13</f>
        <v>Студия</v>
      </c>
      <c r="G14" s="1251" t="s">
        <v>518</v>
      </c>
      <c r="H14" s="1252">
        <v>450.0</v>
      </c>
      <c r="I14" s="1242">
        <v>30.0</v>
      </c>
      <c r="J14" s="1242">
        <v>30.0</v>
      </c>
      <c r="K14" s="1243">
        <f t="shared" si="1"/>
        <v>97.2</v>
      </c>
      <c r="L14" s="1254">
        <v>3.0</v>
      </c>
      <c r="M14" s="1242">
        <v>45.925925925925924</v>
      </c>
      <c r="N14" s="1245">
        <f t="shared" si="2"/>
        <v>148.8</v>
      </c>
      <c r="O14" s="1242">
        <v>70.37037037037038</v>
      </c>
      <c r="P14" s="1245">
        <f t="shared" si="3"/>
        <v>228</v>
      </c>
      <c r="Q14" s="1242">
        <v>88.70370370370371</v>
      </c>
      <c r="R14" s="1245">
        <f t="shared" si="4"/>
        <v>287.4</v>
      </c>
      <c r="S14" s="1253">
        <v>3.0</v>
      </c>
      <c r="T14" s="1247"/>
    </row>
    <row r="15" ht="15.75" customHeight="1">
      <c r="A15" s="1260"/>
      <c r="B15" s="1248" t="str">
        <f>'1. Справочник'!B14</f>
        <v>Марина</v>
      </c>
      <c r="C15" s="25" t="str">
        <f>'1. Справочник'!C14</f>
        <v>WS F1103</v>
      </c>
      <c r="D15" s="1249">
        <v>7.0</v>
      </c>
      <c r="E15" s="1249" t="s">
        <v>1537</v>
      </c>
      <c r="F15" s="1250" t="str">
        <f>'1. Справочник'!F14</f>
        <v>1+1</v>
      </c>
      <c r="G15" s="1251" t="s">
        <v>518</v>
      </c>
      <c r="H15" s="1252">
        <v>800.0</v>
      </c>
      <c r="I15" s="1242">
        <v>55.0</v>
      </c>
      <c r="J15" s="1242">
        <v>55.0</v>
      </c>
      <c r="K15" s="1243">
        <f t="shared" si="1"/>
        <v>178.2</v>
      </c>
      <c r="L15" s="1244">
        <v>3.0</v>
      </c>
      <c r="M15" s="1242">
        <v>82.5925925925926</v>
      </c>
      <c r="N15" s="1245">
        <f t="shared" si="2"/>
        <v>267.6</v>
      </c>
      <c r="O15" s="1242">
        <v>109.07407407407405</v>
      </c>
      <c r="P15" s="1245">
        <f t="shared" si="3"/>
        <v>353.4</v>
      </c>
      <c r="Q15" s="1242">
        <v>137.5925925925926</v>
      </c>
      <c r="R15" s="1245">
        <f t="shared" si="4"/>
        <v>445.8</v>
      </c>
      <c r="S15" s="1246">
        <v>5.0</v>
      </c>
      <c r="T15" s="1247"/>
    </row>
    <row r="16" ht="15.75" customHeight="1">
      <c r="A16" s="1260"/>
      <c r="B16" s="1248"/>
      <c r="C16" s="25" t="str">
        <f>'1. Справочник'!C15</f>
        <v>WS F1008</v>
      </c>
      <c r="D16" s="1249"/>
      <c r="E16" s="1249"/>
      <c r="F16" s="1250" t="str">
        <f>'1. Справочник'!F15</f>
        <v>Студия</v>
      </c>
      <c r="G16" s="1251" t="s">
        <v>518</v>
      </c>
      <c r="H16" s="1252">
        <v>400.0</v>
      </c>
      <c r="I16" s="1242">
        <v>25.0</v>
      </c>
      <c r="J16" s="1242">
        <v>25.0</v>
      </c>
      <c r="K16" s="1243">
        <f t="shared" si="1"/>
        <v>81</v>
      </c>
      <c r="L16" s="1244">
        <v>3.0</v>
      </c>
      <c r="M16" s="1242">
        <v>46.0</v>
      </c>
      <c r="N16" s="1245">
        <f t="shared" si="2"/>
        <v>149.04</v>
      </c>
      <c r="O16" s="1242">
        <v>70.0</v>
      </c>
      <c r="P16" s="1245">
        <f t="shared" si="3"/>
        <v>226.8</v>
      </c>
      <c r="Q16" s="1242">
        <v>89.0</v>
      </c>
      <c r="R16" s="1245">
        <f t="shared" si="4"/>
        <v>288.36</v>
      </c>
      <c r="S16" s="1246">
        <v>3.0</v>
      </c>
      <c r="T16" s="1247"/>
    </row>
    <row r="17" ht="15.75" customHeight="1">
      <c r="A17" s="1260"/>
      <c r="B17" s="1248" t="str">
        <f>'1. Справочник'!B16</f>
        <v>Светлана</v>
      </c>
      <c r="C17" s="25" t="str">
        <f>'1. Справочник'!C16</f>
        <v>BV1318</v>
      </c>
      <c r="D17" s="1249">
        <v>7.0</v>
      </c>
      <c r="E17" s="1249" t="s">
        <v>1537</v>
      </c>
      <c r="F17" s="1250" t="str">
        <f>'1. Справочник'!F16</f>
        <v>Студия</v>
      </c>
      <c r="G17" s="1251" t="s">
        <v>321</v>
      </c>
      <c r="H17" s="1252">
        <v>700.0</v>
      </c>
      <c r="I17" s="1242">
        <v>45.0</v>
      </c>
      <c r="J17" s="1242">
        <v>45.0</v>
      </c>
      <c r="K17" s="1243">
        <f t="shared" si="1"/>
        <v>145.8</v>
      </c>
      <c r="L17" s="1254">
        <v>3.0</v>
      </c>
      <c r="M17" s="1242">
        <v>77.0</v>
      </c>
      <c r="N17" s="1245">
        <f t="shared" si="2"/>
        <v>249.48</v>
      </c>
      <c r="O17" s="1242">
        <v>84.0</v>
      </c>
      <c r="P17" s="1245">
        <f t="shared" si="3"/>
        <v>272.16</v>
      </c>
      <c r="Q17" s="1242">
        <v>90.0</v>
      </c>
      <c r="R17" s="1245">
        <f t="shared" si="4"/>
        <v>291.6</v>
      </c>
      <c r="S17" s="1253">
        <v>3.0</v>
      </c>
      <c r="T17" s="1247"/>
    </row>
    <row r="18" ht="15.75" customHeight="1">
      <c r="A18" s="1260"/>
      <c r="B18" s="1248"/>
      <c r="C18" s="25" t="str">
        <f>'1. Справочник'!C23</f>
        <v>BV A 133 (0715)</v>
      </c>
      <c r="D18" s="1249"/>
      <c r="E18" s="1261"/>
      <c r="F18" s="1250" t="str">
        <f>'1. Справочник'!F23</f>
        <v>1+1</v>
      </c>
      <c r="G18" s="1251" t="s">
        <v>518</v>
      </c>
      <c r="H18" s="1252">
        <v>550.0</v>
      </c>
      <c r="I18" s="1242">
        <v>45.0</v>
      </c>
      <c r="J18" s="1242">
        <v>45.0</v>
      </c>
      <c r="K18" s="1243">
        <f t="shared" si="1"/>
        <v>145.8</v>
      </c>
      <c r="L18" s="1254">
        <v>3.0</v>
      </c>
      <c r="M18" s="1242">
        <v>50.0</v>
      </c>
      <c r="N18" s="1245">
        <f t="shared" si="2"/>
        <v>162</v>
      </c>
      <c r="O18" s="1242">
        <v>70.0</v>
      </c>
      <c r="P18" s="1245">
        <f t="shared" si="3"/>
        <v>226.8</v>
      </c>
      <c r="Q18" s="1242">
        <v>80.0</v>
      </c>
      <c r="R18" s="1245">
        <f t="shared" si="4"/>
        <v>259.2</v>
      </c>
      <c r="S18" s="1253">
        <v>3.0</v>
      </c>
      <c r="T18" s="1247"/>
    </row>
    <row r="19" ht="15.75" customHeight="1">
      <c r="A19" s="1260"/>
      <c r="B19" s="1248"/>
      <c r="C19" s="25" t="str">
        <f>'1. Справочник'!C24</f>
        <v>BV A 134 (0713)</v>
      </c>
      <c r="D19" s="1249"/>
      <c r="E19" s="1261"/>
      <c r="F19" s="1250" t="s">
        <v>27</v>
      </c>
      <c r="G19" s="1251" t="s">
        <v>518</v>
      </c>
      <c r="H19" s="1252">
        <v>550.0</v>
      </c>
      <c r="I19" s="1242">
        <v>45.0</v>
      </c>
      <c r="J19" s="1242">
        <v>45.0</v>
      </c>
      <c r="K19" s="1243">
        <f t="shared" si="1"/>
        <v>145.8</v>
      </c>
      <c r="L19" s="1254">
        <v>3.0</v>
      </c>
      <c r="M19" s="1242">
        <v>50.0</v>
      </c>
      <c r="N19" s="1245">
        <f t="shared" si="2"/>
        <v>162</v>
      </c>
      <c r="O19" s="1242">
        <v>70.0</v>
      </c>
      <c r="P19" s="1245">
        <f t="shared" si="3"/>
        <v>226.8</v>
      </c>
      <c r="Q19" s="1242">
        <v>80.0</v>
      </c>
      <c r="R19" s="1245">
        <f t="shared" si="4"/>
        <v>259.2</v>
      </c>
      <c r="S19" s="1253">
        <v>3.0</v>
      </c>
      <c r="T19" s="1247"/>
    </row>
    <row r="20" ht="15.75" customHeight="1">
      <c r="A20" s="1260"/>
      <c r="B20" s="1248"/>
      <c r="C20" s="25" t="str">
        <f>'1. Справочник'!C25</f>
        <v>BV A 144 (0708)</v>
      </c>
      <c r="D20" s="1249"/>
      <c r="E20" s="1261"/>
      <c r="F20" s="1250" t="str">
        <f>'1. Справочник'!F25</f>
        <v>1+1</v>
      </c>
      <c r="G20" s="1251" t="s">
        <v>518</v>
      </c>
      <c r="H20" s="1252">
        <v>550.0</v>
      </c>
      <c r="I20" s="1242">
        <v>45.0</v>
      </c>
      <c r="J20" s="1242">
        <v>45.0</v>
      </c>
      <c r="K20" s="1243">
        <f t="shared" si="1"/>
        <v>145.8</v>
      </c>
      <c r="L20" s="1254">
        <v>3.0</v>
      </c>
      <c r="M20" s="1242">
        <v>50.0</v>
      </c>
      <c r="N20" s="1245">
        <f t="shared" si="2"/>
        <v>162</v>
      </c>
      <c r="O20" s="1242">
        <v>70.0</v>
      </c>
      <c r="P20" s="1245">
        <f t="shared" si="3"/>
        <v>226.8</v>
      </c>
      <c r="Q20" s="1242">
        <v>80.0</v>
      </c>
      <c r="R20" s="1245">
        <f t="shared" si="4"/>
        <v>259.2</v>
      </c>
      <c r="S20" s="1253">
        <v>3.0</v>
      </c>
      <c r="T20" s="1247"/>
    </row>
    <row r="21" ht="15.75" customHeight="1">
      <c r="A21" s="1260"/>
      <c r="B21" s="1248"/>
      <c r="C21" s="25" t="str">
        <f>'1. Справочник'!C26</f>
        <v>BV A 145 (0710)</v>
      </c>
      <c r="D21" s="1249"/>
      <c r="E21" s="1261"/>
      <c r="F21" s="1250" t="s">
        <v>27</v>
      </c>
      <c r="G21" s="1251" t="s">
        <v>518</v>
      </c>
      <c r="H21" s="1252">
        <v>550.0</v>
      </c>
      <c r="I21" s="1242">
        <v>45.0</v>
      </c>
      <c r="J21" s="1242">
        <v>45.0</v>
      </c>
      <c r="K21" s="1243">
        <f t="shared" si="1"/>
        <v>145.8</v>
      </c>
      <c r="L21" s="1254">
        <v>3.0</v>
      </c>
      <c r="M21" s="1242">
        <v>50.0</v>
      </c>
      <c r="N21" s="1245">
        <f t="shared" si="2"/>
        <v>162</v>
      </c>
      <c r="O21" s="1242">
        <v>70.0</v>
      </c>
      <c r="P21" s="1245">
        <f t="shared" si="3"/>
        <v>226.8</v>
      </c>
      <c r="Q21" s="1242">
        <v>80.0</v>
      </c>
      <c r="R21" s="1245">
        <f t="shared" si="4"/>
        <v>259.2</v>
      </c>
      <c r="S21" s="1253">
        <v>3.0</v>
      </c>
      <c r="T21" s="1247"/>
    </row>
    <row r="22" ht="15.75" customHeight="1">
      <c r="A22" s="1260"/>
      <c r="B22" s="1248"/>
      <c r="C22" s="25" t="str">
        <f>'1. Справочник'!C27</f>
        <v>BV A 147 (0714)</v>
      </c>
      <c r="D22" s="1249"/>
      <c r="E22" s="1261"/>
      <c r="F22" s="1250" t="s">
        <v>27</v>
      </c>
      <c r="G22" s="1251" t="s">
        <v>518</v>
      </c>
      <c r="H22" s="1252">
        <v>550.0</v>
      </c>
      <c r="I22" s="1242">
        <v>45.0</v>
      </c>
      <c r="J22" s="1242">
        <v>45.0</v>
      </c>
      <c r="K22" s="1243">
        <f t="shared" si="1"/>
        <v>145.8</v>
      </c>
      <c r="L22" s="1254">
        <v>3.0</v>
      </c>
      <c r="M22" s="1242">
        <v>50.0</v>
      </c>
      <c r="N22" s="1245">
        <f t="shared" si="2"/>
        <v>162</v>
      </c>
      <c r="O22" s="1242">
        <v>70.0</v>
      </c>
      <c r="P22" s="1245">
        <f t="shared" si="3"/>
        <v>226.8</v>
      </c>
      <c r="Q22" s="1242">
        <v>80.0</v>
      </c>
      <c r="R22" s="1245">
        <f t="shared" si="4"/>
        <v>259.2</v>
      </c>
      <c r="S22" s="1253">
        <v>3.0</v>
      </c>
      <c r="T22" s="1247"/>
    </row>
    <row r="23" ht="15.75" customHeight="1">
      <c r="A23" s="1260"/>
      <c r="B23" s="1248"/>
      <c r="C23" s="25" t="str">
        <f>'1. Справочник'!C28</f>
        <v>BV A 164 (0804)</v>
      </c>
      <c r="D23" s="1249"/>
      <c r="E23" s="1261"/>
      <c r="F23" s="1250" t="str">
        <f>'1. Справочник'!F28</f>
        <v>1+1</v>
      </c>
      <c r="G23" s="1251" t="s">
        <v>518</v>
      </c>
      <c r="H23" s="1252">
        <v>550.0</v>
      </c>
      <c r="I23" s="1242">
        <v>45.0</v>
      </c>
      <c r="J23" s="1242">
        <v>45.0</v>
      </c>
      <c r="K23" s="1243">
        <f t="shared" si="1"/>
        <v>145.8</v>
      </c>
      <c r="L23" s="1254">
        <v>3.0</v>
      </c>
      <c r="M23" s="1242">
        <v>50.0</v>
      </c>
      <c r="N23" s="1245">
        <f t="shared" si="2"/>
        <v>162</v>
      </c>
      <c r="O23" s="1242">
        <v>70.0</v>
      </c>
      <c r="P23" s="1245">
        <f t="shared" si="3"/>
        <v>226.8</v>
      </c>
      <c r="Q23" s="1242">
        <v>80.0</v>
      </c>
      <c r="R23" s="1245">
        <f t="shared" si="4"/>
        <v>259.2</v>
      </c>
      <c r="S23" s="1253">
        <v>3.0</v>
      </c>
      <c r="T23" s="1247"/>
    </row>
    <row r="24" ht="15.75" customHeight="1">
      <c r="A24" s="1260"/>
      <c r="B24" s="1248"/>
      <c r="C24" s="25" t="str">
        <f>'1. Справочник'!C29</f>
        <v>BV A 225 (1106)</v>
      </c>
      <c r="D24" s="1249"/>
      <c r="E24" s="1261"/>
      <c r="F24" s="1250" t="s">
        <v>27</v>
      </c>
      <c r="G24" s="1251" t="s">
        <v>518</v>
      </c>
      <c r="H24" s="1252">
        <v>550.0</v>
      </c>
      <c r="I24" s="1242">
        <v>45.0</v>
      </c>
      <c r="J24" s="1242">
        <v>45.0</v>
      </c>
      <c r="K24" s="1243">
        <f t="shared" si="1"/>
        <v>145.8</v>
      </c>
      <c r="L24" s="1254">
        <v>3.0</v>
      </c>
      <c r="M24" s="1242">
        <v>50.0</v>
      </c>
      <c r="N24" s="1245">
        <f t="shared" si="2"/>
        <v>162</v>
      </c>
      <c r="O24" s="1242">
        <v>70.0</v>
      </c>
      <c r="P24" s="1245">
        <f t="shared" si="3"/>
        <v>226.8</v>
      </c>
      <c r="Q24" s="1242">
        <v>80.0</v>
      </c>
      <c r="R24" s="1245">
        <f t="shared" si="4"/>
        <v>259.2</v>
      </c>
      <c r="S24" s="1253">
        <v>3.0</v>
      </c>
      <c r="T24" s="1247"/>
    </row>
    <row r="25" ht="15.75" customHeight="1">
      <c r="A25" s="1260"/>
      <c r="B25" s="1248"/>
      <c r="C25" s="25" t="str">
        <f>'1. Справочник'!C30</f>
        <v>BV A 210 (1014)</v>
      </c>
      <c r="D25" s="1249"/>
      <c r="E25" s="1261"/>
      <c r="F25" s="1250" t="s">
        <v>27</v>
      </c>
      <c r="G25" s="1251" t="s">
        <v>518</v>
      </c>
      <c r="H25" s="1252">
        <v>550.0</v>
      </c>
      <c r="I25" s="1242">
        <v>45.0</v>
      </c>
      <c r="J25" s="1242">
        <v>45.0</v>
      </c>
      <c r="K25" s="1243">
        <f t="shared" si="1"/>
        <v>145.8</v>
      </c>
      <c r="L25" s="1254">
        <v>3.0</v>
      </c>
      <c r="M25" s="1242">
        <v>50.0</v>
      </c>
      <c r="N25" s="1245">
        <f t="shared" si="2"/>
        <v>162</v>
      </c>
      <c r="O25" s="1242">
        <v>70.0</v>
      </c>
      <c r="P25" s="1245">
        <f t="shared" si="3"/>
        <v>226.8</v>
      </c>
      <c r="Q25" s="1242">
        <v>80.0</v>
      </c>
      <c r="R25" s="1245">
        <f t="shared" si="4"/>
        <v>259.2</v>
      </c>
      <c r="S25" s="1253">
        <v>3.0</v>
      </c>
      <c r="T25" s="1247"/>
    </row>
    <row r="26" ht="15.75" customHeight="1">
      <c r="A26" s="1260"/>
      <c r="B26" s="1248"/>
      <c r="C26" s="25" t="str">
        <f>'1. Справочник'!C31</f>
        <v>BV C 137 (0707)</v>
      </c>
      <c r="D26" s="1249"/>
      <c r="E26" s="1261"/>
      <c r="F26" s="1250" t="str">
        <f>'1. Справочник'!F31</f>
        <v>Студия</v>
      </c>
      <c r="G26" s="1251" t="s">
        <v>518</v>
      </c>
      <c r="H26" s="1252">
        <v>400.0</v>
      </c>
      <c r="I26" s="1242">
        <v>30.0</v>
      </c>
      <c r="J26" s="1242">
        <v>30.0</v>
      </c>
      <c r="K26" s="1243">
        <f t="shared" si="1"/>
        <v>97.2</v>
      </c>
      <c r="L26" s="1254">
        <v>3.0</v>
      </c>
      <c r="M26" s="1242">
        <v>40.0</v>
      </c>
      <c r="N26" s="1245">
        <f t="shared" si="2"/>
        <v>129.6</v>
      </c>
      <c r="O26" s="1242">
        <v>60.0</v>
      </c>
      <c r="P26" s="1245">
        <f t="shared" si="3"/>
        <v>194.4</v>
      </c>
      <c r="Q26" s="1242">
        <v>70.0</v>
      </c>
      <c r="R26" s="1245">
        <f t="shared" si="4"/>
        <v>226.8</v>
      </c>
      <c r="S26" s="1253">
        <v>3.0</v>
      </c>
      <c r="T26" s="1247"/>
    </row>
    <row r="27" ht="15.75" customHeight="1">
      <c r="A27" s="1260"/>
      <c r="B27" s="1248"/>
      <c r="C27" s="1262" t="str">
        <f>'1. Справочник'!C32</f>
        <v>BV C 0505</v>
      </c>
      <c r="D27" s="1249"/>
      <c r="E27" s="1261"/>
      <c r="F27" s="1250" t="str">
        <f>'1. Справочник'!F32</f>
        <v>Студия</v>
      </c>
      <c r="G27" s="1251" t="s">
        <v>518</v>
      </c>
      <c r="H27" s="1252">
        <v>450.0</v>
      </c>
      <c r="I27" s="1242">
        <v>33.333333333333336</v>
      </c>
      <c r="J27" s="1242">
        <v>33.333333333333336</v>
      </c>
      <c r="K27" s="1243">
        <f t="shared" si="1"/>
        <v>108</v>
      </c>
      <c r="L27" s="1254">
        <v>3.0</v>
      </c>
      <c r="M27" s="1242">
        <v>50.0</v>
      </c>
      <c r="N27" s="1245">
        <f t="shared" si="2"/>
        <v>162</v>
      </c>
      <c r="O27" s="1242">
        <v>70.0</v>
      </c>
      <c r="P27" s="1245">
        <f t="shared" si="3"/>
        <v>226.8</v>
      </c>
      <c r="Q27" s="1242">
        <v>80.0</v>
      </c>
      <c r="R27" s="1245">
        <f t="shared" si="4"/>
        <v>259.2</v>
      </c>
      <c r="S27" s="1253">
        <v>3.0</v>
      </c>
      <c r="T27" s="1247"/>
    </row>
    <row r="28" ht="15.75" customHeight="1">
      <c r="A28" s="1260"/>
      <c r="B28" s="1248"/>
      <c r="C28" s="1262" t="str">
        <f>'1. Справочник'!C33</f>
        <v>MC A 708</v>
      </c>
      <c r="D28" s="1249"/>
      <c r="E28" s="1261"/>
      <c r="F28" s="1250" t="str">
        <f>'1. Справочник'!F33</f>
        <v>Студия</v>
      </c>
      <c r="G28" s="1251" t="s">
        <v>518</v>
      </c>
      <c r="H28" s="1252">
        <v>600.0</v>
      </c>
      <c r="I28" s="1242">
        <v>30.0</v>
      </c>
      <c r="J28" s="1242"/>
      <c r="K28" s="1243">
        <f t="shared" si="1"/>
        <v>97.2</v>
      </c>
      <c r="L28" s="1254">
        <v>3.0</v>
      </c>
      <c r="M28" s="1242">
        <v>40.0</v>
      </c>
      <c r="N28" s="1245">
        <f t="shared" si="2"/>
        <v>129.6</v>
      </c>
      <c r="O28" s="1242">
        <v>60.0</v>
      </c>
      <c r="P28" s="1245">
        <f t="shared" si="3"/>
        <v>194.4</v>
      </c>
      <c r="Q28" s="1242">
        <v>70.0</v>
      </c>
      <c r="R28" s="1245">
        <f t="shared" si="4"/>
        <v>226.8</v>
      </c>
      <c r="S28" s="1253">
        <v>3.0</v>
      </c>
      <c r="T28" s="1247"/>
    </row>
    <row r="29" ht="18.0" customHeight="1">
      <c r="A29" s="1260"/>
      <c r="B29" s="1263" t="str">
        <f>'1. Справочник'!B17</f>
        <v>Светлана</v>
      </c>
      <c r="C29" s="1264" t="str">
        <f>'1. Справочник'!C17</f>
        <v>BV A 100</v>
      </c>
      <c r="D29" s="1265">
        <v>1.0</v>
      </c>
      <c r="E29" s="1266" t="s">
        <v>1537</v>
      </c>
      <c r="F29" s="1267" t="str">
        <f>'1. Справочник'!F17</f>
        <v>Студия</v>
      </c>
      <c r="G29" s="1268" t="s">
        <v>518</v>
      </c>
      <c r="H29" s="1265">
        <v>700.0</v>
      </c>
      <c r="I29" s="1242">
        <v>30.0</v>
      </c>
      <c r="J29" s="1242">
        <v>30.0</v>
      </c>
      <c r="K29" s="1243">
        <f t="shared" si="1"/>
        <v>97.2</v>
      </c>
      <c r="L29" s="1254">
        <v>3.0</v>
      </c>
      <c r="M29" s="1242">
        <v>45.925925925925924</v>
      </c>
      <c r="N29" s="1245">
        <f t="shared" si="2"/>
        <v>148.8</v>
      </c>
      <c r="O29" s="1242">
        <v>70.37037037037038</v>
      </c>
      <c r="P29" s="1245">
        <f t="shared" si="3"/>
        <v>228</v>
      </c>
      <c r="Q29" s="1242">
        <v>88.70370370370371</v>
      </c>
      <c r="R29" s="1245">
        <f t="shared" si="4"/>
        <v>287.4</v>
      </c>
      <c r="S29" s="1253">
        <v>3.0</v>
      </c>
      <c r="T29" s="1247"/>
    </row>
    <row r="30" ht="15.75" customHeight="1">
      <c r="A30" s="1260"/>
      <c r="B30" s="1263" t="str">
        <f>'1. Справочник'!B18</f>
        <v>Светлана</v>
      </c>
      <c r="C30" s="1269" t="str">
        <f>'1. Справочник'!C18</f>
        <v>Steps1123</v>
      </c>
      <c r="D30" s="1265">
        <v>7.0</v>
      </c>
      <c r="E30" s="1266" t="s">
        <v>1539</v>
      </c>
      <c r="F30" s="1267" t="str">
        <f>'1. Справочник'!F18</f>
        <v>Студия</v>
      </c>
      <c r="G30" s="1268" t="s">
        <v>518</v>
      </c>
      <c r="H30" s="1265">
        <v>400.0</v>
      </c>
      <c r="I30" s="1242">
        <v>27.0</v>
      </c>
      <c r="J30" s="1242">
        <v>27.0</v>
      </c>
      <c r="K30" s="1243">
        <f t="shared" si="1"/>
        <v>87.48</v>
      </c>
      <c r="L30" s="1254">
        <v>5.0</v>
      </c>
      <c r="M30" s="1242">
        <v>35.74074074074074</v>
      </c>
      <c r="N30" s="1245">
        <f t="shared" si="2"/>
        <v>115.8</v>
      </c>
      <c r="O30" s="1242">
        <v>43.888888888888886</v>
      </c>
      <c r="P30" s="1245">
        <f t="shared" si="3"/>
        <v>142.2</v>
      </c>
      <c r="Q30" s="1242">
        <v>52.03703703703703</v>
      </c>
      <c r="R30" s="1245">
        <f t="shared" si="4"/>
        <v>168.6</v>
      </c>
      <c r="S30" s="1253">
        <v>3.0</v>
      </c>
      <c r="T30" s="1247"/>
    </row>
    <row r="31" ht="15.75" customHeight="1">
      <c r="A31" s="1270"/>
      <c r="B31" s="1263"/>
      <c r="C31" s="25" t="str">
        <f>'1. Справочник'!C19</f>
        <v>WH 176</v>
      </c>
      <c r="D31" s="1265"/>
      <c r="E31" s="1266"/>
      <c r="F31" s="1271" t="str">
        <f>'1. Справочник'!F19</f>
        <v>Студия</v>
      </c>
      <c r="G31" s="1272" t="s">
        <v>518</v>
      </c>
      <c r="H31" s="1252">
        <v>400.0</v>
      </c>
      <c r="I31" s="1242">
        <v>33.333333333333336</v>
      </c>
      <c r="J31" s="1242">
        <v>33.333333333333336</v>
      </c>
      <c r="K31" s="1243">
        <f t="shared" si="1"/>
        <v>108</v>
      </c>
      <c r="L31" s="1254">
        <v>3.0</v>
      </c>
      <c r="M31" s="1242">
        <v>40.0</v>
      </c>
      <c r="N31" s="1245">
        <f t="shared" si="2"/>
        <v>129.6</v>
      </c>
      <c r="O31" s="1242">
        <v>65.0</v>
      </c>
      <c r="P31" s="1245">
        <f t="shared" si="3"/>
        <v>210.6</v>
      </c>
      <c r="Q31" s="1242">
        <v>85.0</v>
      </c>
      <c r="R31" s="1245">
        <f t="shared" si="4"/>
        <v>275.4</v>
      </c>
      <c r="S31" s="1253">
        <v>3.0</v>
      </c>
      <c r="T31" s="1247"/>
    </row>
    <row r="32" ht="15.75" customHeight="1">
      <c r="A32" s="1270"/>
      <c r="B32" s="1263"/>
      <c r="C32" s="25" t="str">
        <f>'1. Справочник'!C20</f>
        <v>OBT 2906</v>
      </c>
      <c r="D32" s="1265"/>
      <c r="E32" s="1266"/>
      <c r="F32" s="1271" t="str">
        <f>'1. Справочник'!F20</f>
        <v>Студия</v>
      </c>
      <c r="G32" s="1272" t="s">
        <v>321</v>
      </c>
      <c r="H32" s="1252">
        <v>400.0</v>
      </c>
      <c r="I32" s="1242">
        <v>25.0</v>
      </c>
      <c r="J32" s="1242">
        <v>25.0</v>
      </c>
      <c r="K32" s="1243">
        <f t="shared" si="1"/>
        <v>81</v>
      </c>
      <c r="L32" s="1254">
        <v>3.0</v>
      </c>
      <c r="M32" s="1242">
        <v>40.0</v>
      </c>
      <c r="N32" s="1245">
        <f t="shared" si="2"/>
        <v>129.6</v>
      </c>
      <c r="O32" s="1242">
        <v>65.0</v>
      </c>
      <c r="P32" s="1245">
        <f t="shared" si="3"/>
        <v>210.6</v>
      </c>
      <c r="Q32" s="1242">
        <v>85.0</v>
      </c>
      <c r="R32" s="1245">
        <f t="shared" si="4"/>
        <v>275.4</v>
      </c>
      <c r="S32" s="1253">
        <v>3.0</v>
      </c>
      <c r="T32" s="1247"/>
    </row>
    <row r="33" ht="15.75" customHeight="1">
      <c r="A33" s="1270"/>
      <c r="B33" s="1263"/>
      <c r="C33" s="25" t="str">
        <f>'1. Справочник'!C21</f>
        <v>OBT 2908</v>
      </c>
      <c r="D33" s="1265"/>
      <c r="E33" s="1266"/>
      <c r="F33" s="1271" t="str">
        <f>'1. Справочник'!F21</f>
        <v>Студия</v>
      </c>
      <c r="G33" s="1272" t="s">
        <v>321</v>
      </c>
      <c r="H33" s="1252">
        <v>400.0</v>
      </c>
      <c r="I33" s="1242">
        <v>25.0</v>
      </c>
      <c r="J33" s="1242">
        <v>25.0</v>
      </c>
      <c r="K33" s="1243">
        <f t="shared" si="1"/>
        <v>81</v>
      </c>
      <c r="L33" s="1254">
        <v>3.0</v>
      </c>
      <c r="M33" s="1242">
        <v>40.0</v>
      </c>
      <c r="N33" s="1245">
        <f t="shared" si="2"/>
        <v>129.6</v>
      </c>
      <c r="O33" s="1242">
        <v>65.0</v>
      </c>
      <c r="P33" s="1245">
        <f t="shared" si="3"/>
        <v>210.6</v>
      </c>
      <c r="Q33" s="1242">
        <v>85.0</v>
      </c>
      <c r="R33" s="1245">
        <f t="shared" si="4"/>
        <v>275.4</v>
      </c>
      <c r="S33" s="1253">
        <v>3.0</v>
      </c>
      <c r="T33" s="1247"/>
    </row>
    <row r="34" ht="15.75" customHeight="1">
      <c r="A34" s="1270"/>
      <c r="B34" s="1263"/>
      <c r="C34" s="25" t="str">
        <f>'1. Справочник'!C22</f>
        <v>OBT 2910</v>
      </c>
      <c r="D34" s="1265"/>
      <c r="E34" s="1266"/>
      <c r="F34" s="1271" t="str">
        <f>'1. Справочник'!F22</f>
        <v>Студия</v>
      </c>
      <c r="G34" s="1272" t="s">
        <v>321</v>
      </c>
      <c r="H34" s="1252">
        <v>400.0</v>
      </c>
      <c r="I34" s="1242">
        <v>25.0</v>
      </c>
      <c r="J34" s="1242">
        <v>25.0</v>
      </c>
      <c r="K34" s="1243">
        <f t="shared" si="1"/>
        <v>81</v>
      </c>
      <c r="L34" s="1254">
        <v>3.0</v>
      </c>
      <c r="M34" s="1242">
        <v>40.0</v>
      </c>
      <c r="N34" s="1245">
        <f t="shared" si="2"/>
        <v>129.6</v>
      </c>
      <c r="O34" s="1242">
        <v>65.0</v>
      </c>
      <c r="P34" s="1245">
        <f t="shared" si="3"/>
        <v>210.6</v>
      </c>
      <c r="Q34" s="1242">
        <v>85.0</v>
      </c>
      <c r="R34" s="1245">
        <f t="shared" si="4"/>
        <v>275.4</v>
      </c>
      <c r="S34" s="1253">
        <v>3.0</v>
      </c>
      <c r="T34" s="1247"/>
    </row>
    <row r="35" ht="15.75" customHeight="1">
      <c r="A35" s="1273" t="s">
        <v>1540</v>
      </c>
      <c r="B35" s="1248" t="str">
        <f>'1. Справочник'!B34</f>
        <v>Борис</v>
      </c>
      <c r="C35" s="25" t="str">
        <f>'1. Справочник'!C34</f>
        <v>С 1125</v>
      </c>
      <c r="D35" s="1249">
        <v>9.0</v>
      </c>
      <c r="E35" s="1249" t="s">
        <v>1538</v>
      </c>
      <c r="F35" s="1250" t="str">
        <f>'1. Справочник'!F34</f>
        <v>Студия</v>
      </c>
      <c r="G35" s="1274" t="s">
        <v>518</v>
      </c>
      <c r="H35" s="1252">
        <v>350.0</v>
      </c>
      <c r="I35" s="1242">
        <v>23.0</v>
      </c>
      <c r="J35" s="1242">
        <v>23.0</v>
      </c>
      <c r="K35" s="1243">
        <f t="shared" si="1"/>
        <v>74.52</v>
      </c>
      <c r="L35" s="1254">
        <v>3.0</v>
      </c>
      <c r="M35" s="1242">
        <v>27.59259259259259</v>
      </c>
      <c r="N35" s="1245">
        <f t="shared" si="2"/>
        <v>89.4</v>
      </c>
      <c r="O35" s="1242">
        <v>35.74074074074074</v>
      </c>
      <c r="P35" s="1245">
        <f t="shared" si="3"/>
        <v>115.8</v>
      </c>
      <c r="Q35" s="1242">
        <v>43.888888888888886</v>
      </c>
      <c r="R35" s="1245">
        <f t="shared" si="4"/>
        <v>142.2</v>
      </c>
      <c r="S35" s="1253">
        <v>3.0</v>
      </c>
      <c r="T35" s="1247"/>
    </row>
    <row r="36" ht="15.75" customHeight="1">
      <c r="A36" s="1273" t="s">
        <v>1541</v>
      </c>
      <c r="B36" s="1248" t="str">
        <f>'1. Справочник'!B35</f>
        <v>Борис</v>
      </c>
      <c r="C36" s="25" t="str">
        <f>'1. Справочник'!C35</f>
        <v>С 1443</v>
      </c>
      <c r="D36" s="1249">
        <v>9.0</v>
      </c>
      <c r="E36" s="1249" t="s">
        <v>1538</v>
      </c>
      <c r="F36" s="1250" t="str">
        <f>'1. Справочник'!F35</f>
        <v>1+1</v>
      </c>
      <c r="G36" s="1274" t="s">
        <v>518</v>
      </c>
      <c r="H36" s="1252">
        <v>450.0</v>
      </c>
      <c r="I36" s="1242">
        <v>32.0</v>
      </c>
      <c r="J36" s="1242">
        <v>32.0</v>
      </c>
      <c r="K36" s="1243">
        <f t="shared" si="1"/>
        <v>103.68</v>
      </c>
      <c r="L36" s="1254">
        <v>3.0</v>
      </c>
      <c r="M36" s="1242">
        <v>43.888888888888886</v>
      </c>
      <c r="N36" s="1245">
        <f t="shared" si="2"/>
        <v>142.2</v>
      </c>
      <c r="O36" s="1242">
        <v>56.11111111111111</v>
      </c>
      <c r="P36" s="1245">
        <f t="shared" si="3"/>
        <v>181.8</v>
      </c>
      <c r="Q36" s="1242">
        <v>66.2962962962963</v>
      </c>
      <c r="R36" s="1245">
        <f t="shared" si="4"/>
        <v>214.8</v>
      </c>
      <c r="S36" s="1253">
        <v>3.0</v>
      </c>
      <c r="T36" s="1247"/>
    </row>
    <row r="37" ht="15.75" customHeight="1">
      <c r="A37" s="1273" t="s">
        <v>1542</v>
      </c>
      <c r="B37" s="1248" t="str">
        <f>'1. Справочник'!B36</f>
        <v>Борис</v>
      </c>
      <c r="C37" s="25" t="str">
        <f>'1. Справочник'!C36</f>
        <v>C 4245</v>
      </c>
      <c r="D37" s="1249">
        <v>6.0</v>
      </c>
      <c r="E37" s="1249" t="s">
        <v>1539</v>
      </c>
      <c r="F37" s="1250" t="str">
        <f>'1. Справочник'!F36</f>
        <v>1+1</v>
      </c>
      <c r="G37" s="1274" t="s">
        <v>518</v>
      </c>
      <c r="H37" s="1252">
        <v>450.0</v>
      </c>
      <c r="I37" s="1242">
        <v>35.0</v>
      </c>
      <c r="J37" s="1242">
        <v>35.0</v>
      </c>
      <c r="K37" s="1243">
        <f t="shared" si="1"/>
        <v>113.4</v>
      </c>
      <c r="L37" s="1254">
        <v>3.0</v>
      </c>
      <c r="M37" s="1242">
        <v>43.888888888888886</v>
      </c>
      <c r="N37" s="1245">
        <f t="shared" si="2"/>
        <v>142.2</v>
      </c>
      <c r="O37" s="1242">
        <v>56.11111111111111</v>
      </c>
      <c r="P37" s="1245">
        <f t="shared" si="3"/>
        <v>181.8</v>
      </c>
      <c r="Q37" s="1242">
        <v>66.2962962962963</v>
      </c>
      <c r="R37" s="1245">
        <f t="shared" si="4"/>
        <v>214.8</v>
      </c>
      <c r="S37" s="1253">
        <v>3.0</v>
      </c>
      <c r="T37" s="1247"/>
    </row>
    <row r="38" ht="15.75" customHeight="1">
      <c r="A38" s="1273" t="s">
        <v>1543</v>
      </c>
      <c r="B38" s="1248" t="str">
        <f>'1. Справочник'!B37</f>
        <v>Борис</v>
      </c>
      <c r="C38" s="25" t="str">
        <f>'1. Справочник'!C37</f>
        <v>А 4049</v>
      </c>
      <c r="D38" s="1249">
        <v>7.0</v>
      </c>
      <c r="E38" s="1249" t="s">
        <v>1538</v>
      </c>
      <c r="F38" s="1250" t="str">
        <f>'1. Справочник'!F37</f>
        <v>Студия</v>
      </c>
      <c r="G38" s="1274" t="s">
        <v>518</v>
      </c>
      <c r="H38" s="1252">
        <v>350.0</v>
      </c>
      <c r="I38" s="1242">
        <v>23.0</v>
      </c>
      <c r="J38" s="1242">
        <v>23.0</v>
      </c>
      <c r="K38" s="1243">
        <f t="shared" si="1"/>
        <v>74.52</v>
      </c>
      <c r="L38" s="1254">
        <v>3.0</v>
      </c>
      <c r="M38" s="1242">
        <v>27.59259259259259</v>
      </c>
      <c r="N38" s="1245">
        <f t="shared" si="2"/>
        <v>89.4</v>
      </c>
      <c r="O38" s="1242">
        <v>35.74074074074074</v>
      </c>
      <c r="P38" s="1245">
        <f t="shared" si="3"/>
        <v>115.8</v>
      </c>
      <c r="Q38" s="1242">
        <v>43.888888888888886</v>
      </c>
      <c r="R38" s="1245">
        <f t="shared" si="4"/>
        <v>142.2</v>
      </c>
      <c r="S38" s="1253">
        <v>3.0</v>
      </c>
      <c r="T38" s="1247"/>
    </row>
    <row r="39" ht="15.75" customHeight="1">
      <c r="A39" s="1273"/>
      <c r="B39" s="1263" t="str">
        <f>'1. Справочник'!B38</f>
        <v>Борис</v>
      </c>
      <c r="C39" s="1269" t="str">
        <f>'1. Справочник'!C38</f>
        <v>C 732</v>
      </c>
      <c r="D39" s="1265">
        <v>6.0</v>
      </c>
      <c r="E39" s="1265" t="s">
        <v>1538</v>
      </c>
      <c r="F39" s="1250" t="str">
        <f>'1. Справочник'!F39</f>
        <v>Студия</v>
      </c>
      <c r="G39" s="1274" t="s">
        <v>1544</v>
      </c>
      <c r="H39" s="1252">
        <v>350.0</v>
      </c>
      <c r="I39" s="1275">
        <v>0.0</v>
      </c>
      <c r="J39" s="1275">
        <v>0.0</v>
      </c>
      <c r="K39" s="1276">
        <f t="shared" si="1"/>
        <v>0</v>
      </c>
      <c r="L39" s="1277"/>
      <c r="M39" s="1278">
        <v>0.0</v>
      </c>
      <c r="N39" s="1279">
        <f t="shared" si="2"/>
        <v>0</v>
      </c>
      <c r="O39" s="1278">
        <v>0.0</v>
      </c>
      <c r="P39" s="1245">
        <f t="shared" si="3"/>
        <v>0</v>
      </c>
      <c r="Q39" s="1278">
        <v>0.0</v>
      </c>
      <c r="R39" s="1245">
        <f t="shared" si="4"/>
        <v>0</v>
      </c>
      <c r="S39" s="1277"/>
      <c r="T39" s="1247"/>
    </row>
    <row r="40" ht="15.75" customHeight="1">
      <c r="A40" s="1273"/>
      <c r="B40" s="1248" t="str">
        <f>'1. Справочник'!B39</f>
        <v>Борис</v>
      </c>
      <c r="C40" s="25" t="str">
        <f>'1. Справочник'!C39</f>
        <v>С 2756</v>
      </c>
      <c r="D40" s="1249">
        <v>8.0</v>
      </c>
      <c r="E40" s="1249" t="s">
        <v>1538</v>
      </c>
      <c r="F40" s="1250" t="str">
        <f>'1. Справочник'!F40</f>
        <v>Студия</v>
      </c>
      <c r="G40" s="1274" t="s">
        <v>563</v>
      </c>
      <c r="H40" s="1252">
        <v>350.0</v>
      </c>
      <c r="I40" s="1242">
        <v>23.0</v>
      </c>
      <c r="J40" s="1242">
        <v>23.0</v>
      </c>
      <c r="K40" s="1243">
        <f t="shared" si="1"/>
        <v>74.52</v>
      </c>
      <c r="L40" s="1244">
        <v>5.0</v>
      </c>
      <c r="M40" s="1242">
        <v>27.59259259259259</v>
      </c>
      <c r="N40" s="1245">
        <f t="shared" si="2"/>
        <v>89.4</v>
      </c>
      <c r="O40" s="1242">
        <v>35.74074074074074</v>
      </c>
      <c r="P40" s="1245">
        <f t="shared" si="3"/>
        <v>115.8</v>
      </c>
      <c r="Q40" s="1242">
        <v>43.888888888888886</v>
      </c>
      <c r="R40" s="1245">
        <f t="shared" si="4"/>
        <v>142.2</v>
      </c>
      <c r="S40" s="1253">
        <v>3.0</v>
      </c>
      <c r="T40" s="1247"/>
    </row>
    <row r="41" ht="15.75" customHeight="1">
      <c r="A41" s="1273"/>
      <c r="B41" s="1248" t="str">
        <f>'1. Справочник'!B40</f>
        <v>Борис</v>
      </c>
      <c r="C41" s="25" t="str">
        <f>'1. Справочник'!C40</f>
        <v>D 1321</v>
      </c>
      <c r="D41" s="1249">
        <v>8.0</v>
      </c>
      <c r="E41" s="1249" t="s">
        <v>1538</v>
      </c>
      <c r="F41" s="1250" t="s">
        <v>30</v>
      </c>
      <c r="G41" s="1274" t="s">
        <v>518</v>
      </c>
      <c r="H41" s="1252">
        <v>350.0</v>
      </c>
      <c r="I41" s="1242">
        <v>23.0</v>
      </c>
      <c r="J41" s="1242">
        <v>23.0</v>
      </c>
      <c r="K41" s="1243">
        <f t="shared" si="1"/>
        <v>74.52</v>
      </c>
      <c r="L41" s="1254">
        <v>3.0</v>
      </c>
      <c r="M41" s="1242">
        <v>27.59259259259259</v>
      </c>
      <c r="N41" s="1245">
        <f t="shared" si="2"/>
        <v>89.4</v>
      </c>
      <c r="O41" s="1242">
        <v>35.74074074074074</v>
      </c>
      <c r="P41" s="1245">
        <f t="shared" si="3"/>
        <v>115.8</v>
      </c>
      <c r="Q41" s="1242">
        <v>43.888888888888886</v>
      </c>
      <c r="R41" s="1245">
        <f t="shared" si="4"/>
        <v>142.2</v>
      </c>
      <c r="S41" s="1253">
        <v>3.0</v>
      </c>
      <c r="T41" s="1247"/>
    </row>
    <row r="42" ht="15.75" customHeight="1">
      <c r="A42" s="1273"/>
      <c r="B42" s="1248" t="str">
        <f>'1. Справочник'!B41</f>
        <v>Борис</v>
      </c>
      <c r="C42" s="25" t="str">
        <f>'1. Справочник'!C41</f>
        <v>D2 1625</v>
      </c>
      <c r="D42" s="1249">
        <v>9.0</v>
      </c>
      <c r="E42" s="1249" t="s">
        <v>1539</v>
      </c>
      <c r="F42" s="1250" t="str">
        <f>'1. Справочник'!F42</f>
        <v>1+1</v>
      </c>
      <c r="G42" s="1274" t="s">
        <v>518</v>
      </c>
      <c r="H42" s="1252">
        <v>500.0</v>
      </c>
      <c r="I42" s="1242">
        <v>35.0</v>
      </c>
      <c r="J42" s="1242">
        <v>35.0</v>
      </c>
      <c r="K42" s="1243">
        <f t="shared" si="1"/>
        <v>113.4</v>
      </c>
      <c r="L42" s="1254">
        <v>3.0</v>
      </c>
      <c r="M42" s="1242">
        <v>43.888888888888886</v>
      </c>
      <c r="N42" s="1245">
        <f t="shared" si="2"/>
        <v>142.2</v>
      </c>
      <c r="O42" s="1242">
        <v>56.11111111111111</v>
      </c>
      <c r="P42" s="1245">
        <f t="shared" si="3"/>
        <v>181.8</v>
      </c>
      <c r="Q42" s="1242">
        <v>66.2962962962963</v>
      </c>
      <c r="R42" s="1245">
        <f t="shared" si="4"/>
        <v>214.8</v>
      </c>
      <c r="S42" s="1253">
        <v>3.0</v>
      </c>
      <c r="T42" s="1247"/>
    </row>
    <row r="43" ht="15.75" customHeight="1">
      <c r="A43" s="1273"/>
      <c r="B43" s="1248" t="str">
        <f>'1. Справочник'!B42</f>
        <v>Борис</v>
      </c>
      <c r="C43" s="25" t="str">
        <f>'1. Справочник'!C42</f>
        <v>D2 3216</v>
      </c>
      <c r="D43" s="1249">
        <v>7.0</v>
      </c>
      <c r="E43" s="1249" t="s">
        <v>1538</v>
      </c>
      <c r="F43" s="1250" t="str">
        <f>'1. Справочник'!F43</f>
        <v>1+1</v>
      </c>
      <c r="G43" s="1274" t="s">
        <v>518</v>
      </c>
      <c r="H43" s="1252">
        <v>500.0</v>
      </c>
      <c r="I43" s="1242">
        <v>35.0</v>
      </c>
      <c r="J43" s="1242">
        <v>35.0</v>
      </c>
      <c r="K43" s="1243">
        <f t="shared" si="1"/>
        <v>113.4</v>
      </c>
      <c r="L43" s="1254">
        <v>3.0</v>
      </c>
      <c r="M43" s="1242">
        <v>43.888888888888886</v>
      </c>
      <c r="N43" s="1245">
        <f t="shared" si="2"/>
        <v>142.2</v>
      </c>
      <c r="O43" s="1242">
        <v>56.11111111111111</v>
      </c>
      <c r="P43" s="1245">
        <f t="shared" si="3"/>
        <v>181.8</v>
      </c>
      <c r="Q43" s="1242">
        <v>66.2962962962963</v>
      </c>
      <c r="R43" s="1245">
        <f t="shared" si="4"/>
        <v>214.8</v>
      </c>
      <c r="S43" s="1253">
        <v>3.0</v>
      </c>
      <c r="T43" s="1247"/>
    </row>
    <row r="44" ht="15.75" customHeight="1">
      <c r="A44" s="1260"/>
      <c r="B44" s="1248" t="str">
        <f>'1. Справочник'!B43</f>
        <v>Борис</v>
      </c>
      <c r="C44" s="25" t="str">
        <f>'1. Справочник'!C43</f>
        <v>D1 3902</v>
      </c>
      <c r="D44" s="1280">
        <v>8.0</v>
      </c>
      <c r="E44" s="1280" t="s">
        <v>1537</v>
      </c>
      <c r="F44" s="1281" t="str">
        <f>'1. Справочник'!F44</f>
        <v>1+1</v>
      </c>
      <c r="G44" s="1274" t="s">
        <v>518</v>
      </c>
      <c r="H44" s="1280">
        <v>800.0</v>
      </c>
      <c r="I44" s="1242">
        <v>40.0</v>
      </c>
      <c r="J44" s="1242">
        <v>40.0</v>
      </c>
      <c r="K44" s="1243">
        <f t="shared" si="1"/>
        <v>129.6</v>
      </c>
      <c r="L44" s="1254">
        <v>3.0</v>
      </c>
      <c r="M44" s="1242">
        <v>52.03703703703703</v>
      </c>
      <c r="N44" s="1245">
        <f t="shared" si="2"/>
        <v>168.6</v>
      </c>
      <c r="O44" s="1242">
        <v>64.25925925925927</v>
      </c>
      <c r="P44" s="1245">
        <f t="shared" si="3"/>
        <v>208.2</v>
      </c>
      <c r="Q44" s="1242">
        <v>74.44444444444444</v>
      </c>
      <c r="R44" s="1245">
        <f t="shared" si="4"/>
        <v>241.2</v>
      </c>
      <c r="S44" s="1253">
        <v>3.0</v>
      </c>
      <c r="T44" s="1247"/>
    </row>
    <row r="45" ht="15.0" customHeight="1">
      <c r="A45" s="554"/>
      <c r="B45" s="1248" t="str">
        <f>'1. Справочник'!B44</f>
        <v>Борис</v>
      </c>
      <c r="C45" s="25" t="str">
        <f>'1. Справочник'!C44</f>
        <v>D2 503</v>
      </c>
      <c r="D45" s="1249"/>
      <c r="E45" s="1249" t="s">
        <v>1538</v>
      </c>
      <c r="F45" s="1281" t="str">
        <f>'1. Справочник'!F45</f>
        <v>1+1</v>
      </c>
      <c r="G45" s="1274" t="s">
        <v>518</v>
      </c>
      <c r="H45" s="1252">
        <v>500.0</v>
      </c>
      <c r="I45" s="1242">
        <v>0.0</v>
      </c>
      <c r="J45" s="1242">
        <v>0.0</v>
      </c>
      <c r="K45" s="1243">
        <f t="shared" si="1"/>
        <v>0</v>
      </c>
      <c r="L45" s="1244">
        <v>5.0</v>
      </c>
      <c r="M45" s="1242">
        <v>43.888888888888886</v>
      </c>
      <c r="N45" s="1245">
        <f t="shared" si="2"/>
        <v>142.2</v>
      </c>
      <c r="O45" s="1242">
        <v>56.11111111111111</v>
      </c>
      <c r="P45" s="1245">
        <f t="shared" si="3"/>
        <v>181.8</v>
      </c>
      <c r="Q45" s="1242">
        <v>66.2962962962963</v>
      </c>
      <c r="R45" s="1245">
        <f t="shared" si="4"/>
        <v>214.8</v>
      </c>
      <c r="S45" s="1253">
        <v>3.0</v>
      </c>
      <c r="T45" s="1247"/>
    </row>
    <row r="46" ht="15.0" customHeight="1">
      <c r="A46" s="554"/>
      <c r="B46" s="1248" t="str">
        <f>'1. Справочник'!B45</f>
        <v>Дина</v>
      </c>
      <c r="C46" s="25" t="str">
        <f>'1. Справочник'!C45</f>
        <v>CM 1604</v>
      </c>
      <c r="D46" s="1249">
        <v>8.0</v>
      </c>
      <c r="E46" s="1249" t="s">
        <v>1537</v>
      </c>
      <c r="F46" s="1250" t="str">
        <f>'1. Справочник'!F45</f>
        <v>1+1</v>
      </c>
      <c r="G46" s="1274" t="s">
        <v>518</v>
      </c>
      <c r="H46" s="1252">
        <v>700.0</v>
      </c>
      <c r="I46" s="1242">
        <v>55.0</v>
      </c>
      <c r="J46" s="1242">
        <v>55.0</v>
      </c>
      <c r="K46" s="1243">
        <f t="shared" si="1"/>
        <v>178.2</v>
      </c>
      <c r="L46" s="1254">
        <v>3.0</v>
      </c>
      <c r="M46" s="1242">
        <v>76.48148148148148</v>
      </c>
      <c r="N46" s="1245">
        <f t="shared" si="2"/>
        <v>247.8</v>
      </c>
      <c r="O46" s="1242">
        <v>92.77777777777777</v>
      </c>
      <c r="P46" s="1245">
        <f t="shared" si="3"/>
        <v>300.6</v>
      </c>
      <c r="Q46" s="1242">
        <v>104.99999999999999</v>
      </c>
      <c r="R46" s="1245">
        <f t="shared" si="4"/>
        <v>340.2</v>
      </c>
      <c r="S46" s="1253">
        <v>3.0</v>
      </c>
      <c r="T46" s="1247"/>
    </row>
    <row r="47" ht="15.0" customHeight="1">
      <c r="A47" s="554"/>
      <c r="B47" s="1248" t="str">
        <f>'1. Справочник'!B46</f>
        <v>Дина</v>
      </c>
      <c r="C47" s="25" t="str">
        <f>'1. Справочник'!C46</f>
        <v>CM 1606</v>
      </c>
      <c r="D47" s="1249">
        <v>8.0</v>
      </c>
      <c r="E47" s="1249" t="s">
        <v>1539</v>
      </c>
      <c r="F47" s="1250" t="str">
        <f>'1. Справочник'!F46</f>
        <v>Студия</v>
      </c>
      <c r="G47" s="1274" t="s">
        <v>518</v>
      </c>
      <c r="H47" s="1252">
        <v>500.0</v>
      </c>
      <c r="I47" s="1242">
        <v>35.0</v>
      </c>
      <c r="J47" s="1242">
        <v>35.0</v>
      </c>
      <c r="K47" s="1243">
        <f t="shared" si="1"/>
        <v>113.4</v>
      </c>
      <c r="L47" s="1254">
        <v>3.0</v>
      </c>
      <c r="M47" s="1242">
        <v>43.888888888888886</v>
      </c>
      <c r="N47" s="1245">
        <f t="shared" si="2"/>
        <v>142.2</v>
      </c>
      <c r="O47" s="1242">
        <v>56.11111111111111</v>
      </c>
      <c r="P47" s="1245">
        <f t="shared" si="3"/>
        <v>181.8</v>
      </c>
      <c r="Q47" s="1242">
        <v>64.25925925925927</v>
      </c>
      <c r="R47" s="1245">
        <f t="shared" si="4"/>
        <v>208.2</v>
      </c>
      <c r="S47" s="1253">
        <v>3.0</v>
      </c>
      <c r="T47" s="1247"/>
    </row>
    <row r="48" ht="15.0" customHeight="1">
      <c r="A48" s="554"/>
      <c r="B48" s="1248" t="str">
        <f>'1. Справочник'!B47</f>
        <v>Дина</v>
      </c>
      <c r="C48" s="25" t="str">
        <f>'1. Справочник'!C47</f>
        <v>CM 1931</v>
      </c>
      <c r="D48" s="1249">
        <v>6.0</v>
      </c>
      <c r="E48" s="1249" t="s">
        <v>1538</v>
      </c>
      <c r="F48" s="1250" t="str">
        <f>'1. Справочник'!F47</f>
        <v>Студия</v>
      </c>
      <c r="G48" s="1274" t="s">
        <v>518</v>
      </c>
      <c r="H48" s="1252">
        <v>450.0</v>
      </c>
      <c r="I48" s="1242">
        <v>32.0</v>
      </c>
      <c r="J48" s="1242">
        <v>32.0</v>
      </c>
      <c r="K48" s="1243">
        <f t="shared" si="1"/>
        <v>103.68</v>
      </c>
      <c r="L48" s="1254">
        <v>3.0</v>
      </c>
      <c r="M48" s="1242">
        <v>41.851851851851855</v>
      </c>
      <c r="N48" s="1245">
        <f t="shared" si="2"/>
        <v>135.6</v>
      </c>
      <c r="O48" s="1242">
        <v>54.074074074074076</v>
      </c>
      <c r="P48" s="1245">
        <f t="shared" si="3"/>
        <v>175.2</v>
      </c>
      <c r="Q48" s="1242">
        <v>62.22222222222223</v>
      </c>
      <c r="R48" s="1245">
        <f t="shared" si="4"/>
        <v>201.6</v>
      </c>
      <c r="S48" s="1253">
        <v>3.0</v>
      </c>
      <c r="T48" s="1247"/>
    </row>
    <row r="49" ht="15.0" customHeight="1">
      <c r="A49" s="554"/>
      <c r="B49" s="1248" t="str">
        <f>'1. Справочник'!B48</f>
        <v>Дина</v>
      </c>
      <c r="C49" s="25" t="str">
        <f>'1. Справочник'!C48</f>
        <v>CM 1304</v>
      </c>
      <c r="D49" s="1249">
        <v>6.0</v>
      </c>
      <c r="E49" s="1249" t="s">
        <v>1539</v>
      </c>
      <c r="F49" s="1250" t="str">
        <f>'1. Справочник'!F48</f>
        <v>1+1</v>
      </c>
      <c r="G49" s="1274" t="s">
        <v>518</v>
      </c>
      <c r="H49" s="1252">
        <v>700.0</v>
      </c>
      <c r="I49" s="1242">
        <v>40.0</v>
      </c>
      <c r="J49" s="1242">
        <v>40.0</v>
      </c>
      <c r="K49" s="1243">
        <f t="shared" si="1"/>
        <v>129.6</v>
      </c>
      <c r="L49" s="1254">
        <v>3.0</v>
      </c>
      <c r="M49" s="1242">
        <v>76.48148148148148</v>
      </c>
      <c r="N49" s="1245">
        <f t="shared" si="2"/>
        <v>247.8</v>
      </c>
      <c r="O49" s="1242">
        <v>92.77777777777777</v>
      </c>
      <c r="P49" s="1245">
        <f t="shared" si="3"/>
        <v>300.6</v>
      </c>
      <c r="Q49" s="1242">
        <v>104.99999999999999</v>
      </c>
      <c r="R49" s="1245">
        <f t="shared" si="4"/>
        <v>340.2</v>
      </c>
      <c r="S49" s="1253">
        <v>3.0</v>
      </c>
      <c r="T49" s="1247"/>
    </row>
    <row r="50" ht="15.0" customHeight="1">
      <c r="A50" s="554"/>
      <c r="B50" s="1248"/>
      <c r="C50" s="25" t="str">
        <f>'1. Справочник'!C49</f>
        <v>CM 1327</v>
      </c>
      <c r="D50" s="1249"/>
      <c r="E50" s="1249"/>
      <c r="F50" s="1250" t="str">
        <f>'1. Справочник'!F49</f>
        <v>1+1</v>
      </c>
      <c r="G50" s="1274" t="s">
        <v>518</v>
      </c>
      <c r="H50" s="1252">
        <v>700.0</v>
      </c>
      <c r="I50" s="1242">
        <v>40.0</v>
      </c>
      <c r="J50" s="1242">
        <v>40.0</v>
      </c>
      <c r="K50" s="1243">
        <f t="shared" si="1"/>
        <v>129.6</v>
      </c>
      <c r="L50" s="1254">
        <v>3.0</v>
      </c>
      <c r="M50" s="1242">
        <v>76.48148148148148</v>
      </c>
      <c r="N50" s="1245">
        <f t="shared" si="2"/>
        <v>247.8</v>
      </c>
      <c r="O50" s="1242">
        <v>92.77777777777777</v>
      </c>
      <c r="P50" s="1245">
        <f t="shared" si="3"/>
        <v>300.6</v>
      </c>
      <c r="Q50" s="1242">
        <v>104.99999999999999</v>
      </c>
      <c r="R50" s="1245">
        <f t="shared" si="4"/>
        <v>340.2</v>
      </c>
      <c r="S50" s="1253">
        <v>3.0</v>
      </c>
      <c r="T50" s="1247"/>
    </row>
    <row r="51" ht="15.75" customHeight="1">
      <c r="B51" s="1282" t="str">
        <f>'1. Справочник'!B52</f>
        <v>Дина</v>
      </c>
      <c r="C51" s="1283" t="str">
        <f>'1. Справочник'!C50</f>
        <v>Int 2905</v>
      </c>
      <c r="D51" s="1280">
        <v>8.0</v>
      </c>
      <c r="E51" s="1280" t="s">
        <v>1538</v>
      </c>
      <c r="F51" s="1281" t="str">
        <f>'1. Справочник'!F50</f>
        <v>1+1</v>
      </c>
      <c r="G51" s="1284" t="s">
        <v>563</v>
      </c>
      <c r="H51" s="1280">
        <v>600.0</v>
      </c>
      <c r="I51" s="1242">
        <v>50.0</v>
      </c>
      <c r="J51" s="1242">
        <v>50.0</v>
      </c>
      <c r="K51" s="1243">
        <f t="shared" si="1"/>
        <v>162</v>
      </c>
      <c r="L51" s="1285">
        <v>7.0</v>
      </c>
      <c r="M51" s="1242">
        <v>56.11111111111111</v>
      </c>
      <c r="N51" s="1245">
        <f t="shared" si="2"/>
        <v>181.8</v>
      </c>
      <c r="O51" s="1242">
        <v>64.25925925925927</v>
      </c>
      <c r="P51" s="1245">
        <f t="shared" si="3"/>
        <v>208.2</v>
      </c>
      <c r="Q51" s="1242">
        <v>80.55555555555556</v>
      </c>
      <c r="R51" s="1245">
        <f t="shared" si="4"/>
        <v>261</v>
      </c>
      <c r="S51" s="1257">
        <v>3.0</v>
      </c>
      <c r="T51" s="1247"/>
    </row>
    <row r="52" ht="15.75" customHeight="1">
      <c r="B52" s="1248" t="str">
        <f>'1. Справочник'!B74</f>
        <v>Юлия</v>
      </c>
      <c r="C52" s="25" t="str">
        <f>'1. Справочник'!C51</f>
        <v>Int 2612</v>
      </c>
      <c r="D52" s="1249">
        <v>8.0</v>
      </c>
      <c r="E52" s="1249" t="s">
        <v>1537</v>
      </c>
      <c r="F52" s="1250" t="str">
        <f>'1. Справочник'!F51</f>
        <v>1+1</v>
      </c>
      <c r="G52" s="1274" t="s">
        <v>518</v>
      </c>
      <c r="H52" s="1249">
        <v>800.0</v>
      </c>
      <c r="I52" s="1242">
        <v>60.0</v>
      </c>
      <c r="J52" s="1242">
        <v>60.0</v>
      </c>
      <c r="K52" s="1243">
        <f t="shared" si="1"/>
        <v>194.4</v>
      </c>
      <c r="L52" s="1254">
        <v>3.0</v>
      </c>
      <c r="M52" s="1242">
        <v>76.48148148148148</v>
      </c>
      <c r="N52" s="1245">
        <f t="shared" si="2"/>
        <v>247.8</v>
      </c>
      <c r="O52" s="1242">
        <v>92.77777777777777</v>
      </c>
      <c r="P52" s="1245">
        <f t="shared" si="3"/>
        <v>300.6</v>
      </c>
      <c r="Q52" s="1242">
        <v>104.99999999999999</v>
      </c>
      <c r="R52" s="1245">
        <f t="shared" si="4"/>
        <v>340.2</v>
      </c>
      <c r="S52" s="1253">
        <v>3.0</v>
      </c>
      <c r="T52" s="1247"/>
    </row>
    <row r="53" ht="15.75" customHeight="1">
      <c r="B53" s="1248" t="str">
        <f>'1. Справочник'!B75</f>
        <v/>
      </c>
      <c r="C53" s="25" t="str">
        <f>'1. Справочник'!C52</f>
        <v>Шар 2505</v>
      </c>
      <c r="D53" s="1249">
        <v>7.0</v>
      </c>
      <c r="E53" s="1249" t="s">
        <v>1539</v>
      </c>
      <c r="F53" s="1250" t="str">
        <f>'1. Справочник'!F52</f>
        <v>Студия</v>
      </c>
      <c r="G53" s="1274" t="s">
        <v>518</v>
      </c>
      <c r="H53" s="1252">
        <v>450.0</v>
      </c>
      <c r="I53" s="1242">
        <v>35.0</v>
      </c>
      <c r="J53" s="1242">
        <v>35.0</v>
      </c>
      <c r="K53" s="1243">
        <f t="shared" si="1"/>
        <v>113.4</v>
      </c>
      <c r="L53" s="1254">
        <v>3.0</v>
      </c>
      <c r="M53" s="1242">
        <v>43.888888888888886</v>
      </c>
      <c r="N53" s="1245">
        <f t="shared" si="2"/>
        <v>142.2</v>
      </c>
      <c r="O53" s="1242">
        <v>56.11111111111111</v>
      </c>
      <c r="P53" s="1245">
        <f t="shared" si="3"/>
        <v>181.8</v>
      </c>
      <c r="Q53" s="1242">
        <v>64.25925925925927</v>
      </c>
      <c r="R53" s="1245">
        <f t="shared" si="4"/>
        <v>208.2</v>
      </c>
      <c r="S53" s="1253">
        <v>3.0</v>
      </c>
      <c r="T53" s="1247"/>
    </row>
    <row r="54" ht="15.75" customHeight="1">
      <c r="B54" s="1248"/>
      <c r="C54" s="25" t="str">
        <f>'1. Справочник'!C54</f>
        <v>Багратиони</v>
      </c>
      <c r="D54" s="1249"/>
      <c r="E54" s="1249"/>
      <c r="F54" s="1250" t="str">
        <f>'1. Справочник'!F54</f>
        <v>1+2</v>
      </c>
      <c r="G54" s="1274" t="s">
        <v>563</v>
      </c>
      <c r="H54" s="1252">
        <v>1000.0</v>
      </c>
      <c r="I54" s="1242">
        <v>120.0</v>
      </c>
      <c r="J54" s="1242">
        <v>120.0</v>
      </c>
      <c r="K54" s="1243">
        <f t="shared" si="1"/>
        <v>388.8</v>
      </c>
      <c r="L54" s="1254">
        <v>7.0</v>
      </c>
      <c r="M54" s="1242">
        <v>120.0</v>
      </c>
      <c r="N54" s="1245">
        <f t="shared" si="2"/>
        <v>388.8</v>
      </c>
      <c r="O54" s="1242">
        <v>120.0</v>
      </c>
      <c r="P54" s="1245">
        <f t="shared" si="3"/>
        <v>388.8</v>
      </c>
      <c r="Q54" s="1242">
        <v>120.0</v>
      </c>
      <c r="R54" s="1245">
        <f t="shared" si="4"/>
        <v>388.8</v>
      </c>
      <c r="S54" s="1253">
        <v>7.0</v>
      </c>
      <c r="T54" s="1247"/>
    </row>
    <row r="55" ht="15.75" customHeight="1">
      <c r="B55" s="1248"/>
      <c r="C55" s="25" t="str">
        <f>'1. Справочник'!C55</f>
        <v>Думбадзе</v>
      </c>
      <c r="D55" s="1249"/>
      <c r="E55" s="1249"/>
      <c r="F55" s="1250" t="str">
        <f>'1. Справочник'!F55</f>
        <v>1+1</v>
      </c>
      <c r="G55" s="1274" t="s">
        <v>518</v>
      </c>
      <c r="H55" s="1252">
        <v>1200.0</v>
      </c>
      <c r="I55" s="1242">
        <v>0.0</v>
      </c>
      <c r="J55" s="1242">
        <v>0.0</v>
      </c>
      <c r="K55" s="1243">
        <f t="shared" si="1"/>
        <v>0</v>
      </c>
      <c r="L55" s="1254"/>
      <c r="M55" s="1242">
        <v>90.0</v>
      </c>
      <c r="N55" s="1245">
        <f t="shared" si="2"/>
        <v>291.6</v>
      </c>
      <c r="O55" s="1242">
        <v>120.0</v>
      </c>
      <c r="P55" s="1245">
        <f t="shared" si="3"/>
        <v>388.8</v>
      </c>
      <c r="Q55" s="1242">
        <v>180.0</v>
      </c>
      <c r="R55" s="1245">
        <f t="shared" si="4"/>
        <v>583.2</v>
      </c>
      <c r="S55" s="1253"/>
      <c r="T55" s="1247"/>
    </row>
    <row r="56" ht="15.0" customHeight="1">
      <c r="A56" s="554"/>
      <c r="B56" s="1248" t="str">
        <f>'1. Справочник'!B57</f>
        <v>Юлия</v>
      </c>
      <c r="C56" s="25" t="str">
        <f>'1. Справочник'!C57</f>
        <v>PT2604</v>
      </c>
      <c r="D56" s="1249">
        <v>9.0</v>
      </c>
      <c r="E56" s="1249" t="s">
        <v>1537</v>
      </c>
      <c r="F56" s="1250" t="str">
        <f>'1. Справочник'!F57</f>
        <v>Студия</v>
      </c>
      <c r="G56" s="1274" t="s">
        <v>321</v>
      </c>
      <c r="H56" s="1252">
        <v>1000.0</v>
      </c>
      <c r="I56" s="1242">
        <v>55.0</v>
      </c>
      <c r="J56" s="1242">
        <v>55.0</v>
      </c>
      <c r="K56" s="1243">
        <f t="shared" si="1"/>
        <v>178.2</v>
      </c>
      <c r="L56" s="1254">
        <v>3.0</v>
      </c>
      <c r="M56" s="1242">
        <v>84.62962962962963</v>
      </c>
      <c r="N56" s="1245">
        <f t="shared" si="2"/>
        <v>274.2</v>
      </c>
      <c r="O56" s="1242">
        <v>104.99999999999999</v>
      </c>
      <c r="P56" s="1245">
        <f t="shared" si="3"/>
        <v>340.2</v>
      </c>
      <c r="Q56" s="1242">
        <v>117.22222222222221</v>
      </c>
      <c r="R56" s="1245">
        <f t="shared" si="4"/>
        <v>379.8</v>
      </c>
      <c r="S56" s="1253">
        <v>3.0</v>
      </c>
      <c r="T56" s="1247"/>
    </row>
    <row r="57" ht="15.75" customHeight="1">
      <c r="A57" s="554"/>
      <c r="B57" s="1248" t="str">
        <f>'1. Справочник'!B58</f>
        <v>Юлия</v>
      </c>
      <c r="C57" s="25" t="str">
        <f>'1. Справочник'!C58</f>
        <v>PT2704</v>
      </c>
      <c r="D57" s="1249">
        <v>9.0</v>
      </c>
      <c r="E57" s="1249" t="s">
        <v>1537</v>
      </c>
      <c r="F57" s="1250" t="str">
        <f>'1. Справочник'!F58</f>
        <v>Студия</v>
      </c>
      <c r="G57" s="1274" t="s">
        <v>321</v>
      </c>
      <c r="H57" s="1252">
        <v>1000.0</v>
      </c>
      <c r="I57" s="1242">
        <v>65.0</v>
      </c>
      <c r="J57" s="1242">
        <v>65.0</v>
      </c>
      <c r="K57" s="1243">
        <f t="shared" si="1"/>
        <v>210.6</v>
      </c>
      <c r="L57" s="1254">
        <v>3.0</v>
      </c>
      <c r="M57" s="1242">
        <v>96.85185185185185</v>
      </c>
      <c r="N57" s="1245">
        <f t="shared" si="2"/>
        <v>313.8</v>
      </c>
      <c r="O57" s="1242">
        <v>125.37037037037037</v>
      </c>
      <c r="P57" s="1245">
        <f t="shared" si="3"/>
        <v>406.2</v>
      </c>
      <c r="Q57" s="1242">
        <v>145.74074074074076</v>
      </c>
      <c r="R57" s="1245">
        <f t="shared" si="4"/>
        <v>472.2</v>
      </c>
      <c r="S57" s="1253">
        <v>3.0</v>
      </c>
      <c r="T57" s="1247"/>
    </row>
    <row r="58" ht="15.75" customHeight="1">
      <c r="B58" s="1248"/>
      <c r="C58" s="1262" t="str">
        <f>'1. Справочник'!C59</f>
        <v>PT3604</v>
      </c>
      <c r="D58" s="1249"/>
      <c r="E58" s="1249"/>
      <c r="F58" s="1250"/>
      <c r="G58" s="1274"/>
      <c r="H58" s="1249"/>
      <c r="I58" s="1242">
        <v>0.0</v>
      </c>
      <c r="J58" s="1242">
        <v>0.0</v>
      </c>
      <c r="K58" s="1243">
        <f t="shared" si="1"/>
        <v>0</v>
      </c>
      <c r="L58" s="1254"/>
      <c r="M58" s="1242">
        <v>96.85185185185185</v>
      </c>
      <c r="N58" s="1245">
        <f t="shared" si="2"/>
        <v>313.8</v>
      </c>
      <c r="O58" s="1242">
        <v>125.37037037037037</v>
      </c>
      <c r="P58" s="1245">
        <f t="shared" si="3"/>
        <v>406.2</v>
      </c>
      <c r="Q58" s="1242">
        <v>145.74074074074076</v>
      </c>
      <c r="R58" s="1245">
        <f t="shared" si="4"/>
        <v>472.2</v>
      </c>
      <c r="S58" s="1253">
        <v>3.0</v>
      </c>
      <c r="T58" s="1247"/>
    </row>
    <row r="59" ht="15.75" customHeight="1">
      <c r="B59" s="1248" t="str">
        <f>'1. Справочник'!B137</f>
        <v>Дина</v>
      </c>
      <c r="C59" s="25" t="str">
        <f>'1. Справочник'!C60</f>
        <v>NW 2-5</v>
      </c>
      <c r="D59" s="1249">
        <v>9.0</v>
      </c>
      <c r="E59" s="1249" t="s">
        <v>1537</v>
      </c>
      <c r="F59" s="1250" t="str">
        <f>'1. Справочник'!F60</f>
        <v>1+1</v>
      </c>
      <c r="G59" s="1274" t="s">
        <v>518</v>
      </c>
      <c r="H59" s="1249">
        <v>650.0</v>
      </c>
      <c r="I59" s="1242">
        <v>55.0</v>
      </c>
      <c r="J59" s="1242">
        <v>55.0</v>
      </c>
      <c r="K59" s="1243">
        <f t="shared" si="1"/>
        <v>178.2</v>
      </c>
      <c r="L59" s="1254">
        <v>3.0</v>
      </c>
      <c r="M59" s="1242">
        <v>86.66666666666667</v>
      </c>
      <c r="N59" s="1245">
        <f t="shared" si="2"/>
        <v>280.8</v>
      </c>
      <c r="O59" s="1242">
        <v>94.81481481481481</v>
      </c>
      <c r="P59" s="1245">
        <f t="shared" si="3"/>
        <v>307.2</v>
      </c>
      <c r="Q59" s="1242">
        <v>105.4074074074074</v>
      </c>
      <c r="R59" s="1245">
        <f t="shared" si="4"/>
        <v>341.52</v>
      </c>
      <c r="S59" s="1253">
        <v>3.0</v>
      </c>
      <c r="T59" s="1247"/>
    </row>
    <row r="60" ht="15.75" customHeight="1">
      <c r="B60" s="1248" t="str">
        <f>'1. Справочник'!B138</f>
        <v>Дина</v>
      </c>
      <c r="C60" s="25" t="str">
        <f>'1. Справочник'!C136</f>
        <v>NW 4-9</v>
      </c>
      <c r="D60" s="1261">
        <v>9.0</v>
      </c>
      <c r="E60" s="1249" t="s">
        <v>1538</v>
      </c>
      <c r="F60" s="1250" t="str">
        <f>'1. Справочник'!F136</f>
        <v>Студия</v>
      </c>
      <c r="G60" s="1274" t="s">
        <v>518</v>
      </c>
      <c r="H60" s="1252">
        <v>450.0</v>
      </c>
      <c r="I60" s="1286">
        <v>0.0</v>
      </c>
      <c r="J60" s="1286">
        <v>0.0</v>
      </c>
      <c r="K60" s="1276">
        <f t="shared" si="1"/>
        <v>0</v>
      </c>
      <c r="L60" s="1257"/>
      <c r="M60" s="1287">
        <v>-5.0</v>
      </c>
      <c r="N60" s="1287">
        <f t="shared" si="2"/>
        <v>-16.2</v>
      </c>
      <c r="O60" s="1287">
        <v>-5.0</v>
      </c>
      <c r="P60" s="1245">
        <f t="shared" si="3"/>
        <v>-16.2</v>
      </c>
      <c r="Q60" s="1287">
        <v>-5.0</v>
      </c>
      <c r="R60" s="1245">
        <f t="shared" si="4"/>
        <v>-16.2</v>
      </c>
      <c r="S60" s="1257">
        <v>3.0</v>
      </c>
      <c r="T60" s="1247"/>
    </row>
    <row r="61" ht="15.75" customHeight="1">
      <c r="B61" s="1248" t="str">
        <f>'1. Справочник'!B61</f>
        <v>Дина</v>
      </c>
      <c r="C61" s="25" t="str">
        <f>'1. Справочник'!C137</f>
        <v>NW 4-10</v>
      </c>
      <c r="D61" s="1261">
        <v>9.0</v>
      </c>
      <c r="E61" s="1249" t="s">
        <v>1538</v>
      </c>
      <c r="F61" s="1250" t="str">
        <f>'1. Справочник'!F137</f>
        <v>Студия</v>
      </c>
      <c r="G61" s="1274" t="s">
        <v>518</v>
      </c>
      <c r="H61" s="1252">
        <v>450.0</v>
      </c>
      <c r="I61" s="1286">
        <v>0.0</v>
      </c>
      <c r="J61" s="1286">
        <v>0.0</v>
      </c>
      <c r="K61" s="1276">
        <f t="shared" si="1"/>
        <v>0</v>
      </c>
      <c r="L61" s="1257"/>
      <c r="M61" s="1287">
        <v>-5.0</v>
      </c>
      <c r="N61" s="1287">
        <f t="shared" si="2"/>
        <v>-16.2</v>
      </c>
      <c r="O61" s="1287">
        <v>-5.0</v>
      </c>
      <c r="P61" s="1245">
        <f t="shared" si="3"/>
        <v>-16.2</v>
      </c>
      <c r="Q61" s="1287">
        <v>-5.0</v>
      </c>
      <c r="R61" s="1245">
        <f t="shared" si="4"/>
        <v>-16.2</v>
      </c>
      <c r="S61" s="1257">
        <v>3.0</v>
      </c>
      <c r="T61" s="1247"/>
    </row>
    <row r="62" ht="15.75" customHeight="1">
      <c r="B62" s="1248" t="str">
        <f>'1. Справочник'!B50</f>
        <v>Дина</v>
      </c>
      <c r="C62" s="25" t="str">
        <f>'1. Справочник'!C138</f>
        <v>NW 10-6</v>
      </c>
      <c r="D62" s="1261">
        <v>9.0</v>
      </c>
      <c r="E62" s="1249" t="s">
        <v>1538</v>
      </c>
      <c r="F62" s="1250" t="str">
        <f>'1. Справочник'!F138</f>
        <v>Студия</v>
      </c>
      <c r="G62" s="1274" t="s">
        <v>518</v>
      </c>
      <c r="H62" s="1252">
        <v>450.0</v>
      </c>
      <c r="I62" s="1286">
        <v>0.0</v>
      </c>
      <c r="J62" s="1286">
        <v>0.0</v>
      </c>
      <c r="K62" s="1276">
        <f t="shared" si="1"/>
        <v>0</v>
      </c>
      <c r="L62" s="1257"/>
      <c r="M62" s="1287">
        <v>-5.0</v>
      </c>
      <c r="N62" s="1287">
        <f t="shared" si="2"/>
        <v>-16.2</v>
      </c>
      <c r="O62" s="1287">
        <v>-5.0</v>
      </c>
      <c r="P62" s="1245">
        <f t="shared" si="3"/>
        <v>-16.2</v>
      </c>
      <c r="Q62" s="1287">
        <v>-5.0</v>
      </c>
      <c r="R62" s="1245">
        <f t="shared" si="4"/>
        <v>-16.2</v>
      </c>
      <c r="S62" s="1257">
        <v>3.0</v>
      </c>
      <c r="T62" s="1247"/>
    </row>
    <row r="63" ht="15.75" customHeight="1">
      <c r="B63" s="1248" t="str">
        <f>'1. Справочник'!B51</f>
        <v>Дина</v>
      </c>
      <c r="C63" s="25" t="str">
        <f>'1. Справочник'!C61</f>
        <v>NW 3-7</v>
      </c>
      <c r="D63" s="1249">
        <v>7.0</v>
      </c>
      <c r="E63" s="1249" t="s">
        <v>1538</v>
      </c>
      <c r="F63" s="1250" t="str">
        <f>'1. Справочник'!F61</f>
        <v>Студия</v>
      </c>
      <c r="G63" s="1274" t="s">
        <v>518</v>
      </c>
      <c r="H63" s="1252">
        <v>450.0</v>
      </c>
      <c r="I63" s="1288">
        <v>35.0</v>
      </c>
      <c r="J63" s="1288">
        <v>35.0</v>
      </c>
      <c r="K63" s="1289">
        <f t="shared" si="1"/>
        <v>113.4</v>
      </c>
      <c r="L63" s="1257"/>
      <c r="M63" s="1242">
        <v>45.925925925925924</v>
      </c>
      <c r="N63" s="1245">
        <f t="shared" si="2"/>
        <v>148.8</v>
      </c>
      <c r="O63" s="1242">
        <v>70.37037037037038</v>
      </c>
      <c r="P63" s="1245">
        <f t="shared" si="3"/>
        <v>228</v>
      </c>
      <c r="Q63" s="1242">
        <v>82.5925925925926</v>
      </c>
      <c r="R63" s="1245">
        <f t="shared" si="4"/>
        <v>267.6</v>
      </c>
      <c r="S63" s="1257">
        <v>3.0</v>
      </c>
      <c r="T63" s="1247"/>
    </row>
    <row r="64" ht="15.75" customHeight="1">
      <c r="B64" s="1248" t="str">
        <f>'1. Справочник'!B63</f>
        <v>Юлия</v>
      </c>
      <c r="C64" s="25" t="str">
        <f>'1. Справочник'!C63</f>
        <v>MZ 718</v>
      </c>
      <c r="D64" s="1249">
        <v>8.0</v>
      </c>
      <c r="E64" s="1249" t="s">
        <v>1539</v>
      </c>
      <c r="F64" s="1250" t="str">
        <f>'1. Справочник'!F63</f>
        <v>Студия</v>
      </c>
      <c r="G64" s="1274" t="s">
        <v>518</v>
      </c>
      <c r="H64" s="1252">
        <v>500.0</v>
      </c>
      <c r="I64" s="1242">
        <v>30.0</v>
      </c>
      <c r="J64" s="1242">
        <v>30.0</v>
      </c>
      <c r="K64" s="1243">
        <f t="shared" si="1"/>
        <v>97.2</v>
      </c>
      <c r="L64" s="1254">
        <v>3.0</v>
      </c>
      <c r="M64" s="1242">
        <v>45.925925925925924</v>
      </c>
      <c r="N64" s="1245">
        <f t="shared" si="2"/>
        <v>148.8</v>
      </c>
      <c r="O64" s="1242">
        <v>70.37037037037038</v>
      </c>
      <c r="P64" s="1245">
        <f t="shared" si="3"/>
        <v>228</v>
      </c>
      <c r="Q64" s="1242">
        <v>82.5925925925926</v>
      </c>
      <c r="R64" s="1245">
        <f t="shared" si="4"/>
        <v>267.6</v>
      </c>
      <c r="S64" s="1253">
        <v>3.0</v>
      </c>
      <c r="T64" s="1247"/>
    </row>
    <row r="65" ht="15.75" customHeight="1">
      <c r="B65" s="1248" t="str">
        <f>'1. Справочник'!B64</f>
        <v>Юлия</v>
      </c>
      <c r="C65" s="25" t="str">
        <f>'1. Справочник'!C64</f>
        <v>MZ 913</v>
      </c>
      <c r="D65" s="1249">
        <v>8.0</v>
      </c>
      <c r="E65" s="1249" t="s">
        <v>1539</v>
      </c>
      <c r="F65" s="1250" t="str">
        <f>'1. Справочник'!F64</f>
        <v>Студия</v>
      </c>
      <c r="G65" s="1274" t="s">
        <v>518</v>
      </c>
      <c r="H65" s="1252">
        <v>500.0</v>
      </c>
      <c r="I65" s="1242">
        <v>30.0</v>
      </c>
      <c r="J65" s="1242">
        <v>30.0</v>
      </c>
      <c r="K65" s="1243">
        <f t="shared" si="1"/>
        <v>97.2</v>
      </c>
      <c r="L65" s="1254">
        <v>3.0</v>
      </c>
      <c r="M65" s="1242">
        <v>45.925925925925924</v>
      </c>
      <c r="N65" s="1245">
        <f t="shared" si="2"/>
        <v>148.8</v>
      </c>
      <c r="O65" s="1242">
        <v>70.37037037037038</v>
      </c>
      <c r="P65" s="1245">
        <f t="shared" si="3"/>
        <v>228</v>
      </c>
      <c r="Q65" s="1242">
        <v>82.5925925925926</v>
      </c>
      <c r="R65" s="1245">
        <f t="shared" si="4"/>
        <v>267.6</v>
      </c>
      <c r="S65" s="1253">
        <v>3.0</v>
      </c>
      <c r="T65" s="1247"/>
    </row>
    <row r="66" ht="15.75" customHeight="1">
      <c r="B66" s="1248" t="str">
        <f>'1. Справочник'!B65</f>
        <v>Юлия</v>
      </c>
      <c r="C66" s="25" t="str">
        <f>'1. Справочник'!C65</f>
        <v>MZ 1408</v>
      </c>
      <c r="D66" s="1249">
        <v>7.0</v>
      </c>
      <c r="E66" s="1249" t="s">
        <v>1539</v>
      </c>
      <c r="F66" s="1250" t="str">
        <f>'1. Справочник'!F65</f>
        <v>1+1</v>
      </c>
      <c r="G66" s="1274" t="s">
        <v>518</v>
      </c>
      <c r="H66" s="1252">
        <v>600.0</v>
      </c>
      <c r="I66" s="1242">
        <v>45.0</v>
      </c>
      <c r="J66" s="1242">
        <v>45.0</v>
      </c>
      <c r="K66" s="1243">
        <f t="shared" si="1"/>
        <v>145.8</v>
      </c>
      <c r="L66" s="1254">
        <v>3.0</v>
      </c>
      <c r="M66" s="1242">
        <v>76.48148148148148</v>
      </c>
      <c r="N66" s="1245">
        <f t="shared" si="2"/>
        <v>247.8</v>
      </c>
      <c r="O66" s="1242">
        <v>86.66666666666667</v>
      </c>
      <c r="P66" s="1245">
        <f t="shared" si="3"/>
        <v>280.8</v>
      </c>
      <c r="Q66" s="1242">
        <v>102.96296296296296</v>
      </c>
      <c r="R66" s="1245">
        <f t="shared" si="4"/>
        <v>333.6</v>
      </c>
      <c r="S66" s="1253">
        <v>3.0</v>
      </c>
      <c r="T66" s="1247"/>
    </row>
    <row r="67" ht="15.75" customHeight="1">
      <c r="B67" s="1248" t="str">
        <f>'1. Справочник'!B66</f>
        <v>Юлия</v>
      </c>
      <c r="C67" s="25" t="str">
        <f>'1. Справочник'!C66</f>
        <v>MZ А 1113</v>
      </c>
      <c r="D67" s="1249">
        <v>7.0</v>
      </c>
      <c r="E67" s="1249" t="s">
        <v>1539</v>
      </c>
      <c r="F67" s="1250" t="str">
        <f>'1. Справочник'!F66</f>
        <v>1+1</v>
      </c>
      <c r="G67" s="1274" t="s">
        <v>518</v>
      </c>
      <c r="H67" s="1252">
        <v>700.0</v>
      </c>
      <c r="I67" s="1242">
        <v>40.0</v>
      </c>
      <c r="J67" s="1242">
        <v>40.0</v>
      </c>
      <c r="K67" s="1243">
        <f t="shared" si="1"/>
        <v>129.6</v>
      </c>
      <c r="L67" s="1290">
        <v>2.0</v>
      </c>
      <c r="M67" s="1242">
        <v>76.48148148148148</v>
      </c>
      <c r="N67" s="1245">
        <f t="shared" si="2"/>
        <v>247.8</v>
      </c>
      <c r="O67" s="1242">
        <v>86.66666666666667</v>
      </c>
      <c r="P67" s="1245">
        <f t="shared" si="3"/>
        <v>280.8</v>
      </c>
      <c r="Q67" s="1242">
        <v>102.96296296296296</v>
      </c>
      <c r="R67" s="1245">
        <f t="shared" si="4"/>
        <v>333.6</v>
      </c>
      <c r="S67" s="1253">
        <v>3.0</v>
      </c>
      <c r="T67" s="1247"/>
    </row>
    <row r="68" ht="15.75" customHeight="1">
      <c r="B68" s="1248"/>
      <c r="C68" s="25" t="str">
        <f>'1. Справочник'!C67</f>
        <v>MZ C 511</v>
      </c>
      <c r="D68" s="1249"/>
      <c r="E68" s="1249"/>
      <c r="F68" s="1250" t="str">
        <f>'1. Справочник'!F67</f>
        <v>Студия</v>
      </c>
      <c r="G68" s="1274" t="s">
        <v>518</v>
      </c>
      <c r="H68" s="1252">
        <v>500.0</v>
      </c>
      <c r="I68" s="1242">
        <v>30.0</v>
      </c>
      <c r="J68" s="1242">
        <v>30.0</v>
      </c>
      <c r="K68" s="1243">
        <f t="shared" si="1"/>
        <v>97.2</v>
      </c>
      <c r="L68" s="1290">
        <v>2.0</v>
      </c>
      <c r="M68" s="1242">
        <v>45.925925925925924</v>
      </c>
      <c r="N68" s="1245">
        <f t="shared" si="2"/>
        <v>148.8</v>
      </c>
      <c r="O68" s="1242">
        <v>70.37037037037038</v>
      </c>
      <c r="P68" s="1245">
        <f t="shared" si="3"/>
        <v>228</v>
      </c>
      <c r="Q68" s="1242">
        <v>82.5925925925926</v>
      </c>
      <c r="R68" s="1245">
        <f t="shared" si="4"/>
        <v>267.6</v>
      </c>
      <c r="S68" s="1253">
        <v>3.0</v>
      </c>
      <c r="T68" s="1247"/>
    </row>
    <row r="69" ht="15.75" customHeight="1">
      <c r="B69" s="1248" t="str">
        <f>'1. Справочник'!B77</f>
        <v/>
      </c>
      <c r="C69" s="25" t="str">
        <f>'1. Справочник'!C75</f>
        <v>DL 11-1112</v>
      </c>
      <c r="D69" s="1249">
        <v>7.0</v>
      </c>
      <c r="E69" s="1249" t="s">
        <v>1537</v>
      </c>
      <c r="F69" s="1250" t="str">
        <f>'1. Справочник'!F75</f>
        <v>Студия</v>
      </c>
      <c r="G69" s="1274" t="s">
        <v>1545</v>
      </c>
      <c r="H69" s="1252"/>
      <c r="I69" s="1286">
        <v>0.0</v>
      </c>
      <c r="J69" s="1286">
        <v>0.0</v>
      </c>
      <c r="K69" s="1276">
        <f t="shared" si="1"/>
        <v>0</v>
      </c>
      <c r="L69" s="1257"/>
      <c r="M69" s="1242">
        <v>109.07407407407405</v>
      </c>
      <c r="N69" s="1245">
        <f t="shared" si="2"/>
        <v>353.4</v>
      </c>
      <c r="O69" s="1242">
        <v>157.96296296296296</v>
      </c>
      <c r="P69" s="1245">
        <f t="shared" si="3"/>
        <v>511.8</v>
      </c>
      <c r="Q69" s="1242">
        <v>178.33333333333334</v>
      </c>
      <c r="R69" s="1245">
        <f t="shared" si="4"/>
        <v>577.8</v>
      </c>
      <c r="S69" s="1257">
        <v>3.0</v>
      </c>
      <c r="T69" s="1247"/>
    </row>
    <row r="70" ht="15.75" customHeight="1">
      <c r="B70" s="1248" t="str">
        <f>'1. Справочник'!B78</f>
        <v/>
      </c>
      <c r="C70" s="25" t="str">
        <f>'1. Справочник'!C76</f>
        <v>DL 11-1305</v>
      </c>
      <c r="D70" s="1249">
        <v>7.0</v>
      </c>
      <c r="E70" s="1249" t="s">
        <v>1539</v>
      </c>
      <c r="F70" s="1250" t="str">
        <f>'1. Справочник'!F76</f>
        <v>1+1</v>
      </c>
      <c r="G70" s="1274" t="s">
        <v>518</v>
      </c>
      <c r="H70" s="1252">
        <v>600.0</v>
      </c>
      <c r="I70" s="1242">
        <v>68.0</v>
      </c>
      <c r="J70" s="1242">
        <v>68.0</v>
      </c>
      <c r="K70" s="1243">
        <f t="shared" si="1"/>
        <v>220.32</v>
      </c>
      <c r="L70" s="1254">
        <v>3.0</v>
      </c>
      <c r="M70" s="1242">
        <v>137.5925925925926</v>
      </c>
      <c r="N70" s="1245">
        <f t="shared" si="2"/>
        <v>445.8</v>
      </c>
      <c r="O70" s="1242">
        <v>178.33333333333334</v>
      </c>
      <c r="P70" s="1245">
        <f t="shared" si="3"/>
        <v>577.8</v>
      </c>
      <c r="Q70" s="1242">
        <v>219.07407407407405</v>
      </c>
      <c r="R70" s="1245">
        <f t="shared" si="4"/>
        <v>709.8</v>
      </c>
      <c r="S70" s="1253">
        <v>3.0</v>
      </c>
      <c r="T70" s="1247"/>
    </row>
    <row r="71" ht="15.75" customHeight="1">
      <c r="B71" s="1248" t="str">
        <f>'1. Справочник'!B79</f>
        <v/>
      </c>
      <c r="C71" s="25" t="str">
        <f>'1. Справочник'!C77</f>
        <v>DL 14-516</v>
      </c>
      <c r="D71" s="1249">
        <v>7.0</v>
      </c>
      <c r="E71" s="1249" t="s">
        <v>1539</v>
      </c>
      <c r="F71" s="1250" t="str">
        <f>'1. Справочник'!F77</f>
        <v>1+1</v>
      </c>
      <c r="G71" s="1274" t="s">
        <v>1545</v>
      </c>
      <c r="H71" s="1252">
        <v>800.0</v>
      </c>
      <c r="I71" s="1242">
        <v>90.0</v>
      </c>
      <c r="J71" s="1242">
        <v>90.0</v>
      </c>
      <c r="K71" s="1243">
        <f t="shared" si="1"/>
        <v>291.6</v>
      </c>
      <c r="L71" s="1291"/>
      <c r="M71" s="1242">
        <v>145.74074074074076</v>
      </c>
      <c r="N71" s="1245">
        <f t="shared" si="2"/>
        <v>472.2</v>
      </c>
      <c r="O71" s="1242">
        <v>186.48148148148147</v>
      </c>
      <c r="P71" s="1245">
        <f t="shared" si="3"/>
        <v>604.2</v>
      </c>
      <c r="Q71" s="1242">
        <v>227.2222222222222</v>
      </c>
      <c r="R71" s="1245">
        <f t="shared" si="4"/>
        <v>736.2</v>
      </c>
      <c r="S71" s="1253">
        <v>3.0</v>
      </c>
      <c r="T71" s="1247"/>
    </row>
    <row r="72" ht="16.5" customHeight="1">
      <c r="B72" s="1248" t="str">
        <f>'1. Справочник'!B80</f>
        <v/>
      </c>
      <c r="C72" s="25" t="str">
        <f>'1. Справочник'!C78</f>
        <v>DL 14-702</v>
      </c>
      <c r="D72" s="1249">
        <v>7.0</v>
      </c>
      <c r="E72" s="1249" t="s">
        <v>1539</v>
      </c>
      <c r="F72" s="1250" t="str">
        <f>'1. Справочник'!F78</f>
        <v>1+1</v>
      </c>
      <c r="G72" s="1274" t="s">
        <v>518</v>
      </c>
      <c r="H72" s="1252">
        <v>600.0</v>
      </c>
      <c r="I72" s="1242">
        <v>68.0</v>
      </c>
      <c r="J72" s="1242">
        <v>68.0</v>
      </c>
      <c r="K72" s="1243">
        <f t="shared" si="1"/>
        <v>220.32</v>
      </c>
      <c r="L72" s="1254">
        <v>3.0</v>
      </c>
      <c r="M72" s="1242">
        <v>137.5925925925926</v>
      </c>
      <c r="N72" s="1245">
        <f t="shared" si="2"/>
        <v>445.8</v>
      </c>
      <c r="O72" s="1242">
        <v>178.33333333333334</v>
      </c>
      <c r="P72" s="1245">
        <f t="shared" si="3"/>
        <v>577.8</v>
      </c>
      <c r="Q72" s="1242">
        <v>219.07407407407405</v>
      </c>
      <c r="R72" s="1245">
        <f t="shared" si="4"/>
        <v>709.8</v>
      </c>
      <c r="S72" s="1253">
        <v>3.0</v>
      </c>
      <c r="T72" s="1247"/>
    </row>
    <row r="73" ht="15.75" customHeight="1">
      <c r="B73" s="1248" t="str">
        <f>'1. Справочник'!B81</f>
        <v/>
      </c>
      <c r="C73" s="25" t="str">
        <f>'1. Справочник'!C79</f>
        <v>DL 14-1214</v>
      </c>
      <c r="D73" s="1249">
        <v>7.0</v>
      </c>
      <c r="E73" s="1249" t="s">
        <v>1538</v>
      </c>
      <c r="F73" s="1250" t="str">
        <f>'1. Справочник'!F79</f>
        <v>Студия</v>
      </c>
      <c r="G73" s="1274" t="s">
        <v>1545</v>
      </c>
      <c r="H73" s="1252"/>
      <c r="I73" s="1286">
        <v>0.0</v>
      </c>
      <c r="J73" s="1286">
        <v>0.0</v>
      </c>
      <c r="K73" s="1276">
        <f t="shared" si="1"/>
        <v>0</v>
      </c>
      <c r="L73" s="1257"/>
      <c r="M73" s="1242">
        <v>109.07407407407405</v>
      </c>
      <c r="N73" s="1245">
        <f t="shared" si="2"/>
        <v>353.4</v>
      </c>
      <c r="O73" s="1242">
        <v>157.96296296296296</v>
      </c>
      <c r="P73" s="1245">
        <f t="shared" si="3"/>
        <v>511.8</v>
      </c>
      <c r="Q73" s="1242">
        <v>178.33333333333334</v>
      </c>
      <c r="R73" s="1245">
        <f t="shared" si="4"/>
        <v>577.8</v>
      </c>
      <c r="S73" s="1257">
        <v>3.0</v>
      </c>
      <c r="T73" s="1247"/>
    </row>
    <row r="74" ht="15.75" customHeight="1">
      <c r="B74" s="1248" t="str">
        <f>'1. Справочник'!B82</f>
        <v/>
      </c>
      <c r="C74" s="25" t="str">
        <f>'1. Справочник'!C80</f>
        <v>14-411</v>
      </c>
      <c r="D74" s="1249">
        <v>2.0</v>
      </c>
      <c r="E74" s="1249" t="s">
        <v>1539</v>
      </c>
      <c r="F74" s="1250" t="str">
        <f>'1. Справочник'!F80</f>
        <v>Студия/твин</v>
      </c>
      <c r="G74" s="1274" t="s">
        <v>1545</v>
      </c>
      <c r="H74" s="1252"/>
      <c r="I74" s="1286">
        <v>0.0</v>
      </c>
      <c r="J74" s="1286">
        <v>0.0</v>
      </c>
      <c r="K74" s="1276">
        <f t="shared" si="1"/>
        <v>0</v>
      </c>
      <c r="L74" s="1257"/>
      <c r="M74" s="1242">
        <v>84.62962962962963</v>
      </c>
      <c r="N74" s="1245">
        <f t="shared" si="2"/>
        <v>274.2</v>
      </c>
      <c r="O74" s="1242">
        <v>125.37037037037037</v>
      </c>
      <c r="P74" s="1245">
        <f t="shared" si="3"/>
        <v>406.2</v>
      </c>
      <c r="Q74" s="1242">
        <v>166.11111111111111</v>
      </c>
      <c r="R74" s="1245">
        <f t="shared" si="4"/>
        <v>538.2</v>
      </c>
      <c r="S74" s="1257">
        <v>3.0</v>
      </c>
      <c r="T74" s="1247"/>
    </row>
    <row r="75" ht="15.75" customHeight="1">
      <c r="B75" s="1248" t="str">
        <f>'1. Справочник'!B83</f>
        <v/>
      </c>
      <c r="C75" s="25" t="str">
        <f>'1. Справочник'!C81</f>
        <v>DL 4-09</v>
      </c>
      <c r="D75" s="1249">
        <v>7.0</v>
      </c>
      <c r="E75" s="1249" t="s">
        <v>1537</v>
      </c>
      <c r="F75" s="1250" t="str">
        <f>'1. Справочник'!F81</f>
        <v>Студия</v>
      </c>
      <c r="G75" s="1274" t="s">
        <v>518</v>
      </c>
      <c r="H75" s="1252">
        <v>500.0</v>
      </c>
      <c r="I75" s="1242">
        <v>40.0</v>
      </c>
      <c r="J75" s="1242">
        <v>40.0</v>
      </c>
      <c r="K75" s="1243">
        <f t="shared" si="1"/>
        <v>129.6</v>
      </c>
      <c r="L75" s="1254">
        <v>3.0</v>
      </c>
      <c r="M75" s="1242">
        <v>109.07407407407405</v>
      </c>
      <c r="N75" s="1245">
        <f t="shared" si="2"/>
        <v>353.4</v>
      </c>
      <c r="O75" s="1242">
        <v>157.96296296296296</v>
      </c>
      <c r="P75" s="1245">
        <f t="shared" si="3"/>
        <v>511.8</v>
      </c>
      <c r="Q75" s="1242">
        <v>178.33333333333334</v>
      </c>
      <c r="R75" s="1245">
        <f t="shared" si="4"/>
        <v>577.8</v>
      </c>
      <c r="S75" s="1253">
        <v>3.0</v>
      </c>
      <c r="T75" s="1247"/>
    </row>
    <row r="76" ht="15.75" customHeight="1">
      <c r="B76" s="1248" t="str">
        <f>'1. Справочник'!B84</f>
        <v/>
      </c>
      <c r="C76" s="25" t="str">
        <f>'1. Справочник'!C82</f>
        <v>DL14-518</v>
      </c>
      <c r="D76" s="1249">
        <v>7.0</v>
      </c>
      <c r="E76" s="1249" t="s">
        <v>1539</v>
      </c>
      <c r="F76" s="1250" t="str">
        <f>'1. Справочник'!F82</f>
        <v>Студия</v>
      </c>
      <c r="G76" s="1274" t="s">
        <v>1545</v>
      </c>
      <c r="H76" s="1252"/>
      <c r="I76" s="1286">
        <v>0.0</v>
      </c>
      <c r="J76" s="1286">
        <v>0.0</v>
      </c>
      <c r="K76" s="1276">
        <f t="shared" si="1"/>
        <v>0</v>
      </c>
      <c r="L76" s="1257"/>
      <c r="M76" s="1242">
        <v>106.1111111111111</v>
      </c>
      <c r="N76" s="1245">
        <f t="shared" si="2"/>
        <v>343.8</v>
      </c>
      <c r="O76" s="1242">
        <v>135.74074074074073</v>
      </c>
      <c r="P76" s="1245">
        <f t="shared" si="3"/>
        <v>439.8</v>
      </c>
      <c r="Q76" s="1242">
        <v>161.66666666666666</v>
      </c>
      <c r="R76" s="1245">
        <f t="shared" si="4"/>
        <v>523.8</v>
      </c>
      <c r="S76" s="1257">
        <v>3.0</v>
      </c>
      <c r="T76" s="1247"/>
    </row>
    <row r="77" ht="15.75" customHeight="1">
      <c r="B77" s="1248" t="str">
        <f>'1. Справочник'!B85</f>
        <v/>
      </c>
      <c r="C77" s="25" t="str">
        <f>'1. Справочник'!C83</f>
        <v>DL14-1405</v>
      </c>
      <c r="D77" s="1249">
        <v>7.0</v>
      </c>
      <c r="E77" s="1249" t="s">
        <v>1539</v>
      </c>
      <c r="F77" s="1292"/>
      <c r="G77" s="1274" t="s">
        <v>518</v>
      </c>
      <c r="H77" s="1252">
        <v>600.0</v>
      </c>
      <c r="I77" s="1242">
        <v>68.0</v>
      </c>
      <c r="J77" s="1242">
        <v>68.0</v>
      </c>
      <c r="K77" s="1243">
        <f t="shared" si="1"/>
        <v>220.32</v>
      </c>
      <c r="L77" s="1254">
        <v>3.0</v>
      </c>
      <c r="M77" s="1242">
        <v>137.5925925925926</v>
      </c>
      <c r="N77" s="1245">
        <f t="shared" si="2"/>
        <v>445.8</v>
      </c>
      <c r="O77" s="1242">
        <v>178.33333333333334</v>
      </c>
      <c r="P77" s="1245">
        <f t="shared" si="3"/>
        <v>577.8</v>
      </c>
      <c r="Q77" s="1242">
        <v>219.07407407407405</v>
      </c>
      <c r="R77" s="1245">
        <f t="shared" si="4"/>
        <v>709.8</v>
      </c>
      <c r="S77" s="1253">
        <v>3.0</v>
      </c>
      <c r="T77" s="1247"/>
    </row>
    <row r="78" ht="15.75" customHeight="1">
      <c r="B78" s="1248" t="str">
        <f>'1. Справочник'!B86</f>
        <v/>
      </c>
      <c r="C78" s="25" t="str">
        <f>'1. Справочник'!C84</f>
        <v>DL 14-505</v>
      </c>
      <c r="D78" s="1249">
        <v>10.0</v>
      </c>
      <c r="E78" s="1249" t="s">
        <v>1539</v>
      </c>
      <c r="F78" s="1250" t="str">
        <f>'1. Справочник'!F84</f>
        <v>Студия/твин</v>
      </c>
      <c r="G78" s="1274" t="s">
        <v>1545</v>
      </c>
      <c r="H78" s="1252"/>
      <c r="I78" s="1286">
        <v>0.0</v>
      </c>
      <c r="J78" s="1286">
        <v>0.0</v>
      </c>
      <c r="K78" s="1276">
        <f t="shared" si="1"/>
        <v>0</v>
      </c>
      <c r="L78" s="1257"/>
      <c r="M78" s="1242">
        <v>91.29629629629629</v>
      </c>
      <c r="N78" s="1245">
        <f t="shared" si="2"/>
        <v>295.8</v>
      </c>
      <c r="O78" s="1242">
        <v>124.62962962962962</v>
      </c>
      <c r="P78" s="1245">
        <f t="shared" si="3"/>
        <v>403.8</v>
      </c>
      <c r="Q78" s="1242">
        <v>143.14814814814815</v>
      </c>
      <c r="R78" s="1245">
        <f t="shared" si="4"/>
        <v>463.8</v>
      </c>
      <c r="S78" s="1257">
        <v>3.0</v>
      </c>
      <c r="T78" s="1247"/>
    </row>
    <row r="79" ht="15.75" customHeight="1">
      <c r="B79" s="1248" t="str">
        <f>'1. Справочник'!B87</f>
        <v/>
      </c>
      <c r="C79" s="25" t="str">
        <f>'1. Справочник'!C85</f>
        <v>DL 14-1614</v>
      </c>
      <c r="D79" s="1249">
        <v>7.0</v>
      </c>
      <c r="E79" s="1249" t="s">
        <v>1539</v>
      </c>
      <c r="F79" s="1250" t="str">
        <f>'1. Справочник'!F85</f>
        <v>Студия</v>
      </c>
      <c r="G79" s="1274" t="s">
        <v>1545</v>
      </c>
      <c r="H79" s="1252"/>
      <c r="I79" s="1286">
        <v>0.0</v>
      </c>
      <c r="J79" s="1286">
        <v>0.0</v>
      </c>
      <c r="K79" s="1276">
        <f t="shared" si="1"/>
        <v>0</v>
      </c>
      <c r="L79" s="1257"/>
      <c r="M79" s="1242">
        <v>109.07407407407405</v>
      </c>
      <c r="N79" s="1245">
        <f t="shared" si="2"/>
        <v>353.4</v>
      </c>
      <c r="O79" s="1242">
        <v>157.96296296296296</v>
      </c>
      <c r="P79" s="1245">
        <f t="shared" si="3"/>
        <v>511.8</v>
      </c>
      <c r="Q79" s="1242">
        <v>178.33333333333334</v>
      </c>
      <c r="R79" s="1245">
        <f t="shared" si="4"/>
        <v>577.8</v>
      </c>
      <c r="S79" s="1257">
        <v>3.0</v>
      </c>
      <c r="T79" s="1247"/>
    </row>
    <row r="80" ht="15.75" customHeight="1">
      <c r="B80" s="1248" t="str">
        <f>'1. Справочник'!B88</f>
        <v/>
      </c>
      <c r="C80" s="25" t="str">
        <f>'1. Справочник'!C86</f>
        <v>DL 14-1710</v>
      </c>
      <c r="D80" s="1249">
        <v>7.0</v>
      </c>
      <c r="E80" s="1249" t="s">
        <v>1537</v>
      </c>
      <c r="F80" s="1250" t="str">
        <f>'1. Справочник'!F86</f>
        <v>Студия</v>
      </c>
      <c r="G80" s="1274" t="s">
        <v>1545</v>
      </c>
      <c r="H80" s="1252"/>
      <c r="I80" s="1286">
        <v>0.0</v>
      </c>
      <c r="J80" s="1286">
        <v>0.0</v>
      </c>
      <c r="K80" s="1276">
        <f t="shared" si="1"/>
        <v>0</v>
      </c>
      <c r="L80" s="1257"/>
      <c r="M80" s="1242">
        <v>109.07407407407405</v>
      </c>
      <c r="N80" s="1245">
        <f t="shared" si="2"/>
        <v>353.4</v>
      </c>
      <c r="O80" s="1242">
        <v>157.96296296296296</v>
      </c>
      <c r="P80" s="1245">
        <f t="shared" si="3"/>
        <v>511.8</v>
      </c>
      <c r="Q80" s="1242">
        <v>178.33333333333334</v>
      </c>
      <c r="R80" s="1245">
        <f t="shared" si="4"/>
        <v>577.8</v>
      </c>
      <c r="S80" s="1257">
        <v>3.0</v>
      </c>
      <c r="T80" s="1247"/>
    </row>
    <row r="81" ht="15.75" customHeight="1">
      <c r="B81" s="1248" t="str">
        <f>#REF!</f>
        <v>#REF!</v>
      </c>
      <c r="C81" s="25" t="str">
        <f>'1. Справочник'!C87</f>
        <v>DL14-305</v>
      </c>
      <c r="D81" s="1249">
        <v>7.0</v>
      </c>
      <c r="E81" s="1249" t="s">
        <v>1539</v>
      </c>
      <c r="F81" s="1250" t="str">
        <f>'1. Справочник'!F87</f>
        <v>Студия</v>
      </c>
      <c r="G81" s="1274" t="s">
        <v>1545</v>
      </c>
      <c r="H81" s="1252"/>
      <c r="I81" s="1286">
        <v>0.0</v>
      </c>
      <c r="J81" s="1286">
        <v>0.0</v>
      </c>
      <c r="K81" s="1276">
        <f t="shared" si="1"/>
        <v>0</v>
      </c>
      <c r="L81" s="1257"/>
      <c r="M81" s="1242">
        <v>84.62962962962963</v>
      </c>
      <c r="N81" s="1245">
        <f t="shared" si="2"/>
        <v>274.2</v>
      </c>
      <c r="O81" s="1242">
        <v>125.37037037037037</v>
      </c>
      <c r="P81" s="1245">
        <f t="shared" si="3"/>
        <v>406.2</v>
      </c>
      <c r="Q81" s="1242">
        <v>166.11111111111111</v>
      </c>
      <c r="R81" s="1245">
        <f t="shared" si="4"/>
        <v>538.2</v>
      </c>
      <c r="S81" s="1257">
        <v>3.0</v>
      </c>
      <c r="T81" s="1247"/>
    </row>
    <row r="82" ht="15.75" customHeight="1">
      <c r="B82" s="1248" t="str">
        <f>'1. Справочник'!B89</f>
        <v/>
      </c>
      <c r="C82" s="25" t="str">
        <f>'1. Справочник'!C88</f>
        <v>DL14-501-502</v>
      </c>
      <c r="D82" s="1249">
        <v>7.0</v>
      </c>
      <c r="E82" s="1249" t="s">
        <v>1537</v>
      </c>
      <c r="F82" s="1250" t="str">
        <f>'1. Справочник'!F88</f>
        <v>1+1</v>
      </c>
      <c r="G82" s="1274" t="s">
        <v>1545</v>
      </c>
      <c r="H82" s="1252"/>
      <c r="I82" s="1286">
        <v>0.0</v>
      </c>
      <c r="J82" s="1286">
        <v>0.0</v>
      </c>
      <c r="K82" s="1276">
        <f t="shared" si="1"/>
        <v>0</v>
      </c>
      <c r="L82" s="1257"/>
      <c r="M82" s="1242">
        <v>145.74074074074076</v>
      </c>
      <c r="N82" s="1245">
        <f t="shared" si="2"/>
        <v>472.2</v>
      </c>
      <c r="O82" s="1242">
        <v>186.48148148148147</v>
      </c>
      <c r="P82" s="1245">
        <f t="shared" si="3"/>
        <v>604.2</v>
      </c>
      <c r="Q82" s="1242">
        <v>227.2222222222222</v>
      </c>
      <c r="R82" s="1245">
        <f t="shared" si="4"/>
        <v>736.2</v>
      </c>
      <c r="S82" s="1257">
        <v>3.0</v>
      </c>
      <c r="T82" s="1247"/>
    </row>
    <row r="83" ht="15.75" hidden="1" customHeight="1">
      <c r="B83" s="1248" t="str">
        <f>'1. Справочник'!B140</f>
        <v/>
      </c>
      <c r="C83" s="25" t="str">
        <f>#REF!</f>
        <v>#REF!</v>
      </c>
      <c r="D83" s="1249">
        <v>6.0</v>
      </c>
      <c r="E83" s="1249" t="s">
        <v>1537</v>
      </c>
      <c r="F83" s="1250" t="str">
        <f>'1. Справочник'!F89</f>
        <v>1+2 с террасой</v>
      </c>
      <c r="G83" s="1274" t="s">
        <v>1545</v>
      </c>
      <c r="H83" s="1252"/>
      <c r="I83" s="1286">
        <v>0.0</v>
      </c>
      <c r="J83" s="1286">
        <v>0.0</v>
      </c>
      <c r="K83" s="1276">
        <f t="shared" si="1"/>
        <v>0</v>
      </c>
      <c r="L83" s="1257"/>
      <c r="M83" s="1287">
        <v>-5.0</v>
      </c>
      <c r="N83" s="1287">
        <f t="shared" si="2"/>
        <v>-16.2</v>
      </c>
      <c r="O83" s="1287">
        <v>-5.0</v>
      </c>
      <c r="P83" s="1245">
        <f t="shared" si="3"/>
        <v>-16.2</v>
      </c>
      <c r="Q83" s="1287">
        <v>-5.0</v>
      </c>
      <c r="R83" s="1245">
        <f t="shared" si="4"/>
        <v>-16.2</v>
      </c>
      <c r="S83" s="1257">
        <v>3.0</v>
      </c>
      <c r="T83" s="1247"/>
    </row>
    <row r="84" ht="15.75" customHeight="1">
      <c r="B84" s="1248" t="str">
        <f>'1. Справочник'!B98</f>
        <v>Светлана</v>
      </c>
      <c r="C84" s="25" t="str">
        <f>'1. Справочник'!C89</f>
        <v>DL7-16</v>
      </c>
      <c r="D84" s="1249">
        <v>4.0</v>
      </c>
      <c r="E84" s="1249" t="s">
        <v>1537</v>
      </c>
      <c r="F84" s="1250" t="str">
        <f>'1. Справочник'!F90</f>
        <v>Студия на 4х</v>
      </c>
      <c r="G84" s="1274" t="s">
        <v>518</v>
      </c>
      <c r="H84" s="1252">
        <v>1000.0</v>
      </c>
      <c r="I84" s="1242">
        <v>75.0</v>
      </c>
      <c r="J84" s="1242">
        <v>75.0</v>
      </c>
      <c r="K84" s="1243">
        <f t="shared" si="1"/>
        <v>243</v>
      </c>
      <c r="L84" s="1254">
        <v>3.0</v>
      </c>
      <c r="M84" s="1242">
        <v>235.74074074074073</v>
      </c>
      <c r="N84" s="1245">
        <f t="shared" si="2"/>
        <v>763.8</v>
      </c>
      <c r="O84" s="1242">
        <v>272.77777777777777</v>
      </c>
      <c r="P84" s="1245">
        <f t="shared" si="3"/>
        <v>883.8</v>
      </c>
      <c r="Q84" s="1242">
        <v>346.85185185185185</v>
      </c>
      <c r="R84" s="1245">
        <f t="shared" si="4"/>
        <v>1123.8</v>
      </c>
      <c r="S84" s="1253">
        <v>3.0</v>
      </c>
      <c r="T84" s="1247"/>
    </row>
    <row r="85" ht="15.75" customHeight="1">
      <c r="B85" s="1248" t="str">
        <f>'1. Справочник'!B98</f>
        <v>Светлана</v>
      </c>
      <c r="C85" s="25" t="s">
        <v>1546</v>
      </c>
      <c r="D85" s="1249"/>
      <c r="E85" s="1249" t="s">
        <v>1537</v>
      </c>
      <c r="F85" s="1250" t="s">
        <v>224</v>
      </c>
      <c r="G85" s="1274" t="s">
        <v>518</v>
      </c>
      <c r="H85" s="1252">
        <v>500.0</v>
      </c>
      <c r="I85" s="1286">
        <v>0.0</v>
      </c>
      <c r="J85" s="1286">
        <v>0.0</v>
      </c>
      <c r="K85" s="1276">
        <f t="shared" si="1"/>
        <v>0</v>
      </c>
      <c r="L85" s="1257"/>
      <c r="M85" s="1293">
        <v>-5.0</v>
      </c>
      <c r="N85" s="1293">
        <f t="shared" si="2"/>
        <v>-16.2</v>
      </c>
      <c r="O85" s="1293">
        <v>-5.0</v>
      </c>
      <c r="P85" s="1245">
        <f t="shared" si="3"/>
        <v>-16.2</v>
      </c>
      <c r="Q85" s="1293">
        <v>-5.0</v>
      </c>
      <c r="R85" s="1245">
        <f t="shared" si="4"/>
        <v>-16.2</v>
      </c>
      <c r="S85" s="1294"/>
      <c r="T85" s="1247"/>
    </row>
    <row r="86" ht="15.75" customHeight="1">
      <c r="B86" s="1248" t="str">
        <f>'1. Справочник'!B141</f>
        <v/>
      </c>
      <c r="C86" s="25" t="str">
        <f>'1. Справочник'!C90</f>
        <v>DL 13-206</v>
      </c>
      <c r="D86" s="1249">
        <v>3.0</v>
      </c>
      <c r="E86" s="1249" t="s">
        <v>1537</v>
      </c>
      <c r="F86" s="1250" t="str">
        <f>'1. Справочник'!F91</f>
        <v>Студия на 4х</v>
      </c>
      <c r="G86" s="1274" t="s">
        <v>518</v>
      </c>
      <c r="H86" s="1252">
        <v>500.0</v>
      </c>
      <c r="I86" s="1242">
        <v>68.0</v>
      </c>
      <c r="J86" s="1242">
        <v>68.0</v>
      </c>
      <c r="K86" s="1243">
        <f t="shared" si="1"/>
        <v>220.32</v>
      </c>
      <c r="L86" s="1254">
        <v>3.0</v>
      </c>
      <c r="M86" s="1242">
        <v>124.62962962962962</v>
      </c>
      <c r="N86" s="1245">
        <f t="shared" si="2"/>
        <v>403.8</v>
      </c>
      <c r="O86" s="1242">
        <v>180.18518518518516</v>
      </c>
      <c r="P86" s="1245">
        <f t="shared" si="3"/>
        <v>583.8</v>
      </c>
      <c r="Q86" s="1242">
        <v>217.2222222222222</v>
      </c>
      <c r="R86" s="1245">
        <f t="shared" si="4"/>
        <v>703.8</v>
      </c>
      <c r="S86" s="1253">
        <v>3.0</v>
      </c>
      <c r="T86" s="1247"/>
    </row>
    <row r="87" ht="15.75" customHeight="1">
      <c r="B87" s="1248" t="str">
        <f>'1. Справочник'!B142</f>
        <v/>
      </c>
      <c r="C87" s="25" t="str">
        <f>'1. Справочник'!C92</f>
        <v>DL 13-709</v>
      </c>
      <c r="D87" s="1249">
        <v>8.0</v>
      </c>
      <c r="E87" s="1249" t="s">
        <v>1537</v>
      </c>
      <c r="F87" s="1250" t="str">
        <f>'1. Справочник'!F92</f>
        <v>Студия на 4х</v>
      </c>
      <c r="G87" s="1274" t="s">
        <v>518</v>
      </c>
      <c r="H87" s="1252">
        <v>500.0</v>
      </c>
      <c r="I87" s="1242">
        <v>40.0</v>
      </c>
      <c r="J87" s="1242">
        <v>40.0</v>
      </c>
      <c r="K87" s="1243">
        <f t="shared" si="1"/>
        <v>129.6</v>
      </c>
      <c r="L87" s="1254">
        <v>3.0</v>
      </c>
      <c r="M87" s="1242">
        <v>113.5185185185185</v>
      </c>
      <c r="N87" s="1245">
        <f t="shared" si="2"/>
        <v>367.8</v>
      </c>
      <c r="O87" s="1242">
        <v>165.37037037037035</v>
      </c>
      <c r="P87" s="1245">
        <f t="shared" si="3"/>
        <v>535.8</v>
      </c>
      <c r="Q87" s="1242">
        <v>183.88888888888889</v>
      </c>
      <c r="R87" s="1245">
        <f t="shared" si="4"/>
        <v>595.8</v>
      </c>
      <c r="S87" s="1253">
        <v>3.0</v>
      </c>
      <c r="T87" s="1247"/>
    </row>
    <row r="88" ht="15.75" customHeight="1">
      <c r="B88" s="1248" t="str">
        <f>'1. Справочник'!B143</f>
        <v/>
      </c>
      <c r="C88" s="25" t="str">
        <f>'1. Справочник'!C93</f>
        <v>DL 13-703</v>
      </c>
      <c r="D88" s="1249">
        <v>5.0</v>
      </c>
      <c r="E88" s="1249" t="s">
        <v>1537</v>
      </c>
      <c r="F88" s="1250" t="str">
        <f>'1. Справочник'!F93</f>
        <v>1+1</v>
      </c>
      <c r="G88" s="1274" t="s">
        <v>518</v>
      </c>
      <c r="H88" s="1252">
        <v>650.0</v>
      </c>
      <c r="I88" s="1286">
        <v>0.0</v>
      </c>
      <c r="J88" s="1286">
        <v>0.0</v>
      </c>
      <c r="K88" s="1276">
        <f t="shared" si="1"/>
        <v>0</v>
      </c>
      <c r="L88" s="1257"/>
      <c r="M88" s="1293">
        <v>-5.0</v>
      </c>
      <c r="N88" s="1293">
        <f t="shared" si="2"/>
        <v>-16.2</v>
      </c>
      <c r="O88" s="1293">
        <v>-5.0</v>
      </c>
      <c r="P88" s="1245">
        <f t="shared" si="3"/>
        <v>-16.2</v>
      </c>
      <c r="Q88" s="1293">
        <v>-5.0</v>
      </c>
      <c r="R88" s="1245">
        <f t="shared" si="4"/>
        <v>-16.2</v>
      </c>
      <c r="S88" s="1294"/>
      <c r="T88" s="1247"/>
    </row>
    <row r="89" ht="15.75" customHeight="1">
      <c r="B89" s="1248" t="str">
        <f>'1. Справочник'!B144</f>
        <v/>
      </c>
      <c r="C89" s="25" t="str">
        <f>'1. Справочник'!C94</f>
        <v>DL 13-1006</v>
      </c>
      <c r="D89" s="1249">
        <v>6.0</v>
      </c>
      <c r="E89" s="1249" t="s">
        <v>1537</v>
      </c>
      <c r="F89" s="1250" t="str">
        <f>'1. Справочник'!F94</f>
        <v>1+1</v>
      </c>
      <c r="G89" s="1274" t="s">
        <v>518</v>
      </c>
      <c r="H89" s="1252">
        <v>650.0</v>
      </c>
      <c r="I89" s="1242">
        <v>68.0</v>
      </c>
      <c r="J89" s="1242">
        <v>68.0</v>
      </c>
      <c r="K89" s="1243">
        <f t="shared" si="1"/>
        <v>220.32</v>
      </c>
      <c r="L89" s="1254">
        <v>3.0</v>
      </c>
      <c r="M89" s="1242">
        <v>137.5925925925926</v>
      </c>
      <c r="N89" s="1245">
        <f t="shared" si="2"/>
        <v>445.8</v>
      </c>
      <c r="O89" s="1242">
        <v>178.33333333333334</v>
      </c>
      <c r="P89" s="1245">
        <f t="shared" si="3"/>
        <v>577.8</v>
      </c>
      <c r="Q89" s="1242">
        <v>219.07407407407405</v>
      </c>
      <c r="R89" s="1245">
        <f t="shared" si="4"/>
        <v>709.8</v>
      </c>
      <c r="S89" s="1253">
        <v>3.0</v>
      </c>
      <c r="T89" s="1247"/>
    </row>
    <row r="90" ht="15.75" customHeight="1">
      <c r="B90" s="1248" t="str">
        <f>'1. Справочник'!B145</f>
        <v/>
      </c>
      <c r="C90" s="25" t="str">
        <f>'1. Справочник'!C95</f>
        <v>DL 13-1106</v>
      </c>
      <c r="D90" s="1249">
        <v>6.0</v>
      </c>
      <c r="E90" s="1249" t="s">
        <v>1537</v>
      </c>
      <c r="F90" s="1250" t="str">
        <f>'1. Справочник'!F95</f>
        <v>1+1</v>
      </c>
      <c r="G90" s="1274" t="s">
        <v>518</v>
      </c>
      <c r="H90" s="1252">
        <v>650.0</v>
      </c>
      <c r="I90" s="1242">
        <v>68.0</v>
      </c>
      <c r="J90" s="1242">
        <v>68.0</v>
      </c>
      <c r="K90" s="1243">
        <f t="shared" si="1"/>
        <v>220.32</v>
      </c>
      <c r="L90" s="1254">
        <v>3.0</v>
      </c>
      <c r="M90" s="1242">
        <v>137.5925925925926</v>
      </c>
      <c r="N90" s="1245">
        <f t="shared" si="2"/>
        <v>445.8</v>
      </c>
      <c r="O90" s="1242">
        <v>178.33333333333334</v>
      </c>
      <c r="P90" s="1245">
        <f t="shared" si="3"/>
        <v>577.8</v>
      </c>
      <c r="Q90" s="1242">
        <v>219.07407407407405</v>
      </c>
      <c r="R90" s="1245">
        <f t="shared" si="4"/>
        <v>709.8</v>
      </c>
      <c r="S90" s="1253">
        <v>3.0</v>
      </c>
      <c r="T90" s="1247"/>
    </row>
    <row r="91" ht="15.75" customHeight="1">
      <c r="B91" s="1248" t="str">
        <f>'1. Справочник'!B146</f>
        <v/>
      </c>
      <c r="C91" s="25" t="str">
        <f t="shared" ref="C91:C92" si="5">#REF!</f>
        <v>#REF!</v>
      </c>
      <c r="D91" s="1249"/>
      <c r="E91" s="1249"/>
      <c r="F91" s="1250"/>
      <c r="G91" s="1274" t="s">
        <v>1547</v>
      </c>
      <c r="H91" s="1252"/>
      <c r="I91" s="1286">
        <v>0.0</v>
      </c>
      <c r="J91" s="1286">
        <v>0.0</v>
      </c>
      <c r="K91" s="1276">
        <f t="shared" si="1"/>
        <v>0</v>
      </c>
      <c r="L91" s="1257"/>
      <c r="M91" s="1278">
        <v>0.0</v>
      </c>
      <c r="N91" s="1278">
        <f t="shared" si="2"/>
        <v>0</v>
      </c>
      <c r="O91" s="1278">
        <v>0.0</v>
      </c>
      <c r="P91" s="1245">
        <f t="shared" si="3"/>
        <v>0</v>
      </c>
      <c r="Q91" s="1278">
        <v>0.0</v>
      </c>
      <c r="R91" s="1245">
        <f t="shared" si="4"/>
        <v>0</v>
      </c>
      <c r="S91" s="1277"/>
      <c r="T91" s="1247"/>
    </row>
    <row r="92" ht="15.75" customHeight="1">
      <c r="B92" s="1248" t="str">
        <f>'1. Справочник'!B99</f>
        <v>Светлана</v>
      </c>
      <c r="C92" s="25" t="str">
        <f t="shared" si="5"/>
        <v>#REF!</v>
      </c>
      <c r="D92" s="1249"/>
      <c r="E92" s="1249"/>
      <c r="F92" s="1250"/>
      <c r="G92" s="1274" t="s">
        <v>1547</v>
      </c>
      <c r="H92" s="1252"/>
      <c r="I92" s="1286">
        <v>0.0</v>
      </c>
      <c r="J92" s="1286">
        <v>0.0</v>
      </c>
      <c r="K92" s="1276">
        <f t="shared" si="1"/>
        <v>0</v>
      </c>
      <c r="L92" s="1257"/>
      <c r="M92" s="1278">
        <v>0.0</v>
      </c>
      <c r="N92" s="1278">
        <f t="shared" si="2"/>
        <v>0</v>
      </c>
      <c r="O92" s="1278">
        <v>0.0</v>
      </c>
      <c r="P92" s="1245">
        <f t="shared" si="3"/>
        <v>0</v>
      </c>
      <c r="Q92" s="1278">
        <v>0.0</v>
      </c>
      <c r="R92" s="1245">
        <f t="shared" si="4"/>
        <v>0</v>
      </c>
      <c r="S92" s="1277"/>
      <c r="T92" s="1247"/>
    </row>
    <row r="93" ht="15.75" customHeight="1">
      <c r="B93" s="1248" t="str">
        <f>'1. Справочник'!B141</f>
        <v/>
      </c>
      <c r="C93" s="1295" t="str">
        <f>'1. Справочник'!C140</f>
        <v>TGA1</v>
      </c>
      <c r="D93" s="1249">
        <v>4.0</v>
      </c>
      <c r="E93" s="1249" t="s">
        <v>1537</v>
      </c>
      <c r="F93" s="168" t="s">
        <v>33</v>
      </c>
      <c r="G93" s="1274" t="s">
        <v>1547</v>
      </c>
      <c r="H93" s="1252">
        <v>1000.0</v>
      </c>
      <c r="I93" s="1242">
        <v>100.0</v>
      </c>
      <c r="J93" s="1242">
        <v>100.0</v>
      </c>
      <c r="K93" s="1243">
        <f t="shared" si="1"/>
        <v>324</v>
      </c>
      <c r="L93" s="1244">
        <v>5.0</v>
      </c>
      <c r="M93" s="1296">
        <v>106.1111111111111</v>
      </c>
      <c r="N93" s="1286">
        <f t="shared" si="2"/>
        <v>343.8</v>
      </c>
      <c r="O93" s="1296">
        <v>135.74074074074073</v>
      </c>
      <c r="P93" s="1245">
        <f t="shared" si="3"/>
        <v>439.8</v>
      </c>
      <c r="Q93" s="1296">
        <v>161.66666666666666</v>
      </c>
      <c r="R93" s="1245">
        <f t="shared" si="4"/>
        <v>523.8</v>
      </c>
      <c r="S93" s="1246"/>
      <c r="T93" s="1247"/>
    </row>
    <row r="94" ht="15.75" customHeight="1">
      <c r="B94" s="1248" t="str">
        <f>'1. Справочник'!B142</f>
        <v/>
      </c>
      <c r="C94" s="1295" t="str">
        <f>'1. Справочник'!C98</f>
        <v>TGA2</v>
      </c>
      <c r="D94" s="1249">
        <v>4.0</v>
      </c>
      <c r="E94" s="1249" t="s">
        <v>1538</v>
      </c>
      <c r="F94" s="146" t="s">
        <v>27</v>
      </c>
      <c r="G94" s="1274" t="s">
        <v>518</v>
      </c>
      <c r="H94" s="1252">
        <v>650.0</v>
      </c>
      <c r="I94" s="1242">
        <v>70.0</v>
      </c>
      <c r="J94" s="1242">
        <v>70.0</v>
      </c>
      <c r="K94" s="1243">
        <f t="shared" si="1"/>
        <v>226.8</v>
      </c>
      <c r="L94" s="1244">
        <v>5.0</v>
      </c>
      <c r="M94" s="1296">
        <v>72.77777777777777</v>
      </c>
      <c r="N94" s="1286">
        <f t="shared" si="2"/>
        <v>235.8</v>
      </c>
      <c r="O94" s="1296">
        <v>113.5185185185185</v>
      </c>
      <c r="P94" s="1245">
        <f t="shared" si="3"/>
        <v>367.8</v>
      </c>
      <c r="Q94" s="1296">
        <v>141.29629629629628</v>
      </c>
      <c r="R94" s="1245">
        <f t="shared" si="4"/>
        <v>457.8</v>
      </c>
      <c r="S94" s="1246"/>
      <c r="T94" s="1247"/>
    </row>
    <row r="95" ht="15.75" customHeight="1">
      <c r="B95" s="1248" t="str">
        <f>'1. Справочник'!B143</f>
        <v/>
      </c>
      <c r="C95" s="1295" t="str">
        <f>'1. Справочник'!C141</f>
        <v>TGA3</v>
      </c>
      <c r="D95" s="1249">
        <v>4.0</v>
      </c>
      <c r="E95" s="1249" t="s">
        <v>1537</v>
      </c>
      <c r="F95" s="168" t="s">
        <v>30</v>
      </c>
      <c r="G95" s="1274" t="s">
        <v>518</v>
      </c>
      <c r="H95" s="1252">
        <v>500.0</v>
      </c>
      <c r="I95" s="1242">
        <v>50.0</v>
      </c>
      <c r="J95" s="1242">
        <v>50.0</v>
      </c>
      <c r="K95" s="1243">
        <f t="shared" si="1"/>
        <v>162</v>
      </c>
      <c r="L95" s="1244">
        <v>5.0</v>
      </c>
      <c r="M95" s="1296">
        <v>54.25925925925925</v>
      </c>
      <c r="N95" s="1286">
        <f t="shared" si="2"/>
        <v>175.8</v>
      </c>
      <c r="O95" s="1296">
        <v>65.37037037037037</v>
      </c>
      <c r="P95" s="1245">
        <f t="shared" si="3"/>
        <v>211.8</v>
      </c>
      <c r="Q95" s="1296">
        <v>91.29629629629629</v>
      </c>
      <c r="R95" s="1245">
        <f t="shared" si="4"/>
        <v>295.8</v>
      </c>
      <c r="S95" s="1246"/>
      <c r="T95" s="1247"/>
    </row>
    <row r="96" ht="15.75" customHeight="1">
      <c r="B96" s="1248" t="str">
        <f>'1. Справочник'!B144</f>
        <v/>
      </c>
      <c r="C96" s="1295" t="str">
        <f>'1. Справочник'!C142</f>
        <v>TGA4</v>
      </c>
      <c r="D96" s="1249">
        <v>4.0</v>
      </c>
      <c r="E96" s="1249" t="s">
        <v>1538</v>
      </c>
      <c r="F96" s="168" t="s">
        <v>27</v>
      </c>
      <c r="G96" s="1274" t="s">
        <v>1547</v>
      </c>
      <c r="H96" s="1252">
        <v>650.0</v>
      </c>
      <c r="I96" s="1286">
        <v>0.0</v>
      </c>
      <c r="J96" s="1286">
        <v>0.0</v>
      </c>
      <c r="K96" s="1276">
        <f t="shared" si="1"/>
        <v>0</v>
      </c>
      <c r="L96" s="1257"/>
      <c r="M96" s="1296">
        <v>72.77777777777777</v>
      </c>
      <c r="N96" s="1286">
        <f t="shared" si="2"/>
        <v>235.8</v>
      </c>
      <c r="O96" s="1296">
        <v>113.5185185185185</v>
      </c>
      <c r="P96" s="1245">
        <f t="shared" si="3"/>
        <v>367.8</v>
      </c>
      <c r="Q96" s="1296">
        <v>141.29629629629628</v>
      </c>
      <c r="R96" s="1245">
        <f t="shared" si="4"/>
        <v>457.8</v>
      </c>
      <c r="S96" s="1277"/>
      <c r="T96" s="1247"/>
    </row>
    <row r="97" ht="15.75" customHeight="1">
      <c r="B97" s="1248" t="str">
        <f>'1. Справочник'!B145</f>
        <v/>
      </c>
      <c r="C97" s="1295" t="str">
        <f>'1. Справочник'!C143</f>
        <v>TGA5</v>
      </c>
      <c r="D97" s="1249">
        <v>4.0</v>
      </c>
      <c r="E97" s="1249" t="s">
        <v>1537</v>
      </c>
      <c r="F97" s="168" t="s">
        <v>30</v>
      </c>
      <c r="G97" s="1274" t="s">
        <v>1547</v>
      </c>
      <c r="H97" s="1252"/>
      <c r="I97" s="1286">
        <v>0.0</v>
      </c>
      <c r="J97" s="1286">
        <v>0.0</v>
      </c>
      <c r="K97" s="1276">
        <f t="shared" si="1"/>
        <v>0</v>
      </c>
      <c r="L97" s="1257"/>
      <c r="M97" s="1296">
        <v>54.25925925925925</v>
      </c>
      <c r="N97" s="1286">
        <f t="shared" si="2"/>
        <v>175.8</v>
      </c>
      <c r="O97" s="1296">
        <v>65.37037037037037</v>
      </c>
      <c r="P97" s="1245">
        <f t="shared" si="3"/>
        <v>211.8</v>
      </c>
      <c r="Q97" s="1296">
        <v>91.29629629629629</v>
      </c>
      <c r="R97" s="1245">
        <f t="shared" si="4"/>
        <v>295.8</v>
      </c>
      <c r="S97" s="1277"/>
      <c r="T97" s="1247"/>
    </row>
    <row r="98" ht="15.75" customHeight="1">
      <c r="B98" s="1248" t="str">
        <f>'1. Справочник'!B146</f>
        <v/>
      </c>
      <c r="C98" s="1295" t="str">
        <f>'1. Справочник'!C144</f>
        <v>TGA6</v>
      </c>
      <c r="D98" s="1249">
        <v>4.0</v>
      </c>
      <c r="E98" s="1249" t="s">
        <v>1537</v>
      </c>
      <c r="F98" s="168" t="s">
        <v>30</v>
      </c>
      <c r="G98" s="1274" t="s">
        <v>1547</v>
      </c>
      <c r="H98" s="1252">
        <v>550.0</v>
      </c>
      <c r="I98" s="1242">
        <v>50.0</v>
      </c>
      <c r="J98" s="1242">
        <v>50.0</v>
      </c>
      <c r="K98" s="1243">
        <f t="shared" si="1"/>
        <v>162</v>
      </c>
      <c r="L98" s="1244">
        <v>5.0</v>
      </c>
      <c r="M98" s="1296">
        <v>54.25925925925925</v>
      </c>
      <c r="N98" s="1286">
        <f t="shared" si="2"/>
        <v>175.8</v>
      </c>
      <c r="O98" s="1296">
        <v>65.37037037037037</v>
      </c>
      <c r="P98" s="1245">
        <f t="shared" si="3"/>
        <v>211.8</v>
      </c>
      <c r="Q98" s="1296">
        <v>91.29629629629629</v>
      </c>
      <c r="R98" s="1245">
        <f t="shared" si="4"/>
        <v>295.8</v>
      </c>
      <c r="S98" s="1246"/>
      <c r="T98" s="1247"/>
    </row>
    <row r="99" ht="15.75" customHeight="1">
      <c r="B99" s="1248" t="str">
        <f>'1. Справочник'!B99</f>
        <v>Светлана</v>
      </c>
      <c r="C99" s="1295" t="str">
        <f>'1. Справочник'!C145</f>
        <v>TGA7</v>
      </c>
      <c r="D99" s="1249">
        <v>4.0</v>
      </c>
      <c r="E99" s="1249" t="s">
        <v>1538</v>
      </c>
      <c r="F99" s="168" t="s">
        <v>30</v>
      </c>
      <c r="G99" s="1274" t="s">
        <v>321</v>
      </c>
      <c r="H99" s="1252">
        <v>650.0</v>
      </c>
      <c r="I99" s="1286">
        <v>70.0</v>
      </c>
      <c r="J99" s="1286">
        <v>70.0</v>
      </c>
      <c r="K99" s="1276">
        <f t="shared" si="1"/>
        <v>226.8</v>
      </c>
      <c r="L99" s="1257">
        <v>5.0</v>
      </c>
      <c r="M99" s="1296">
        <v>73.0</v>
      </c>
      <c r="N99" s="1286">
        <f t="shared" si="2"/>
        <v>236.52</v>
      </c>
      <c r="O99" s="1296">
        <v>113.99999999999999</v>
      </c>
      <c r="P99" s="1245">
        <f t="shared" si="3"/>
        <v>369.36</v>
      </c>
      <c r="Q99" s="1296">
        <v>141.0</v>
      </c>
      <c r="R99" s="1245">
        <f t="shared" si="4"/>
        <v>456.84</v>
      </c>
      <c r="S99" s="1277"/>
      <c r="T99" s="1247"/>
    </row>
    <row r="100" ht="15.75" customHeight="1">
      <c r="B100" s="1248" t="str">
        <f>'1. Справочник'!B147</f>
        <v/>
      </c>
      <c r="C100" s="1295" t="str">
        <f>'1. Справочник'!C146</f>
        <v>TGA8</v>
      </c>
      <c r="D100" s="1249">
        <v>4.0</v>
      </c>
      <c r="E100" s="1249" t="s">
        <v>1537</v>
      </c>
      <c r="F100" s="168" t="s">
        <v>30</v>
      </c>
      <c r="G100" s="1274" t="s">
        <v>518</v>
      </c>
      <c r="H100" s="1252">
        <v>500.0</v>
      </c>
      <c r="I100" s="1242">
        <v>50.0</v>
      </c>
      <c r="J100" s="1242">
        <v>50.0</v>
      </c>
      <c r="K100" s="1243">
        <f t="shared" si="1"/>
        <v>162</v>
      </c>
      <c r="L100" s="1244">
        <v>5.0</v>
      </c>
      <c r="M100" s="1296">
        <v>54.25925925925925</v>
      </c>
      <c r="N100" s="1286">
        <f t="shared" si="2"/>
        <v>175.8</v>
      </c>
      <c r="O100" s="1296">
        <v>65.37037037037037</v>
      </c>
      <c r="P100" s="1245">
        <f t="shared" si="3"/>
        <v>211.8</v>
      </c>
      <c r="Q100" s="1296">
        <v>91.29629629629629</v>
      </c>
      <c r="R100" s="1245">
        <f t="shared" si="4"/>
        <v>295.8</v>
      </c>
      <c r="S100" s="1246"/>
      <c r="T100" s="1247"/>
    </row>
    <row r="101" ht="15.75" customHeight="1">
      <c r="B101" s="1248" t="str">
        <f>'1. Справочник'!B148</f>
        <v/>
      </c>
      <c r="C101" s="1295" t="str">
        <f>'1. Справочник'!C99</f>
        <v>TGA9</v>
      </c>
      <c r="D101" s="1249">
        <v>4.0</v>
      </c>
      <c r="E101" s="1249" t="s">
        <v>1538</v>
      </c>
      <c r="F101" s="168" t="s">
        <v>27</v>
      </c>
      <c r="G101" s="1274" t="s">
        <v>518</v>
      </c>
      <c r="H101" s="1252">
        <v>650.0</v>
      </c>
      <c r="I101" s="1242">
        <v>70.0</v>
      </c>
      <c r="J101" s="1242">
        <v>70.0</v>
      </c>
      <c r="K101" s="1243">
        <f t="shared" si="1"/>
        <v>226.8</v>
      </c>
      <c r="L101" s="1244">
        <v>5.0</v>
      </c>
      <c r="M101" s="1296">
        <v>72.77777777777777</v>
      </c>
      <c r="N101" s="1286">
        <f t="shared" si="2"/>
        <v>235.8</v>
      </c>
      <c r="O101" s="1296">
        <v>113.5185185185185</v>
      </c>
      <c r="P101" s="1245">
        <f t="shared" si="3"/>
        <v>367.8</v>
      </c>
      <c r="Q101" s="1296">
        <v>141.29629629629628</v>
      </c>
      <c r="R101" s="1245">
        <f t="shared" si="4"/>
        <v>457.8</v>
      </c>
      <c r="S101" s="1246"/>
      <c r="T101" s="1247"/>
    </row>
    <row r="102" ht="15.75" customHeight="1">
      <c r="B102" s="1248" t="str">
        <f>'1. Справочник'!B149</f>
        <v/>
      </c>
      <c r="C102" s="1295" t="str">
        <f>'1. Справочник'!C147</f>
        <v>TGA10</v>
      </c>
      <c r="D102" s="1249">
        <v>4.0</v>
      </c>
      <c r="E102" s="1249" t="s">
        <v>1537</v>
      </c>
      <c r="F102" s="168" t="s">
        <v>33</v>
      </c>
      <c r="G102" s="1274" t="s">
        <v>1547</v>
      </c>
      <c r="H102" s="1252">
        <v>1000.0</v>
      </c>
      <c r="I102" s="1286">
        <v>0.0</v>
      </c>
      <c r="J102" s="1286">
        <v>0.0</v>
      </c>
      <c r="K102" s="1276">
        <f t="shared" si="1"/>
        <v>0</v>
      </c>
      <c r="L102" s="1257"/>
      <c r="M102" s="1296">
        <v>106.1111111111111</v>
      </c>
      <c r="N102" s="1286">
        <f t="shared" si="2"/>
        <v>343.8</v>
      </c>
      <c r="O102" s="1296">
        <v>135.74074074074073</v>
      </c>
      <c r="P102" s="1245">
        <f t="shared" si="3"/>
        <v>439.8</v>
      </c>
      <c r="Q102" s="1296">
        <v>161.66666666666666</v>
      </c>
      <c r="R102" s="1245">
        <f t="shared" si="4"/>
        <v>523.8</v>
      </c>
      <c r="S102" s="1277"/>
      <c r="T102" s="1247"/>
    </row>
    <row r="103" ht="15.75" customHeight="1">
      <c r="B103" s="1248" t="str">
        <f>'1. Справочник'!B100</f>
        <v>Светлана</v>
      </c>
      <c r="C103" s="1295" t="str">
        <f>'1. Справочник'!C148</f>
        <v>TGB1</v>
      </c>
      <c r="D103" s="1249">
        <v>4.0</v>
      </c>
      <c r="E103" s="1249" t="s">
        <v>1538</v>
      </c>
      <c r="F103" s="168" t="s">
        <v>27</v>
      </c>
      <c r="G103" s="1274" t="s">
        <v>1547</v>
      </c>
      <c r="H103" s="1252">
        <v>700.0</v>
      </c>
      <c r="I103" s="1242">
        <v>70.0</v>
      </c>
      <c r="J103" s="1242">
        <v>70.0</v>
      </c>
      <c r="K103" s="1243">
        <f t="shared" si="1"/>
        <v>226.8</v>
      </c>
      <c r="L103" s="1244">
        <v>5.0</v>
      </c>
      <c r="M103" s="1296">
        <v>72.77777777777777</v>
      </c>
      <c r="N103" s="1286">
        <f t="shared" si="2"/>
        <v>235.8</v>
      </c>
      <c r="O103" s="1296">
        <v>113.5185185185185</v>
      </c>
      <c r="P103" s="1245">
        <f t="shared" si="3"/>
        <v>367.8</v>
      </c>
      <c r="Q103" s="1296">
        <v>141.29629629629628</v>
      </c>
      <c r="R103" s="1245">
        <f t="shared" si="4"/>
        <v>457.8</v>
      </c>
      <c r="S103" s="1246"/>
      <c r="T103" s="1247"/>
    </row>
    <row r="104" ht="15.75" customHeight="1">
      <c r="B104" s="1248" t="str">
        <f>'1. Справочник'!B150</f>
        <v/>
      </c>
      <c r="C104" s="1295" t="str">
        <f>'1. Справочник'!C149</f>
        <v>TGB2</v>
      </c>
      <c r="D104" s="1249">
        <v>4.0</v>
      </c>
      <c r="E104" s="1249" t="s">
        <v>1538</v>
      </c>
      <c r="F104" s="168" t="s">
        <v>30</v>
      </c>
      <c r="G104" s="1274" t="s">
        <v>1547</v>
      </c>
      <c r="H104" s="1252"/>
      <c r="I104" s="1286">
        <v>0.0</v>
      </c>
      <c r="J104" s="1286">
        <v>0.0</v>
      </c>
      <c r="K104" s="1276">
        <f t="shared" si="1"/>
        <v>0</v>
      </c>
      <c r="L104" s="1257"/>
      <c r="M104" s="1296">
        <v>-4.62962962962963</v>
      </c>
      <c r="N104" s="1286">
        <f t="shared" si="2"/>
        <v>-15</v>
      </c>
      <c r="O104" s="1296">
        <v>65.37037037037037</v>
      </c>
      <c r="P104" s="1245">
        <f t="shared" si="3"/>
        <v>211.8</v>
      </c>
      <c r="Q104" s="1296">
        <v>91.29629629629629</v>
      </c>
      <c r="R104" s="1245">
        <f t="shared" si="4"/>
        <v>295.8</v>
      </c>
      <c r="S104" s="1277"/>
      <c r="T104" s="1247"/>
    </row>
    <row r="105" ht="15.75" customHeight="1">
      <c r="B105" s="1248" t="str">
        <f>'1. Справочник'!B151</f>
        <v/>
      </c>
      <c r="C105" s="1295" t="str">
        <f>'1. Справочник'!C100</f>
        <v>TGB3</v>
      </c>
      <c r="D105" s="1249">
        <v>4.0</v>
      </c>
      <c r="E105" s="1249" t="s">
        <v>1538</v>
      </c>
      <c r="F105" s="168" t="s">
        <v>30</v>
      </c>
      <c r="G105" s="1274" t="s">
        <v>518</v>
      </c>
      <c r="H105" s="1252">
        <v>450.0</v>
      </c>
      <c r="I105" s="1242">
        <v>50.0</v>
      </c>
      <c r="J105" s="1242">
        <v>50.0</v>
      </c>
      <c r="K105" s="1243">
        <f t="shared" si="1"/>
        <v>162</v>
      </c>
      <c r="L105" s="1244">
        <v>5.0</v>
      </c>
      <c r="M105" s="1296">
        <v>54.25925925925925</v>
      </c>
      <c r="N105" s="1286">
        <f t="shared" si="2"/>
        <v>175.8</v>
      </c>
      <c r="O105" s="1296">
        <v>65.37037037037037</v>
      </c>
      <c r="P105" s="1245">
        <f t="shared" si="3"/>
        <v>211.8</v>
      </c>
      <c r="Q105" s="1296">
        <v>91.29629629629629</v>
      </c>
      <c r="R105" s="1245">
        <f t="shared" si="4"/>
        <v>295.8</v>
      </c>
      <c r="S105" s="1246"/>
      <c r="T105" s="1247"/>
    </row>
    <row r="106" ht="15.75" customHeight="1">
      <c r="B106" s="1248" t="str">
        <f>'1. Справочник'!B152</f>
        <v/>
      </c>
      <c r="C106" s="1295" t="str">
        <f>'1. Справочник'!C150</f>
        <v>TGB4</v>
      </c>
      <c r="D106" s="1249">
        <v>4.0</v>
      </c>
      <c r="E106" s="1249" t="s">
        <v>1538</v>
      </c>
      <c r="F106" s="168" t="s">
        <v>30</v>
      </c>
      <c r="G106" s="1274" t="s">
        <v>1547</v>
      </c>
      <c r="H106" s="1252">
        <v>450.0</v>
      </c>
      <c r="I106" s="1242">
        <v>50.0</v>
      </c>
      <c r="J106" s="1242">
        <v>50.0</v>
      </c>
      <c r="K106" s="1243">
        <f t="shared" si="1"/>
        <v>162</v>
      </c>
      <c r="L106" s="1244">
        <v>5.0</v>
      </c>
      <c r="M106" s="1296">
        <v>54.25925925925925</v>
      </c>
      <c r="N106" s="1286">
        <f t="shared" si="2"/>
        <v>175.8</v>
      </c>
      <c r="O106" s="1296">
        <v>65.37037037037037</v>
      </c>
      <c r="P106" s="1245">
        <f t="shared" si="3"/>
        <v>211.8</v>
      </c>
      <c r="Q106" s="1296">
        <v>91.29629629629629</v>
      </c>
      <c r="R106" s="1245">
        <f t="shared" si="4"/>
        <v>295.8</v>
      </c>
      <c r="S106" s="1246"/>
      <c r="T106" s="1247"/>
    </row>
    <row r="107" ht="15.75" customHeight="1">
      <c r="B107" s="1248" t="str">
        <f>'1. Справочник'!B153</f>
        <v/>
      </c>
      <c r="C107" s="1295" t="str">
        <f>'1. Справочник'!C151</f>
        <v>TGB5</v>
      </c>
      <c r="D107" s="1249">
        <v>4.0</v>
      </c>
      <c r="E107" s="1249" t="s">
        <v>1538</v>
      </c>
      <c r="F107" s="168" t="s">
        <v>27</v>
      </c>
      <c r="G107" s="1274" t="s">
        <v>1547</v>
      </c>
      <c r="H107" s="1252"/>
      <c r="I107" s="1286">
        <v>0.0</v>
      </c>
      <c r="J107" s="1286">
        <v>0.0</v>
      </c>
      <c r="K107" s="1276">
        <f t="shared" si="1"/>
        <v>0</v>
      </c>
      <c r="L107" s="1257"/>
      <c r="M107" s="1296">
        <v>72.77777777777777</v>
      </c>
      <c r="N107" s="1286">
        <f t="shared" si="2"/>
        <v>235.8</v>
      </c>
      <c r="O107" s="1296">
        <v>113.5185185185185</v>
      </c>
      <c r="P107" s="1245">
        <f t="shared" si="3"/>
        <v>367.8</v>
      </c>
      <c r="Q107" s="1296">
        <v>141.29629629629628</v>
      </c>
      <c r="R107" s="1245">
        <f t="shared" si="4"/>
        <v>457.8</v>
      </c>
      <c r="S107" s="1277"/>
      <c r="T107" s="1247"/>
    </row>
    <row r="108" ht="15.75" customHeight="1">
      <c r="B108" s="1248" t="str">
        <f>'1. Справочник'!B154</f>
        <v/>
      </c>
      <c r="C108" s="1295" t="str">
        <f>'1. Справочник'!C152</f>
        <v>TGB6</v>
      </c>
      <c r="D108" s="1249">
        <v>4.0</v>
      </c>
      <c r="E108" s="1249" t="s">
        <v>1537</v>
      </c>
      <c r="F108" s="168" t="s">
        <v>27</v>
      </c>
      <c r="G108" s="1274" t="s">
        <v>1547</v>
      </c>
      <c r="H108" s="1252"/>
      <c r="I108" s="1286">
        <v>0.0</v>
      </c>
      <c r="J108" s="1286">
        <v>0.0</v>
      </c>
      <c r="K108" s="1276">
        <f t="shared" si="1"/>
        <v>0</v>
      </c>
      <c r="L108" s="1257"/>
      <c r="M108" s="1296">
        <v>72.77777777777777</v>
      </c>
      <c r="N108" s="1286">
        <f t="shared" si="2"/>
        <v>235.8</v>
      </c>
      <c r="O108" s="1296">
        <v>113.5185185185185</v>
      </c>
      <c r="P108" s="1245">
        <f t="shared" si="3"/>
        <v>367.8</v>
      </c>
      <c r="Q108" s="1296">
        <v>141.29629629629628</v>
      </c>
      <c r="R108" s="1245">
        <f t="shared" si="4"/>
        <v>457.8</v>
      </c>
      <c r="S108" s="1277"/>
      <c r="T108" s="1247"/>
    </row>
    <row r="109" ht="15.75" customHeight="1">
      <c r="B109" s="1248" t="str">
        <f>'1. Справочник'!B155</f>
        <v/>
      </c>
      <c r="C109" s="1295" t="str">
        <f>'1. Справочник'!C153</f>
        <v>TGB7</v>
      </c>
      <c r="D109" s="1249">
        <v>4.0</v>
      </c>
      <c r="E109" s="1249" t="s">
        <v>1537</v>
      </c>
      <c r="F109" s="168" t="s">
        <v>27</v>
      </c>
      <c r="G109" s="1274" t="s">
        <v>1547</v>
      </c>
      <c r="H109" s="1252">
        <v>700.0</v>
      </c>
      <c r="I109" s="1286">
        <v>0.0</v>
      </c>
      <c r="J109" s="1286">
        <v>0.0</v>
      </c>
      <c r="K109" s="1276">
        <f t="shared" si="1"/>
        <v>0</v>
      </c>
      <c r="L109" s="1257"/>
      <c r="M109" s="1296">
        <v>72.77777777777777</v>
      </c>
      <c r="N109" s="1286">
        <f t="shared" si="2"/>
        <v>235.8</v>
      </c>
      <c r="O109" s="1296">
        <v>113.5185185185185</v>
      </c>
      <c r="P109" s="1245">
        <f t="shared" si="3"/>
        <v>367.8</v>
      </c>
      <c r="Q109" s="1296">
        <v>141.29629629629628</v>
      </c>
      <c r="R109" s="1245">
        <f t="shared" si="4"/>
        <v>457.8</v>
      </c>
      <c r="S109" s="1277"/>
      <c r="T109" s="1247"/>
    </row>
    <row r="110" ht="15.75" customHeight="1">
      <c r="B110" s="1248" t="str">
        <f>'1. Справочник'!B156</f>
        <v/>
      </c>
      <c r="C110" s="1295" t="str">
        <f>'1. Справочник'!C154</f>
        <v>TGB8</v>
      </c>
      <c r="D110" s="1249">
        <v>4.0</v>
      </c>
      <c r="E110" s="1249" t="s">
        <v>1538</v>
      </c>
      <c r="F110" s="168" t="s">
        <v>27</v>
      </c>
      <c r="G110" s="1274" t="s">
        <v>1547</v>
      </c>
      <c r="H110" s="1252"/>
      <c r="I110" s="1286">
        <v>0.0</v>
      </c>
      <c r="J110" s="1286">
        <v>0.0</v>
      </c>
      <c r="K110" s="1276">
        <f t="shared" si="1"/>
        <v>0</v>
      </c>
      <c r="L110" s="1257"/>
      <c r="M110" s="1296">
        <v>72.77777777777777</v>
      </c>
      <c r="N110" s="1286">
        <f t="shared" si="2"/>
        <v>235.8</v>
      </c>
      <c r="O110" s="1296">
        <v>113.5185185185185</v>
      </c>
      <c r="P110" s="1245">
        <f t="shared" si="3"/>
        <v>367.8</v>
      </c>
      <c r="Q110" s="1296">
        <v>141.29629629629628</v>
      </c>
      <c r="R110" s="1245">
        <f t="shared" si="4"/>
        <v>457.8</v>
      </c>
      <c r="S110" s="1277"/>
      <c r="T110" s="1247"/>
    </row>
    <row r="111" ht="15.75" customHeight="1">
      <c r="B111" s="1297" t="str">
        <f>'1. Справочник'!B157</f>
        <v/>
      </c>
      <c r="C111" s="1298" t="str">
        <f>'1. Справочник'!C155</f>
        <v>TGB9</v>
      </c>
      <c r="D111" s="1299">
        <v>4.0</v>
      </c>
      <c r="E111" s="1299" t="s">
        <v>1538</v>
      </c>
      <c r="F111" s="168" t="s">
        <v>30</v>
      </c>
      <c r="G111" s="1274" t="s">
        <v>1547</v>
      </c>
      <c r="H111" s="1300">
        <v>450.0</v>
      </c>
      <c r="I111" s="1242">
        <v>50.0</v>
      </c>
      <c r="J111" s="1242">
        <v>50.0</v>
      </c>
      <c r="K111" s="1243">
        <f t="shared" si="1"/>
        <v>162</v>
      </c>
      <c r="L111" s="1244">
        <v>5.0</v>
      </c>
      <c r="M111" s="1296">
        <v>54.25925925925925</v>
      </c>
      <c r="N111" s="1286">
        <f t="shared" si="2"/>
        <v>175.8</v>
      </c>
      <c r="O111" s="1296">
        <v>65.37037037037037</v>
      </c>
      <c r="P111" s="1245">
        <f t="shared" si="3"/>
        <v>211.8</v>
      </c>
      <c r="Q111" s="1296">
        <v>91.29629629629629</v>
      </c>
      <c r="R111" s="1245">
        <f t="shared" si="4"/>
        <v>295.8</v>
      </c>
      <c r="S111" s="1246"/>
      <c r="T111" s="1247"/>
    </row>
    <row r="112" ht="15.75" customHeight="1">
      <c r="B112" s="1297" t="str">
        <f>'1. Справочник'!B97</f>
        <v>Светлана</v>
      </c>
      <c r="C112" s="1298" t="str">
        <f>'1. Справочник'!C156</f>
        <v>TGB10</v>
      </c>
      <c r="D112" s="1299">
        <v>4.0</v>
      </c>
      <c r="E112" s="1299" t="s">
        <v>1538</v>
      </c>
      <c r="F112" s="168" t="s">
        <v>30</v>
      </c>
      <c r="G112" s="1274" t="s">
        <v>1547</v>
      </c>
      <c r="H112" s="1300"/>
      <c r="I112" s="1286">
        <v>0.0</v>
      </c>
      <c r="J112" s="1286">
        <v>0.0</v>
      </c>
      <c r="K112" s="1276">
        <f t="shared" si="1"/>
        <v>0</v>
      </c>
      <c r="L112" s="1257"/>
      <c r="M112" s="1296">
        <v>54.25925925925925</v>
      </c>
      <c r="N112" s="1286">
        <f t="shared" si="2"/>
        <v>175.8</v>
      </c>
      <c r="O112" s="1296">
        <v>65.37037037037037</v>
      </c>
      <c r="P112" s="1245">
        <f t="shared" si="3"/>
        <v>211.8</v>
      </c>
      <c r="Q112" s="1296">
        <v>91.29629629629629</v>
      </c>
      <c r="R112" s="1245">
        <f t="shared" si="4"/>
        <v>295.8</v>
      </c>
      <c r="S112" s="1277"/>
      <c r="T112" s="1247"/>
    </row>
    <row r="113" ht="15.75" customHeight="1">
      <c r="A113" s="2"/>
      <c r="B113" s="1297" t="str">
        <f>'1. Справочник'!B73</f>
        <v>Юлия</v>
      </c>
      <c r="C113" s="1298" t="str">
        <f>'1. Справочник'!C157</f>
        <v>TGB11</v>
      </c>
      <c r="D113" s="1299">
        <v>4.0</v>
      </c>
      <c r="E113" s="1299" t="s">
        <v>1538</v>
      </c>
      <c r="F113" s="168" t="s">
        <v>33</v>
      </c>
      <c r="G113" s="1274" t="s">
        <v>518</v>
      </c>
      <c r="H113" s="1300">
        <v>950.0</v>
      </c>
      <c r="I113" s="1242">
        <v>100.0</v>
      </c>
      <c r="J113" s="1242">
        <v>100.0</v>
      </c>
      <c r="K113" s="1243">
        <f t="shared" si="1"/>
        <v>324</v>
      </c>
      <c r="L113" s="1244">
        <v>5.0</v>
      </c>
      <c r="M113" s="1296">
        <v>106.1111111111111</v>
      </c>
      <c r="N113" s="1286">
        <f t="shared" si="2"/>
        <v>343.8</v>
      </c>
      <c r="O113" s="1296">
        <v>135.74074074074073</v>
      </c>
      <c r="P113" s="1245">
        <f t="shared" si="3"/>
        <v>439.8</v>
      </c>
      <c r="Q113" s="1296">
        <v>161.66666666666666</v>
      </c>
      <c r="R113" s="1245">
        <f t="shared" si="4"/>
        <v>523.8</v>
      </c>
      <c r="S113" s="1246"/>
      <c r="T113" s="1247"/>
    </row>
    <row r="114" ht="15.75" customHeight="1">
      <c r="B114" s="1297" t="str">
        <f>'1. Справочник'!B101</f>
        <v/>
      </c>
      <c r="C114" s="1298" t="str">
        <f>'1. Справочник'!C97</f>
        <v>TGB195</v>
      </c>
      <c r="D114" s="1299">
        <v>4.0</v>
      </c>
      <c r="E114" s="1299" t="s">
        <v>1538</v>
      </c>
      <c r="F114" s="269" t="s">
        <v>27</v>
      </c>
      <c r="G114" s="1274" t="s">
        <v>518</v>
      </c>
      <c r="H114" s="1300">
        <v>1000.0</v>
      </c>
      <c r="I114" s="1286">
        <v>0.0</v>
      </c>
      <c r="J114" s="1286">
        <v>0.0</v>
      </c>
      <c r="K114" s="1276">
        <f t="shared" si="1"/>
        <v>0</v>
      </c>
      <c r="L114" s="1257"/>
      <c r="M114" s="1242">
        <v>137.5925925925926</v>
      </c>
      <c r="N114" s="1245">
        <f t="shared" si="2"/>
        <v>445.8</v>
      </c>
      <c r="O114" s="1242">
        <v>178.33333333333334</v>
      </c>
      <c r="P114" s="1245">
        <f t="shared" si="3"/>
        <v>577.8</v>
      </c>
      <c r="Q114" s="1242">
        <v>219.07407407407405</v>
      </c>
      <c r="R114" s="1245">
        <f t="shared" si="4"/>
        <v>709.8</v>
      </c>
      <c r="S114" s="1277"/>
      <c r="T114" s="1247"/>
    </row>
    <row r="115" ht="15.75" customHeight="1">
      <c r="A115" s="1260"/>
      <c r="B115" s="1263" t="str">
        <f>'1. Справочник'!B68</f>
        <v>Дарья</v>
      </c>
      <c r="C115" s="1269" t="str">
        <f>'1. Справочник'!C68</f>
        <v>Пиросмани 162</v>
      </c>
      <c r="D115" s="1265">
        <v>9.0</v>
      </c>
      <c r="E115" s="1266" t="s">
        <v>1539</v>
      </c>
      <c r="F115" s="1267" t="str">
        <f>'1. Справочник'!F68</f>
        <v>Студия</v>
      </c>
      <c r="G115" s="1266" t="s">
        <v>1544</v>
      </c>
      <c r="H115" s="1265">
        <v>400.0</v>
      </c>
      <c r="I115" s="1301">
        <v>0.0</v>
      </c>
      <c r="J115" s="1301">
        <v>0.0</v>
      </c>
      <c r="K115" s="1302">
        <f t="shared" si="1"/>
        <v>0</v>
      </c>
      <c r="L115" s="1257"/>
      <c r="M115" s="1275">
        <v>0.0</v>
      </c>
      <c r="N115" s="1275">
        <f t="shared" si="2"/>
        <v>0</v>
      </c>
      <c r="O115" s="1275">
        <v>0.0</v>
      </c>
      <c r="P115" s="1245">
        <f t="shared" si="3"/>
        <v>0</v>
      </c>
      <c r="Q115" s="1275">
        <v>0.0</v>
      </c>
      <c r="R115" s="1245">
        <f t="shared" si="4"/>
        <v>0</v>
      </c>
      <c r="S115" s="1277"/>
      <c r="T115" s="1247"/>
    </row>
    <row r="116" ht="15.75" customHeight="1">
      <c r="A116" s="1260"/>
      <c r="B116" s="1282" t="str">
        <f>'1. Справочник'!B69</f>
        <v>Дарья</v>
      </c>
      <c r="C116" s="1283" t="str">
        <f>'1. Справочник'!C69</f>
        <v>Пиросмани 181</v>
      </c>
      <c r="D116" s="1280">
        <v>9.0</v>
      </c>
      <c r="E116" s="1280" t="s">
        <v>1539</v>
      </c>
      <c r="F116" s="1281" t="str">
        <f>'1. Справочник'!F69</f>
        <v>1+2</v>
      </c>
      <c r="G116" s="1303" t="s">
        <v>518</v>
      </c>
      <c r="H116" s="1280">
        <v>1000.0</v>
      </c>
      <c r="I116" s="1242">
        <v>100.0</v>
      </c>
      <c r="J116" s="1242">
        <v>100.0</v>
      </c>
      <c r="K116" s="1243">
        <f t="shared" si="1"/>
        <v>324</v>
      </c>
      <c r="L116" s="1257">
        <v>7.0</v>
      </c>
      <c r="M116" s="1301">
        <v>160.0</v>
      </c>
      <c r="N116" s="1301">
        <f t="shared" si="2"/>
        <v>518.4</v>
      </c>
      <c r="O116" s="1301">
        <v>190.0</v>
      </c>
      <c r="P116" s="1245">
        <f t="shared" si="3"/>
        <v>615.6</v>
      </c>
      <c r="Q116" s="1301">
        <v>235.0</v>
      </c>
      <c r="R116" s="1245">
        <f t="shared" si="4"/>
        <v>761.4</v>
      </c>
      <c r="S116" s="1277"/>
      <c r="T116" s="1247"/>
    </row>
    <row r="117" ht="15.75" customHeight="1">
      <c r="A117" s="554"/>
      <c r="B117" s="1282" t="str">
        <f>'1. Справочник'!B70</f>
        <v>Юлия</v>
      </c>
      <c r="C117" s="1283" t="str">
        <f>'1. Справочник'!C70</f>
        <v>Pollo 2-2</v>
      </c>
      <c r="D117" s="1280">
        <v>6.0</v>
      </c>
      <c r="E117" s="1280" t="s">
        <v>1537</v>
      </c>
      <c r="F117" s="1281" t="str">
        <f>'1. Справочник'!F70</f>
        <v>Дом</v>
      </c>
      <c r="G117" s="1303" t="s">
        <v>563</v>
      </c>
      <c r="H117" s="1280">
        <v>2700.0</v>
      </c>
      <c r="I117" s="1286">
        <v>0.0</v>
      </c>
      <c r="J117" s="1286">
        <v>0.0</v>
      </c>
      <c r="K117" s="1276">
        <f t="shared" si="1"/>
        <v>0</v>
      </c>
      <c r="L117" s="1257"/>
      <c r="M117" s="1275">
        <v>0.0</v>
      </c>
      <c r="N117" s="1275">
        <f t="shared" si="2"/>
        <v>0</v>
      </c>
      <c r="O117" s="1275">
        <v>0.0</v>
      </c>
      <c r="P117" s="1245">
        <f t="shared" si="3"/>
        <v>0</v>
      </c>
      <c r="Q117" s="1275">
        <v>0.0</v>
      </c>
      <c r="R117" s="1245">
        <f t="shared" si="4"/>
        <v>0</v>
      </c>
      <c r="S117" s="1277"/>
      <c r="T117" s="1247"/>
    </row>
    <row r="118" ht="15.75" customHeight="1">
      <c r="A118" s="1304" t="s">
        <v>1548</v>
      </c>
      <c r="B118" s="1282" t="str">
        <f>'1. Справочник'!B71</f>
        <v>Юлия</v>
      </c>
      <c r="C118" s="1283" t="str">
        <f>'1. Справочник'!C71</f>
        <v>Pollo 3-5</v>
      </c>
      <c r="D118" s="1280">
        <v>6.0</v>
      </c>
      <c r="E118" s="1280" t="s">
        <v>1537</v>
      </c>
      <c r="F118" s="1281" t="str">
        <f>'1. Справочник'!F71</f>
        <v>Дом</v>
      </c>
      <c r="G118" s="1303" t="s">
        <v>563</v>
      </c>
      <c r="H118" s="1280">
        <v>2600.0</v>
      </c>
      <c r="I118" s="1242">
        <v>0.0</v>
      </c>
      <c r="J118" s="1242">
        <v>0.0</v>
      </c>
      <c r="K118" s="1243">
        <f t="shared" si="1"/>
        <v>0</v>
      </c>
      <c r="L118" s="1257"/>
      <c r="M118" s="1305">
        <v>0.0</v>
      </c>
      <c r="N118" s="1279">
        <f t="shared" si="2"/>
        <v>0</v>
      </c>
      <c r="O118" s="1305">
        <v>0.0</v>
      </c>
      <c r="P118" s="1245">
        <f t="shared" si="3"/>
        <v>0</v>
      </c>
      <c r="Q118" s="1305">
        <v>0.0</v>
      </c>
      <c r="R118" s="1245">
        <f t="shared" si="4"/>
        <v>0</v>
      </c>
      <c r="S118" s="1277"/>
      <c r="T118" s="1247"/>
    </row>
    <row r="119" ht="15.75" customHeight="1">
      <c r="A119" s="1304" t="s">
        <v>1549</v>
      </c>
      <c r="B119" s="1282" t="str">
        <f>'1. Справочник'!B72</f>
        <v>Юлия</v>
      </c>
      <c r="C119" s="1283" t="str">
        <f>'1. Справочник'!C72</f>
        <v>Polo 4-12</v>
      </c>
      <c r="D119" s="1280">
        <v>6.0</v>
      </c>
      <c r="E119" s="1280" t="s">
        <v>1537</v>
      </c>
      <c r="F119" s="1281" t="str">
        <f>'1. Справочник'!F72</f>
        <v>Дом</v>
      </c>
      <c r="G119" s="1303" t="s">
        <v>563</v>
      </c>
      <c r="H119" s="1280">
        <v>2500.0</v>
      </c>
      <c r="I119" s="1286">
        <v>0.0</v>
      </c>
      <c r="J119" s="1286">
        <v>0.0</v>
      </c>
      <c r="K119" s="1276">
        <f t="shared" si="1"/>
        <v>0</v>
      </c>
      <c r="L119" s="1257"/>
      <c r="M119" s="1275">
        <v>0.0</v>
      </c>
      <c r="N119" s="1275">
        <f t="shared" si="2"/>
        <v>0</v>
      </c>
      <c r="O119" s="1275">
        <v>0.0</v>
      </c>
      <c r="P119" s="1245">
        <f t="shared" si="3"/>
        <v>0</v>
      </c>
      <c r="Q119" s="1275">
        <v>0.0</v>
      </c>
      <c r="R119" s="1245">
        <f t="shared" si="4"/>
        <v>0</v>
      </c>
      <c r="S119" s="1277"/>
      <c r="T119" s="1247"/>
    </row>
    <row r="120" ht="15.75" customHeight="1">
      <c r="B120" s="1282" t="str">
        <f>'1. Справочник'!B76</f>
        <v/>
      </c>
      <c r="C120" s="1283" t="str">
        <f>'1. Справочник'!C74</f>
        <v>шартава 16/18</v>
      </c>
      <c r="D120" s="1280">
        <v>7.0</v>
      </c>
      <c r="E120" s="1280" t="s">
        <v>1539</v>
      </c>
      <c r="F120" s="1281" t="str">
        <f>'1. Справочник'!F74</f>
        <v>Студия</v>
      </c>
      <c r="G120" s="1284" t="s">
        <v>563</v>
      </c>
      <c r="H120" s="1280"/>
      <c r="I120" s="1286">
        <v>0.0</v>
      </c>
      <c r="J120" s="1286">
        <v>0.0</v>
      </c>
      <c r="K120" s="1276">
        <f t="shared" si="1"/>
        <v>0</v>
      </c>
      <c r="L120" s="1257"/>
      <c r="M120" s="1275">
        <v>0.0</v>
      </c>
      <c r="N120" s="1275">
        <f t="shared" si="2"/>
        <v>0</v>
      </c>
      <c r="O120" s="1275">
        <v>0.0</v>
      </c>
      <c r="P120" s="1245">
        <f t="shared" si="3"/>
        <v>0</v>
      </c>
      <c r="Q120" s="1275">
        <v>0.0</v>
      </c>
      <c r="R120" s="1245">
        <f t="shared" si="4"/>
        <v>0</v>
      </c>
      <c r="S120" s="1277"/>
      <c r="T120" s="1247"/>
    </row>
    <row r="121" ht="15.75" customHeight="1">
      <c r="B121" s="1297" t="str">
        <f>'1. Справочник'!B102</f>
        <v/>
      </c>
      <c r="C121" s="1298" t="str">
        <f>'1. Справочник'!C73</f>
        <v>Вилла Ева</v>
      </c>
      <c r="D121" s="1299">
        <v>4.0</v>
      </c>
      <c r="E121" s="1299" t="s">
        <v>1538</v>
      </c>
      <c r="F121" s="1250"/>
      <c r="G121" s="1274" t="s">
        <v>1545</v>
      </c>
      <c r="H121" s="1300"/>
      <c r="I121" s="1306">
        <v>0.0</v>
      </c>
      <c r="J121" s="1306">
        <v>0.0</v>
      </c>
      <c r="K121" s="1307">
        <f t="shared" si="1"/>
        <v>0</v>
      </c>
      <c r="L121" s="1257"/>
      <c r="M121" s="1308">
        <v>0.0</v>
      </c>
      <c r="N121" s="1308">
        <f t="shared" si="2"/>
        <v>0</v>
      </c>
      <c r="O121" s="1308">
        <v>0.0</v>
      </c>
      <c r="P121" s="1245">
        <f t="shared" si="3"/>
        <v>0</v>
      </c>
      <c r="Q121" s="1308">
        <v>0.0</v>
      </c>
      <c r="R121" s="1245">
        <f t="shared" si="4"/>
        <v>0</v>
      </c>
      <c r="S121" s="1277"/>
      <c r="T121" s="1247"/>
    </row>
    <row r="122" ht="15.75" customHeight="1">
      <c r="B122" s="164"/>
      <c r="C122" s="478"/>
      <c r="D122" s="1309"/>
      <c r="E122" s="1309"/>
      <c r="I122" s="1310">
        <v>0.0</v>
      </c>
      <c r="M122" s="1310"/>
      <c r="N122" s="1311"/>
      <c r="O122" s="1310"/>
      <c r="P122" s="1312"/>
      <c r="Q122" s="1310"/>
      <c r="R122" s="1312"/>
      <c r="T122" s="1247"/>
    </row>
    <row r="123" ht="15.75" customHeight="1">
      <c r="B123" s="164"/>
      <c r="C123" s="478"/>
      <c r="D123" s="1309"/>
      <c r="E123" s="1309"/>
      <c r="I123" s="1310">
        <v>0.0</v>
      </c>
      <c r="M123" s="1310"/>
      <c r="N123" s="1311"/>
      <c r="O123" s="1310"/>
      <c r="P123" s="1312"/>
      <c r="Q123" s="1310"/>
      <c r="R123" s="1312"/>
      <c r="T123" s="1247"/>
    </row>
    <row r="124" ht="15.75" customHeight="1">
      <c r="B124" s="164"/>
      <c r="C124" s="478"/>
      <c r="D124" s="1309"/>
      <c r="E124" s="1309"/>
      <c r="F124" s="7"/>
      <c r="G124" s="7"/>
      <c r="H124" s="1309"/>
      <c r="I124" s="1313">
        <v>0.0</v>
      </c>
      <c r="M124" s="1313"/>
      <c r="N124" s="1314"/>
      <c r="O124" s="1313"/>
      <c r="P124" s="1315"/>
      <c r="Q124" s="1313"/>
      <c r="R124" s="1315"/>
      <c r="T124" s="1247"/>
    </row>
    <row r="125" ht="15.75" customHeight="1">
      <c r="B125" s="164"/>
      <c r="C125" s="478"/>
      <c r="D125" s="1309"/>
      <c r="E125" s="1309"/>
      <c r="F125" s="7"/>
      <c r="G125" s="7"/>
      <c r="H125" s="1309"/>
      <c r="I125" s="1313">
        <v>0.0</v>
      </c>
      <c r="M125" s="1313"/>
      <c r="N125" s="1314"/>
      <c r="O125" s="1313"/>
      <c r="P125" s="1315"/>
      <c r="Q125" s="1313"/>
      <c r="R125" s="1315"/>
      <c r="T125" s="1247"/>
    </row>
    <row r="126" ht="15.75" customHeight="1">
      <c r="B126" s="164"/>
      <c r="C126" s="478"/>
      <c r="D126" s="1309"/>
      <c r="E126" s="1309"/>
      <c r="F126" s="7"/>
      <c r="G126" s="7"/>
      <c r="H126" s="1309"/>
      <c r="I126" s="1313">
        <v>0.0</v>
      </c>
      <c r="M126" s="1313"/>
      <c r="N126" s="1314"/>
      <c r="O126" s="1313"/>
      <c r="P126" s="1315"/>
      <c r="Q126" s="1313"/>
      <c r="R126" s="1315"/>
      <c r="T126" s="1247"/>
    </row>
    <row r="127" ht="15.75" customHeight="1">
      <c r="B127" s="164"/>
      <c r="C127" s="478"/>
      <c r="D127" s="1309"/>
      <c r="E127" s="1309"/>
      <c r="F127" s="7"/>
      <c r="G127" s="7"/>
      <c r="H127" s="1309"/>
      <c r="I127" s="1313">
        <v>0.0</v>
      </c>
      <c r="M127" s="1313"/>
      <c r="N127" s="1314"/>
      <c r="O127" s="1313"/>
      <c r="P127" s="1315"/>
      <c r="Q127" s="1313"/>
      <c r="R127" s="1315"/>
      <c r="T127" s="1247"/>
    </row>
    <row r="128" ht="15.75" customHeight="1">
      <c r="B128" s="164"/>
      <c r="C128" s="478"/>
      <c r="D128" s="1309"/>
      <c r="E128" s="1309"/>
      <c r="F128" s="7"/>
      <c r="G128" s="7"/>
      <c r="H128" s="1309"/>
      <c r="I128" s="1313">
        <v>0.0</v>
      </c>
      <c r="M128" s="1313"/>
      <c r="N128" s="1314"/>
      <c r="O128" s="1313"/>
      <c r="P128" s="1315"/>
      <c r="Q128" s="1313"/>
      <c r="R128" s="1315"/>
      <c r="T128" s="1247"/>
    </row>
    <row r="129" ht="15.75" customHeight="1">
      <c r="B129" s="164"/>
      <c r="C129" s="478"/>
      <c r="D129" s="1309"/>
      <c r="E129" s="1309"/>
      <c r="F129" s="7"/>
      <c r="G129" s="7"/>
      <c r="H129" s="1309"/>
      <c r="I129" s="1313">
        <v>0.0</v>
      </c>
      <c r="M129" s="1313"/>
      <c r="N129" s="1314"/>
      <c r="O129" s="1313"/>
      <c r="P129" s="1315"/>
      <c r="Q129" s="1313"/>
      <c r="R129" s="1315"/>
      <c r="T129" s="1247"/>
    </row>
    <row r="130" ht="15.75" customHeight="1">
      <c r="B130" s="164"/>
      <c r="C130" s="478"/>
      <c r="D130" s="1309"/>
      <c r="E130" s="1309"/>
      <c r="F130" s="7"/>
      <c r="G130" s="7"/>
      <c r="H130" s="1309"/>
      <c r="I130" s="1313">
        <v>0.0</v>
      </c>
      <c r="M130" s="1313"/>
      <c r="N130" s="1314"/>
      <c r="O130" s="1313"/>
      <c r="P130" s="1315"/>
      <c r="Q130" s="1313"/>
      <c r="R130" s="1315"/>
      <c r="T130" s="1247"/>
    </row>
    <row r="131" ht="15.75" customHeight="1">
      <c r="B131" s="164"/>
      <c r="C131" s="478"/>
      <c r="D131" s="1309"/>
      <c r="E131" s="1309"/>
      <c r="F131" s="7"/>
      <c r="G131" s="7"/>
      <c r="H131" s="1309"/>
      <c r="I131" s="1313">
        <v>0.0</v>
      </c>
      <c r="M131" s="1313"/>
      <c r="N131" s="1314"/>
      <c r="O131" s="1313"/>
      <c r="P131" s="1315"/>
      <c r="Q131" s="1313"/>
      <c r="R131" s="1315"/>
      <c r="T131" s="1247"/>
    </row>
    <row r="132" ht="15.75" customHeight="1">
      <c r="B132" s="164"/>
      <c r="C132" s="478"/>
      <c r="D132" s="1309"/>
      <c r="E132" s="1309"/>
      <c r="F132" s="7"/>
      <c r="G132" s="7"/>
      <c r="H132" s="1309"/>
      <c r="I132" s="1313">
        <v>0.0</v>
      </c>
      <c r="M132" s="1313"/>
      <c r="N132" s="1314"/>
      <c r="O132" s="1313"/>
      <c r="P132" s="1315"/>
      <c r="Q132" s="1313"/>
      <c r="R132" s="1315"/>
      <c r="T132" s="1247"/>
    </row>
    <row r="133" ht="15.75" customHeight="1">
      <c r="B133" s="164"/>
      <c r="C133" s="478"/>
      <c r="D133" s="1309"/>
      <c r="E133" s="1309"/>
      <c r="F133" s="7"/>
      <c r="G133" s="7"/>
      <c r="H133" s="1309"/>
      <c r="I133" s="1313">
        <v>0.0</v>
      </c>
      <c r="M133" s="1313"/>
      <c r="N133" s="1314"/>
      <c r="O133" s="1313"/>
      <c r="P133" s="1315"/>
      <c r="Q133" s="1313"/>
      <c r="R133" s="1315"/>
      <c r="T133" s="1247"/>
    </row>
    <row r="134" ht="15.75" customHeight="1">
      <c r="B134" s="164"/>
      <c r="C134" s="478"/>
      <c r="D134" s="1309"/>
      <c r="E134" s="1309"/>
      <c r="F134" s="7"/>
      <c r="G134" s="7"/>
      <c r="H134" s="1309"/>
      <c r="I134" s="1313">
        <v>0.0</v>
      </c>
      <c r="M134" s="1313"/>
      <c r="N134" s="1314"/>
      <c r="O134" s="1313"/>
      <c r="P134" s="1315"/>
      <c r="Q134" s="1313"/>
      <c r="R134" s="1315"/>
      <c r="T134" s="1247"/>
    </row>
    <row r="135" ht="15.75" customHeight="1">
      <c r="B135" s="164"/>
      <c r="C135" s="478"/>
      <c r="D135" s="1309"/>
      <c r="E135" s="1309"/>
      <c r="F135" s="7"/>
      <c r="G135" s="7"/>
      <c r="H135" s="1309"/>
      <c r="I135" s="1313"/>
      <c r="M135" s="1313"/>
      <c r="N135" s="1314"/>
      <c r="O135" s="1313"/>
      <c r="P135" s="1315"/>
      <c r="Q135" s="1313"/>
      <c r="R135" s="1315"/>
    </row>
    <row r="136" ht="15.75" customHeight="1">
      <c r="B136" s="164"/>
      <c r="C136" s="478"/>
      <c r="D136" s="1309"/>
      <c r="E136" s="1309"/>
      <c r="F136" s="7"/>
      <c r="G136" s="7"/>
      <c r="H136" s="1309"/>
      <c r="I136" s="1313"/>
      <c r="M136" s="1313"/>
      <c r="N136" s="1314"/>
      <c r="O136" s="1313"/>
      <c r="P136" s="1315"/>
      <c r="Q136" s="1313"/>
      <c r="R136" s="1315"/>
    </row>
    <row r="137" ht="15.75" customHeight="1">
      <c r="B137" s="164"/>
      <c r="C137" s="478"/>
      <c r="D137" s="1309"/>
      <c r="E137" s="1309"/>
      <c r="F137" s="7"/>
      <c r="G137" s="7"/>
      <c r="H137" s="1309"/>
      <c r="I137" s="1313"/>
      <c r="M137" s="1313"/>
      <c r="N137" s="1314"/>
      <c r="O137" s="1313"/>
      <c r="P137" s="1315"/>
      <c r="Q137" s="1313"/>
      <c r="R137" s="1315"/>
    </row>
    <row r="138" ht="15.75" customHeight="1">
      <c r="B138" s="164"/>
      <c r="C138" s="478"/>
      <c r="D138" s="1309"/>
      <c r="E138" s="1309"/>
      <c r="F138" s="7"/>
      <c r="G138" s="7"/>
      <c r="H138" s="1309"/>
      <c r="I138" s="1313"/>
      <c r="M138" s="1313"/>
      <c r="N138" s="1314"/>
      <c r="O138" s="1313"/>
      <c r="P138" s="1315"/>
      <c r="Q138" s="1313"/>
      <c r="R138" s="1315"/>
    </row>
    <row r="139" ht="15.75" customHeight="1">
      <c r="B139" s="164"/>
      <c r="C139" s="478"/>
      <c r="D139" s="1309"/>
      <c r="E139" s="1309"/>
      <c r="F139" s="7"/>
      <c r="G139" s="7"/>
      <c r="H139" s="1309"/>
      <c r="I139" s="1313"/>
      <c r="M139" s="1313"/>
      <c r="N139" s="1314"/>
      <c r="O139" s="1313"/>
      <c r="P139" s="1315"/>
      <c r="Q139" s="1313"/>
      <c r="R139" s="1315"/>
    </row>
    <row r="140" ht="15.75" customHeight="1">
      <c r="B140" s="164"/>
      <c r="C140" s="478"/>
      <c r="D140" s="1309"/>
      <c r="E140" s="1309"/>
      <c r="F140" s="7"/>
      <c r="G140" s="7"/>
      <c r="H140" s="1309"/>
      <c r="I140" s="1313"/>
      <c r="M140" s="1313"/>
      <c r="N140" s="1314"/>
      <c r="O140" s="1313"/>
      <c r="P140" s="1315"/>
      <c r="Q140" s="1313"/>
      <c r="R140" s="1315"/>
    </row>
    <row r="141" ht="15.75" customHeight="1">
      <c r="B141" s="164"/>
      <c r="C141" s="478"/>
      <c r="D141" s="1309"/>
      <c r="E141" s="1309"/>
      <c r="F141" s="7"/>
      <c r="G141" s="7"/>
      <c r="H141" s="1309"/>
      <c r="I141" s="1313"/>
      <c r="M141" s="1313"/>
      <c r="N141" s="1314"/>
      <c r="O141" s="1313"/>
      <c r="P141" s="1315"/>
      <c r="Q141" s="1313"/>
      <c r="R141" s="1315"/>
    </row>
    <row r="142" ht="15.75" customHeight="1">
      <c r="B142" s="164"/>
      <c r="C142" s="478"/>
      <c r="D142" s="1309"/>
      <c r="E142" s="1309"/>
      <c r="F142" s="7"/>
      <c r="G142" s="7"/>
      <c r="H142" s="1309"/>
      <c r="I142" s="1313"/>
      <c r="M142" s="1313"/>
      <c r="N142" s="1314"/>
      <c r="O142" s="1313"/>
      <c r="P142" s="1315"/>
      <c r="Q142" s="1313"/>
      <c r="R142" s="1315"/>
    </row>
    <row r="143" ht="15.75" customHeight="1">
      <c r="B143" s="164"/>
      <c r="C143" s="478"/>
      <c r="D143" s="1309"/>
      <c r="E143" s="1309"/>
      <c r="F143" s="7"/>
      <c r="G143" s="7"/>
      <c r="H143" s="1309"/>
      <c r="I143" s="1313"/>
      <c r="M143" s="1313"/>
      <c r="N143" s="1314"/>
      <c r="O143" s="1313"/>
      <c r="P143" s="1315"/>
      <c r="Q143" s="1313"/>
      <c r="R143" s="1315"/>
    </row>
    <row r="144" ht="15.75" customHeight="1">
      <c r="B144" s="164"/>
      <c r="C144" s="478"/>
      <c r="D144" s="1309"/>
      <c r="E144" s="1309"/>
      <c r="F144" s="7"/>
      <c r="G144" s="7"/>
      <c r="H144" s="1309"/>
      <c r="I144" s="1313"/>
      <c r="M144" s="1313"/>
      <c r="N144" s="1314"/>
      <c r="O144" s="1313"/>
      <c r="P144" s="1315"/>
      <c r="Q144" s="1313"/>
      <c r="R144" s="1315"/>
    </row>
    <row r="145" ht="15.75" customHeight="1">
      <c r="B145" s="164"/>
      <c r="C145" s="478"/>
      <c r="D145" s="1309"/>
      <c r="E145" s="1309"/>
      <c r="F145" s="7"/>
      <c r="G145" s="7"/>
      <c r="H145" s="1309"/>
      <c r="I145" s="1313"/>
      <c r="M145" s="1313"/>
      <c r="N145" s="1314"/>
      <c r="O145" s="1313"/>
      <c r="P145" s="1315"/>
      <c r="Q145" s="1313"/>
      <c r="R145" s="1315"/>
    </row>
    <row r="146" ht="15.75" customHeight="1">
      <c r="B146" s="164"/>
      <c r="C146" s="478"/>
      <c r="D146" s="1309"/>
      <c r="E146" s="1309"/>
      <c r="F146" s="7"/>
      <c r="G146" s="7"/>
      <c r="H146" s="1309"/>
      <c r="I146" s="1313"/>
      <c r="M146" s="1313"/>
      <c r="N146" s="1314"/>
      <c r="O146" s="1313"/>
      <c r="P146" s="1315"/>
      <c r="Q146" s="1313"/>
      <c r="R146" s="1315"/>
    </row>
    <row r="147" ht="15.75" customHeight="1">
      <c r="B147" s="164"/>
      <c r="C147" s="478"/>
      <c r="D147" s="1309"/>
      <c r="E147" s="1309"/>
      <c r="F147" s="7"/>
      <c r="G147" s="7"/>
      <c r="H147" s="1309"/>
      <c r="I147" s="1313"/>
      <c r="M147" s="1313"/>
      <c r="N147" s="1314"/>
      <c r="O147" s="1313"/>
      <c r="P147" s="1315"/>
      <c r="Q147" s="1313"/>
      <c r="R147" s="1315"/>
    </row>
    <row r="148" ht="15.75" customHeight="1">
      <c r="B148" s="164"/>
      <c r="C148" s="478"/>
      <c r="D148" s="1309"/>
      <c r="E148" s="1309"/>
      <c r="F148" s="7"/>
      <c r="G148" s="7"/>
      <c r="H148" s="1309"/>
      <c r="I148" s="1313"/>
      <c r="M148" s="1313"/>
      <c r="N148" s="1314"/>
      <c r="O148" s="1313"/>
      <c r="P148" s="1315"/>
      <c r="Q148" s="1313"/>
      <c r="R148" s="1315"/>
    </row>
    <row r="149" ht="15.75" customHeight="1">
      <c r="B149" s="164"/>
      <c r="C149" s="478"/>
      <c r="D149" s="1309"/>
      <c r="E149" s="1309"/>
      <c r="F149" s="7"/>
      <c r="G149" s="7"/>
      <c r="H149" s="1309"/>
      <c r="I149" s="1313"/>
      <c r="M149" s="1313"/>
      <c r="N149" s="1314"/>
      <c r="O149" s="1313"/>
      <c r="P149" s="1315"/>
      <c r="Q149" s="1313"/>
      <c r="R149" s="1315"/>
    </row>
    <row r="150" ht="15.75" customHeight="1">
      <c r="B150" s="164"/>
      <c r="C150" s="478"/>
      <c r="D150" s="1309"/>
      <c r="E150" s="1309"/>
      <c r="F150" s="7"/>
      <c r="G150" s="7"/>
      <c r="H150" s="1309"/>
      <c r="I150" s="1313"/>
      <c r="M150" s="1313"/>
      <c r="N150" s="1314"/>
      <c r="O150" s="1313"/>
      <c r="P150" s="1315"/>
      <c r="Q150" s="1313"/>
      <c r="R150" s="1315"/>
    </row>
    <row r="151" ht="15.75" customHeight="1">
      <c r="B151" s="164"/>
      <c r="C151" s="478"/>
      <c r="D151" s="1309"/>
      <c r="E151" s="1309"/>
      <c r="F151" s="7"/>
      <c r="G151" s="7"/>
      <c r="H151" s="1309"/>
      <c r="I151" s="1313"/>
      <c r="M151" s="1313"/>
      <c r="N151" s="1314"/>
      <c r="O151" s="1313"/>
      <c r="P151" s="1315"/>
      <c r="Q151" s="1313"/>
      <c r="R151" s="1315"/>
    </row>
    <row r="152" ht="15.75" customHeight="1">
      <c r="B152" s="164"/>
      <c r="C152" s="478"/>
      <c r="D152" s="1309"/>
      <c r="E152" s="1309"/>
      <c r="F152" s="7"/>
      <c r="G152" s="7"/>
      <c r="H152" s="1309"/>
      <c r="I152" s="1313"/>
      <c r="M152" s="1313"/>
      <c r="N152" s="1314"/>
      <c r="O152" s="1313"/>
      <c r="P152" s="1315"/>
      <c r="Q152" s="1313"/>
      <c r="R152" s="1315"/>
    </row>
    <row r="153" ht="15.75" customHeight="1">
      <c r="B153" s="164"/>
      <c r="C153" s="478"/>
      <c r="D153" s="1309"/>
      <c r="E153" s="1309"/>
      <c r="F153" s="7"/>
      <c r="G153" s="7"/>
      <c r="H153" s="1309"/>
      <c r="I153" s="1313"/>
      <c r="M153" s="1313"/>
      <c r="N153" s="1314"/>
      <c r="O153" s="1313"/>
      <c r="P153" s="1315"/>
      <c r="Q153" s="1313"/>
      <c r="R153" s="1315"/>
    </row>
    <row r="154" ht="15.75" customHeight="1">
      <c r="B154" s="164"/>
      <c r="C154" s="478"/>
      <c r="D154" s="1309"/>
      <c r="E154" s="1309"/>
      <c r="F154" s="7"/>
      <c r="G154" s="7"/>
      <c r="H154" s="1309"/>
      <c r="I154" s="1313"/>
      <c r="M154" s="1313"/>
      <c r="N154" s="1314"/>
      <c r="O154" s="1313"/>
      <c r="P154" s="1315"/>
      <c r="Q154" s="1313"/>
      <c r="R154" s="1315"/>
    </row>
    <row r="155" ht="15.75" customHeight="1">
      <c r="B155" s="164"/>
      <c r="C155" s="478"/>
      <c r="D155" s="1309"/>
      <c r="E155" s="1309"/>
      <c r="F155" s="7"/>
      <c r="G155" s="7"/>
      <c r="H155" s="1309"/>
      <c r="I155" s="1313"/>
      <c r="M155" s="1313"/>
      <c r="N155" s="1314"/>
      <c r="O155" s="1313"/>
      <c r="P155" s="1315"/>
      <c r="Q155" s="1313"/>
      <c r="R155" s="1315"/>
    </row>
    <row r="156" ht="15.75" customHeight="1">
      <c r="B156" s="164"/>
      <c r="C156" s="478"/>
      <c r="D156" s="1309"/>
      <c r="E156" s="1309"/>
      <c r="F156" s="7"/>
      <c r="G156" s="7"/>
      <c r="H156" s="1309"/>
      <c r="I156" s="1313"/>
      <c r="M156" s="1313"/>
      <c r="N156" s="1314"/>
      <c r="O156" s="1313"/>
      <c r="P156" s="1315"/>
      <c r="Q156" s="1313"/>
      <c r="R156" s="1315"/>
    </row>
    <row r="157" ht="15.75" customHeight="1">
      <c r="B157" s="164"/>
      <c r="C157" s="478"/>
      <c r="D157" s="1309"/>
      <c r="E157" s="1309"/>
      <c r="F157" s="7"/>
      <c r="G157" s="7"/>
      <c r="H157" s="1309"/>
      <c r="I157" s="1313"/>
      <c r="M157" s="1313"/>
      <c r="N157" s="1314"/>
      <c r="O157" s="1313"/>
      <c r="P157" s="1315"/>
      <c r="Q157" s="1313"/>
      <c r="R157" s="1315"/>
    </row>
    <row r="158" ht="15.75" customHeight="1">
      <c r="B158" s="164"/>
      <c r="C158" s="478"/>
      <c r="D158" s="1309"/>
      <c r="E158" s="1309"/>
      <c r="F158" s="7"/>
      <c r="G158" s="7"/>
      <c r="H158" s="1309"/>
      <c r="I158" s="1313"/>
      <c r="M158" s="1313"/>
      <c r="N158" s="1314"/>
      <c r="O158" s="1313"/>
      <c r="P158" s="1315"/>
      <c r="Q158" s="1313"/>
      <c r="R158" s="1315"/>
    </row>
    <row r="159" ht="15.75" customHeight="1">
      <c r="B159" s="164"/>
      <c r="C159" s="478"/>
      <c r="D159" s="1309"/>
      <c r="E159" s="1309"/>
      <c r="F159" s="7"/>
      <c r="G159" s="7"/>
      <c r="H159" s="1309"/>
      <c r="I159" s="1313"/>
      <c r="M159" s="1313"/>
      <c r="N159" s="1314"/>
      <c r="O159" s="1313"/>
      <c r="P159" s="1315"/>
      <c r="Q159" s="1313"/>
      <c r="R159" s="1315"/>
    </row>
    <row r="160" ht="15.75" customHeight="1">
      <c r="B160" s="164"/>
      <c r="C160" s="478"/>
      <c r="D160" s="1309"/>
      <c r="E160" s="1309"/>
      <c r="F160" s="7"/>
      <c r="G160" s="7"/>
      <c r="H160" s="1309"/>
      <c r="I160" s="1313"/>
      <c r="M160" s="1313"/>
      <c r="N160" s="1314"/>
      <c r="O160" s="1313"/>
      <c r="P160" s="1315"/>
      <c r="Q160" s="1313"/>
      <c r="R160" s="1315"/>
    </row>
    <row r="161" ht="15.75" customHeight="1">
      <c r="B161" s="164"/>
      <c r="C161" s="478"/>
      <c r="D161" s="1309"/>
      <c r="E161" s="1309"/>
      <c r="F161" s="7"/>
      <c r="G161" s="7"/>
      <c r="H161" s="1309"/>
      <c r="I161" s="1313"/>
      <c r="M161" s="1313"/>
      <c r="N161" s="1314"/>
      <c r="O161" s="1313"/>
      <c r="P161" s="1315"/>
      <c r="Q161" s="1313"/>
      <c r="R161" s="1315"/>
    </row>
    <row r="162" ht="15.75" customHeight="1">
      <c r="B162" s="164"/>
      <c r="C162" s="478"/>
      <c r="D162" s="1309"/>
      <c r="E162" s="1309"/>
      <c r="F162" s="7"/>
      <c r="G162" s="7"/>
      <c r="H162" s="1309"/>
      <c r="I162" s="1313"/>
      <c r="M162" s="1313"/>
      <c r="N162" s="1314"/>
      <c r="O162" s="1313"/>
      <c r="P162" s="1315"/>
      <c r="Q162" s="1313"/>
      <c r="R162" s="1315"/>
    </row>
    <row r="163" ht="15.75" customHeight="1">
      <c r="B163" s="164"/>
      <c r="C163" s="478"/>
      <c r="D163" s="1309"/>
      <c r="E163" s="1309"/>
      <c r="F163" s="7"/>
      <c r="G163" s="7"/>
      <c r="H163" s="1309"/>
      <c r="I163" s="1313"/>
      <c r="M163" s="1313"/>
      <c r="N163" s="1314"/>
      <c r="O163" s="1313"/>
      <c r="P163" s="1315"/>
      <c r="Q163" s="1313"/>
      <c r="R163" s="1315"/>
    </row>
    <row r="164" ht="15.75" customHeight="1">
      <c r="B164" s="164"/>
      <c r="C164" s="478"/>
      <c r="D164" s="1309"/>
      <c r="E164" s="1309"/>
      <c r="F164" s="7"/>
      <c r="G164" s="7"/>
      <c r="H164" s="1309"/>
      <c r="I164" s="1313"/>
      <c r="M164" s="1313"/>
      <c r="N164" s="1314"/>
      <c r="O164" s="1313"/>
      <c r="P164" s="1315"/>
      <c r="Q164" s="1313"/>
      <c r="R164" s="1315"/>
    </row>
    <row r="165" ht="15.75" customHeight="1">
      <c r="B165" s="164"/>
      <c r="C165" s="478"/>
      <c r="D165" s="1309"/>
      <c r="E165" s="1309"/>
      <c r="F165" s="7"/>
      <c r="G165" s="7"/>
      <c r="H165" s="1309"/>
      <c r="I165" s="1313"/>
      <c r="M165" s="1313"/>
      <c r="N165" s="1314"/>
      <c r="O165" s="1313"/>
      <c r="P165" s="1315"/>
      <c r="Q165" s="1313"/>
      <c r="R165" s="1315"/>
    </row>
    <row r="166" ht="15.75" customHeight="1">
      <c r="B166" s="164"/>
      <c r="C166" s="478"/>
      <c r="D166" s="1309"/>
      <c r="E166" s="1309"/>
      <c r="F166" s="7"/>
      <c r="G166" s="7"/>
      <c r="H166" s="1309"/>
      <c r="I166" s="1313"/>
      <c r="M166" s="1313"/>
      <c r="N166" s="1314"/>
      <c r="O166" s="1313"/>
      <c r="P166" s="1315"/>
      <c r="Q166" s="1313"/>
      <c r="R166" s="1315"/>
    </row>
    <row r="167" ht="15.75" customHeight="1">
      <c r="B167" s="164"/>
      <c r="C167" s="478"/>
      <c r="D167" s="1309"/>
      <c r="E167" s="1309"/>
      <c r="F167" s="7"/>
      <c r="G167" s="7"/>
      <c r="H167" s="1309"/>
      <c r="I167" s="1313"/>
      <c r="M167" s="1313"/>
      <c r="N167" s="1314"/>
      <c r="O167" s="1313"/>
      <c r="P167" s="1315"/>
      <c r="Q167" s="1313"/>
      <c r="R167" s="1315"/>
    </row>
    <row r="168" ht="15.75" customHeight="1">
      <c r="B168" s="164"/>
      <c r="C168" s="478"/>
      <c r="D168" s="1309"/>
      <c r="E168" s="1309"/>
      <c r="F168" s="7"/>
      <c r="G168" s="7"/>
      <c r="H168" s="1309"/>
      <c r="I168" s="1313"/>
      <c r="M168" s="1313"/>
      <c r="N168" s="1314"/>
      <c r="O168" s="1313"/>
      <c r="P168" s="1315"/>
      <c r="Q168" s="1313"/>
      <c r="R168" s="1315"/>
    </row>
    <row r="169" ht="15.75" customHeight="1">
      <c r="B169" s="164"/>
      <c r="C169" s="478"/>
      <c r="D169" s="1309"/>
      <c r="E169" s="1309"/>
      <c r="F169" s="7"/>
      <c r="G169" s="7"/>
      <c r="H169" s="1309"/>
      <c r="I169" s="1313"/>
      <c r="M169" s="1313"/>
      <c r="N169" s="1314"/>
      <c r="O169" s="1313"/>
      <c r="P169" s="1315"/>
      <c r="Q169" s="1313"/>
      <c r="R169" s="1315"/>
    </row>
    <row r="170" ht="15.75" customHeight="1">
      <c r="B170" s="164"/>
      <c r="C170" s="478"/>
      <c r="D170" s="1309"/>
      <c r="E170" s="1309"/>
      <c r="F170" s="7"/>
      <c r="G170" s="7"/>
      <c r="H170" s="1309"/>
      <c r="I170" s="1313"/>
      <c r="M170" s="1313"/>
      <c r="N170" s="1314"/>
      <c r="O170" s="1313"/>
      <c r="P170" s="1315"/>
      <c r="Q170" s="1313"/>
      <c r="R170" s="1315"/>
    </row>
    <row r="171" ht="15.75" customHeight="1">
      <c r="B171" s="164"/>
      <c r="C171" s="478"/>
      <c r="D171" s="1309"/>
      <c r="E171" s="1309"/>
      <c r="F171" s="7"/>
      <c r="G171" s="7"/>
      <c r="H171" s="1309"/>
      <c r="I171" s="1313"/>
      <c r="M171" s="1313"/>
      <c r="N171" s="1314"/>
      <c r="O171" s="1313"/>
      <c r="P171" s="1315"/>
      <c r="Q171" s="1313"/>
      <c r="R171" s="1315"/>
    </row>
    <row r="172" ht="15.75" customHeight="1">
      <c r="B172" s="164"/>
      <c r="C172" s="478"/>
      <c r="D172" s="1309"/>
      <c r="E172" s="1309"/>
      <c r="F172" s="7"/>
      <c r="G172" s="7"/>
      <c r="H172" s="1309"/>
      <c r="I172" s="1313"/>
      <c r="M172" s="1313"/>
      <c r="N172" s="1314"/>
      <c r="O172" s="1313"/>
      <c r="P172" s="1315"/>
      <c r="Q172" s="1313"/>
      <c r="R172" s="1315"/>
    </row>
    <row r="173" ht="15.75" customHeight="1">
      <c r="B173" s="164"/>
      <c r="C173" s="478"/>
      <c r="D173" s="1309"/>
      <c r="E173" s="1309"/>
      <c r="F173" s="7"/>
      <c r="G173" s="7"/>
      <c r="H173" s="1309"/>
      <c r="I173" s="1313"/>
      <c r="M173" s="1313"/>
      <c r="N173" s="1314"/>
      <c r="O173" s="1313"/>
      <c r="P173" s="1315"/>
      <c r="Q173" s="1313"/>
      <c r="R173" s="1315"/>
    </row>
    <row r="174" ht="15.75" customHeight="1">
      <c r="B174" s="164"/>
      <c r="C174" s="478"/>
      <c r="D174" s="1309"/>
      <c r="E174" s="1309"/>
      <c r="F174" s="7"/>
      <c r="G174" s="7"/>
      <c r="H174" s="1309"/>
      <c r="I174" s="1313"/>
      <c r="M174" s="1313"/>
      <c r="N174" s="1314"/>
      <c r="O174" s="1313"/>
      <c r="P174" s="1315"/>
      <c r="Q174" s="1313"/>
      <c r="R174" s="1315"/>
    </row>
    <row r="175" ht="15.75" customHeight="1">
      <c r="B175" s="164"/>
      <c r="C175" s="478"/>
      <c r="D175" s="1309"/>
      <c r="E175" s="1309"/>
      <c r="F175" s="7"/>
      <c r="G175" s="7"/>
      <c r="H175" s="1309"/>
      <c r="I175" s="1313"/>
      <c r="M175" s="1313"/>
      <c r="N175" s="1314"/>
      <c r="O175" s="1313"/>
      <c r="P175" s="1315"/>
      <c r="Q175" s="1313"/>
      <c r="R175" s="1315"/>
    </row>
    <row r="176" ht="15.75" customHeight="1">
      <c r="B176" s="164"/>
      <c r="C176" s="478"/>
      <c r="D176" s="1309"/>
      <c r="E176" s="1309"/>
      <c r="F176" s="7"/>
      <c r="G176" s="7"/>
      <c r="H176" s="1309"/>
      <c r="I176" s="1313"/>
      <c r="M176" s="1313"/>
      <c r="N176" s="1314"/>
      <c r="O176" s="1313"/>
      <c r="P176" s="1315"/>
      <c r="Q176" s="1313"/>
      <c r="R176" s="1315"/>
    </row>
    <row r="177" ht="15.75" customHeight="1">
      <c r="B177" s="164"/>
      <c r="C177" s="478"/>
      <c r="D177" s="1309"/>
      <c r="E177" s="1309"/>
      <c r="F177" s="7"/>
      <c r="G177" s="7"/>
      <c r="H177" s="1309"/>
      <c r="I177" s="1313"/>
      <c r="M177" s="1313"/>
      <c r="N177" s="1314"/>
      <c r="O177" s="1313"/>
      <c r="P177" s="1315"/>
      <c r="Q177" s="1313"/>
      <c r="R177" s="1315"/>
    </row>
    <row r="178" ht="15.75" customHeight="1">
      <c r="B178" s="164"/>
      <c r="C178" s="478"/>
      <c r="D178" s="1309"/>
      <c r="E178" s="1309"/>
      <c r="F178" s="7"/>
      <c r="G178" s="7"/>
      <c r="H178" s="1309"/>
      <c r="I178" s="1313"/>
      <c r="M178" s="1313"/>
      <c r="N178" s="1314"/>
      <c r="O178" s="1313"/>
      <c r="P178" s="1315"/>
      <c r="Q178" s="1313"/>
      <c r="R178" s="1315"/>
    </row>
    <row r="179" ht="15.75" customHeight="1">
      <c r="B179" s="164"/>
      <c r="C179" s="478"/>
      <c r="D179" s="1309"/>
      <c r="E179" s="1309"/>
      <c r="F179" s="7"/>
      <c r="G179" s="7"/>
      <c r="H179" s="1309"/>
      <c r="I179" s="1313"/>
      <c r="M179" s="1313"/>
      <c r="N179" s="1314"/>
      <c r="O179" s="1313"/>
      <c r="P179" s="1315"/>
      <c r="Q179" s="1313"/>
      <c r="R179" s="1315"/>
    </row>
    <row r="180" ht="15.75" customHeight="1">
      <c r="B180" s="164"/>
      <c r="C180" s="478"/>
      <c r="D180" s="1309"/>
      <c r="E180" s="1309"/>
      <c r="F180" s="7"/>
      <c r="G180" s="7"/>
      <c r="H180" s="1309"/>
      <c r="I180" s="1313"/>
      <c r="M180" s="1313"/>
      <c r="N180" s="1314"/>
      <c r="O180" s="1313"/>
      <c r="P180" s="1315"/>
      <c r="Q180" s="1313"/>
      <c r="R180" s="1315"/>
    </row>
    <row r="181" ht="15.75" customHeight="1">
      <c r="B181" s="164"/>
      <c r="C181" s="478"/>
      <c r="D181" s="1309"/>
      <c r="E181" s="1309"/>
      <c r="F181" s="7"/>
      <c r="G181" s="7"/>
      <c r="H181" s="1309"/>
      <c r="I181" s="1313"/>
      <c r="M181" s="1313"/>
      <c r="N181" s="1314"/>
      <c r="O181" s="1313"/>
      <c r="P181" s="1315"/>
      <c r="Q181" s="1313"/>
      <c r="R181" s="1315"/>
    </row>
    <row r="182" ht="15.75" customHeight="1">
      <c r="B182" s="164"/>
      <c r="C182" s="478"/>
      <c r="D182" s="1309"/>
      <c r="E182" s="1309"/>
      <c r="F182" s="7"/>
      <c r="G182" s="7"/>
      <c r="H182" s="1309"/>
      <c r="I182" s="1313"/>
      <c r="M182" s="1313"/>
      <c r="N182" s="1314"/>
      <c r="O182" s="1313"/>
      <c r="P182" s="1315"/>
      <c r="Q182" s="1313"/>
      <c r="R182" s="1315"/>
    </row>
    <row r="183" ht="15.75" customHeight="1">
      <c r="B183" s="164"/>
      <c r="C183" s="478"/>
      <c r="D183" s="1309"/>
      <c r="E183" s="1309"/>
      <c r="F183" s="7"/>
      <c r="G183" s="7"/>
      <c r="H183" s="1309"/>
      <c r="I183" s="1313"/>
      <c r="M183" s="1313"/>
      <c r="N183" s="1314"/>
      <c r="O183" s="1313"/>
      <c r="P183" s="1315"/>
      <c r="Q183" s="1313"/>
      <c r="R183" s="1315"/>
    </row>
    <row r="184" ht="15.75" customHeight="1">
      <c r="B184" s="164"/>
      <c r="C184" s="478"/>
      <c r="D184" s="1309"/>
      <c r="E184" s="1309"/>
      <c r="F184" s="7"/>
      <c r="G184" s="7"/>
      <c r="H184" s="1309"/>
      <c r="I184" s="1313"/>
      <c r="M184" s="1313"/>
      <c r="N184" s="1314"/>
      <c r="O184" s="1313"/>
      <c r="P184" s="1315"/>
      <c r="Q184" s="1313"/>
      <c r="R184" s="1315"/>
    </row>
    <row r="185" ht="15.75" customHeight="1">
      <c r="B185" s="164"/>
      <c r="C185" s="478"/>
      <c r="D185" s="1309"/>
      <c r="E185" s="1309"/>
      <c r="F185" s="7"/>
      <c r="G185" s="7"/>
      <c r="H185" s="1309"/>
      <c r="I185" s="1313"/>
      <c r="M185" s="1313"/>
      <c r="N185" s="1314"/>
      <c r="O185" s="1313"/>
      <c r="P185" s="1315"/>
      <c r="Q185" s="1313"/>
      <c r="R185" s="1315"/>
    </row>
    <row r="186" ht="15.75" customHeight="1">
      <c r="B186" s="164"/>
      <c r="C186" s="478"/>
      <c r="D186" s="1309"/>
      <c r="E186" s="1309"/>
      <c r="F186" s="7"/>
      <c r="G186" s="7"/>
      <c r="H186" s="1309"/>
      <c r="I186" s="1313"/>
      <c r="M186" s="1313"/>
      <c r="N186" s="1314"/>
      <c r="O186" s="1313"/>
      <c r="P186" s="1315"/>
      <c r="Q186" s="1313"/>
      <c r="R186" s="1315"/>
    </row>
    <row r="187" ht="15.75" customHeight="1">
      <c r="B187" s="164"/>
      <c r="C187" s="478"/>
      <c r="D187" s="1309"/>
      <c r="E187" s="1309"/>
      <c r="F187" s="7"/>
      <c r="G187" s="7"/>
      <c r="H187" s="1309"/>
      <c r="I187" s="1313"/>
      <c r="M187" s="1313"/>
      <c r="N187" s="1314"/>
      <c r="O187" s="1313"/>
      <c r="P187" s="1315"/>
      <c r="Q187" s="1313"/>
      <c r="R187" s="1315"/>
    </row>
    <row r="188" ht="15.75" customHeight="1">
      <c r="B188" s="164"/>
      <c r="C188" s="478"/>
      <c r="D188" s="1309"/>
      <c r="E188" s="1309"/>
      <c r="F188" s="7"/>
      <c r="G188" s="7"/>
      <c r="H188" s="1309"/>
      <c r="I188" s="1313"/>
      <c r="M188" s="1313"/>
      <c r="N188" s="1314"/>
      <c r="O188" s="1313"/>
      <c r="P188" s="1315"/>
      <c r="Q188" s="1313"/>
      <c r="R188" s="1315"/>
    </row>
    <row r="189" ht="15.75" customHeight="1">
      <c r="B189" s="164"/>
      <c r="C189" s="478"/>
      <c r="D189" s="1309"/>
      <c r="E189" s="1309"/>
      <c r="F189" s="7"/>
      <c r="G189" s="7"/>
      <c r="H189" s="1309"/>
      <c r="I189" s="1313"/>
      <c r="M189" s="1313"/>
      <c r="N189" s="1314"/>
      <c r="O189" s="1313"/>
      <c r="P189" s="1315"/>
      <c r="Q189" s="1313"/>
      <c r="R189" s="1315"/>
    </row>
    <row r="190" ht="15.75" customHeight="1">
      <c r="B190" s="164"/>
      <c r="C190" s="478"/>
      <c r="D190" s="1309"/>
      <c r="E190" s="1309"/>
      <c r="F190" s="7"/>
      <c r="G190" s="7"/>
      <c r="H190" s="1309"/>
      <c r="I190" s="1313"/>
      <c r="M190" s="1313"/>
      <c r="N190" s="1314"/>
      <c r="O190" s="1313"/>
      <c r="P190" s="1315"/>
      <c r="Q190" s="1313"/>
      <c r="R190" s="1315"/>
    </row>
    <row r="191" ht="15.75" customHeight="1">
      <c r="B191" s="164"/>
      <c r="C191" s="478"/>
      <c r="D191" s="1309"/>
      <c r="E191" s="1309"/>
      <c r="F191" s="7"/>
      <c r="G191" s="7"/>
      <c r="H191" s="1309"/>
      <c r="I191" s="1313"/>
      <c r="M191" s="1313"/>
      <c r="N191" s="1314"/>
      <c r="O191" s="1313"/>
      <c r="P191" s="1315"/>
      <c r="Q191" s="1313"/>
      <c r="R191" s="1315"/>
    </row>
    <row r="192" ht="15.75" customHeight="1">
      <c r="B192" s="164"/>
      <c r="C192" s="478"/>
      <c r="D192" s="1309"/>
      <c r="E192" s="1309"/>
      <c r="F192" s="7"/>
      <c r="G192" s="7"/>
      <c r="H192" s="1309"/>
      <c r="I192" s="1313"/>
      <c r="M192" s="1313"/>
      <c r="N192" s="1314"/>
      <c r="O192" s="1313"/>
      <c r="P192" s="1315"/>
      <c r="Q192" s="1313"/>
      <c r="R192" s="1315"/>
    </row>
    <row r="193" ht="15.75" customHeight="1">
      <c r="B193" s="164"/>
      <c r="C193" s="478"/>
      <c r="D193" s="1309"/>
      <c r="E193" s="1309"/>
      <c r="F193" s="7"/>
      <c r="G193" s="7"/>
      <c r="H193" s="1309"/>
      <c r="I193" s="1313"/>
      <c r="M193" s="1313"/>
      <c r="N193" s="1314"/>
      <c r="O193" s="1313"/>
      <c r="P193" s="1315"/>
      <c r="Q193" s="1313"/>
      <c r="R193" s="1315"/>
    </row>
    <row r="194" ht="15.75" customHeight="1">
      <c r="B194" s="164"/>
      <c r="C194" s="478"/>
      <c r="D194" s="1309"/>
      <c r="E194" s="1309"/>
      <c r="F194" s="7"/>
      <c r="G194" s="7"/>
      <c r="H194" s="1309"/>
      <c r="I194" s="1313"/>
      <c r="M194" s="1313"/>
      <c r="N194" s="1314"/>
      <c r="O194" s="1313"/>
      <c r="P194" s="1315"/>
      <c r="Q194" s="1313"/>
      <c r="R194" s="1315"/>
    </row>
    <row r="195" ht="15.75" customHeight="1">
      <c r="B195" s="164"/>
      <c r="C195" s="478"/>
      <c r="D195" s="1309"/>
      <c r="E195" s="1309"/>
      <c r="F195" s="7"/>
      <c r="G195" s="7"/>
      <c r="H195" s="1309"/>
      <c r="I195" s="1313"/>
      <c r="M195" s="1313"/>
      <c r="N195" s="1314"/>
      <c r="O195" s="1313"/>
      <c r="P195" s="1315"/>
      <c r="Q195" s="1313"/>
      <c r="R195" s="1315"/>
    </row>
    <row r="196" ht="15.75" customHeight="1">
      <c r="B196" s="164"/>
      <c r="C196" s="478"/>
      <c r="D196" s="1309"/>
      <c r="E196" s="1309"/>
      <c r="F196" s="7"/>
      <c r="G196" s="7"/>
      <c r="H196" s="1309"/>
      <c r="I196" s="1313"/>
      <c r="M196" s="1313"/>
      <c r="N196" s="1314"/>
      <c r="O196" s="1313"/>
      <c r="P196" s="1315"/>
      <c r="Q196" s="1313"/>
      <c r="R196" s="1315"/>
    </row>
    <row r="197" ht="15.75" customHeight="1">
      <c r="B197" s="164"/>
      <c r="C197" s="478"/>
      <c r="D197" s="1309"/>
      <c r="E197" s="1309"/>
      <c r="F197" s="7"/>
      <c r="G197" s="7"/>
      <c r="H197" s="1309"/>
      <c r="I197" s="1313"/>
      <c r="M197" s="1313"/>
      <c r="N197" s="1314"/>
      <c r="O197" s="1313"/>
      <c r="P197" s="1315"/>
      <c r="Q197" s="1313"/>
      <c r="R197" s="1315"/>
    </row>
    <row r="198" ht="15.75" customHeight="1">
      <c r="B198" s="164"/>
      <c r="C198" s="478"/>
      <c r="D198" s="1309"/>
      <c r="E198" s="1309"/>
      <c r="F198" s="7"/>
      <c r="G198" s="7"/>
      <c r="H198" s="1309"/>
      <c r="I198" s="1313"/>
      <c r="M198" s="1313"/>
      <c r="N198" s="1314"/>
      <c r="O198" s="1313"/>
      <c r="P198" s="1315"/>
      <c r="Q198" s="1313"/>
      <c r="R198" s="1315"/>
    </row>
    <row r="199" ht="15.75" customHeight="1">
      <c r="B199" s="164"/>
      <c r="C199" s="478"/>
      <c r="D199" s="1309"/>
      <c r="E199" s="1309"/>
      <c r="F199" s="7"/>
      <c r="G199" s="7"/>
      <c r="H199" s="1309"/>
      <c r="I199" s="1313"/>
      <c r="M199" s="1313"/>
      <c r="N199" s="1314"/>
      <c r="O199" s="1313"/>
      <c r="P199" s="1315"/>
      <c r="Q199" s="1313"/>
      <c r="R199" s="1315"/>
    </row>
    <row r="200" ht="15.75" customHeight="1">
      <c r="B200" s="164"/>
      <c r="C200" s="478"/>
      <c r="D200" s="1309"/>
      <c r="E200" s="1309"/>
      <c r="F200" s="7"/>
      <c r="G200" s="7"/>
      <c r="H200" s="1309"/>
      <c r="I200" s="1313"/>
      <c r="M200" s="1313"/>
      <c r="N200" s="1314"/>
      <c r="O200" s="1313"/>
      <c r="P200" s="1315"/>
      <c r="Q200" s="1313"/>
      <c r="R200" s="1315"/>
    </row>
    <row r="201" ht="15.75" customHeight="1">
      <c r="B201" s="164"/>
      <c r="C201" s="478"/>
      <c r="D201" s="1309"/>
      <c r="E201" s="1309"/>
      <c r="F201" s="7"/>
      <c r="G201" s="7"/>
      <c r="H201" s="1309"/>
      <c r="I201" s="1313"/>
      <c r="M201" s="1313"/>
      <c r="N201" s="1314"/>
      <c r="O201" s="1313"/>
      <c r="P201" s="1315"/>
      <c r="Q201" s="1313"/>
      <c r="R201" s="1315"/>
    </row>
    <row r="202" ht="15.75" customHeight="1">
      <c r="B202" s="164"/>
      <c r="C202" s="478"/>
      <c r="D202" s="1309"/>
      <c r="E202" s="1309"/>
      <c r="F202" s="7"/>
      <c r="G202" s="7"/>
      <c r="H202" s="1309"/>
      <c r="I202" s="1313"/>
      <c r="M202" s="1313"/>
      <c r="N202" s="1314"/>
      <c r="O202" s="1313"/>
      <c r="P202" s="1315"/>
      <c r="Q202" s="1313"/>
      <c r="R202" s="1315"/>
    </row>
    <row r="203" ht="15.75" customHeight="1">
      <c r="B203" s="164"/>
      <c r="C203" s="478"/>
      <c r="D203" s="1309"/>
      <c r="E203" s="1309"/>
      <c r="F203" s="7"/>
      <c r="G203" s="7"/>
      <c r="H203" s="1309"/>
      <c r="I203" s="1313"/>
      <c r="M203" s="1313"/>
      <c r="N203" s="1314"/>
      <c r="O203" s="1313"/>
      <c r="P203" s="1315"/>
      <c r="Q203" s="1313"/>
      <c r="R203" s="1315"/>
    </row>
    <row r="204" ht="15.75" customHeight="1">
      <c r="B204" s="164"/>
      <c r="C204" s="478"/>
      <c r="D204" s="1309"/>
      <c r="E204" s="1309"/>
      <c r="F204" s="7"/>
      <c r="G204" s="7"/>
      <c r="H204" s="1309"/>
      <c r="I204" s="1313"/>
      <c r="M204" s="1313"/>
      <c r="N204" s="1314"/>
      <c r="O204" s="1313"/>
      <c r="P204" s="1315"/>
      <c r="Q204" s="1313"/>
      <c r="R204" s="1315"/>
    </row>
    <row r="205" ht="15.75" customHeight="1">
      <c r="B205" s="164"/>
      <c r="C205" s="478"/>
      <c r="D205" s="1309"/>
      <c r="E205" s="1309"/>
      <c r="F205" s="7"/>
      <c r="G205" s="7"/>
      <c r="H205" s="1309"/>
      <c r="I205" s="1313"/>
      <c r="M205" s="1313"/>
      <c r="N205" s="1314"/>
      <c r="O205" s="1313"/>
      <c r="P205" s="1315"/>
      <c r="Q205" s="1313"/>
      <c r="R205" s="1315"/>
    </row>
    <row r="206" ht="15.75" customHeight="1">
      <c r="B206" s="164"/>
      <c r="C206" s="478"/>
      <c r="D206" s="1309"/>
      <c r="E206" s="1309"/>
      <c r="F206" s="7"/>
      <c r="G206" s="7"/>
      <c r="H206" s="1309"/>
      <c r="I206" s="1313"/>
      <c r="M206" s="1313"/>
      <c r="N206" s="1314"/>
      <c r="O206" s="1313"/>
      <c r="P206" s="1315"/>
      <c r="Q206" s="1313"/>
      <c r="R206" s="1315"/>
    </row>
    <row r="207" ht="15.75" customHeight="1">
      <c r="B207" s="164"/>
      <c r="C207" s="478"/>
      <c r="D207" s="1309"/>
      <c r="E207" s="1309"/>
      <c r="F207" s="7"/>
      <c r="G207" s="7"/>
      <c r="H207" s="1309"/>
      <c r="I207" s="1313"/>
      <c r="M207" s="1313"/>
      <c r="N207" s="1314"/>
      <c r="O207" s="1313"/>
      <c r="P207" s="1315"/>
      <c r="Q207" s="1313"/>
      <c r="R207" s="1315"/>
    </row>
    <row r="208" ht="15.75" customHeight="1">
      <c r="B208" s="164"/>
      <c r="C208" s="478"/>
      <c r="D208" s="1309"/>
      <c r="E208" s="1309"/>
      <c r="F208" s="7"/>
      <c r="G208" s="7"/>
      <c r="H208" s="1309"/>
      <c r="I208" s="1313"/>
      <c r="M208" s="1313"/>
      <c r="N208" s="1314"/>
      <c r="O208" s="1313"/>
      <c r="P208" s="1315"/>
      <c r="Q208" s="1313"/>
      <c r="R208" s="1315"/>
    </row>
    <row r="209" ht="15.75" customHeight="1">
      <c r="B209" s="164"/>
      <c r="C209" s="478"/>
      <c r="D209" s="1309"/>
      <c r="E209" s="1309"/>
      <c r="F209" s="7"/>
      <c r="G209" s="7"/>
      <c r="H209" s="1309"/>
      <c r="I209" s="1313"/>
      <c r="M209" s="1313"/>
      <c r="N209" s="1314"/>
      <c r="O209" s="1313"/>
      <c r="P209" s="1315"/>
      <c r="Q209" s="1313"/>
      <c r="R209" s="1315"/>
    </row>
    <row r="210" ht="15.75" customHeight="1">
      <c r="B210" s="164"/>
      <c r="C210" s="478"/>
      <c r="D210" s="1309"/>
      <c r="E210" s="1309"/>
      <c r="F210" s="7"/>
      <c r="G210" s="7"/>
      <c r="H210" s="1309"/>
      <c r="I210" s="1313"/>
      <c r="M210" s="1313"/>
      <c r="N210" s="1314"/>
      <c r="O210" s="1313"/>
      <c r="P210" s="1315"/>
      <c r="Q210" s="1313"/>
      <c r="R210" s="1315"/>
    </row>
    <row r="211" ht="15.75" customHeight="1">
      <c r="B211" s="164"/>
      <c r="C211" s="478"/>
      <c r="D211" s="1309"/>
      <c r="E211" s="1309"/>
      <c r="F211" s="7"/>
      <c r="G211" s="7"/>
      <c r="H211" s="1309"/>
      <c r="I211" s="1313"/>
      <c r="M211" s="1313"/>
      <c r="N211" s="1314"/>
      <c r="O211" s="1313"/>
      <c r="P211" s="1315"/>
      <c r="Q211" s="1313"/>
      <c r="R211" s="1315"/>
    </row>
    <row r="212" ht="15.75" customHeight="1">
      <c r="B212" s="164"/>
      <c r="C212" s="478"/>
      <c r="D212" s="1309"/>
      <c r="E212" s="1309"/>
      <c r="F212" s="7"/>
      <c r="G212" s="7"/>
      <c r="H212" s="1309"/>
      <c r="I212" s="1313"/>
      <c r="M212" s="1313"/>
      <c r="N212" s="1314"/>
      <c r="O212" s="1313"/>
      <c r="P212" s="1315"/>
      <c r="Q212" s="1313"/>
      <c r="R212" s="1315"/>
    </row>
    <row r="213" ht="15.75" customHeight="1">
      <c r="B213" s="164"/>
      <c r="C213" s="478"/>
      <c r="D213" s="1309"/>
      <c r="E213" s="1309"/>
      <c r="F213" s="7"/>
      <c r="G213" s="7"/>
      <c r="H213" s="1309"/>
      <c r="I213" s="1313"/>
      <c r="M213" s="1313"/>
      <c r="N213" s="1314"/>
      <c r="O213" s="1313"/>
      <c r="P213" s="1315"/>
      <c r="Q213" s="1313"/>
      <c r="R213" s="1315"/>
    </row>
    <row r="214" ht="15.75" customHeight="1">
      <c r="B214" s="164"/>
      <c r="C214" s="478"/>
      <c r="D214" s="1309"/>
      <c r="E214" s="1309"/>
      <c r="F214" s="7"/>
      <c r="G214" s="7"/>
      <c r="H214" s="1309"/>
      <c r="I214" s="1313"/>
      <c r="M214" s="1313"/>
      <c r="N214" s="1314"/>
      <c r="O214" s="1313"/>
      <c r="P214" s="1315"/>
      <c r="Q214" s="1313"/>
      <c r="R214" s="1315"/>
    </row>
    <row r="215" ht="15.75" customHeight="1">
      <c r="B215" s="164"/>
      <c r="C215" s="478"/>
      <c r="D215" s="1309"/>
      <c r="E215" s="1309"/>
      <c r="F215" s="7"/>
      <c r="G215" s="7"/>
      <c r="H215" s="1309"/>
      <c r="I215" s="1313"/>
      <c r="M215" s="1313"/>
      <c r="N215" s="1314"/>
      <c r="O215" s="1313"/>
      <c r="P215" s="1315"/>
      <c r="Q215" s="1313"/>
      <c r="R215" s="1315"/>
    </row>
    <row r="216" ht="15.75" customHeight="1">
      <c r="B216" s="164"/>
      <c r="C216" s="478"/>
      <c r="D216" s="1309"/>
      <c r="E216" s="1309"/>
      <c r="F216" s="7"/>
      <c r="G216" s="7"/>
      <c r="H216" s="1309"/>
      <c r="I216" s="1313"/>
      <c r="M216" s="1313"/>
      <c r="N216" s="1314"/>
      <c r="O216" s="1313"/>
      <c r="P216" s="1315"/>
      <c r="Q216" s="1313"/>
      <c r="R216" s="1315"/>
    </row>
    <row r="217" ht="15.75" customHeight="1">
      <c r="B217" s="164"/>
      <c r="C217" s="478"/>
      <c r="D217" s="1309"/>
      <c r="E217" s="1309"/>
      <c r="F217" s="7"/>
      <c r="G217" s="7"/>
      <c r="H217" s="1309"/>
      <c r="I217" s="1313"/>
      <c r="M217" s="1313"/>
      <c r="N217" s="1314"/>
      <c r="O217" s="1313"/>
      <c r="P217" s="1315"/>
      <c r="Q217" s="1313"/>
      <c r="R217" s="1315"/>
    </row>
    <row r="218" ht="15.75" customHeight="1">
      <c r="B218" s="164"/>
      <c r="C218" s="478"/>
      <c r="D218" s="1309"/>
      <c r="E218" s="1309"/>
      <c r="F218" s="7"/>
      <c r="G218" s="7"/>
      <c r="H218" s="1309"/>
      <c r="I218" s="1313"/>
      <c r="M218" s="1313"/>
      <c r="N218" s="1314"/>
      <c r="O218" s="1313"/>
      <c r="P218" s="1315"/>
      <c r="Q218" s="1313"/>
      <c r="R218" s="1315"/>
    </row>
    <row r="219" ht="15.75" customHeight="1">
      <c r="B219" s="164"/>
      <c r="C219" s="478"/>
      <c r="D219" s="1309"/>
      <c r="E219" s="1309"/>
      <c r="F219" s="7"/>
      <c r="G219" s="7"/>
      <c r="H219" s="1309"/>
      <c r="I219" s="1313"/>
      <c r="M219" s="1313"/>
      <c r="N219" s="1314"/>
      <c r="O219" s="1313"/>
      <c r="P219" s="1315"/>
      <c r="Q219" s="1313"/>
      <c r="R219" s="1315"/>
    </row>
    <row r="220" ht="15.75" customHeight="1">
      <c r="B220" s="164"/>
      <c r="C220" s="478"/>
      <c r="D220" s="1309"/>
      <c r="E220" s="1309"/>
      <c r="F220" s="7"/>
      <c r="G220" s="7"/>
      <c r="H220" s="1309"/>
      <c r="I220" s="1313"/>
      <c r="M220" s="1313"/>
      <c r="N220" s="1314"/>
      <c r="O220" s="1313"/>
      <c r="P220" s="1315"/>
      <c r="Q220" s="1313"/>
      <c r="R220" s="1315"/>
    </row>
    <row r="221" ht="15.75" customHeight="1">
      <c r="B221" s="164"/>
      <c r="C221" s="478"/>
      <c r="D221" s="1309"/>
      <c r="E221" s="1309"/>
      <c r="F221" s="7"/>
      <c r="G221" s="7"/>
      <c r="H221" s="1309"/>
      <c r="I221" s="1313"/>
      <c r="M221" s="1313"/>
      <c r="N221" s="1314"/>
      <c r="O221" s="1313"/>
      <c r="P221" s="1315"/>
      <c r="Q221" s="1313"/>
      <c r="R221" s="1315"/>
    </row>
    <row r="222" ht="15.75" customHeight="1">
      <c r="B222" s="164"/>
      <c r="C222" s="478"/>
      <c r="D222" s="1309"/>
      <c r="E222" s="1309"/>
      <c r="F222" s="7"/>
      <c r="G222" s="7"/>
      <c r="H222" s="1309"/>
      <c r="I222" s="1313"/>
      <c r="M222" s="1313"/>
      <c r="N222" s="1314"/>
      <c r="O222" s="1313"/>
      <c r="P222" s="1315"/>
      <c r="Q222" s="1313"/>
      <c r="R222" s="1315"/>
    </row>
    <row r="223" ht="15.75" customHeight="1">
      <c r="B223" s="164"/>
      <c r="C223" s="478"/>
      <c r="D223" s="1309"/>
      <c r="E223" s="1309"/>
      <c r="F223" s="7"/>
      <c r="G223" s="7"/>
      <c r="H223" s="1309"/>
      <c r="I223" s="1313"/>
      <c r="M223" s="1313"/>
      <c r="N223" s="1314"/>
      <c r="O223" s="1313"/>
      <c r="P223" s="1315"/>
      <c r="Q223" s="1313"/>
      <c r="R223" s="1315"/>
    </row>
    <row r="224" ht="15.75" customHeight="1">
      <c r="B224" s="164"/>
      <c r="C224" s="478"/>
      <c r="D224" s="1309"/>
      <c r="E224" s="1309"/>
      <c r="F224" s="7"/>
      <c r="G224" s="7"/>
      <c r="H224" s="1309"/>
      <c r="I224" s="1313"/>
      <c r="M224" s="1313"/>
      <c r="N224" s="1314"/>
      <c r="O224" s="1313"/>
      <c r="P224" s="1315"/>
      <c r="Q224" s="1313"/>
      <c r="R224" s="1315"/>
    </row>
    <row r="225" ht="15.75" customHeight="1">
      <c r="B225" s="164"/>
      <c r="C225" s="478"/>
      <c r="D225" s="1309"/>
      <c r="E225" s="1309"/>
      <c r="F225" s="7"/>
      <c r="G225" s="7"/>
      <c r="H225" s="1309"/>
      <c r="I225" s="1313"/>
      <c r="M225" s="1313"/>
      <c r="N225" s="1314"/>
      <c r="O225" s="1313"/>
      <c r="P225" s="1315"/>
      <c r="Q225" s="1313"/>
      <c r="R225" s="1315"/>
    </row>
    <row r="226" ht="15.75" customHeight="1">
      <c r="B226" s="164"/>
      <c r="C226" s="478"/>
      <c r="D226" s="1309"/>
      <c r="E226" s="1309"/>
      <c r="F226" s="7"/>
      <c r="G226" s="7"/>
      <c r="H226" s="1309"/>
      <c r="I226" s="1313"/>
      <c r="M226" s="1313"/>
      <c r="N226" s="1314"/>
      <c r="O226" s="1313"/>
      <c r="P226" s="1315"/>
      <c r="Q226" s="1313"/>
      <c r="R226" s="1315"/>
    </row>
    <row r="227" ht="15.75" customHeight="1">
      <c r="B227" s="164"/>
      <c r="C227" s="478"/>
      <c r="D227" s="1309"/>
      <c r="E227" s="1309"/>
      <c r="F227" s="7"/>
      <c r="G227" s="7"/>
      <c r="H227" s="1309"/>
      <c r="I227" s="1313"/>
      <c r="M227" s="1313"/>
      <c r="N227" s="1314"/>
      <c r="O227" s="1313"/>
      <c r="P227" s="1315"/>
      <c r="Q227" s="1313"/>
      <c r="R227" s="1315"/>
    </row>
    <row r="228" ht="15.75" customHeight="1">
      <c r="B228" s="164"/>
      <c r="C228" s="478"/>
      <c r="D228" s="1309"/>
      <c r="E228" s="1309"/>
      <c r="F228" s="7"/>
      <c r="G228" s="7"/>
      <c r="H228" s="1309"/>
      <c r="I228" s="1313"/>
      <c r="M228" s="1313"/>
      <c r="N228" s="1314"/>
      <c r="O228" s="1313"/>
      <c r="P228" s="1315"/>
      <c r="Q228" s="1313"/>
      <c r="R228" s="1315"/>
    </row>
    <row r="229" ht="15.75" customHeight="1">
      <c r="B229" s="164"/>
      <c r="C229" s="478"/>
      <c r="D229" s="1309"/>
      <c r="E229" s="1309"/>
      <c r="F229" s="7"/>
      <c r="G229" s="7"/>
      <c r="H229" s="1309"/>
      <c r="I229" s="1313"/>
      <c r="M229" s="1313"/>
      <c r="N229" s="1314"/>
      <c r="O229" s="1313"/>
      <c r="P229" s="1315"/>
      <c r="Q229" s="1313"/>
      <c r="R229" s="1315"/>
    </row>
    <row r="230" ht="15.75" customHeight="1">
      <c r="B230" s="164"/>
      <c r="C230" s="478"/>
      <c r="D230" s="1309"/>
      <c r="E230" s="1309"/>
      <c r="F230" s="7"/>
      <c r="G230" s="7"/>
      <c r="H230" s="1309"/>
      <c r="I230" s="1313"/>
      <c r="M230" s="1313"/>
      <c r="N230" s="1314"/>
      <c r="O230" s="1313"/>
      <c r="P230" s="1315"/>
      <c r="Q230" s="1313"/>
      <c r="R230" s="1315"/>
    </row>
    <row r="231" ht="15.75" customHeight="1">
      <c r="B231" s="164"/>
      <c r="C231" s="478"/>
      <c r="D231" s="1309"/>
      <c r="E231" s="1309"/>
      <c r="F231" s="7"/>
      <c r="G231" s="7"/>
      <c r="H231" s="1309"/>
      <c r="I231" s="1313"/>
      <c r="M231" s="1313"/>
      <c r="N231" s="1314"/>
      <c r="O231" s="1313"/>
      <c r="P231" s="1315"/>
      <c r="Q231" s="1313"/>
      <c r="R231" s="1315"/>
    </row>
    <row r="232" ht="15.75" customHeight="1">
      <c r="B232" s="164"/>
      <c r="C232" s="478"/>
      <c r="D232" s="1309"/>
      <c r="E232" s="1309"/>
      <c r="F232" s="7"/>
      <c r="G232" s="7"/>
      <c r="H232" s="1309"/>
      <c r="I232" s="1313"/>
      <c r="M232" s="1313"/>
      <c r="N232" s="1314"/>
      <c r="O232" s="1313"/>
      <c r="P232" s="1315"/>
      <c r="Q232" s="1313"/>
      <c r="R232" s="1315"/>
    </row>
    <row r="233" ht="15.75" customHeight="1">
      <c r="B233" s="164"/>
      <c r="C233" s="478"/>
      <c r="D233" s="1309"/>
      <c r="E233" s="1309"/>
      <c r="F233" s="7"/>
      <c r="G233" s="7"/>
      <c r="H233" s="1309"/>
      <c r="I233" s="1313"/>
      <c r="M233" s="1313"/>
      <c r="N233" s="1314"/>
      <c r="O233" s="1313"/>
      <c r="P233" s="1315"/>
      <c r="Q233" s="1313"/>
      <c r="R233" s="1315"/>
    </row>
    <row r="234" ht="15.75" customHeight="1">
      <c r="B234" s="164"/>
      <c r="C234" s="478"/>
      <c r="D234" s="1309"/>
      <c r="E234" s="1309"/>
      <c r="F234" s="7"/>
      <c r="G234" s="7"/>
      <c r="H234" s="1309"/>
      <c r="I234" s="1313"/>
      <c r="M234" s="1313"/>
      <c r="N234" s="1314"/>
      <c r="O234" s="1313"/>
      <c r="P234" s="1315"/>
      <c r="Q234" s="1313"/>
      <c r="R234" s="1315"/>
    </row>
    <row r="235" ht="15.75" customHeight="1">
      <c r="B235" s="164"/>
      <c r="C235" s="478"/>
      <c r="D235" s="1309"/>
      <c r="E235" s="1309"/>
      <c r="F235" s="7"/>
      <c r="G235" s="7"/>
      <c r="H235" s="1309"/>
      <c r="I235" s="1313"/>
      <c r="M235" s="1313"/>
      <c r="N235" s="1314"/>
      <c r="O235" s="1313"/>
      <c r="P235" s="1315"/>
      <c r="Q235" s="1313"/>
      <c r="R235" s="1315"/>
    </row>
    <row r="236" ht="15.75" customHeight="1">
      <c r="B236" s="164"/>
      <c r="C236" s="478"/>
      <c r="D236" s="1309"/>
      <c r="E236" s="1309"/>
      <c r="F236" s="7"/>
      <c r="G236" s="7"/>
      <c r="H236" s="1309"/>
      <c r="I236" s="1313"/>
      <c r="M236" s="1313"/>
      <c r="N236" s="1314"/>
      <c r="O236" s="1313"/>
      <c r="P236" s="1315"/>
      <c r="Q236" s="1313"/>
      <c r="R236" s="1315"/>
    </row>
    <row r="237" ht="15.75" customHeight="1">
      <c r="B237" s="164"/>
      <c r="C237" s="478"/>
      <c r="D237" s="1309"/>
      <c r="E237" s="1309"/>
      <c r="F237" s="7"/>
      <c r="G237" s="7"/>
      <c r="H237" s="1309"/>
      <c r="I237" s="1313"/>
      <c r="M237" s="1313"/>
      <c r="N237" s="1314"/>
      <c r="O237" s="1313"/>
      <c r="P237" s="1315"/>
      <c r="Q237" s="1313"/>
      <c r="R237" s="1315"/>
    </row>
    <row r="238" ht="15.75" customHeight="1">
      <c r="B238" s="164"/>
      <c r="C238" s="478"/>
      <c r="D238" s="1309"/>
      <c r="E238" s="1309"/>
      <c r="F238" s="7"/>
      <c r="G238" s="7"/>
      <c r="H238" s="1309"/>
      <c r="I238" s="1313"/>
      <c r="M238" s="1313"/>
      <c r="N238" s="1314"/>
      <c r="O238" s="1313"/>
      <c r="P238" s="1315"/>
      <c r="Q238" s="1313"/>
      <c r="R238" s="1315"/>
    </row>
    <row r="239" ht="15.75" customHeight="1">
      <c r="B239" s="164"/>
      <c r="C239" s="478"/>
      <c r="D239" s="1309"/>
      <c r="E239" s="1309"/>
      <c r="F239" s="7"/>
      <c r="G239" s="7"/>
      <c r="H239" s="1309"/>
      <c r="I239" s="1313"/>
      <c r="M239" s="1313"/>
      <c r="N239" s="1314"/>
      <c r="O239" s="1313"/>
      <c r="P239" s="1315"/>
      <c r="Q239" s="1313"/>
      <c r="R239" s="1315"/>
    </row>
    <row r="240" ht="15.75" customHeight="1">
      <c r="B240" s="164"/>
      <c r="C240" s="478"/>
      <c r="D240" s="1309"/>
      <c r="E240" s="1309"/>
      <c r="F240" s="7"/>
      <c r="G240" s="7"/>
      <c r="H240" s="1309"/>
      <c r="I240" s="1313"/>
      <c r="M240" s="1313"/>
      <c r="N240" s="1314"/>
      <c r="O240" s="1313"/>
      <c r="P240" s="1315"/>
      <c r="Q240" s="1313"/>
      <c r="R240" s="1315"/>
    </row>
    <row r="241" ht="15.75" customHeight="1">
      <c r="B241" s="164"/>
      <c r="C241" s="478"/>
      <c r="D241" s="1309"/>
      <c r="E241" s="1309"/>
      <c r="F241" s="7"/>
      <c r="G241" s="7"/>
      <c r="H241" s="1309"/>
      <c r="I241" s="1313"/>
      <c r="M241" s="1313"/>
      <c r="N241" s="1314"/>
      <c r="O241" s="1313"/>
      <c r="P241" s="1315"/>
      <c r="Q241" s="1313"/>
      <c r="R241" s="1315"/>
    </row>
    <row r="242" ht="15.75" customHeight="1">
      <c r="B242" s="164"/>
      <c r="C242" s="478"/>
      <c r="D242" s="1309"/>
      <c r="E242" s="1309"/>
      <c r="F242" s="7"/>
      <c r="G242" s="7"/>
      <c r="H242" s="1309"/>
      <c r="I242" s="1313"/>
      <c r="M242" s="1313"/>
      <c r="N242" s="1314"/>
      <c r="O242" s="1313"/>
      <c r="P242" s="1315"/>
      <c r="Q242" s="1313"/>
      <c r="R242" s="1315"/>
    </row>
    <row r="243" ht="15.75" customHeight="1">
      <c r="B243" s="164"/>
      <c r="C243" s="478"/>
      <c r="D243" s="1309"/>
      <c r="E243" s="1309"/>
      <c r="F243" s="7"/>
      <c r="G243" s="7"/>
      <c r="H243" s="1309"/>
      <c r="I243" s="1313"/>
      <c r="M243" s="1313"/>
      <c r="N243" s="1314"/>
      <c r="O243" s="1313"/>
      <c r="P243" s="1315"/>
      <c r="Q243" s="1313"/>
      <c r="R243" s="1315"/>
    </row>
    <row r="244" ht="15.75" customHeight="1">
      <c r="B244" s="164"/>
      <c r="C244" s="478"/>
      <c r="D244" s="1309"/>
      <c r="E244" s="1309"/>
      <c r="F244" s="7"/>
      <c r="G244" s="7"/>
      <c r="H244" s="1309"/>
      <c r="I244" s="1313"/>
      <c r="M244" s="1313"/>
      <c r="N244" s="1314"/>
      <c r="O244" s="1313"/>
      <c r="P244" s="1315"/>
      <c r="Q244" s="1313"/>
      <c r="R244" s="1315"/>
    </row>
    <row r="245" ht="15.75" customHeight="1">
      <c r="B245" s="164"/>
      <c r="C245" s="478"/>
      <c r="D245" s="1309"/>
      <c r="E245" s="1309"/>
      <c r="F245" s="7"/>
      <c r="G245" s="7"/>
      <c r="H245" s="1309"/>
      <c r="I245" s="1313"/>
      <c r="M245" s="1313"/>
      <c r="N245" s="1314"/>
      <c r="O245" s="1313"/>
      <c r="P245" s="1315"/>
      <c r="Q245" s="1313"/>
      <c r="R245" s="1315"/>
    </row>
    <row r="246" ht="15.75" customHeight="1">
      <c r="B246" s="164"/>
      <c r="C246" s="478"/>
      <c r="D246" s="1309"/>
      <c r="E246" s="1309"/>
      <c r="F246" s="7"/>
      <c r="G246" s="7"/>
      <c r="H246" s="1309"/>
      <c r="I246" s="1313"/>
      <c r="M246" s="1313"/>
      <c r="N246" s="1314"/>
      <c r="O246" s="1313"/>
      <c r="P246" s="1315"/>
      <c r="Q246" s="1313"/>
      <c r="R246" s="1315"/>
    </row>
    <row r="247" ht="15.75" customHeight="1">
      <c r="B247" s="164"/>
      <c r="C247" s="478"/>
      <c r="D247" s="1309"/>
      <c r="E247" s="1309"/>
      <c r="F247" s="7"/>
      <c r="G247" s="7"/>
      <c r="H247" s="1309"/>
      <c r="I247" s="1313"/>
      <c r="M247" s="1313"/>
      <c r="N247" s="1314"/>
      <c r="O247" s="1313"/>
      <c r="P247" s="1315"/>
      <c r="Q247" s="1313"/>
      <c r="R247" s="1315"/>
    </row>
    <row r="248" ht="15.75" customHeight="1">
      <c r="B248" s="164"/>
      <c r="C248" s="478"/>
      <c r="D248" s="1309"/>
      <c r="E248" s="1309"/>
      <c r="F248" s="7"/>
      <c r="G248" s="7"/>
      <c r="H248" s="1309"/>
      <c r="I248" s="1313"/>
      <c r="M248" s="1313"/>
      <c r="N248" s="1314"/>
      <c r="O248" s="1313"/>
      <c r="P248" s="1315"/>
      <c r="Q248" s="1313"/>
      <c r="R248" s="1315"/>
    </row>
    <row r="249" ht="15.75" customHeight="1">
      <c r="B249" s="164"/>
      <c r="C249" s="478"/>
      <c r="D249" s="1309"/>
      <c r="E249" s="1309"/>
      <c r="F249" s="7"/>
      <c r="G249" s="7"/>
      <c r="H249" s="1309"/>
      <c r="I249" s="1313"/>
      <c r="M249" s="1313"/>
      <c r="N249" s="1314"/>
      <c r="O249" s="1313"/>
      <c r="P249" s="1315"/>
      <c r="Q249" s="1313"/>
      <c r="R249" s="1315"/>
    </row>
    <row r="250" ht="15.75" customHeight="1">
      <c r="B250" s="164"/>
      <c r="C250" s="478"/>
      <c r="D250" s="1309"/>
      <c r="E250" s="1309"/>
      <c r="F250" s="7"/>
      <c r="G250" s="7"/>
      <c r="H250" s="1309"/>
      <c r="I250" s="1313"/>
      <c r="M250" s="1313"/>
      <c r="N250" s="1314"/>
      <c r="O250" s="1313"/>
      <c r="P250" s="1315"/>
      <c r="Q250" s="1313"/>
      <c r="R250" s="1315"/>
    </row>
    <row r="251" ht="15.75" customHeight="1">
      <c r="B251" s="164"/>
      <c r="C251" s="478"/>
      <c r="D251" s="1309"/>
      <c r="E251" s="1309"/>
      <c r="F251" s="7"/>
      <c r="G251" s="7"/>
      <c r="H251" s="1309"/>
      <c r="I251" s="1313"/>
      <c r="M251" s="1313"/>
      <c r="N251" s="1314"/>
      <c r="O251" s="1313"/>
      <c r="P251" s="1315"/>
      <c r="Q251" s="1313"/>
      <c r="R251" s="1315"/>
    </row>
    <row r="252" ht="15.75" customHeight="1">
      <c r="B252" s="164"/>
      <c r="C252" s="478"/>
      <c r="D252" s="1309"/>
      <c r="E252" s="1309"/>
      <c r="F252" s="7"/>
      <c r="G252" s="7"/>
      <c r="H252" s="1309"/>
      <c r="I252" s="1313"/>
      <c r="M252" s="1313"/>
      <c r="N252" s="1314"/>
      <c r="O252" s="1313"/>
      <c r="P252" s="1315"/>
      <c r="Q252" s="1313"/>
      <c r="R252" s="1315"/>
    </row>
    <row r="253" ht="15.75" customHeight="1">
      <c r="B253" s="164"/>
      <c r="C253" s="478"/>
      <c r="D253" s="1309"/>
      <c r="E253" s="1309"/>
      <c r="F253" s="7"/>
      <c r="G253" s="7"/>
      <c r="H253" s="1309"/>
      <c r="I253" s="1313"/>
      <c r="M253" s="1313"/>
      <c r="N253" s="1314"/>
      <c r="O253" s="1313"/>
      <c r="P253" s="1315"/>
      <c r="Q253" s="1313"/>
      <c r="R253" s="1315"/>
    </row>
    <row r="254" ht="15.75" customHeight="1">
      <c r="B254" s="164"/>
      <c r="C254" s="478"/>
      <c r="D254" s="1309"/>
      <c r="E254" s="1309"/>
      <c r="F254" s="7"/>
      <c r="G254" s="7"/>
      <c r="H254" s="1309"/>
      <c r="I254" s="1313"/>
      <c r="M254" s="1313"/>
      <c r="N254" s="1314"/>
      <c r="O254" s="1313"/>
      <c r="P254" s="1315"/>
      <c r="Q254" s="1313"/>
      <c r="R254" s="1315"/>
    </row>
    <row r="255" ht="15.75" customHeight="1">
      <c r="B255" s="164"/>
      <c r="C255" s="478"/>
      <c r="D255" s="1309"/>
      <c r="E255" s="1309"/>
      <c r="F255" s="7"/>
      <c r="G255" s="7"/>
      <c r="H255" s="1309"/>
      <c r="I255" s="1313"/>
      <c r="M255" s="1313"/>
      <c r="N255" s="1314"/>
      <c r="O255" s="1313"/>
      <c r="P255" s="1315"/>
      <c r="Q255" s="1313"/>
      <c r="R255" s="1315"/>
    </row>
    <row r="256" ht="15.75" customHeight="1">
      <c r="B256" s="164"/>
      <c r="C256" s="478"/>
      <c r="D256" s="1309"/>
      <c r="E256" s="1309"/>
      <c r="F256" s="7"/>
      <c r="G256" s="7"/>
      <c r="H256" s="1309"/>
      <c r="I256" s="1313"/>
      <c r="M256" s="1313"/>
      <c r="N256" s="1314"/>
      <c r="O256" s="1313"/>
      <c r="P256" s="1315"/>
      <c r="Q256" s="1313"/>
      <c r="R256" s="1315"/>
    </row>
    <row r="257" ht="15.75" customHeight="1">
      <c r="B257" s="164"/>
      <c r="C257" s="478"/>
      <c r="D257" s="1309"/>
      <c r="E257" s="1309"/>
      <c r="F257" s="7"/>
      <c r="G257" s="7"/>
      <c r="H257" s="1309"/>
      <c r="I257" s="1313"/>
      <c r="M257" s="1313"/>
      <c r="N257" s="1314"/>
      <c r="O257" s="1313"/>
      <c r="P257" s="1315"/>
      <c r="Q257" s="1313"/>
      <c r="R257" s="1315"/>
    </row>
    <row r="258" ht="15.75" customHeight="1">
      <c r="B258" s="164"/>
      <c r="C258" s="478"/>
      <c r="D258" s="1309"/>
      <c r="E258" s="1309"/>
      <c r="F258" s="7"/>
      <c r="G258" s="7"/>
      <c r="H258" s="1309"/>
      <c r="I258" s="1313"/>
      <c r="M258" s="1313"/>
      <c r="N258" s="1314"/>
      <c r="O258" s="1313"/>
      <c r="P258" s="1315"/>
      <c r="Q258" s="1313"/>
      <c r="R258" s="1315"/>
    </row>
    <row r="259" ht="15.75" customHeight="1">
      <c r="B259" s="164"/>
      <c r="C259" s="478"/>
      <c r="D259" s="1309"/>
      <c r="E259" s="1309"/>
      <c r="F259" s="7"/>
      <c r="G259" s="7"/>
      <c r="H259" s="1309"/>
      <c r="I259" s="1313"/>
      <c r="M259" s="1313"/>
      <c r="N259" s="1314"/>
      <c r="O259" s="1313"/>
      <c r="P259" s="1315"/>
      <c r="Q259" s="1313"/>
      <c r="R259" s="1315"/>
    </row>
    <row r="260" ht="15.75" customHeight="1">
      <c r="B260" s="164"/>
      <c r="C260" s="478"/>
      <c r="D260" s="1309"/>
      <c r="E260" s="1309"/>
      <c r="F260" s="7"/>
      <c r="G260" s="7"/>
      <c r="H260" s="1309"/>
      <c r="I260" s="1313"/>
      <c r="M260" s="1313"/>
      <c r="N260" s="1314"/>
      <c r="O260" s="1313"/>
      <c r="P260" s="1315"/>
      <c r="Q260" s="1313"/>
      <c r="R260" s="1315"/>
    </row>
    <row r="261" ht="15.75" customHeight="1">
      <c r="B261" s="164"/>
      <c r="C261" s="478"/>
      <c r="D261" s="1309"/>
      <c r="E261" s="1309"/>
      <c r="F261" s="7"/>
      <c r="G261" s="7"/>
      <c r="H261" s="1309"/>
      <c r="I261" s="1313"/>
      <c r="M261" s="1313"/>
      <c r="N261" s="1314"/>
      <c r="O261" s="1313"/>
      <c r="P261" s="1315"/>
      <c r="Q261" s="1313"/>
      <c r="R261" s="1315"/>
    </row>
    <row r="262" ht="15.75" customHeight="1">
      <c r="B262" s="164"/>
      <c r="C262" s="478"/>
      <c r="D262" s="1309"/>
      <c r="E262" s="1309"/>
      <c r="F262" s="7"/>
      <c r="G262" s="7"/>
      <c r="H262" s="1309"/>
      <c r="I262" s="1313"/>
      <c r="M262" s="1313"/>
      <c r="N262" s="1314"/>
      <c r="O262" s="1313"/>
      <c r="P262" s="1315"/>
      <c r="Q262" s="1313"/>
      <c r="R262" s="1315"/>
    </row>
    <row r="263" ht="15.75" customHeight="1">
      <c r="B263" s="164"/>
      <c r="C263" s="478"/>
      <c r="D263" s="1309"/>
      <c r="E263" s="1309"/>
      <c r="F263" s="7"/>
      <c r="G263" s="7"/>
      <c r="H263" s="1309"/>
      <c r="I263" s="1313"/>
      <c r="M263" s="1313"/>
      <c r="N263" s="1314"/>
      <c r="O263" s="1313"/>
      <c r="P263" s="1315"/>
      <c r="Q263" s="1313"/>
      <c r="R263" s="1315"/>
    </row>
    <row r="264" ht="15.75" customHeight="1">
      <c r="B264" s="164"/>
      <c r="C264" s="478"/>
      <c r="D264" s="1309"/>
      <c r="E264" s="1309"/>
      <c r="F264" s="7"/>
      <c r="G264" s="7"/>
      <c r="H264" s="1309"/>
      <c r="I264" s="1313"/>
      <c r="M264" s="1313"/>
      <c r="N264" s="1314"/>
      <c r="O264" s="1313"/>
      <c r="P264" s="1315"/>
      <c r="Q264" s="1313"/>
      <c r="R264" s="1315"/>
    </row>
    <row r="265" ht="15.75" customHeight="1">
      <c r="B265" s="164"/>
      <c r="C265" s="478"/>
      <c r="D265" s="1309"/>
      <c r="E265" s="1309"/>
      <c r="F265" s="7"/>
      <c r="G265" s="7"/>
      <c r="H265" s="1309"/>
      <c r="I265" s="1313"/>
      <c r="M265" s="1313"/>
      <c r="N265" s="1314"/>
      <c r="O265" s="1313"/>
      <c r="P265" s="1315"/>
      <c r="Q265" s="1313"/>
      <c r="R265" s="1315"/>
    </row>
    <row r="266" ht="15.75" customHeight="1">
      <c r="B266" s="164"/>
      <c r="C266" s="478"/>
      <c r="D266" s="1309"/>
      <c r="E266" s="1309"/>
      <c r="F266" s="7"/>
      <c r="G266" s="7"/>
      <c r="H266" s="1309"/>
      <c r="I266" s="1313"/>
      <c r="M266" s="1313"/>
      <c r="N266" s="1314"/>
      <c r="O266" s="1313"/>
      <c r="P266" s="1315"/>
      <c r="Q266" s="1313"/>
      <c r="R266" s="1315"/>
    </row>
    <row r="267" ht="15.75" customHeight="1">
      <c r="B267" s="164"/>
      <c r="C267" s="478"/>
      <c r="D267" s="1309"/>
      <c r="E267" s="1309"/>
      <c r="F267" s="7"/>
      <c r="G267" s="7"/>
      <c r="H267" s="1309"/>
      <c r="I267" s="1313"/>
      <c r="M267" s="1313"/>
      <c r="N267" s="1314"/>
      <c r="O267" s="1313"/>
      <c r="P267" s="1315"/>
      <c r="Q267" s="1313"/>
      <c r="R267" s="1315"/>
    </row>
    <row r="268" ht="15.75" customHeight="1">
      <c r="B268" s="164"/>
      <c r="C268" s="478"/>
      <c r="D268" s="1309"/>
      <c r="E268" s="1309"/>
      <c r="F268" s="7"/>
      <c r="G268" s="7"/>
      <c r="H268" s="1309"/>
      <c r="I268" s="1313"/>
      <c r="M268" s="1313"/>
      <c r="N268" s="1314"/>
      <c r="O268" s="1313"/>
      <c r="P268" s="1315"/>
      <c r="Q268" s="1313"/>
      <c r="R268" s="1315"/>
    </row>
    <row r="269" ht="15.75" customHeight="1">
      <c r="B269" s="164"/>
      <c r="C269" s="478"/>
      <c r="D269" s="1309"/>
      <c r="E269" s="1309"/>
      <c r="F269" s="7"/>
      <c r="G269" s="7"/>
      <c r="H269" s="1309"/>
      <c r="I269" s="1313"/>
      <c r="M269" s="1313"/>
      <c r="N269" s="1314"/>
      <c r="O269" s="1313"/>
      <c r="P269" s="1315"/>
      <c r="Q269" s="1313"/>
      <c r="R269" s="1315"/>
    </row>
    <row r="270" ht="15.75" customHeight="1">
      <c r="B270" s="164"/>
      <c r="C270" s="478"/>
      <c r="D270" s="1309"/>
      <c r="E270" s="1309"/>
      <c r="F270" s="7"/>
      <c r="G270" s="7"/>
      <c r="H270" s="1309"/>
      <c r="I270" s="1313"/>
      <c r="M270" s="1313"/>
      <c r="N270" s="1314"/>
      <c r="O270" s="1313"/>
      <c r="P270" s="1315"/>
      <c r="Q270" s="1313"/>
      <c r="R270" s="1315"/>
    </row>
    <row r="271" ht="15.75" customHeight="1">
      <c r="B271" s="164"/>
      <c r="C271" s="478"/>
      <c r="D271" s="1309"/>
      <c r="E271" s="1309"/>
      <c r="F271" s="7"/>
      <c r="G271" s="7"/>
      <c r="H271" s="1309"/>
      <c r="I271" s="1313"/>
      <c r="M271" s="1313"/>
      <c r="N271" s="1314"/>
      <c r="O271" s="1313"/>
      <c r="P271" s="1315"/>
      <c r="Q271" s="1313"/>
      <c r="R271" s="1315"/>
    </row>
    <row r="272" ht="15.75" customHeight="1">
      <c r="B272" s="164"/>
      <c r="C272" s="478"/>
      <c r="D272" s="1309"/>
      <c r="E272" s="1309"/>
      <c r="F272" s="7"/>
      <c r="G272" s="7"/>
      <c r="H272" s="1309"/>
      <c r="I272" s="1313"/>
      <c r="M272" s="1313"/>
      <c r="N272" s="1314"/>
      <c r="O272" s="1313"/>
      <c r="P272" s="1315"/>
      <c r="Q272" s="1313"/>
      <c r="R272" s="1315"/>
    </row>
    <row r="273" ht="15.75" customHeight="1">
      <c r="B273" s="164"/>
      <c r="C273" s="478"/>
      <c r="D273" s="1309"/>
      <c r="E273" s="1309"/>
      <c r="F273" s="7"/>
      <c r="G273" s="7"/>
      <c r="H273" s="1309"/>
      <c r="I273" s="1313"/>
      <c r="M273" s="1313"/>
      <c r="N273" s="1314"/>
      <c r="O273" s="1313"/>
      <c r="P273" s="1315"/>
      <c r="Q273" s="1313"/>
      <c r="R273" s="1315"/>
    </row>
    <row r="274" ht="15.75" customHeight="1">
      <c r="B274" s="164"/>
      <c r="C274" s="478"/>
      <c r="D274" s="1309"/>
      <c r="E274" s="1309"/>
      <c r="F274" s="7"/>
      <c r="G274" s="7"/>
      <c r="H274" s="1309"/>
      <c r="I274" s="1313"/>
      <c r="M274" s="1313"/>
      <c r="N274" s="1314"/>
      <c r="O274" s="1313"/>
      <c r="P274" s="1315"/>
      <c r="Q274" s="1313"/>
      <c r="R274" s="1315"/>
    </row>
    <row r="275" ht="15.75" customHeight="1">
      <c r="B275" s="164"/>
      <c r="C275" s="478"/>
      <c r="D275" s="1309"/>
      <c r="E275" s="1309"/>
      <c r="F275" s="7"/>
      <c r="G275" s="7"/>
      <c r="H275" s="1309"/>
      <c r="I275" s="1313"/>
      <c r="M275" s="1313"/>
      <c r="N275" s="1314"/>
      <c r="O275" s="1313"/>
      <c r="P275" s="1315"/>
      <c r="Q275" s="1313"/>
      <c r="R275" s="1315"/>
    </row>
    <row r="276" ht="15.75" customHeight="1">
      <c r="B276" s="164"/>
      <c r="C276" s="478"/>
      <c r="D276" s="1309"/>
      <c r="E276" s="1309"/>
      <c r="F276" s="7"/>
      <c r="G276" s="7"/>
      <c r="H276" s="1309"/>
      <c r="I276" s="1313"/>
      <c r="M276" s="1313"/>
      <c r="N276" s="1314"/>
      <c r="O276" s="1313"/>
      <c r="P276" s="1315"/>
      <c r="Q276" s="1313"/>
      <c r="R276" s="1315"/>
    </row>
    <row r="277" ht="15.75" customHeight="1">
      <c r="B277" s="164"/>
      <c r="C277" s="478"/>
      <c r="D277" s="1309"/>
      <c r="E277" s="1309"/>
      <c r="F277" s="7"/>
      <c r="G277" s="7"/>
      <c r="H277" s="1309"/>
      <c r="I277" s="1313"/>
      <c r="M277" s="1313"/>
      <c r="N277" s="1314"/>
      <c r="O277" s="1313"/>
      <c r="P277" s="1315"/>
      <c r="Q277" s="1313"/>
      <c r="R277" s="1315"/>
    </row>
    <row r="278" ht="15.75" customHeight="1">
      <c r="B278" s="164"/>
      <c r="C278" s="478"/>
      <c r="D278" s="1309"/>
      <c r="E278" s="1309"/>
      <c r="F278" s="7"/>
      <c r="G278" s="7"/>
      <c r="H278" s="1309"/>
      <c r="I278" s="1313"/>
      <c r="M278" s="1313"/>
      <c r="N278" s="1314"/>
      <c r="O278" s="1313"/>
      <c r="P278" s="1315"/>
      <c r="Q278" s="1313"/>
      <c r="R278" s="1315"/>
    </row>
    <row r="279" ht="15.75" customHeight="1">
      <c r="B279" s="164"/>
      <c r="C279" s="478"/>
      <c r="D279" s="1309"/>
      <c r="E279" s="1309"/>
      <c r="F279" s="7"/>
      <c r="G279" s="7"/>
      <c r="H279" s="1309"/>
      <c r="I279" s="1313"/>
      <c r="M279" s="1313"/>
      <c r="N279" s="1314"/>
      <c r="O279" s="1313"/>
      <c r="P279" s="1315"/>
      <c r="Q279" s="1313"/>
      <c r="R279" s="1315"/>
    </row>
    <row r="280" ht="15.75" customHeight="1">
      <c r="B280" s="164"/>
      <c r="C280" s="478"/>
      <c r="D280" s="1309"/>
      <c r="E280" s="1309"/>
      <c r="F280" s="7"/>
      <c r="G280" s="7"/>
      <c r="H280" s="1309"/>
      <c r="I280" s="1313"/>
      <c r="M280" s="1313"/>
      <c r="N280" s="1314"/>
      <c r="O280" s="1313"/>
      <c r="P280" s="1315"/>
      <c r="Q280" s="1313"/>
      <c r="R280" s="1315"/>
    </row>
    <row r="281" ht="15.75" customHeight="1">
      <c r="B281" s="164"/>
      <c r="C281" s="478"/>
      <c r="D281" s="1309"/>
      <c r="E281" s="1309"/>
      <c r="F281" s="7"/>
      <c r="G281" s="7"/>
      <c r="H281" s="1309"/>
      <c r="I281" s="1313"/>
      <c r="M281" s="1313"/>
      <c r="N281" s="1314"/>
      <c r="O281" s="1313"/>
      <c r="P281" s="1315"/>
      <c r="Q281" s="1313"/>
      <c r="R281" s="1315"/>
    </row>
    <row r="282" ht="15.75" customHeight="1">
      <c r="B282" s="164"/>
      <c r="C282" s="478"/>
      <c r="D282" s="1309"/>
      <c r="E282" s="1309"/>
      <c r="F282" s="7"/>
      <c r="G282" s="7"/>
      <c r="H282" s="1309"/>
      <c r="I282" s="1313"/>
      <c r="M282" s="1313"/>
      <c r="N282" s="1314"/>
      <c r="O282" s="1313"/>
      <c r="P282" s="1315"/>
      <c r="Q282" s="1313"/>
      <c r="R282" s="1315"/>
    </row>
    <row r="283" ht="15.75" customHeight="1">
      <c r="B283" s="164"/>
      <c r="C283" s="478"/>
      <c r="D283" s="1309"/>
      <c r="E283" s="1309"/>
      <c r="F283" s="7"/>
      <c r="G283" s="7"/>
      <c r="H283" s="1309"/>
      <c r="I283" s="1313"/>
      <c r="M283" s="1313"/>
      <c r="N283" s="1314"/>
      <c r="O283" s="1313"/>
      <c r="P283" s="1315"/>
      <c r="Q283" s="1313"/>
      <c r="R283" s="1315"/>
    </row>
    <row r="284" ht="15.75" customHeight="1">
      <c r="B284" s="164"/>
      <c r="C284" s="478"/>
      <c r="D284" s="1309"/>
      <c r="E284" s="1309"/>
      <c r="F284" s="7"/>
      <c r="G284" s="7"/>
      <c r="H284" s="1309"/>
      <c r="I284" s="1313"/>
      <c r="M284" s="1313"/>
      <c r="N284" s="1314"/>
      <c r="O284" s="1313"/>
      <c r="P284" s="1315"/>
      <c r="Q284" s="1313"/>
      <c r="R284" s="1315"/>
    </row>
    <row r="285" ht="15.75" customHeight="1">
      <c r="B285" s="164"/>
      <c r="C285" s="478"/>
      <c r="D285" s="1309"/>
      <c r="E285" s="1309"/>
      <c r="F285" s="7"/>
      <c r="G285" s="7"/>
      <c r="H285" s="1309"/>
      <c r="I285" s="1313"/>
      <c r="M285" s="1313"/>
      <c r="N285" s="1314"/>
      <c r="O285" s="1313"/>
      <c r="P285" s="1315"/>
      <c r="Q285" s="1313"/>
      <c r="R285" s="1315"/>
    </row>
    <row r="286" ht="15.75" customHeight="1">
      <c r="B286" s="164"/>
      <c r="C286" s="478"/>
      <c r="D286" s="1309"/>
      <c r="E286" s="1309"/>
      <c r="F286" s="7"/>
      <c r="G286" s="7"/>
      <c r="H286" s="1309"/>
      <c r="I286" s="1313"/>
      <c r="M286" s="1313"/>
      <c r="N286" s="1314"/>
      <c r="O286" s="1313"/>
      <c r="P286" s="1315"/>
      <c r="Q286" s="1313"/>
      <c r="R286" s="1315"/>
    </row>
    <row r="287" ht="15.75" customHeight="1">
      <c r="B287" s="164"/>
      <c r="C287" s="478"/>
      <c r="D287" s="1309"/>
      <c r="E287" s="1309"/>
      <c r="F287" s="7"/>
      <c r="G287" s="7"/>
      <c r="H287" s="1309"/>
      <c r="I287" s="1313"/>
      <c r="M287" s="1313"/>
      <c r="N287" s="1314"/>
      <c r="O287" s="1313"/>
      <c r="P287" s="1315"/>
      <c r="Q287" s="1313"/>
      <c r="R287" s="1315"/>
    </row>
    <row r="288" ht="15.75" customHeight="1">
      <c r="B288" s="164"/>
      <c r="C288" s="478"/>
      <c r="D288" s="1309"/>
      <c r="E288" s="1309"/>
      <c r="F288" s="7"/>
      <c r="G288" s="7"/>
      <c r="H288" s="1309"/>
      <c r="I288" s="1313"/>
      <c r="M288" s="1313"/>
      <c r="N288" s="1314"/>
      <c r="O288" s="1313"/>
      <c r="P288" s="1315"/>
      <c r="Q288" s="1313"/>
      <c r="R288" s="1315"/>
    </row>
    <row r="289" ht="15.75" customHeight="1">
      <c r="B289" s="164"/>
      <c r="C289" s="478"/>
      <c r="D289" s="1309"/>
      <c r="E289" s="1309"/>
      <c r="F289" s="7"/>
      <c r="G289" s="7"/>
      <c r="H289" s="1309"/>
      <c r="I289" s="1313"/>
      <c r="M289" s="1313"/>
      <c r="N289" s="1314"/>
      <c r="O289" s="1313"/>
      <c r="P289" s="1315"/>
      <c r="Q289" s="1313"/>
      <c r="R289" s="1315"/>
    </row>
    <row r="290" ht="15.75" customHeight="1">
      <c r="B290" s="164"/>
      <c r="C290" s="478"/>
      <c r="D290" s="1309"/>
      <c r="E290" s="1309"/>
      <c r="F290" s="7"/>
      <c r="G290" s="7"/>
      <c r="H290" s="1309"/>
      <c r="I290" s="1313"/>
      <c r="M290" s="1313"/>
      <c r="N290" s="1314"/>
      <c r="O290" s="1313"/>
      <c r="P290" s="1315"/>
      <c r="Q290" s="1313"/>
      <c r="R290" s="1315"/>
    </row>
    <row r="291" ht="15.75" customHeight="1">
      <c r="B291" s="164"/>
      <c r="C291" s="478"/>
      <c r="D291" s="1309"/>
      <c r="E291" s="1309"/>
      <c r="F291" s="7"/>
      <c r="G291" s="7"/>
      <c r="H291" s="1309"/>
      <c r="I291" s="1313"/>
      <c r="M291" s="1313"/>
      <c r="N291" s="1314"/>
      <c r="O291" s="1313"/>
      <c r="P291" s="1315"/>
      <c r="Q291" s="1313"/>
      <c r="R291" s="1315"/>
    </row>
    <row r="292" ht="15.75" customHeight="1">
      <c r="B292" s="164"/>
      <c r="C292" s="478"/>
      <c r="D292" s="1309"/>
      <c r="E292" s="1309"/>
      <c r="F292" s="7"/>
      <c r="G292" s="7"/>
      <c r="H292" s="1309"/>
      <c r="I292" s="1313"/>
      <c r="M292" s="1313"/>
      <c r="N292" s="1314"/>
      <c r="O292" s="1313"/>
      <c r="P292" s="1315"/>
      <c r="Q292" s="1313"/>
      <c r="R292" s="1315"/>
    </row>
    <row r="293" ht="15.75" customHeight="1">
      <c r="B293" s="164"/>
      <c r="C293" s="478"/>
      <c r="D293" s="1309"/>
      <c r="E293" s="1309"/>
      <c r="F293" s="7"/>
      <c r="G293" s="7"/>
      <c r="H293" s="1309"/>
      <c r="I293" s="1313"/>
      <c r="M293" s="1313"/>
      <c r="N293" s="1314"/>
      <c r="O293" s="1313"/>
      <c r="P293" s="1315"/>
      <c r="Q293" s="1313"/>
      <c r="R293" s="1315"/>
    </row>
    <row r="294" ht="15.75" customHeight="1">
      <c r="B294" s="164"/>
      <c r="C294" s="478"/>
      <c r="D294" s="1309"/>
      <c r="E294" s="1309"/>
      <c r="F294" s="7"/>
      <c r="G294" s="7"/>
      <c r="H294" s="1309"/>
      <c r="I294" s="1313"/>
      <c r="M294" s="1313"/>
      <c r="N294" s="1314"/>
      <c r="O294" s="1313"/>
      <c r="P294" s="1315"/>
      <c r="Q294" s="1313"/>
      <c r="R294" s="1315"/>
    </row>
    <row r="295" ht="15.75" customHeight="1">
      <c r="B295" s="164"/>
      <c r="C295" s="478"/>
      <c r="D295" s="1309"/>
      <c r="E295" s="1309"/>
      <c r="F295" s="7"/>
      <c r="G295" s="7"/>
      <c r="H295" s="1309"/>
      <c r="I295" s="1313"/>
      <c r="M295" s="1313"/>
      <c r="N295" s="1314"/>
      <c r="O295" s="1313"/>
      <c r="P295" s="1315"/>
      <c r="Q295" s="1313"/>
      <c r="R295" s="1315"/>
    </row>
    <row r="296" ht="15.75" customHeight="1">
      <c r="B296" s="164"/>
      <c r="C296" s="478"/>
      <c r="D296" s="1309"/>
      <c r="E296" s="1309"/>
      <c r="F296" s="7"/>
      <c r="G296" s="7"/>
      <c r="H296" s="1309"/>
      <c r="I296" s="1313"/>
      <c r="M296" s="1313"/>
      <c r="N296" s="1314"/>
      <c r="O296" s="1313"/>
      <c r="P296" s="1315"/>
      <c r="Q296" s="1313"/>
      <c r="R296" s="1315"/>
    </row>
    <row r="297" ht="15.75" customHeight="1">
      <c r="B297" s="164"/>
      <c r="C297" s="478"/>
      <c r="D297" s="1309"/>
      <c r="E297" s="1309"/>
      <c r="F297" s="7"/>
      <c r="G297" s="7"/>
      <c r="H297" s="1309"/>
      <c r="I297" s="1313"/>
      <c r="M297" s="1313"/>
      <c r="N297" s="1314"/>
      <c r="O297" s="1313"/>
      <c r="P297" s="1315"/>
      <c r="Q297" s="1313"/>
      <c r="R297" s="1315"/>
    </row>
    <row r="298" ht="15.75" customHeight="1">
      <c r="B298" s="164"/>
      <c r="C298" s="478"/>
      <c r="D298" s="1309"/>
      <c r="E298" s="1309"/>
      <c r="F298" s="7"/>
      <c r="G298" s="7"/>
      <c r="H298" s="1309"/>
      <c r="I298" s="1313"/>
      <c r="M298" s="1313"/>
      <c r="N298" s="1314"/>
      <c r="O298" s="1313"/>
      <c r="P298" s="1315"/>
      <c r="Q298" s="1313"/>
      <c r="R298" s="1315"/>
    </row>
    <row r="299" ht="15.75" customHeight="1">
      <c r="B299" s="164"/>
      <c r="C299" s="478"/>
      <c r="D299" s="1309"/>
      <c r="E299" s="1309"/>
      <c r="F299" s="7"/>
      <c r="G299" s="7"/>
      <c r="H299" s="1309"/>
      <c r="I299" s="1313"/>
      <c r="M299" s="1313"/>
      <c r="N299" s="1314"/>
      <c r="O299" s="1313"/>
      <c r="P299" s="1315"/>
      <c r="Q299" s="1313"/>
      <c r="R299" s="1315"/>
    </row>
    <row r="300" ht="15.75" customHeight="1">
      <c r="B300" s="164"/>
      <c r="C300" s="478"/>
      <c r="D300" s="1309"/>
      <c r="E300" s="1309"/>
      <c r="F300" s="7"/>
      <c r="G300" s="7"/>
      <c r="H300" s="1309"/>
      <c r="I300" s="1313"/>
      <c r="M300" s="1313"/>
      <c r="N300" s="1314"/>
      <c r="O300" s="1313"/>
      <c r="P300" s="1315"/>
      <c r="Q300" s="1313"/>
      <c r="R300" s="1315"/>
    </row>
    <row r="301" ht="15.75" customHeight="1">
      <c r="B301" s="164"/>
      <c r="C301" s="478"/>
      <c r="D301" s="1309"/>
      <c r="E301" s="1309"/>
      <c r="F301" s="7"/>
      <c r="G301" s="7"/>
      <c r="H301" s="1309"/>
      <c r="I301" s="1313"/>
      <c r="M301" s="1313"/>
      <c r="N301" s="1314"/>
      <c r="O301" s="1313"/>
      <c r="P301" s="1315"/>
      <c r="Q301" s="1313"/>
      <c r="R301" s="1315"/>
    </row>
    <row r="302" ht="15.75" customHeight="1">
      <c r="B302" s="164"/>
      <c r="C302" s="478"/>
      <c r="D302" s="1309"/>
      <c r="E302" s="1309"/>
      <c r="F302" s="7"/>
      <c r="G302" s="7"/>
      <c r="H302" s="1309"/>
      <c r="I302" s="1313"/>
      <c r="M302" s="1313"/>
      <c r="N302" s="1314"/>
      <c r="O302" s="1313"/>
      <c r="P302" s="1315"/>
      <c r="Q302" s="1313"/>
      <c r="R302" s="1315"/>
    </row>
    <row r="303" ht="15.75" customHeight="1">
      <c r="B303" s="164"/>
      <c r="C303" s="478"/>
      <c r="D303" s="1309"/>
      <c r="E303" s="1309"/>
      <c r="F303" s="7"/>
      <c r="G303" s="7"/>
      <c r="H303" s="1309"/>
      <c r="I303" s="1313"/>
      <c r="M303" s="1313"/>
      <c r="N303" s="1314"/>
      <c r="O303" s="1313"/>
      <c r="P303" s="1315"/>
      <c r="Q303" s="1313"/>
      <c r="R303" s="1315"/>
    </row>
    <row r="304" ht="15.75" customHeight="1">
      <c r="B304" s="164"/>
      <c r="C304" s="478"/>
      <c r="D304" s="1309"/>
      <c r="E304" s="1309"/>
      <c r="F304" s="7"/>
      <c r="G304" s="7"/>
      <c r="H304" s="1309"/>
      <c r="I304" s="1313"/>
      <c r="M304" s="1313"/>
      <c r="N304" s="1314"/>
      <c r="O304" s="1313"/>
      <c r="P304" s="1315"/>
      <c r="Q304" s="1313"/>
      <c r="R304" s="1315"/>
    </row>
    <row r="305" ht="15.75" customHeight="1">
      <c r="B305" s="164"/>
      <c r="C305" s="478"/>
      <c r="D305" s="1309"/>
      <c r="E305" s="1309"/>
      <c r="F305" s="7"/>
      <c r="G305" s="7"/>
      <c r="H305" s="1309"/>
      <c r="I305" s="1313"/>
      <c r="M305" s="1313"/>
      <c r="N305" s="1314"/>
      <c r="O305" s="1313"/>
      <c r="P305" s="1315"/>
      <c r="Q305" s="1313"/>
      <c r="R305" s="1315"/>
    </row>
    <row r="306" ht="15.75" customHeight="1">
      <c r="B306" s="164"/>
      <c r="C306" s="478"/>
      <c r="D306" s="1309"/>
      <c r="E306" s="1309"/>
      <c r="F306" s="7"/>
      <c r="G306" s="7"/>
      <c r="H306" s="1309"/>
      <c r="I306" s="1313"/>
      <c r="M306" s="1313"/>
      <c r="N306" s="1314"/>
      <c r="O306" s="1313"/>
      <c r="P306" s="1315"/>
      <c r="Q306" s="1313"/>
      <c r="R306" s="1315"/>
    </row>
    <row r="307" ht="15.75" customHeight="1">
      <c r="B307" s="164"/>
      <c r="C307" s="478"/>
      <c r="D307" s="1309"/>
      <c r="E307" s="1309"/>
      <c r="F307" s="7"/>
      <c r="G307" s="7"/>
      <c r="H307" s="1309"/>
      <c r="I307" s="1313"/>
      <c r="M307" s="1313"/>
      <c r="N307" s="1314"/>
      <c r="O307" s="1313"/>
      <c r="P307" s="1315"/>
      <c r="Q307" s="1313"/>
      <c r="R307" s="1315"/>
    </row>
    <row r="308" ht="15.75" customHeight="1">
      <c r="B308" s="164"/>
      <c r="C308" s="478"/>
      <c r="D308" s="1309"/>
      <c r="E308" s="1309"/>
      <c r="F308" s="7"/>
      <c r="G308" s="7"/>
      <c r="H308" s="1309"/>
      <c r="I308" s="1313"/>
      <c r="M308" s="1313"/>
      <c r="N308" s="1314"/>
      <c r="O308" s="1313"/>
      <c r="P308" s="1315"/>
      <c r="Q308" s="1313"/>
      <c r="R308" s="1315"/>
    </row>
    <row r="309" ht="15.75" customHeight="1">
      <c r="B309" s="164"/>
      <c r="C309" s="478"/>
      <c r="D309" s="1309"/>
      <c r="E309" s="1309"/>
      <c r="F309" s="7"/>
      <c r="G309" s="7"/>
      <c r="H309" s="1309"/>
      <c r="I309" s="1313"/>
      <c r="M309" s="1313"/>
      <c r="N309" s="1314"/>
      <c r="O309" s="1313"/>
      <c r="P309" s="1315"/>
      <c r="Q309" s="1313"/>
      <c r="R309" s="1315"/>
    </row>
    <row r="310" ht="15.75" customHeight="1">
      <c r="B310" s="164"/>
      <c r="C310" s="478"/>
      <c r="D310" s="1309"/>
      <c r="E310" s="1309"/>
      <c r="F310" s="7"/>
      <c r="G310" s="7"/>
      <c r="H310" s="1309"/>
      <c r="I310" s="1313"/>
      <c r="M310" s="1313"/>
      <c r="N310" s="1314"/>
      <c r="O310" s="1313"/>
      <c r="P310" s="1315"/>
      <c r="Q310" s="1313"/>
      <c r="R310" s="1315"/>
    </row>
    <row r="311" ht="15.75" customHeight="1">
      <c r="B311" s="164"/>
      <c r="C311" s="478"/>
      <c r="D311" s="1309"/>
      <c r="E311" s="1309"/>
      <c r="F311" s="7"/>
      <c r="G311" s="7"/>
      <c r="H311" s="1309"/>
      <c r="I311" s="1313"/>
      <c r="M311" s="1313"/>
      <c r="N311" s="1314"/>
      <c r="O311" s="1313"/>
      <c r="P311" s="1315"/>
      <c r="Q311" s="1313"/>
      <c r="R311" s="1315"/>
    </row>
    <row r="312" ht="15.75" customHeight="1">
      <c r="B312" s="164"/>
      <c r="C312" s="478"/>
      <c r="D312" s="1309"/>
      <c r="E312" s="1309"/>
      <c r="F312" s="7"/>
      <c r="G312" s="7"/>
      <c r="H312" s="1309"/>
      <c r="I312" s="1313"/>
      <c r="M312" s="1313"/>
      <c r="N312" s="1314"/>
      <c r="O312" s="1313"/>
      <c r="P312" s="1315"/>
      <c r="Q312" s="1313"/>
      <c r="R312" s="1315"/>
    </row>
    <row r="313" ht="15.75" customHeight="1">
      <c r="B313" s="164"/>
      <c r="C313" s="478"/>
      <c r="D313" s="1309"/>
      <c r="E313" s="1309"/>
      <c r="F313" s="7"/>
      <c r="G313" s="7"/>
      <c r="H313" s="1309"/>
      <c r="I313" s="1313"/>
      <c r="M313" s="1313"/>
      <c r="N313" s="1314"/>
      <c r="O313" s="1313"/>
      <c r="P313" s="1315"/>
      <c r="Q313" s="1313"/>
      <c r="R313" s="1315"/>
    </row>
    <row r="314" ht="15.75" customHeight="1">
      <c r="B314" s="164"/>
      <c r="C314" s="478"/>
      <c r="D314" s="1309"/>
      <c r="E314" s="1309"/>
      <c r="F314" s="7"/>
      <c r="G314" s="7"/>
      <c r="H314" s="1309"/>
      <c r="I314" s="1313"/>
      <c r="M314" s="1313"/>
      <c r="N314" s="1314"/>
      <c r="O314" s="1313"/>
      <c r="P314" s="1315"/>
      <c r="Q314" s="1313"/>
      <c r="R314" s="1315"/>
    </row>
    <row r="315" ht="15.75" customHeight="1">
      <c r="B315" s="164"/>
      <c r="C315" s="478"/>
      <c r="D315" s="1309"/>
      <c r="E315" s="1309"/>
      <c r="F315" s="7"/>
      <c r="G315" s="7"/>
      <c r="H315" s="1309"/>
      <c r="I315" s="1313"/>
      <c r="M315" s="1313"/>
      <c r="N315" s="1314"/>
      <c r="O315" s="1313"/>
      <c r="P315" s="1315"/>
      <c r="Q315" s="1313"/>
      <c r="R315" s="1315"/>
    </row>
    <row r="316" ht="15.75" customHeight="1">
      <c r="B316" s="164"/>
      <c r="C316" s="478"/>
      <c r="D316" s="1309"/>
      <c r="E316" s="1309"/>
      <c r="F316" s="7"/>
      <c r="G316" s="7"/>
      <c r="H316" s="1309"/>
      <c r="I316" s="1313"/>
      <c r="M316" s="1313"/>
      <c r="N316" s="1314"/>
      <c r="O316" s="1313"/>
      <c r="P316" s="1315"/>
      <c r="Q316" s="1313"/>
      <c r="R316" s="1315"/>
    </row>
    <row r="317" ht="15.75" customHeight="1">
      <c r="B317" s="164"/>
      <c r="C317" s="478"/>
      <c r="D317" s="1309"/>
      <c r="E317" s="1309"/>
      <c r="F317" s="7"/>
      <c r="G317" s="7"/>
      <c r="H317" s="1309"/>
      <c r="I317" s="1313"/>
      <c r="M317" s="1313"/>
      <c r="N317" s="1314"/>
      <c r="O317" s="1313"/>
      <c r="P317" s="1315"/>
      <c r="Q317" s="1313"/>
      <c r="R317" s="1315"/>
    </row>
    <row r="318" ht="15.75" customHeight="1">
      <c r="B318" s="164"/>
      <c r="C318" s="478"/>
      <c r="D318" s="1309"/>
      <c r="E318" s="1309"/>
      <c r="F318" s="7"/>
      <c r="G318" s="7"/>
      <c r="H318" s="1309"/>
      <c r="I318" s="1313"/>
      <c r="M318" s="1313"/>
      <c r="N318" s="1314"/>
      <c r="O318" s="1313"/>
      <c r="P318" s="1315"/>
      <c r="Q318" s="1313"/>
      <c r="R318" s="1315"/>
    </row>
    <row r="319" ht="15.75" customHeight="1">
      <c r="B319" s="164"/>
      <c r="C319" s="478"/>
      <c r="D319" s="1309"/>
      <c r="E319" s="1309"/>
      <c r="F319" s="7"/>
      <c r="G319" s="7"/>
      <c r="H319" s="1309"/>
      <c r="I319" s="1313"/>
      <c r="M319" s="1313"/>
      <c r="N319" s="1314"/>
      <c r="O319" s="1313"/>
      <c r="P319" s="1315"/>
      <c r="Q319" s="1313"/>
      <c r="R319" s="1315"/>
    </row>
    <row r="320" ht="15.75" customHeight="1">
      <c r="B320" s="164"/>
      <c r="C320" s="478"/>
      <c r="D320" s="1309"/>
      <c r="E320" s="1309"/>
      <c r="F320" s="7"/>
      <c r="G320" s="7"/>
      <c r="H320" s="1309"/>
      <c r="I320" s="1313"/>
      <c r="M320" s="1313"/>
      <c r="N320" s="1314"/>
      <c r="O320" s="1313"/>
      <c r="P320" s="1315"/>
      <c r="Q320" s="1313"/>
      <c r="R320" s="1315"/>
    </row>
    <row r="321" ht="15.75" customHeight="1">
      <c r="B321" s="164"/>
      <c r="C321" s="478"/>
      <c r="D321" s="1309"/>
      <c r="E321" s="1309"/>
      <c r="F321" s="7"/>
      <c r="G321" s="7"/>
      <c r="H321" s="1309"/>
      <c r="I321" s="1313"/>
      <c r="M321" s="1313"/>
      <c r="N321" s="1314"/>
      <c r="O321" s="1313"/>
      <c r="P321" s="1315"/>
      <c r="Q321" s="1313"/>
      <c r="R321" s="1315"/>
    </row>
    <row r="322" ht="15.75" customHeight="1">
      <c r="B322" s="164"/>
      <c r="C322" s="478"/>
      <c r="D322" s="1309"/>
      <c r="E322" s="1309"/>
      <c r="F322" s="7"/>
      <c r="G322" s="7"/>
      <c r="H322" s="1309"/>
      <c r="I322" s="1313"/>
      <c r="M322" s="1313"/>
      <c r="N322" s="1314"/>
      <c r="O322" s="1313"/>
      <c r="P322" s="1315"/>
      <c r="Q322" s="1313"/>
      <c r="R322" s="1315"/>
    </row>
    <row r="323" ht="15.75" customHeight="1">
      <c r="B323" s="164"/>
      <c r="C323" s="478"/>
      <c r="D323" s="1309"/>
      <c r="E323" s="1309"/>
      <c r="F323" s="7"/>
      <c r="G323" s="7"/>
      <c r="H323" s="1309"/>
      <c r="I323" s="1313"/>
      <c r="M323" s="1313"/>
      <c r="N323" s="1314"/>
      <c r="O323" s="1313"/>
      <c r="P323" s="1315"/>
      <c r="Q323" s="1313"/>
      <c r="R323" s="1315"/>
    </row>
    <row r="324" ht="15.75" customHeight="1">
      <c r="B324" s="164"/>
      <c r="C324" s="478"/>
      <c r="D324" s="1309"/>
      <c r="E324" s="1309"/>
      <c r="F324" s="7"/>
      <c r="G324" s="7"/>
      <c r="H324" s="1309"/>
      <c r="I324" s="1313"/>
      <c r="M324" s="1313"/>
      <c r="N324" s="1314"/>
      <c r="O324" s="1313"/>
      <c r="P324" s="1315"/>
      <c r="Q324" s="1313"/>
      <c r="R324" s="1315"/>
    </row>
    <row r="325" ht="15.75" customHeight="1">
      <c r="B325" s="164"/>
      <c r="C325" s="478"/>
      <c r="D325" s="1309"/>
      <c r="E325" s="1309"/>
      <c r="F325" s="7"/>
      <c r="G325" s="7"/>
      <c r="H325" s="1309"/>
      <c r="I325" s="1313"/>
      <c r="M325" s="1313"/>
      <c r="N325" s="1314"/>
      <c r="O325" s="1313"/>
      <c r="P325" s="1315"/>
      <c r="Q325" s="1313"/>
      <c r="R325" s="1315"/>
    </row>
    <row r="326" ht="15.75" customHeight="1">
      <c r="B326" s="164"/>
      <c r="C326" s="478"/>
      <c r="D326" s="1309"/>
      <c r="E326" s="1309"/>
      <c r="F326" s="7"/>
      <c r="G326" s="7"/>
      <c r="H326" s="1309"/>
      <c r="I326" s="1313"/>
      <c r="M326" s="1313"/>
      <c r="N326" s="1314"/>
      <c r="O326" s="1313"/>
      <c r="P326" s="1315"/>
      <c r="Q326" s="1313"/>
      <c r="R326" s="1315"/>
    </row>
    <row r="327" ht="15.75" customHeight="1">
      <c r="B327" s="164"/>
      <c r="C327" s="478"/>
      <c r="D327" s="1309"/>
      <c r="E327" s="1309"/>
      <c r="F327" s="7"/>
      <c r="G327" s="7"/>
      <c r="H327" s="1309"/>
      <c r="I327" s="1313"/>
      <c r="M327" s="1313"/>
      <c r="N327" s="1314"/>
      <c r="O327" s="1313"/>
      <c r="P327" s="1315"/>
      <c r="Q327" s="1313"/>
      <c r="R327" s="1315"/>
    </row>
    <row r="328" ht="15.75" customHeight="1">
      <c r="B328" s="164"/>
      <c r="C328" s="478"/>
      <c r="D328" s="1309"/>
      <c r="E328" s="1309"/>
      <c r="F328" s="7"/>
      <c r="G328" s="7"/>
      <c r="H328" s="1309"/>
      <c r="I328" s="1313"/>
      <c r="M328" s="1313"/>
      <c r="N328" s="1314"/>
      <c r="O328" s="1313"/>
      <c r="P328" s="1315"/>
      <c r="Q328" s="1313"/>
      <c r="R328" s="1315"/>
    </row>
    <row r="329" ht="15.75" customHeight="1">
      <c r="B329" s="164"/>
      <c r="C329" s="478"/>
      <c r="D329" s="1309"/>
      <c r="E329" s="1309"/>
      <c r="F329" s="7"/>
      <c r="G329" s="7"/>
      <c r="H329" s="1309"/>
      <c r="I329" s="1313"/>
      <c r="M329" s="1313"/>
      <c r="N329" s="1314"/>
      <c r="O329" s="1313"/>
      <c r="P329" s="1315"/>
      <c r="Q329" s="1313"/>
      <c r="R329" s="1315"/>
    </row>
    <row r="330" ht="15.75" customHeight="1">
      <c r="B330" s="164"/>
      <c r="C330" s="478"/>
      <c r="D330" s="1309"/>
      <c r="E330" s="1309"/>
      <c r="F330" s="7"/>
      <c r="G330" s="7"/>
      <c r="H330" s="1309"/>
      <c r="I330" s="1313"/>
      <c r="M330" s="1313"/>
      <c r="N330" s="1314"/>
      <c r="O330" s="1313"/>
      <c r="P330" s="1315"/>
      <c r="Q330" s="1313"/>
      <c r="R330" s="1315"/>
    </row>
    <row r="331" ht="15.75" customHeight="1">
      <c r="B331" s="164"/>
      <c r="C331" s="478"/>
      <c r="D331" s="1309"/>
      <c r="E331" s="1309"/>
      <c r="F331" s="7"/>
      <c r="G331" s="7"/>
      <c r="H331" s="1309"/>
      <c r="I331" s="1313"/>
      <c r="M331" s="1313"/>
      <c r="N331" s="1314"/>
      <c r="O331" s="1313"/>
      <c r="P331" s="1315"/>
      <c r="Q331" s="1313"/>
      <c r="R331" s="1315"/>
    </row>
    <row r="332" ht="15.75" customHeight="1">
      <c r="B332" s="164"/>
      <c r="C332" s="478"/>
      <c r="D332" s="1309"/>
      <c r="E332" s="1309"/>
      <c r="F332" s="7"/>
      <c r="G332" s="7"/>
      <c r="H332" s="1309"/>
      <c r="I332" s="1313"/>
      <c r="M332" s="1313"/>
      <c r="N332" s="1314"/>
      <c r="O332" s="1313"/>
      <c r="P332" s="1315"/>
      <c r="Q332" s="1313"/>
      <c r="R332" s="1315"/>
    </row>
    <row r="333" ht="15.75" customHeight="1">
      <c r="B333" s="164"/>
      <c r="C333" s="478"/>
      <c r="D333" s="1309"/>
      <c r="E333" s="1309"/>
      <c r="F333" s="7"/>
      <c r="G333" s="7"/>
      <c r="H333" s="1309"/>
      <c r="I333" s="1313"/>
      <c r="M333" s="1313"/>
      <c r="N333" s="1314"/>
      <c r="O333" s="1313"/>
      <c r="P333" s="1315"/>
      <c r="Q333" s="1313"/>
      <c r="R333" s="1315"/>
    </row>
    <row r="334" ht="15.75" customHeight="1">
      <c r="B334" s="164"/>
      <c r="C334" s="478"/>
      <c r="D334" s="1309"/>
      <c r="E334" s="1309"/>
      <c r="F334" s="7"/>
      <c r="G334" s="7"/>
      <c r="H334" s="1309"/>
      <c r="I334" s="1313"/>
      <c r="M334" s="1313"/>
      <c r="N334" s="1314"/>
      <c r="O334" s="1313"/>
      <c r="P334" s="1315"/>
      <c r="Q334" s="1313"/>
      <c r="R334" s="1315"/>
    </row>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C$92:$S$121"/>
  <conditionalFormatting sqref="D3:D121">
    <cfRule type="colorScale" priority="1">
      <colorScale>
        <cfvo type="min"/>
        <cfvo type="percentile" val="50"/>
        <cfvo type="max"/>
        <color rgb="FFE67C73"/>
        <color rgb="FFFBBC04"/>
        <color rgb="FF57BB8A"/>
      </colorScale>
    </cfRule>
  </conditionalFormatting>
  <dataValidations>
    <dataValidation type="list" allowBlank="1" showErrorMessage="1" sqref="F93:F114">
      <formula1>"Студия,1+1,1+2,Дом,Студия/твин"</formula1>
    </dataValidation>
    <dataValidation type="list" allowBlank="1" showErrorMessage="1" sqref="G3:G121">
      <formula1>"70/30,80/20,Лето,90/10,100/0,❌"</formula1>
    </dataValidation>
    <dataValidation type="list" allowBlank="1" showErrorMessage="1" sqref="H3:H116 H120:H121">
      <formula1>"1000,950,900,850,800,750,700,650,600,550,500,450,400,350,1200"</formula1>
    </dataValidation>
    <dataValidation type="list" allowBlank="1" showErrorMessage="1" sqref="E3:E121">
      <formula1>"Премиум,стандарт,эконом"</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hidden="1" min="1" max="1" width="11.75"/>
    <col customWidth="1" min="2" max="2" width="7.0"/>
    <col customWidth="1" min="3" max="3" width="12.63"/>
    <col customWidth="1" min="4" max="4" width="7.38"/>
    <col customWidth="1" min="5" max="5" width="12.38"/>
    <col customWidth="1" min="6" max="7" width="17.75"/>
    <col customWidth="1" min="8" max="8" width="23.13"/>
    <col customWidth="1" min="9" max="9" width="3.88"/>
  </cols>
  <sheetData>
    <row r="1" ht="27.75" customHeight="1">
      <c r="A1" s="94"/>
      <c r="B1" s="1316">
        <v>3.0</v>
      </c>
      <c r="C1" s="1230" t="s">
        <v>303</v>
      </c>
      <c r="D1" s="1317" t="s">
        <v>1530</v>
      </c>
      <c r="E1" s="1317" t="s">
        <v>305</v>
      </c>
      <c r="F1" s="1318" t="s">
        <v>1550</v>
      </c>
      <c r="G1" s="1318" t="s">
        <v>1551</v>
      </c>
      <c r="H1" s="1319" t="s">
        <v>1552</v>
      </c>
      <c r="I1" s="554"/>
    </row>
    <row r="2" ht="15.75" customHeight="1">
      <c r="A2" s="1237"/>
      <c r="B2" s="1238" t="str">
        <f>'1. Справочник'!B2</f>
        <v>Марина</v>
      </c>
      <c r="C2" s="12" t="str">
        <f>'1. Справочник'!C2</f>
        <v>WS В 503</v>
      </c>
      <c r="D2" s="1240" t="str">
        <f>'1. Справочник'!F2</f>
        <v>1+1</v>
      </c>
      <c r="E2" s="1239" t="s">
        <v>518</v>
      </c>
      <c r="F2" s="1320" t="s">
        <v>1553</v>
      </c>
      <c r="G2" s="1320" t="s">
        <v>1553</v>
      </c>
      <c r="H2" s="93"/>
    </row>
    <row r="3" ht="15.0" customHeight="1">
      <c r="A3" s="315"/>
      <c r="B3" s="1248" t="str">
        <f>'1. Справочник'!B3</f>
        <v>Марина</v>
      </c>
      <c r="C3" s="1264" t="str">
        <f>'1. Справочник'!C3</f>
        <v>WS F 907</v>
      </c>
      <c r="D3" s="1250" t="str">
        <f>'1. Справочник'!F3</f>
        <v>Студия</v>
      </c>
      <c r="E3" s="1251" t="s">
        <v>518</v>
      </c>
      <c r="F3" s="1321" t="s">
        <v>1554</v>
      </c>
      <c r="G3" s="1322" t="s">
        <v>441</v>
      </c>
      <c r="H3" s="93"/>
    </row>
    <row r="4" ht="15.75" customHeight="1">
      <c r="B4" s="1248" t="str">
        <f>'1. Справочник'!B4</f>
        <v>Марина</v>
      </c>
      <c r="C4" s="25" t="str">
        <f>'1. Справочник'!C4</f>
        <v>WS В 212</v>
      </c>
      <c r="D4" s="1250" t="str">
        <f>'1. Справочник'!F4</f>
        <v>1+2</v>
      </c>
      <c r="E4" s="1251" t="s">
        <v>518</v>
      </c>
      <c r="F4" s="1321" t="s">
        <v>1555</v>
      </c>
      <c r="G4" s="1322" t="s">
        <v>441</v>
      </c>
      <c r="H4" s="93"/>
    </row>
    <row r="5" ht="15.0" customHeight="1">
      <c r="B5" s="1248" t="str">
        <f>'1. Справочник'!B5</f>
        <v>Марина</v>
      </c>
      <c r="C5" s="25" t="str">
        <f>'1. Справочник'!C5</f>
        <v>WS В 1510</v>
      </c>
      <c r="D5" s="1250" t="str">
        <f>'1. Справочник'!F5</f>
        <v>Студия</v>
      </c>
      <c r="E5" s="1251" t="s">
        <v>518</v>
      </c>
      <c r="F5" s="1321" t="s">
        <v>1556</v>
      </c>
      <c r="G5" s="1322" t="s">
        <v>441</v>
      </c>
      <c r="H5" s="93"/>
    </row>
    <row r="6" ht="15.75" customHeight="1">
      <c r="B6" s="1248" t="str">
        <f>'1. Справочник'!B6</f>
        <v>Марина</v>
      </c>
      <c r="C6" s="25" t="str">
        <f>'1. Справочник'!C6</f>
        <v>WS В 807</v>
      </c>
      <c r="D6" s="1250" t="str">
        <f>'1. Справочник'!F6</f>
        <v>Студия</v>
      </c>
      <c r="E6" s="1251" t="s">
        <v>518</v>
      </c>
      <c r="F6" s="1321" t="s">
        <v>1557</v>
      </c>
      <c r="G6" s="1321" t="s">
        <v>1557</v>
      </c>
      <c r="H6" s="93"/>
    </row>
    <row r="7" ht="15.75" customHeight="1">
      <c r="A7" s="1255"/>
      <c r="B7" s="1248" t="str">
        <f>'1. Справочник'!B7</f>
        <v>Марина</v>
      </c>
      <c r="C7" s="25" t="str">
        <f>'1. Справочник'!C7</f>
        <v>WS E 1202</v>
      </c>
      <c r="D7" s="1250" t="str">
        <f>'1. Справочник'!F7</f>
        <v>1+1</v>
      </c>
      <c r="E7" s="1251" t="s">
        <v>518</v>
      </c>
      <c r="F7" s="1321" t="s">
        <v>1558</v>
      </c>
      <c r="G7" s="1322" t="s">
        <v>441</v>
      </c>
      <c r="H7" s="93"/>
    </row>
    <row r="8" ht="15.75" customHeight="1">
      <c r="A8" s="1256"/>
      <c r="B8" s="1248" t="str">
        <f>'1. Справочник'!B8</f>
        <v>Марина</v>
      </c>
      <c r="C8" s="1264" t="str">
        <f>'1. Справочник'!C8</f>
        <v>WS A 409</v>
      </c>
      <c r="D8" s="1250" t="str">
        <f>'1. Справочник'!F8</f>
        <v>Студия</v>
      </c>
      <c r="E8" s="1251" t="s">
        <v>518</v>
      </c>
      <c r="F8" s="1321" t="s">
        <v>1559</v>
      </c>
      <c r="G8" s="1322" t="s">
        <v>441</v>
      </c>
      <c r="H8" s="93"/>
    </row>
    <row r="9" ht="15.0" customHeight="1">
      <c r="A9" s="1256"/>
      <c r="B9" s="1248" t="str">
        <f>'1. Справочник'!B9</f>
        <v>Марина</v>
      </c>
      <c r="C9" s="25" t="str">
        <f>'1. Справочник'!C9</f>
        <v>WS A 608</v>
      </c>
      <c r="D9" s="1250" t="str">
        <f>'1. Справочник'!F9</f>
        <v>Студия</v>
      </c>
      <c r="E9" s="1251" t="s">
        <v>518</v>
      </c>
      <c r="F9" s="1321" t="s">
        <v>1560</v>
      </c>
      <c r="G9" s="1322" t="s">
        <v>441</v>
      </c>
      <c r="H9" s="93"/>
    </row>
    <row r="10" ht="15.0" customHeight="1">
      <c r="A10" s="1258"/>
      <c r="B10" s="1248" t="str">
        <f>'1. Справочник'!B10</f>
        <v>Марина</v>
      </c>
      <c r="C10" s="25" t="str">
        <f>'1. Справочник'!C10</f>
        <v>WS A907</v>
      </c>
      <c r="D10" s="1250" t="str">
        <f>'1. Справочник'!F10</f>
        <v>Студия/твин</v>
      </c>
      <c r="E10" s="1251" t="s">
        <v>518</v>
      </c>
      <c r="F10" s="1321" t="s">
        <v>1561</v>
      </c>
      <c r="G10" s="1322" t="s">
        <v>441</v>
      </c>
      <c r="H10" s="93"/>
    </row>
    <row r="11" ht="15.75" customHeight="1">
      <c r="A11" s="1259"/>
      <c r="B11" s="1248" t="str">
        <f>'1. Справочник'!B11</f>
        <v>Марина</v>
      </c>
      <c r="C11" s="25" t="str">
        <f>'1. Справочник'!C11</f>
        <v>WS Е804</v>
      </c>
      <c r="D11" s="1250" t="str">
        <f>'1. Справочник'!F11</f>
        <v>Студия/твин</v>
      </c>
      <c r="E11" s="1251" t="s">
        <v>518</v>
      </c>
      <c r="F11" s="1321" t="s">
        <v>1562</v>
      </c>
      <c r="G11" s="1322" t="s">
        <v>441</v>
      </c>
      <c r="H11" s="93"/>
    </row>
    <row r="12" ht="15.75" customHeight="1">
      <c r="A12" s="1259"/>
      <c r="B12" s="1248" t="str">
        <f>'1. Справочник'!B12</f>
        <v>Марина</v>
      </c>
      <c r="C12" s="25" t="str">
        <f>'1. Справочник'!C12</f>
        <v>WS E704</v>
      </c>
      <c r="D12" s="1250" t="str">
        <f>'1. Справочник'!F12</f>
        <v>Студия</v>
      </c>
      <c r="E12" s="1251" t="s">
        <v>518</v>
      </c>
      <c r="F12" s="1321" t="s">
        <v>1563</v>
      </c>
      <c r="G12" s="1322" t="s">
        <v>441</v>
      </c>
      <c r="H12" s="93"/>
    </row>
    <row r="13" ht="15.75" customHeight="1">
      <c r="A13" s="1259"/>
      <c r="B13" s="1248" t="str">
        <f>'1. Справочник'!B13</f>
        <v>Марина</v>
      </c>
      <c r="C13" s="25" t="str">
        <f>'1. Справочник'!C13</f>
        <v>WS A805</v>
      </c>
      <c r="D13" s="1250" t="str">
        <f>'1. Справочник'!F13</f>
        <v>Студия</v>
      </c>
      <c r="E13" s="1251" t="s">
        <v>518</v>
      </c>
      <c r="F13" s="1321" t="s">
        <v>1564</v>
      </c>
      <c r="G13" s="1322" t="s">
        <v>441</v>
      </c>
      <c r="H13" s="93"/>
      <c r="I13" s="554"/>
    </row>
    <row r="14" ht="15.75" customHeight="1">
      <c r="A14" s="1260"/>
      <c r="B14" s="1248" t="str">
        <f>'1. Справочник'!B14</f>
        <v>Марина</v>
      </c>
      <c r="C14" s="25" t="str">
        <f>'1. Справочник'!C14</f>
        <v>WS F1103</v>
      </c>
      <c r="D14" s="1250" t="str">
        <f>'1. Справочник'!F14</f>
        <v>1+1</v>
      </c>
      <c r="E14" s="1251" t="s">
        <v>518</v>
      </c>
      <c r="F14" s="1323" t="s">
        <v>1565</v>
      </c>
      <c r="G14" s="1324" t="s">
        <v>441</v>
      </c>
      <c r="H14" s="1325"/>
      <c r="I14" s="554"/>
    </row>
    <row r="15" ht="15.75" customHeight="1">
      <c r="A15" s="1260"/>
      <c r="B15" s="1248" t="str">
        <f>'1. Справочник'!B15</f>
        <v>Марина</v>
      </c>
      <c r="C15" s="25" t="str">
        <f>'1. Справочник'!C15</f>
        <v>WS F1008</v>
      </c>
      <c r="D15" s="1250" t="str">
        <f>'1. Справочник'!F15</f>
        <v>Студия</v>
      </c>
      <c r="E15" s="1251" t="s">
        <v>518</v>
      </c>
      <c r="F15" s="1323" t="s">
        <v>1566</v>
      </c>
      <c r="G15" s="1324" t="s">
        <v>441</v>
      </c>
      <c r="H15" s="1325"/>
      <c r="I15" s="554"/>
    </row>
    <row r="16" ht="15.75" customHeight="1">
      <c r="A16" s="1260"/>
      <c r="B16" s="1248" t="str">
        <f>'1. Справочник'!B16</f>
        <v>Светлана</v>
      </c>
      <c r="C16" s="25" t="str">
        <f>'1. Справочник'!C16</f>
        <v>BV1318</v>
      </c>
      <c r="D16" s="1250" t="str">
        <f>'1. Справочник'!F16</f>
        <v>Студия</v>
      </c>
      <c r="E16" s="1251" t="s">
        <v>321</v>
      </c>
      <c r="F16" s="1323" t="s">
        <v>1567</v>
      </c>
      <c r="G16" s="1324" t="s">
        <v>441</v>
      </c>
      <c r="H16" s="1325"/>
      <c r="I16" s="554"/>
    </row>
    <row r="17" ht="15.75" customHeight="1">
      <c r="A17" s="1260"/>
      <c r="B17" s="1248" t="str">
        <f>'1. Справочник'!B17</f>
        <v>Светлана</v>
      </c>
      <c r="C17" s="25" t="str">
        <f>'1. Справочник'!C17</f>
        <v>BV A 100</v>
      </c>
      <c r="D17" s="1250" t="str">
        <f>'1. Справочник'!F17</f>
        <v>Студия</v>
      </c>
      <c r="E17" s="1326" t="s">
        <v>518</v>
      </c>
      <c r="F17" s="1323" t="s">
        <v>1568</v>
      </c>
      <c r="G17" s="1324" t="s">
        <v>441</v>
      </c>
      <c r="H17" s="1325"/>
      <c r="I17" s="554"/>
    </row>
    <row r="18" ht="15.75" customHeight="1">
      <c r="A18" s="1260"/>
      <c r="B18" s="1248" t="str">
        <f>'1. Справочник'!B18</f>
        <v>Светлана</v>
      </c>
      <c r="C18" s="25" t="str">
        <f>'1. Справочник'!C18</f>
        <v>Steps1123</v>
      </c>
      <c r="D18" s="1271" t="str">
        <f>'1. Справочник'!F18</f>
        <v>Студия</v>
      </c>
      <c r="E18" s="1268" t="s">
        <v>563</v>
      </c>
      <c r="F18" s="1324"/>
      <c r="G18" s="1324" t="s">
        <v>441</v>
      </c>
      <c r="H18" s="1325"/>
      <c r="I18" s="554"/>
    </row>
    <row r="19" ht="15.75" customHeight="1">
      <c r="A19" s="1260"/>
      <c r="B19" s="1248" t="str">
        <f>'1. Справочник'!B19</f>
        <v>Светлана</v>
      </c>
      <c r="C19" s="25" t="str">
        <f>'1. Справочник'!C19</f>
        <v>WH 176</v>
      </c>
      <c r="D19" s="1250" t="str">
        <f>'1. Справочник'!F19</f>
        <v>Студия</v>
      </c>
      <c r="E19" s="1266" t="s">
        <v>321</v>
      </c>
      <c r="F19" s="1323" t="s">
        <v>1569</v>
      </c>
      <c r="G19" s="1323" t="s">
        <v>1569</v>
      </c>
      <c r="H19" s="1325"/>
      <c r="I19" s="554"/>
    </row>
    <row r="20" ht="15.75" customHeight="1">
      <c r="A20" s="1260"/>
      <c r="B20" s="1248" t="str">
        <f>'1. Справочник'!B20</f>
        <v>Светлана</v>
      </c>
      <c r="C20" s="25" t="str">
        <f>'1. Справочник'!C20</f>
        <v>OBT 2906</v>
      </c>
      <c r="D20" s="1250" t="str">
        <f>'1. Справочник'!F20</f>
        <v>Студия</v>
      </c>
      <c r="E20" s="1251" t="s">
        <v>321</v>
      </c>
      <c r="F20" s="1323" t="s">
        <v>1570</v>
      </c>
      <c r="G20" s="1323" t="s">
        <v>1571</v>
      </c>
      <c r="H20" s="1325"/>
      <c r="I20" s="554"/>
    </row>
    <row r="21" ht="15.75" customHeight="1">
      <c r="A21" s="1260"/>
      <c r="B21" s="1248" t="str">
        <f>'1. Справочник'!B21</f>
        <v>Светлана</v>
      </c>
      <c r="C21" s="25" t="str">
        <f>'1. Справочник'!C21</f>
        <v>OBT 2908</v>
      </c>
      <c r="D21" s="1250" t="str">
        <f>'1. Справочник'!F21</f>
        <v>Студия</v>
      </c>
      <c r="E21" s="1251" t="s">
        <v>321</v>
      </c>
      <c r="F21" s="1323" t="s">
        <v>1572</v>
      </c>
      <c r="G21" s="1323" t="s">
        <v>1573</v>
      </c>
      <c r="H21" s="1325"/>
      <c r="I21" s="554"/>
    </row>
    <row r="22" ht="15.75" customHeight="1">
      <c r="A22" s="1260"/>
      <c r="B22" s="1248" t="str">
        <f>'1. Справочник'!B22</f>
        <v>Светлана</v>
      </c>
      <c r="C22" s="25" t="str">
        <f>'1. Справочник'!C22</f>
        <v>OBT 2910</v>
      </c>
      <c r="D22" s="1250" t="str">
        <f>'1. Справочник'!F22</f>
        <v>Студия</v>
      </c>
      <c r="E22" s="1251" t="s">
        <v>321</v>
      </c>
      <c r="F22" s="1323" t="s">
        <v>1574</v>
      </c>
      <c r="G22" s="1323" t="s">
        <v>1575</v>
      </c>
      <c r="H22" s="1325"/>
      <c r="I22" s="554"/>
    </row>
    <row r="23" ht="15.75" customHeight="1">
      <c r="A23" s="1260"/>
      <c r="B23" s="1248" t="str">
        <f>'1. Справочник'!B23</f>
        <v>Светлана</v>
      </c>
      <c r="C23" s="25" t="str">
        <f>'1. Справочник'!C23</f>
        <v>BV A 133 (0715)</v>
      </c>
      <c r="D23" s="1250" t="str">
        <f>'1. Справочник'!F23</f>
        <v>1+1</v>
      </c>
      <c r="E23" s="1251" t="s">
        <v>518</v>
      </c>
      <c r="F23" s="1323" t="s">
        <v>1576</v>
      </c>
      <c r="G23" s="1324"/>
      <c r="H23" s="1325"/>
      <c r="I23" s="554"/>
    </row>
    <row r="24" ht="15.75" customHeight="1">
      <c r="A24" s="1260"/>
      <c r="B24" s="1248" t="str">
        <f>'1. Справочник'!B24</f>
        <v>Светлана</v>
      </c>
      <c r="C24" s="25" t="str">
        <f>'1. Справочник'!C24</f>
        <v>BV A 134 (0713)</v>
      </c>
      <c r="D24" s="1250" t="str">
        <f>'1. Справочник'!F24</f>
        <v>1+1</v>
      </c>
      <c r="E24" s="1251" t="s">
        <v>518</v>
      </c>
      <c r="F24" s="1323" t="s">
        <v>1577</v>
      </c>
      <c r="G24" s="1323" t="s">
        <v>1578</v>
      </c>
      <c r="H24" s="1325"/>
      <c r="I24" s="554"/>
    </row>
    <row r="25" ht="15.75" customHeight="1">
      <c r="A25" s="1260"/>
      <c r="B25" s="1248" t="str">
        <f>'1. Справочник'!B25</f>
        <v>Светлана</v>
      </c>
      <c r="C25" s="25" t="str">
        <f>'1. Справочник'!C25</f>
        <v>BV A 144 (0708)</v>
      </c>
      <c r="D25" s="1250" t="str">
        <f>'1. Справочник'!F25</f>
        <v>1+1</v>
      </c>
      <c r="E25" s="1251" t="s">
        <v>518</v>
      </c>
      <c r="F25" s="1323" t="s">
        <v>1579</v>
      </c>
      <c r="G25" s="1323" t="s">
        <v>1579</v>
      </c>
      <c r="H25" s="1325"/>
      <c r="I25" s="554"/>
    </row>
    <row r="26" ht="15.75" customHeight="1">
      <c r="A26" s="1260"/>
      <c r="B26" s="1248" t="str">
        <f>'1. Справочник'!B26</f>
        <v>Светлана</v>
      </c>
      <c r="C26" s="25" t="str">
        <f>'1. Справочник'!C26</f>
        <v>BV A 145 (0710)</v>
      </c>
      <c r="D26" s="1250" t="str">
        <f>'1. Справочник'!F26</f>
        <v>1+1</v>
      </c>
      <c r="E26" s="1251" t="s">
        <v>518</v>
      </c>
      <c r="F26" s="1323" t="s">
        <v>1580</v>
      </c>
      <c r="G26" s="1323" t="s">
        <v>1581</v>
      </c>
      <c r="H26" s="1325"/>
      <c r="I26" s="554"/>
    </row>
    <row r="27" ht="15.75" customHeight="1">
      <c r="A27" s="1260"/>
      <c r="B27" s="1248" t="str">
        <f>'1. Справочник'!B27</f>
        <v>Светлана</v>
      </c>
      <c r="C27" s="25" t="str">
        <f>'1. Справочник'!C27</f>
        <v>BV A 147 (0714)</v>
      </c>
      <c r="D27" s="1250" t="str">
        <f>'1. Справочник'!F27</f>
        <v>1+1</v>
      </c>
      <c r="E27" s="1251" t="s">
        <v>518</v>
      </c>
      <c r="F27" s="1323" t="s">
        <v>1582</v>
      </c>
      <c r="G27" s="1327" t="s">
        <v>1582</v>
      </c>
      <c r="H27" s="1325"/>
      <c r="I27" s="554"/>
    </row>
    <row r="28" ht="15.75" customHeight="1">
      <c r="A28" s="1260"/>
      <c r="B28" s="1248" t="str">
        <f>'1. Справочник'!B28</f>
        <v>Светлана</v>
      </c>
      <c r="C28" s="25" t="str">
        <f>'1. Справочник'!C28</f>
        <v>BV A 164 (0804)</v>
      </c>
      <c r="D28" s="1250" t="str">
        <f>'1. Справочник'!F28</f>
        <v>1+1</v>
      </c>
      <c r="E28" s="1251" t="s">
        <v>518</v>
      </c>
      <c r="F28" s="1323" t="s">
        <v>1583</v>
      </c>
      <c r="G28" s="1323" t="s">
        <v>1583</v>
      </c>
      <c r="H28" s="1325"/>
      <c r="I28" s="554"/>
    </row>
    <row r="29" ht="15.75" customHeight="1">
      <c r="A29" s="1260"/>
      <c r="B29" s="1248" t="str">
        <f>'1. Справочник'!B29</f>
        <v>Светлана</v>
      </c>
      <c r="C29" s="25" t="str">
        <f>'1. Справочник'!C29</f>
        <v>BV A 225 (1106)</v>
      </c>
      <c r="D29" s="1250" t="str">
        <f>'1. Справочник'!F29</f>
        <v>1+1</v>
      </c>
      <c r="E29" s="1251" t="s">
        <v>518</v>
      </c>
      <c r="F29" s="1323" t="s">
        <v>1584</v>
      </c>
      <c r="G29" s="1323" t="s">
        <v>1585</v>
      </c>
      <c r="H29" s="1325"/>
      <c r="I29" s="554"/>
    </row>
    <row r="30" ht="15.75" customHeight="1">
      <c r="A30" s="1260"/>
      <c r="B30" s="1248" t="str">
        <f>'1. Справочник'!B31</f>
        <v>Светлана</v>
      </c>
      <c r="C30" s="25" t="str">
        <f>'1. Справочник'!C31</f>
        <v>BV C 137 (0707)</v>
      </c>
      <c r="D30" s="1250" t="str">
        <f>'1. Справочник'!F31</f>
        <v>Студия</v>
      </c>
      <c r="E30" s="1251" t="s">
        <v>518</v>
      </c>
      <c r="F30" s="1323" t="s">
        <v>1586</v>
      </c>
      <c r="G30" s="1323" t="s">
        <v>1586</v>
      </c>
      <c r="H30" s="1325"/>
      <c r="I30" s="554"/>
    </row>
    <row r="31" ht="15.75" customHeight="1">
      <c r="A31" s="1260"/>
      <c r="B31" s="1248" t="str">
        <f>'1. Справочник'!B32</f>
        <v>Светлана</v>
      </c>
      <c r="C31" s="25" t="str">
        <f>'1. Справочник'!C32</f>
        <v>BV C 0505</v>
      </c>
      <c r="D31" s="1250" t="str">
        <f>'1. Справочник'!F32</f>
        <v>Студия</v>
      </c>
      <c r="E31" s="1251" t="s">
        <v>518</v>
      </c>
      <c r="F31" s="1323" t="s">
        <v>1587</v>
      </c>
      <c r="G31" s="1324"/>
      <c r="H31" s="1325"/>
      <c r="I31" s="554"/>
    </row>
    <row r="32" ht="15.75" customHeight="1">
      <c r="A32" s="1260"/>
      <c r="B32" s="1248" t="str">
        <f>'1. Справочник'!B33</f>
        <v>Светлана</v>
      </c>
      <c r="C32" s="25" t="str">
        <f>'1. Справочник'!C33</f>
        <v>MC A 708</v>
      </c>
      <c r="D32" s="1250" t="str">
        <f>'1. Справочник'!F33</f>
        <v>Студия</v>
      </c>
      <c r="E32" s="1251" t="s">
        <v>518</v>
      </c>
      <c r="F32" s="1323" t="s">
        <v>1588</v>
      </c>
      <c r="G32" s="1324"/>
      <c r="H32" s="1325"/>
      <c r="I32" s="554"/>
    </row>
    <row r="33" ht="15.75" customHeight="1">
      <c r="A33" s="1260"/>
      <c r="B33" s="1328" t="str">
        <f>'1. Справочник'!B68</f>
        <v>Дарья</v>
      </c>
      <c r="C33" s="1329" t="str">
        <f>'1. Справочник'!C68</f>
        <v>Пиросмани 162</v>
      </c>
      <c r="D33" s="1330" t="str">
        <f>'1. Справочник'!F68</f>
        <v>Студия</v>
      </c>
      <c r="E33" s="1331" t="s">
        <v>1544</v>
      </c>
      <c r="F33" s="1324"/>
      <c r="G33" s="1324"/>
      <c r="H33" s="1325"/>
      <c r="I33" s="554"/>
    </row>
    <row r="34" ht="15.75" customHeight="1">
      <c r="A34" s="1260"/>
      <c r="B34" s="1282" t="str">
        <f>'1. Справочник'!B69</f>
        <v>Дарья</v>
      </c>
      <c r="C34" s="1283" t="str">
        <f>'1. Справочник'!C69</f>
        <v>Пиросмани 181</v>
      </c>
      <c r="D34" s="1281" t="str">
        <f>'1. Справочник'!F69</f>
        <v>1+2</v>
      </c>
      <c r="E34" s="1303" t="s">
        <v>518</v>
      </c>
      <c r="F34" s="1324"/>
      <c r="G34" s="1324"/>
      <c r="H34" s="1325"/>
      <c r="I34" s="554"/>
    </row>
    <row r="35" ht="15.75" customHeight="1">
      <c r="A35" s="554"/>
      <c r="B35" s="1282" t="str">
        <f>'1. Справочник'!B70</f>
        <v>Юлия</v>
      </c>
      <c r="C35" s="1283" t="str">
        <f>'1. Справочник'!C70</f>
        <v>Pollo 2-2</v>
      </c>
      <c r="D35" s="1281" t="str">
        <f>'1. Справочник'!F70</f>
        <v>Дом</v>
      </c>
      <c r="E35" s="1303"/>
      <c r="F35" s="1324"/>
      <c r="G35" s="1324"/>
      <c r="H35" s="1325"/>
      <c r="I35" s="554"/>
    </row>
    <row r="36" ht="15.75" customHeight="1">
      <c r="A36" s="1304" t="s">
        <v>1548</v>
      </c>
      <c r="B36" s="1282" t="str">
        <f>'1. Справочник'!B71</f>
        <v>Юлия</v>
      </c>
      <c r="C36" s="1283" t="str">
        <f>'1. Справочник'!C71</f>
        <v>Pollo 3-5</v>
      </c>
      <c r="D36" s="1281" t="str">
        <f>'1. Справочник'!F71</f>
        <v>Дом</v>
      </c>
      <c r="F36" s="1324"/>
      <c r="G36" s="1324"/>
      <c r="H36" s="1325"/>
      <c r="I36" s="554"/>
    </row>
    <row r="37" ht="15.75" customHeight="1">
      <c r="A37" s="1304" t="s">
        <v>1549</v>
      </c>
      <c r="B37" s="1282" t="str">
        <f>'1. Справочник'!B72</f>
        <v>Юлия</v>
      </c>
      <c r="C37" s="1283" t="str">
        <f>'1. Справочник'!C72</f>
        <v>Polo 4-12</v>
      </c>
      <c r="D37" s="1281" t="str">
        <f>'1. Справочник'!F72</f>
        <v>Дом</v>
      </c>
      <c r="E37" s="1303" t="s">
        <v>563</v>
      </c>
      <c r="F37" s="1332"/>
      <c r="G37" s="1333" t="s">
        <v>1589</v>
      </c>
      <c r="H37" s="1325"/>
      <c r="I37" s="554"/>
    </row>
    <row r="38" ht="15.75" customHeight="1">
      <c r="A38" s="1273" t="s">
        <v>1540</v>
      </c>
      <c r="B38" s="1248" t="str">
        <f>'1. Справочник'!B34</f>
        <v>Борис</v>
      </c>
      <c r="C38" s="25" t="str">
        <f>'1. Справочник'!C34</f>
        <v>С 1125</v>
      </c>
      <c r="D38" s="1250" t="str">
        <f>'1. Справочник'!F34</f>
        <v>Студия</v>
      </c>
      <c r="E38" s="1274" t="s">
        <v>518</v>
      </c>
      <c r="F38" s="1324"/>
      <c r="G38" s="1324"/>
      <c r="H38" s="1325"/>
      <c r="I38" s="554"/>
    </row>
    <row r="39" ht="15.75" customHeight="1">
      <c r="A39" s="1273" t="s">
        <v>1541</v>
      </c>
      <c r="B39" s="1248" t="str">
        <f>'1. Справочник'!B35</f>
        <v>Борис</v>
      </c>
      <c r="C39" s="25" t="str">
        <f>'1. Справочник'!C35</f>
        <v>С 1443</v>
      </c>
      <c r="D39" s="1250" t="str">
        <f>'1. Справочник'!F35</f>
        <v>1+1</v>
      </c>
      <c r="E39" s="1274" t="s">
        <v>518</v>
      </c>
      <c r="F39" s="1324"/>
      <c r="G39" s="1324"/>
      <c r="H39" s="1325"/>
      <c r="I39" s="554"/>
    </row>
    <row r="40" ht="15.75" customHeight="1">
      <c r="A40" s="1273" t="s">
        <v>1542</v>
      </c>
      <c r="B40" s="1248" t="str">
        <f>'1. Справочник'!B36</f>
        <v>Борис</v>
      </c>
      <c r="C40" s="25" t="str">
        <f>'1. Справочник'!C36</f>
        <v>C 4245</v>
      </c>
      <c r="D40" s="1250" t="str">
        <f>'1. Справочник'!F36</f>
        <v>1+1</v>
      </c>
      <c r="E40" s="1274" t="s">
        <v>518</v>
      </c>
      <c r="F40" s="1324"/>
      <c r="G40" s="1324"/>
      <c r="H40" s="1325"/>
      <c r="I40" s="554"/>
    </row>
    <row r="41" ht="15.75" customHeight="1">
      <c r="A41" s="1273" t="s">
        <v>1543</v>
      </c>
      <c r="B41" s="1248" t="str">
        <f>'1. Справочник'!B37</f>
        <v>Борис</v>
      </c>
      <c r="C41" s="25" t="str">
        <f>'1. Справочник'!C37</f>
        <v>А 4049</v>
      </c>
      <c r="D41" s="1250" t="str">
        <f>'1. Справочник'!F37</f>
        <v>Студия</v>
      </c>
      <c r="E41" s="1274" t="s">
        <v>518</v>
      </c>
      <c r="F41" s="1324"/>
      <c r="G41" s="1324"/>
      <c r="H41" s="1325"/>
      <c r="I41" s="554"/>
    </row>
    <row r="42" ht="15.75" customHeight="1">
      <c r="A42" s="1273"/>
      <c r="B42" s="1248" t="str">
        <f>'1. Справочник'!B38</f>
        <v>Борис</v>
      </c>
      <c r="C42" s="25" t="str">
        <f>'1. Справочник'!C38</f>
        <v>C 732</v>
      </c>
      <c r="D42" s="1250" t="str">
        <f>'1. Справочник'!F39</f>
        <v>Студия</v>
      </c>
      <c r="E42" s="1274" t="s">
        <v>518</v>
      </c>
      <c r="F42" s="1324"/>
      <c r="G42" s="1324"/>
      <c r="H42" s="1325"/>
      <c r="I42" s="554"/>
    </row>
    <row r="43" ht="15.75" customHeight="1">
      <c r="A43" s="1273"/>
      <c r="B43" s="1248" t="str">
        <f>'1. Справочник'!B39</f>
        <v>Борис</v>
      </c>
      <c r="C43" s="25" t="str">
        <f>'1. Справочник'!C39</f>
        <v>С 2756</v>
      </c>
      <c r="D43" s="1250" t="str">
        <f>'1. Справочник'!F40</f>
        <v>Студия</v>
      </c>
      <c r="E43" s="1274" t="s">
        <v>563</v>
      </c>
      <c r="F43" s="1324"/>
      <c r="G43" s="1324"/>
      <c r="H43" s="1325"/>
      <c r="I43" s="554"/>
    </row>
    <row r="44" ht="15.75" customHeight="1">
      <c r="A44" s="1273"/>
      <c r="B44" s="1248" t="str">
        <f>'1. Справочник'!B40</f>
        <v>Борис</v>
      </c>
      <c r="C44" s="25" t="str">
        <f>'1. Справочник'!C40</f>
        <v>D 1321</v>
      </c>
      <c r="D44" s="1250"/>
      <c r="E44" s="1274" t="s">
        <v>518</v>
      </c>
      <c r="F44" s="1324"/>
      <c r="G44" s="1324"/>
      <c r="H44" s="1325"/>
      <c r="I44" s="554"/>
    </row>
    <row r="45" ht="15.0" customHeight="1">
      <c r="A45" s="1273"/>
      <c r="B45" s="1248" t="str">
        <f>'1. Справочник'!B41</f>
        <v>Борис</v>
      </c>
      <c r="C45" s="25" t="str">
        <f>'1. Справочник'!C41</f>
        <v>D2 1625</v>
      </c>
      <c r="D45" s="1250" t="str">
        <f>'1. Справочник'!F42</f>
        <v>1+1</v>
      </c>
      <c r="E45" s="1274" t="s">
        <v>518</v>
      </c>
      <c r="F45" s="1324"/>
      <c r="G45" s="1324"/>
      <c r="H45" s="1325"/>
      <c r="I45" s="554"/>
    </row>
    <row r="46" ht="15.0" customHeight="1">
      <c r="A46" s="1273"/>
      <c r="B46" s="1248" t="str">
        <f>'1. Справочник'!B42</f>
        <v>Борис</v>
      </c>
      <c r="C46" s="25" t="str">
        <f>'1. Справочник'!C42</f>
        <v>D2 3216</v>
      </c>
      <c r="D46" s="1250" t="str">
        <f>'1. Справочник'!F43</f>
        <v>1+1</v>
      </c>
      <c r="E46" s="1274" t="s">
        <v>518</v>
      </c>
      <c r="F46" s="1324"/>
      <c r="G46" s="1324"/>
      <c r="H46" s="1325"/>
      <c r="I46" s="554"/>
    </row>
    <row r="47" ht="15.0" customHeight="1">
      <c r="A47" s="1260"/>
      <c r="B47" s="1248" t="str">
        <f>'1. Справочник'!B43</f>
        <v>Борис</v>
      </c>
      <c r="C47" s="25" t="str">
        <f>'1. Справочник'!C43</f>
        <v>D1 3902</v>
      </c>
      <c r="D47" s="1281" t="str">
        <f>'1. Справочник'!F44</f>
        <v>1+1</v>
      </c>
      <c r="E47" s="1274" t="s">
        <v>518</v>
      </c>
      <c r="F47" s="1324"/>
      <c r="G47" s="1324"/>
      <c r="H47" s="1325"/>
      <c r="I47" s="554"/>
    </row>
    <row r="48" ht="15.0" customHeight="1">
      <c r="A48" s="554"/>
      <c r="B48" s="1248" t="str">
        <f>'1. Справочник'!B44</f>
        <v>Борис</v>
      </c>
      <c r="C48" s="25" t="str">
        <f>'1. Справочник'!C44</f>
        <v>D2 503</v>
      </c>
      <c r="D48" s="1281" t="str">
        <f>'1. Справочник'!F45</f>
        <v>1+1</v>
      </c>
      <c r="E48" s="1274" t="s">
        <v>518</v>
      </c>
      <c r="F48" s="1324"/>
      <c r="G48" s="1324"/>
      <c r="H48" s="1325"/>
      <c r="I48" s="554"/>
    </row>
    <row r="49" ht="15.0" customHeight="1">
      <c r="A49" s="554"/>
      <c r="B49" s="1248" t="str">
        <f>'1. Справочник'!B45</f>
        <v>Дина</v>
      </c>
      <c r="C49" s="25" t="str">
        <f>'1. Справочник'!C45</f>
        <v>CM 1604</v>
      </c>
      <c r="D49" s="1250" t="str">
        <f>'1. Справочник'!F45</f>
        <v>1+1</v>
      </c>
      <c r="E49" s="1274" t="s">
        <v>518</v>
      </c>
      <c r="F49" s="1324"/>
      <c r="G49" s="1324"/>
      <c r="H49" s="1325"/>
      <c r="I49" s="554"/>
    </row>
    <row r="50" ht="15.0" customHeight="1">
      <c r="A50" s="554"/>
      <c r="B50" s="1248" t="str">
        <f>'1. Справочник'!B46</f>
        <v>Дина</v>
      </c>
      <c r="C50" s="25" t="str">
        <f>'1. Справочник'!C46</f>
        <v>CM 1606</v>
      </c>
      <c r="D50" s="1250" t="str">
        <f>'1. Справочник'!F46</f>
        <v>Студия</v>
      </c>
      <c r="E50" s="1274" t="s">
        <v>518</v>
      </c>
      <c r="F50" s="1324"/>
      <c r="G50" s="1324"/>
      <c r="H50" s="1325"/>
    </row>
    <row r="51" ht="15.0" customHeight="1">
      <c r="A51" s="554"/>
      <c r="B51" s="1248" t="str">
        <f>'1. Справочник'!B47</f>
        <v>Дина</v>
      </c>
      <c r="C51" s="25" t="str">
        <f>'1. Справочник'!C47</f>
        <v>CM 1931</v>
      </c>
      <c r="D51" s="1250" t="str">
        <f>'1. Справочник'!F47</f>
        <v>Студия</v>
      </c>
      <c r="E51" s="1274" t="s">
        <v>518</v>
      </c>
      <c r="F51" s="1324"/>
      <c r="G51" s="1324"/>
      <c r="H51" s="1325"/>
    </row>
    <row r="52" ht="15.0" customHeight="1">
      <c r="A52" s="554"/>
      <c r="B52" s="1248" t="str">
        <f>'1. Справочник'!B48</f>
        <v>Дина</v>
      </c>
      <c r="C52" s="25" t="str">
        <f>'1. Справочник'!C48</f>
        <v>CM 1304</v>
      </c>
      <c r="D52" s="1250" t="str">
        <f>'1. Справочник'!F48</f>
        <v>1+1</v>
      </c>
      <c r="E52" s="1274" t="s">
        <v>518</v>
      </c>
      <c r="F52" s="1324"/>
      <c r="G52" s="1324"/>
      <c r="H52" s="1325"/>
    </row>
    <row r="53" ht="15.0" customHeight="1">
      <c r="A53" s="554"/>
      <c r="B53" s="1248" t="str">
        <f>'1. Справочник'!B51</f>
        <v>Дина</v>
      </c>
      <c r="C53" s="25" t="str">
        <f>'1. Справочник'!C49</f>
        <v>CM 1327</v>
      </c>
      <c r="D53" s="1250" t="s">
        <v>27</v>
      </c>
      <c r="E53" s="1274" t="s">
        <v>518</v>
      </c>
      <c r="F53" s="1324"/>
      <c r="G53" s="1324"/>
      <c r="H53" s="1325"/>
    </row>
    <row r="54" ht="15.75" customHeight="1">
      <c r="B54" s="1248" t="str">
        <f>'1. Справочник'!B52</f>
        <v>Дина</v>
      </c>
      <c r="C54" s="1283" t="str">
        <f>'1. Справочник'!C50</f>
        <v>Int 2905</v>
      </c>
      <c r="D54" s="1281" t="str">
        <f>'1. Справочник'!F50</f>
        <v>1+1</v>
      </c>
      <c r="E54" s="1284" t="s">
        <v>563</v>
      </c>
      <c r="F54" s="1321" t="s">
        <v>1590</v>
      </c>
      <c r="G54" s="1322" t="s">
        <v>441</v>
      </c>
      <c r="H54" s="93"/>
    </row>
    <row r="55" ht="15.75" customHeight="1">
      <c r="B55" s="1248" t="s">
        <v>123</v>
      </c>
      <c r="C55" s="25" t="str">
        <f>'1. Справочник'!C51</f>
        <v>Int 2612</v>
      </c>
      <c r="D55" s="1250" t="str">
        <f>'1. Справочник'!F51</f>
        <v>1+1</v>
      </c>
      <c r="E55" s="1274" t="s">
        <v>518</v>
      </c>
      <c r="F55" s="1321" t="s">
        <v>1591</v>
      </c>
      <c r="G55" s="1322" t="s">
        <v>441</v>
      </c>
      <c r="H55" s="93"/>
    </row>
    <row r="56" ht="15.75" customHeight="1">
      <c r="B56" s="1248" t="str">
        <f>'1. Справочник'!B55</f>
        <v>Юлия</v>
      </c>
      <c r="C56" s="25" t="str">
        <f>'1. Справочник'!C52</f>
        <v>Шар 2505</v>
      </c>
      <c r="D56" s="1250" t="str">
        <f>'1. Справочник'!F52</f>
        <v>Студия</v>
      </c>
      <c r="E56" s="1274" t="s">
        <v>518</v>
      </c>
      <c r="F56" s="1322" t="s">
        <v>1592</v>
      </c>
      <c r="G56" s="1322" t="s">
        <v>441</v>
      </c>
      <c r="H56" s="93"/>
    </row>
    <row r="57" ht="15.75" customHeight="1">
      <c r="B57" s="1248" t="str">
        <f>'1. Справочник'!B56</f>
        <v>Юлия</v>
      </c>
      <c r="C57" s="25" t="str">
        <f>'1. Справочник'!C54</f>
        <v>Багратиони</v>
      </c>
      <c r="D57" s="1250" t="str">
        <f>'1. Справочник'!F54</f>
        <v>1+2</v>
      </c>
      <c r="E57" s="1274" t="s">
        <v>563</v>
      </c>
      <c r="F57" s="1321" t="s">
        <v>1593</v>
      </c>
      <c r="G57" s="1322" t="s">
        <v>441</v>
      </c>
      <c r="H57" s="93"/>
    </row>
    <row r="58" ht="15.75" customHeight="1">
      <c r="B58" s="1248" t="str">
        <f>'1. Справочник'!B57</f>
        <v>Юлия</v>
      </c>
      <c r="C58" s="25" t="str">
        <f>'1. Справочник'!C55</f>
        <v>Думбадзе</v>
      </c>
      <c r="D58" s="1250" t="str">
        <f>'1. Справочник'!F55</f>
        <v>1+1</v>
      </c>
      <c r="E58" s="1274" t="s">
        <v>518</v>
      </c>
      <c r="F58" s="1322" t="s">
        <v>1594</v>
      </c>
      <c r="G58" s="1322" t="s">
        <v>441</v>
      </c>
      <c r="H58" s="93"/>
    </row>
    <row r="59" ht="15.75" customHeight="1">
      <c r="B59" s="1248" t="str">
        <f>'1. Справочник'!B56</f>
        <v>Юлия</v>
      </c>
      <c r="C59" s="1283" t="str">
        <f>'1. Справочник'!C74</f>
        <v>шартава 16/18</v>
      </c>
      <c r="D59" s="1281" t="str">
        <f>'1. Справочник'!F74</f>
        <v>Студия</v>
      </c>
      <c r="E59" s="1274" t="s">
        <v>563</v>
      </c>
      <c r="F59" s="1322"/>
      <c r="G59" s="1322"/>
      <c r="H59" s="93"/>
    </row>
    <row r="60" ht="15.0" customHeight="1">
      <c r="A60" s="554"/>
      <c r="B60" s="1248" t="str">
        <f>'1. Справочник'!B57</f>
        <v>Юлия</v>
      </c>
      <c r="C60" s="25" t="str">
        <f>'1. Справочник'!C57</f>
        <v>PT2604</v>
      </c>
      <c r="D60" s="1250" t="str">
        <f>'1. Справочник'!F57</f>
        <v>Студия</v>
      </c>
      <c r="E60" s="1274" t="s">
        <v>321</v>
      </c>
      <c r="F60" s="1323" t="s">
        <v>1595</v>
      </c>
      <c r="G60" s="1323" t="s">
        <v>1595</v>
      </c>
      <c r="H60" s="1325" t="s">
        <v>441</v>
      </c>
    </row>
    <row r="61" ht="15.75" customHeight="1">
      <c r="A61" s="554"/>
      <c r="B61" s="1248" t="str">
        <f>'1. Справочник'!B58</f>
        <v>Юлия</v>
      </c>
      <c r="C61" s="25" t="str">
        <f>'1. Справочник'!C58</f>
        <v>PT2704</v>
      </c>
      <c r="D61" s="1250" t="str">
        <f>'1. Справочник'!F58</f>
        <v>Студия</v>
      </c>
      <c r="E61" s="1274" t="s">
        <v>321</v>
      </c>
      <c r="F61" s="1323" t="s">
        <v>1596</v>
      </c>
      <c r="G61" s="1324" t="s">
        <v>441</v>
      </c>
      <c r="H61" s="1325"/>
    </row>
    <row r="62" ht="15.75" customHeight="1">
      <c r="B62" s="1248" t="str">
        <f>'1. Справочник'!B137</f>
        <v>Дина</v>
      </c>
      <c r="C62" s="25" t="str">
        <f>'1. Справочник'!C60</f>
        <v>NW 2-5</v>
      </c>
      <c r="D62" s="1250" t="str">
        <f>'1. Справочник'!F60</f>
        <v>1+1</v>
      </c>
      <c r="E62" s="1274" t="s">
        <v>518</v>
      </c>
      <c r="F62" s="1321" t="s">
        <v>1597</v>
      </c>
      <c r="G62" s="1322" t="s">
        <v>441</v>
      </c>
      <c r="H62" s="93"/>
    </row>
    <row r="63" ht="15.75" customHeight="1">
      <c r="B63" s="1248" t="str">
        <f>'1. Справочник'!B138</f>
        <v>Дина</v>
      </c>
      <c r="C63" s="25" t="str">
        <f>'1. Справочник'!C136</f>
        <v>NW 4-9</v>
      </c>
      <c r="D63" s="1250" t="str">
        <f>'1. Справочник'!F136</f>
        <v>Студия</v>
      </c>
      <c r="E63" s="1274" t="s">
        <v>518</v>
      </c>
      <c r="F63" s="1321" t="s">
        <v>1598</v>
      </c>
      <c r="G63" s="1322" t="s">
        <v>441</v>
      </c>
      <c r="H63" s="93"/>
    </row>
    <row r="64" ht="15.75" customHeight="1">
      <c r="B64" s="1248" t="str">
        <f>'1. Справочник'!B61</f>
        <v>Дина</v>
      </c>
      <c r="C64" s="25" t="str">
        <f>'1. Справочник'!C137</f>
        <v>NW 4-10</v>
      </c>
      <c r="D64" s="1250" t="str">
        <f>'1. Справочник'!F137</f>
        <v>Студия</v>
      </c>
      <c r="E64" s="1274" t="s">
        <v>518</v>
      </c>
      <c r="F64" s="1321" t="s">
        <v>1599</v>
      </c>
      <c r="G64" s="1322" t="s">
        <v>441</v>
      </c>
      <c r="H64" s="93"/>
    </row>
    <row r="65" ht="15.75" customHeight="1">
      <c r="B65" s="1248" t="str">
        <f>'1. Справочник'!B62</f>
        <v>Дина</v>
      </c>
      <c r="C65" s="25" t="str">
        <f>'1. Справочник'!C138</f>
        <v>NW 10-6</v>
      </c>
      <c r="D65" s="1250" t="str">
        <f>'1. Справочник'!F138</f>
        <v>Студия</v>
      </c>
      <c r="E65" s="1274" t="s">
        <v>518</v>
      </c>
      <c r="F65" s="1321" t="s">
        <v>1600</v>
      </c>
      <c r="G65" s="1322" t="s">
        <v>441</v>
      </c>
      <c r="H65" s="93"/>
    </row>
    <row r="66" ht="15.75" customHeight="1">
      <c r="B66" s="1248" t="str">
        <f>'1. Справочник'!B63</f>
        <v>Юлия</v>
      </c>
      <c r="C66" s="25" t="str">
        <f>'1. Справочник'!C61</f>
        <v>NW 3-7</v>
      </c>
      <c r="D66" s="1250" t="str">
        <f>'1. Справочник'!F61</f>
        <v>Студия</v>
      </c>
      <c r="E66" s="1274" t="s">
        <v>518</v>
      </c>
      <c r="F66" s="1322"/>
      <c r="G66" s="1322" t="s">
        <v>441</v>
      </c>
      <c r="H66" s="93"/>
    </row>
    <row r="67" ht="15.75" customHeight="1">
      <c r="B67" s="1248" t="str">
        <f>'1. Справочник'!B63</f>
        <v>Юлия</v>
      </c>
      <c r="C67" s="25" t="str">
        <f>'1. Справочник'!C63</f>
        <v>MZ 718</v>
      </c>
      <c r="D67" s="1250" t="str">
        <f>'1. Справочник'!F63</f>
        <v>Студия</v>
      </c>
      <c r="E67" s="1274" t="s">
        <v>518</v>
      </c>
      <c r="F67" s="1321" t="s">
        <v>1601</v>
      </c>
      <c r="G67" s="1322" t="s">
        <v>441</v>
      </c>
      <c r="H67" s="93"/>
    </row>
    <row r="68" ht="15.75" customHeight="1">
      <c r="B68" s="1248" t="str">
        <f>'1. Справочник'!B64</f>
        <v>Юлия</v>
      </c>
      <c r="C68" s="25" t="str">
        <f>'1. Справочник'!C64</f>
        <v>MZ 913</v>
      </c>
      <c r="D68" s="1250" t="str">
        <f>'1. Справочник'!F64</f>
        <v>Студия</v>
      </c>
      <c r="E68" s="1274" t="s">
        <v>518</v>
      </c>
      <c r="F68" s="1321" t="s">
        <v>1602</v>
      </c>
      <c r="G68" s="1321" t="s">
        <v>1602</v>
      </c>
      <c r="H68" s="93" t="s">
        <v>441</v>
      </c>
    </row>
    <row r="69" ht="15.75" customHeight="1">
      <c r="B69" s="1248" t="str">
        <f>'1. Справочник'!B65</f>
        <v>Юлия</v>
      </c>
      <c r="C69" s="25" t="str">
        <f>'1. Справочник'!C65</f>
        <v>MZ 1408</v>
      </c>
      <c r="D69" s="1250" t="str">
        <f>'1. Справочник'!F65</f>
        <v>1+1</v>
      </c>
      <c r="E69" s="1274" t="s">
        <v>518</v>
      </c>
      <c r="F69" s="1321" t="s">
        <v>1603</v>
      </c>
      <c r="G69" s="1322" t="s">
        <v>441</v>
      </c>
      <c r="H69" s="93"/>
    </row>
    <row r="70" ht="15.75" customHeight="1">
      <c r="B70" s="1248" t="str">
        <f>'1. Справочник'!B66</f>
        <v>Юлия</v>
      </c>
      <c r="C70" s="25" t="str">
        <f>'1. Справочник'!C66</f>
        <v>MZ А 1113</v>
      </c>
      <c r="D70" s="1250" t="str">
        <f>'1. Справочник'!F66</f>
        <v>1+1</v>
      </c>
      <c r="E70" s="1274" t="s">
        <v>518</v>
      </c>
      <c r="F70" s="1321" t="s">
        <v>1604</v>
      </c>
      <c r="G70" s="1321" t="s">
        <v>1604</v>
      </c>
      <c r="H70" s="93" t="s">
        <v>441</v>
      </c>
    </row>
    <row r="71" ht="15.75" customHeight="1">
      <c r="B71" s="1248" t="str">
        <f>'1. Справочник'!B67</f>
        <v>Юлия</v>
      </c>
      <c r="C71" s="1262" t="str">
        <f>'1. Справочник'!C67</f>
        <v>MZ C 511</v>
      </c>
      <c r="D71" s="1250"/>
      <c r="E71" s="1274"/>
      <c r="F71" s="1332"/>
      <c r="G71" s="1332"/>
      <c r="H71" s="93"/>
    </row>
    <row r="72" ht="15.75" customHeight="1">
      <c r="B72" s="1248" t="str">
        <f>'1. Справочник'!B77</f>
        <v/>
      </c>
      <c r="C72" s="25" t="str">
        <f>'1. Справочник'!C75</f>
        <v>DL 11-1112</v>
      </c>
      <c r="D72" s="1250" t="str">
        <f>'1. Справочник'!F75</f>
        <v>Студия</v>
      </c>
      <c r="E72" s="1274" t="s">
        <v>1545</v>
      </c>
      <c r="F72" s="1322"/>
      <c r="G72" s="1322"/>
      <c r="H72" s="93"/>
    </row>
    <row r="73" ht="15.75" customHeight="1">
      <c r="B73" s="1248" t="str">
        <f>'1. Справочник'!B78</f>
        <v/>
      </c>
      <c r="C73" s="25" t="str">
        <f>'1. Справочник'!C76</f>
        <v>DL 11-1305</v>
      </c>
      <c r="D73" s="1250" t="str">
        <f>'1. Справочник'!F76</f>
        <v>1+1</v>
      </c>
      <c r="E73" s="1274" t="s">
        <v>518</v>
      </c>
      <c r="F73" s="1322"/>
      <c r="G73" s="1322"/>
      <c r="H73" s="93"/>
    </row>
    <row r="74" ht="15.75" customHeight="1">
      <c r="B74" s="1248" t="str">
        <f>'1. Справочник'!B79</f>
        <v/>
      </c>
      <c r="C74" s="25" t="str">
        <f>'1. Справочник'!C77</f>
        <v>DL 14-516</v>
      </c>
      <c r="D74" s="1250" t="str">
        <f>'1. Справочник'!F77</f>
        <v>1+1</v>
      </c>
      <c r="E74" s="1274" t="s">
        <v>518</v>
      </c>
      <c r="F74" s="1322"/>
      <c r="G74" s="1322"/>
      <c r="H74" s="93"/>
    </row>
    <row r="75" ht="15.75" customHeight="1">
      <c r="B75" s="1248" t="str">
        <f>'1. Справочник'!B80</f>
        <v/>
      </c>
      <c r="C75" s="25" t="str">
        <f>'1. Справочник'!C78</f>
        <v>DL 14-702</v>
      </c>
      <c r="D75" s="1250" t="str">
        <f>'1. Справочник'!F78</f>
        <v>1+1</v>
      </c>
      <c r="E75" s="1274" t="s">
        <v>518</v>
      </c>
      <c r="F75" s="1322"/>
      <c r="G75" s="1322"/>
      <c r="H75" s="93"/>
    </row>
    <row r="76" ht="15.75" customHeight="1">
      <c r="B76" s="1248" t="str">
        <f>'1. Справочник'!B81</f>
        <v/>
      </c>
      <c r="C76" s="25" t="str">
        <f>'1. Справочник'!C79</f>
        <v>DL 14-1214</v>
      </c>
      <c r="D76" s="1250" t="str">
        <f>'1. Справочник'!F79</f>
        <v>Студия</v>
      </c>
      <c r="E76" s="1274" t="s">
        <v>1545</v>
      </c>
      <c r="F76" s="1322"/>
      <c r="G76" s="1322"/>
      <c r="H76" s="93"/>
    </row>
    <row r="77" ht="15.75" customHeight="1">
      <c r="B77" s="1248" t="str">
        <f>'1. Справочник'!B82</f>
        <v/>
      </c>
      <c r="C77" s="25" t="str">
        <f>'1. Справочник'!C80</f>
        <v>14-411</v>
      </c>
      <c r="D77" s="1250" t="str">
        <f>'1. Справочник'!F80</f>
        <v>Студия/твин</v>
      </c>
      <c r="E77" s="1274" t="s">
        <v>1545</v>
      </c>
      <c r="F77" s="1322"/>
      <c r="G77" s="1322"/>
      <c r="H77" s="93"/>
    </row>
    <row r="78" ht="15.75" customHeight="1">
      <c r="B78" s="1248" t="str">
        <f>'1. Справочник'!B83</f>
        <v/>
      </c>
      <c r="C78" s="25" t="str">
        <f>'1. Справочник'!C81</f>
        <v>DL 4-09</v>
      </c>
      <c r="D78" s="1250" t="str">
        <f>'1. Справочник'!F81</f>
        <v>Студия</v>
      </c>
      <c r="E78" s="1274" t="s">
        <v>1545</v>
      </c>
      <c r="F78" s="1322"/>
      <c r="G78" s="1322"/>
      <c r="H78" s="93"/>
    </row>
    <row r="79" ht="15.75" customHeight="1">
      <c r="B79" s="1248" t="str">
        <f>'1. Справочник'!B84</f>
        <v/>
      </c>
      <c r="C79" s="25" t="str">
        <f>'1. Справочник'!C82</f>
        <v>DL14-518</v>
      </c>
      <c r="D79" s="1250" t="str">
        <f>'1. Справочник'!F82</f>
        <v>Студия</v>
      </c>
      <c r="E79" s="1274" t="s">
        <v>1545</v>
      </c>
      <c r="F79" s="1322"/>
      <c r="G79" s="1322"/>
      <c r="H79" s="93"/>
    </row>
    <row r="80" ht="15.75" customHeight="1">
      <c r="B80" s="1248" t="str">
        <f>'1. Справочник'!B85</f>
        <v/>
      </c>
      <c r="C80" s="25" t="str">
        <f>'1. Справочник'!C83</f>
        <v>DL14-1405</v>
      </c>
      <c r="D80" s="1292"/>
      <c r="E80" s="1274" t="s">
        <v>518</v>
      </c>
      <c r="F80" s="1322"/>
      <c r="G80" s="1322"/>
      <c r="H80" s="93"/>
    </row>
    <row r="81" ht="15.75" customHeight="1">
      <c r="B81" s="1248" t="str">
        <f>'1. Справочник'!B86</f>
        <v/>
      </c>
      <c r="C81" s="25" t="str">
        <f>'1. Справочник'!C84</f>
        <v>DL 14-505</v>
      </c>
      <c r="D81" s="1250" t="str">
        <f>'1. Справочник'!F84</f>
        <v>Студия/твин</v>
      </c>
      <c r="E81" s="1274" t="s">
        <v>1545</v>
      </c>
      <c r="F81" s="1322"/>
      <c r="G81" s="1322"/>
      <c r="H81" s="93"/>
    </row>
    <row r="82" ht="15.75" customHeight="1">
      <c r="B82" s="1248" t="str">
        <f>'1. Справочник'!B87</f>
        <v/>
      </c>
      <c r="C82" s="25" t="str">
        <f>'1. Справочник'!C85</f>
        <v>DL 14-1614</v>
      </c>
      <c r="D82" s="1250" t="str">
        <f>'1. Справочник'!F85</f>
        <v>Студия</v>
      </c>
      <c r="E82" s="1274" t="s">
        <v>1545</v>
      </c>
      <c r="F82" s="1322"/>
      <c r="G82" s="1322"/>
      <c r="H82" s="93"/>
    </row>
    <row r="83" ht="15.75" customHeight="1">
      <c r="B83" s="1248" t="str">
        <f>'1. Справочник'!B88</f>
        <v/>
      </c>
      <c r="C83" s="25" t="str">
        <f>'1. Справочник'!C86</f>
        <v>DL 14-1710</v>
      </c>
      <c r="D83" s="1250" t="str">
        <f>'1. Справочник'!F86</f>
        <v>Студия</v>
      </c>
      <c r="E83" s="1274" t="s">
        <v>1545</v>
      </c>
      <c r="F83" s="1322"/>
      <c r="G83" s="1322"/>
      <c r="H83" s="93"/>
    </row>
    <row r="84" ht="15.75" customHeight="1">
      <c r="B84" s="1248" t="str">
        <f>#REF!</f>
        <v>#REF!</v>
      </c>
      <c r="C84" s="25" t="str">
        <f>'1. Справочник'!C87</f>
        <v>DL14-305</v>
      </c>
      <c r="D84" s="1250" t="str">
        <f>'1. Справочник'!F87</f>
        <v>Студия</v>
      </c>
      <c r="E84" s="1274" t="s">
        <v>1545</v>
      </c>
      <c r="F84" s="1322"/>
      <c r="G84" s="1322"/>
      <c r="H84" s="93"/>
    </row>
    <row r="85" ht="15.75" customHeight="1">
      <c r="B85" s="1248" t="str">
        <f>'1. Справочник'!B89</f>
        <v/>
      </c>
      <c r="C85" s="25" t="str">
        <f>'1. Справочник'!C88</f>
        <v>DL14-501-502</v>
      </c>
      <c r="D85" s="1250" t="str">
        <f>'1. Справочник'!F88</f>
        <v>1+1</v>
      </c>
      <c r="E85" s="1274" t="s">
        <v>1545</v>
      </c>
      <c r="F85" s="1322"/>
      <c r="G85" s="1322"/>
      <c r="H85" s="93"/>
    </row>
    <row r="86" ht="15.75" customHeight="1">
      <c r="B86" s="1248" t="str">
        <f>'1. Справочник'!B140</f>
        <v/>
      </c>
      <c r="C86" s="25" t="str">
        <f>#REF!</f>
        <v>#REF!</v>
      </c>
      <c r="D86" s="1250" t="str">
        <f>'1. Справочник'!F89</f>
        <v>1+2 с террасой</v>
      </c>
      <c r="E86" s="1274" t="s">
        <v>1545</v>
      </c>
      <c r="F86" s="1322"/>
      <c r="G86" s="1322"/>
      <c r="H86" s="93"/>
    </row>
    <row r="87" ht="15.75" customHeight="1">
      <c r="B87" s="1248" t="str">
        <f>'1. Справочник'!B98</f>
        <v>Светлана</v>
      </c>
      <c r="C87" s="25" t="str">
        <f>'1. Справочник'!C89</f>
        <v>DL7-16</v>
      </c>
      <c r="D87" s="1250" t="str">
        <f>'1. Справочник'!F90</f>
        <v>Студия на 4х</v>
      </c>
      <c r="E87" s="1274" t="s">
        <v>518</v>
      </c>
      <c r="F87" s="1322"/>
      <c r="G87" s="1322"/>
      <c r="H87" s="93"/>
    </row>
    <row r="88" ht="15.75" customHeight="1">
      <c r="B88" s="1248" t="str">
        <f>'1. Справочник'!B98</f>
        <v>Светлана</v>
      </c>
      <c r="C88" s="25" t="s">
        <v>1546</v>
      </c>
      <c r="D88" s="1250" t="s">
        <v>224</v>
      </c>
      <c r="E88" s="1274" t="s">
        <v>1547</v>
      </c>
      <c r="F88" s="1322"/>
      <c r="G88" s="1322"/>
      <c r="H88" s="93"/>
    </row>
    <row r="89" ht="15.75" customHeight="1">
      <c r="B89" s="1248" t="str">
        <f>'1. Справочник'!B141</f>
        <v/>
      </c>
      <c r="C89" s="25" t="str">
        <f>'1. Справочник'!C90</f>
        <v>DL 13-206</v>
      </c>
      <c r="D89" s="1250" t="str">
        <f>'1. Справочник'!F91</f>
        <v>Студия на 4х</v>
      </c>
      <c r="E89" s="1274" t="s">
        <v>518</v>
      </c>
      <c r="F89" s="1322"/>
      <c r="G89" s="1322"/>
      <c r="H89" s="93"/>
    </row>
    <row r="90" ht="15.75" customHeight="1">
      <c r="B90" s="1248" t="str">
        <f>'1. Справочник'!B142</f>
        <v/>
      </c>
      <c r="C90" s="25" t="str">
        <f>'1. Справочник'!C92</f>
        <v>DL 13-709</v>
      </c>
      <c r="D90" s="1250" t="str">
        <f>'1. Справочник'!F92</f>
        <v>Студия на 4х</v>
      </c>
      <c r="E90" s="1274" t="s">
        <v>518</v>
      </c>
      <c r="F90" s="1322"/>
      <c r="G90" s="1322"/>
      <c r="H90" s="93"/>
    </row>
    <row r="91" ht="15.75" customHeight="1">
      <c r="B91" s="1248" t="str">
        <f>'1. Справочник'!B143</f>
        <v/>
      </c>
      <c r="C91" s="25" t="str">
        <f>'1. Справочник'!C93</f>
        <v>DL 13-703</v>
      </c>
      <c r="D91" s="1250" t="str">
        <f>'1. Справочник'!F93</f>
        <v>1+1</v>
      </c>
      <c r="E91" s="1274" t="s">
        <v>1547</v>
      </c>
      <c r="F91" s="1322"/>
      <c r="G91" s="1322"/>
      <c r="H91" s="93"/>
    </row>
    <row r="92" ht="15.75" customHeight="1">
      <c r="B92" s="1248" t="str">
        <f>'1. Справочник'!B144</f>
        <v/>
      </c>
      <c r="C92" s="25" t="str">
        <f>'1. Справочник'!C94</f>
        <v>DL 13-1006</v>
      </c>
      <c r="D92" s="1250" t="str">
        <f>'1. Справочник'!F94</f>
        <v>1+1</v>
      </c>
      <c r="E92" s="1274" t="s">
        <v>518</v>
      </c>
      <c r="F92" s="1322"/>
      <c r="G92" s="1322"/>
      <c r="H92" s="93"/>
    </row>
    <row r="93" ht="15.75" customHeight="1">
      <c r="B93" s="1248" t="str">
        <f>'1. Справочник'!B145</f>
        <v/>
      </c>
      <c r="C93" s="25" t="str">
        <f>'1. Справочник'!C95</f>
        <v>DL 13-1106</v>
      </c>
      <c r="D93" s="1250" t="str">
        <f>'1. Справочник'!F95</f>
        <v>1+1</v>
      </c>
      <c r="E93" s="1274" t="s">
        <v>518</v>
      </c>
      <c r="F93" s="1322"/>
      <c r="G93" s="1322"/>
      <c r="H93" s="93"/>
    </row>
    <row r="94" ht="15.75" customHeight="1">
      <c r="B94" s="1248" t="str">
        <f>'1. Справочник'!B146</f>
        <v/>
      </c>
      <c r="C94" s="25" t="str">
        <f t="shared" ref="C94:C95" si="1">#REF!</f>
        <v>#REF!</v>
      </c>
      <c r="D94" s="1250"/>
      <c r="E94" s="1274" t="s">
        <v>1547</v>
      </c>
      <c r="F94" s="1322"/>
      <c r="G94" s="1322"/>
      <c r="H94" s="93"/>
    </row>
    <row r="95" ht="15.75" customHeight="1">
      <c r="B95" s="1248" t="str">
        <f>'1. Справочник'!B99</f>
        <v>Светлана</v>
      </c>
      <c r="C95" s="25" t="str">
        <f t="shared" si="1"/>
        <v>#REF!</v>
      </c>
      <c r="D95" s="1250"/>
      <c r="E95" s="1274" t="s">
        <v>1547</v>
      </c>
      <c r="F95" s="1322"/>
      <c r="G95" s="1322"/>
      <c r="H95" s="93"/>
    </row>
    <row r="96" ht="15.75" customHeight="1">
      <c r="B96" s="1248" t="str">
        <f>'1. Справочник'!B94</f>
        <v/>
      </c>
      <c r="C96" s="1295" t="str">
        <f>'1. Справочник'!C140</f>
        <v>TGA1</v>
      </c>
      <c r="D96" s="1250" t="str">
        <f>'1. Справочник'!F94</f>
        <v>1+1</v>
      </c>
      <c r="E96" s="1274" t="s">
        <v>518</v>
      </c>
      <c r="F96" s="1322"/>
      <c r="G96" s="1322"/>
      <c r="H96" s="93"/>
    </row>
    <row r="97" ht="15.75" customHeight="1">
      <c r="B97" s="1248" t="str">
        <f>'1. Справочник'!B142</f>
        <v/>
      </c>
      <c r="C97" s="1295" t="str">
        <f>'1. Справочник'!C98</f>
        <v>TGA2</v>
      </c>
      <c r="D97" s="146" t="s">
        <v>27</v>
      </c>
      <c r="E97" s="1274" t="s">
        <v>518</v>
      </c>
      <c r="F97" s="1322"/>
      <c r="G97" s="1322"/>
      <c r="H97" s="93"/>
    </row>
    <row r="98" ht="15.75" customHeight="1">
      <c r="B98" s="1248" t="str">
        <f>'1. Справочник'!B143</f>
        <v/>
      </c>
      <c r="C98" s="1295" t="str">
        <f>'1. Справочник'!C141</f>
        <v>TGA3</v>
      </c>
      <c r="D98" s="168" t="s">
        <v>30</v>
      </c>
      <c r="E98" s="1274" t="s">
        <v>518</v>
      </c>
      <c r="F98" s="1322"/>
      <c r="G98" s="1322"/>
      <c r="H98" s="93"/>
    </row>
    <row r="99" ht="15.75" customHeight="1">
      <c r="B99" s="1248" t="str">
        <f>'1. Справочник'!B144</f>
        <v/>
      </c>
      <c r="C99" s="1295" t="str">
        <f>'1. Справочник'!C142</f>
        <v>TGA4</v>
      </c>
      <c r="D99" s="168" t="s">
        <v>27</v>
      </c>
      <c r="E99" s="1274" t="s">
        <v>1547</v>
      </c>
      <c r="F99" s="1322"/>
      <c r="G99" s="1322"/>
      <c r="H99" s="93"/>
    </row>
    <row r="100" ht="15.75" customHeight="1">
      <c r="B100" s="1248" t="str">
        <f>'1. Справочник'!B145</f>
        <v/>
      </c>
      <c r="C100" s="1295" t="str">
        <f>'1. Справочник'!C143</f>
        <v>TGA5</v>
      </c>
      <c r="D100" s="168" t="s">
        <v>30</v>
      </c>
      <c r="E100" s="1274" t="s">
        <v>1547</v>
      </c>
      <c r="F100" s="1322"/>
      <c r="G100" s="1322"/>
      <c r="H100" s="93"/>
    </row>
    <row r="101" ht="15.75" customHeight="1">
      <c r="B101" s="1248" t="str">
        <f>'1. Справочник'!B146</f>
        <v/>
      </c>
      <c r="C101" s="1295" t="str">
        <f>'1. Справочник'!C144</f>
        <v>TGA6</v>
      </c>
      <c r="D101" s="168" t="s">
        <v>30</v>
      </c>
      <c r="E101" s="1274" t="s">
        <v>518</v>
      </c>
      <c r="F101" s="1322"/>
      <c r="G101" s="1322"/>
      <c r="H101" s="93"/>
    </row>
    <row r="102" ht="15.75" customHeight="1">
      <c r="B102" s="1248" t="str">
        <f>'1. Справочник'!B99</f>
        <v>Светлана</v>
      </c>
      <c r="C102" s="1295" t="str">
        <f>'1. Справочник'!C145</f>
        <v>TGA7</v>
      </c>
      <c r="D102" s="168" t="s">
        <v>30</v>
      </c>
      <c r="E102" s="1274" t="s">
        <v>1547</v>
      </c>
      <c r="F102" s="1322"/>
      <c r="G102" s="1322"/>
      <c r="H102" s="93"/>
    </row>
    <row r="103" ht="15.75" customHeight="1">
      <c r="B103" s="1248" t="str">
        <f>'1. Справочник'!B147</f>
        <v/>
      </c>
      <c r="C103" s="1295" t="str">
        <f>'1. Справочник'!C146</f>
        <v>TGA8</v>
      </c>
      <c r="D103" s="168" t="s">
        <v>30</v>
      </c>
      <c r="E103" s="1274" t="s">
        <v>518</v>
      </c>
      <c r="F103" s="1322"/>
      <c r="G103" s="1322"/>
      <c r="H103" s="93"/>
    </row>
    <row r="104" ht="15.75" customHeight="1">
      <c r="B104" s="1248" t="str">
        <f>'1. Справочник'!B148</f>
        <v/>
      </c>
      <c r="C104" s="1295" t="str">
        <f>'1. Справочник'!C99</f>
        <v>TGA9</v>
      </c>
      <c r="D104" s="168" t="s">
        <v>27</v>
      </c>
      <c r="E104" s="1274" t="s">
        <v>518</v>
      </c>
      <c r="F104" s="1322"/>
      <c r="G104" s="1322"/>
      <c r="H104" s="93"/>
    </row>
    <row r="105" ht="15.75" hidden="1" customHeight="1">
      <c r="B105" s="1248" t="str">
        <f>'1. Справочник'!B149</f>
        <v/>
      </c>
      <c r="C105" s="1295" t="str">
        <f>'1. Справочник'!C147</f>
        <v>TGA10</v>
      </c>
      <c r="D105" s="168" t="s">
        <v>33</v>
      </c>
      <c r="E105" s="1274" t="s">
        <v>1547</v>
      </c>
      <c r="F105" s="1322"/>
      <c r="G105" s="1322"/>
      <c r="H105" s="93"/>
    </row>
    <row r="106" ht="15.75" customHeight="1">
      <c r="B106" s="1248" t="str">
        <f>'1. Справочник'!B100</f>
        <v>Светлана</v>
      </c>
      <c r="C106" s="1295" t="str">
        <f>'1. Справочник'!C148</f>
        <v>TGB1</v>
      </c>
      <c r="D106" s="168" t="s">
        <v>27</v>
      </c>
      <c r="E106" s="1274" t="s">
        <v>518</v>
      </c>
      <c r="F106" s="1322"/>
      <c r="G106" s="1322"/>
      <c r="H106" s="93"/>
      <c r="I106" s="2"/>
    </row>
    <row r="107" ht="15.75" customHeight="1">
      <c r="B107" s="1248" t="str">
        <f>'1. Справочник'!B150</f>
        <v/>
      </c>
      <c r="C107" s="1295" t="str">
        <f>'1. Справочник'!C149</f>
        <v>TGB2</v>
      </c>
      <c r="D107" s="168" t="s">
        <v>30</v>
      </c>
      <c r="E107" s="1274" t="s">
        <v>1547</v>
      </c>
      <c r="F107" s="1322"/>
      <c r="G107" s="1322"/>
      <c r="H107" s="93"/>
    </row>
    <row r="108" ht="15.75" customHeight="1">
      <c r="B108" s="1248" t="str">
        <f>'1. Справочник'!B151</f>
        <v/>
      </c>
      <c r="C108" s="1295" t="str">
        <f>'1. Справочник'!C100</f>
        <v>TGB3</v>
      </c>
      <c r="D108" s="168" t="s">
        <v>30</v>
      </c>
      <c r="E108" s="1274" t="s">
        <v>518</v>
      </c>
      <c r="F108" s="1322"/>
      <c r="G108" s="1322"/>
      <c r="H108" s="93"/>
    </row>
    <row r="109" ht="15.75" customHeight="1">
      <c r="B109" s="1248" t="str">
        <f>'1. Справочник'!B152</f>
        <v/>
      </c>
      <c r="C109" s="1295" t="str">
        <f>'1. Справочник'!C150</f>
        <v>TGB4</v>
      </c>
      <c r="D109" s="168" t="s">
        <v>30</v>
      </c>
      <c r="E109" s="1274" t="s">
        <v>518</v>
      </c>
      <c r="F109" s="1322"/>
      <c r="G109" s="1322"/>
      <c r="H109" s="93"/>
    </row>
    <row r="110" ht="15.75" customHeight="1">
      <c r="B110" s="1248" t="str">
        <f>'1. Справочник'!B153</f>
        <v/>
      </c>
      <c r="C110" s="1295" t="str">
        <f>'1. Справочник'!C151</f>
        <v>TGB5</v>
      </c>
      <c r="D110" s="168" t="s">
        <v>27</v>
      </c>
      <c r="E110" s="1274" t="s">
        <v>1547</v>
      </c>
      <c r="F110" s="1322"/>
      <c r="G110" s="1322"/>
      <c r="H110" s="93"/>
    </row>
    <row r="111" ht="15.75" customHeight="1">
      <c r="B111" s="1248" t="str">
        <f>'1. Справочник'!B154</f>
        <v/>
      </c>
      <c r="C111" s="1295" t="str">
        <f>'1. Справочник'!C152</f>
        <v>TGB6</v>
      </c>
      <c r="D111" s="168" t="s">
        <v>27</v>
      </c>
      <c r="E111" s="1274" t="s">
        <v>1547</v>
      </c>
      <c r="F111" s="1322"/>
      <c r="G111" s="1322"/>
      <c r="H111" s="93"/>
    </row>
    <row r="112" ht="15.75" customHeight="1">
      <c r="B112" s="1248" t="str">
        <f>'1. Справочник'!B155</f>
        <v/>
      </c>
      <c r="C112" s="1295" t="str">
        <f>'1. Справочник'!C153</f>
        <v>TGB7</v>
      </c>
      <c r="D112" s="168" t="s">
        <v>27</v>
      </c>
      <c r="E112" s="1274" t="s">
        <v>1547</v>
      </c>
      <c r="F112" s="1322"/>
      <c r="G112" s="1322"/>
      <c r="H112" s="93"/>
    </row>
    <row r="113" ht="15.75" customHeight="1">
      <c r="B113" s="1248" t="str">
        <f>'1. Справочник'!B156</f>
        <v/>
      </c>
      <c r="C113" s="1295" t="str">
        <f>'1. Справочник'!C154</f>
        <v>TGB8</v>
      </c>
      <c r="D113" s="168" t="s">
        <v>27</v>
      </c>
      <c r="E113" s="1274" t="s">
        <v>1547</v>
      </c>
      <c r="F113" s="1322"/>
      <c r="G113" s="1322"/>
      <c r="H113" s="93"/>
    </row>
    <row r="114" ht="15.75" customHeight="1">
      <c r="B114" s="1297" t="str">
        <f>'1. Справочник'!B157</f>
        <v/>
      </c>
      <c r="C114" s="1298" t="str">
        <f>'1. Справочник'!C155</f>
        <v>TGB9</v>
      </c>
      <c r="D114" s="168" t="s">
        <v>30</v>
      </c>
      <c r="E114" s="1274" t="s">
        <v>518</v>
      </c>
      <c r="F114" s="1322"/>
      <c r="G114" s="1322"/>
      <c r="H114" s="93"/>
    </row>
    <row r="115" ht="15.75" customHeight="1">
      <c r="B115" s="1297" t="str">
        <f>'1. Справочник'!B97</f>
        <v>Светлана</v>
      </c>
      <c r="C115" s="1298" t="str">
        <f>'1. Справочник'!C156</f>
        <v>TGB10</v>
      </c>
      <c r="D115" s="168" t="s">
        <v>30</v>
      </c>
      <c r="E115" s="1274" t="s">
        <v>1547</v>
      </c>
      <c r="F115" s="1322"/>
      <c r="G115" s="1322"/>
      <c r="H115" s="93"/>
    </row>
    <row r="116" ht="15.75" customHeight="1">
      <c r="A116" s="2"/>
      <c r="B116" s="1297" t="str">
        <f>'1. Справочник'!B73</f>
        <v>Юлия</v>
      </c>
      <c r="C116" s="1298" t="str">
        <f>'1. Справочник'!C157</f>
        <v>TGB11</v>
      </c>
      <c r="D116" s="168" t="s">
        <v>33</v>
      </c>
      <c r="E116" s="1274" t="s">
        <v>518</v>
      </c>
      <c r="F116" s="1334"/>
      <c r="G116" s="1334"/>
      <c r="H116" s="1335"/>
    </row>
    <row r="117" ht="15.75" customHeight="1">
      <c r="B117" s="1297" t="str">
        <f>'1. Справочник'!B101</f>
        <v/>
      </c>
      <c r="C117" s="1298" t="str">
        <f>'1. Справочник'!C97</f>
        <v>TGB195</v>
      </c>
      <c r="D117" s="269" t="s">
        <v>27</v>
      </c>
      <c r="E117" s="1274" t="s">
        <v>518</v>
      </c>
      <c r="F117" s="1321" t="s">
        <v>1605</v>
      </c>
      <c r="G117" s="1322"/>
      <c r="H117" s="93"/>
    </row>
    <row r="118" ht="15.75" customHeight="1">
      <c r="B118" s="1297" t="str">
        <f>'1. Справочник'!B102</f>
        <v/>
      </c>
      <c r="C118" s="1298" t="str">
        <f>'1. Справочник'!C73</f>
        <v>Вилла Ева</v>
      </c>
      <c r="D118" s="1250"/>
      <c r="E118" s="1274" t="s">
        <v>1545</v>
      </c>
      <c r="F118" s="1336"/>
      <c r="G118" s="1336"/>
      <c r="H118" s="1337"/>
    </row>
    <row r="119" ht="15.75" customHeight="1">
      <c r="B119" s="164"/>
      <c r="C119" s="478"/>
      <c r="D119" s="7"/>
      <c r="E119" s="7"/>
    </row>
    <row r="120" ht="15.75" customHeight="1">
      <c r="B120" s="164"/>
      <c r="C120" s="478"/>
      <c r="D120" s="7"/>
      <c r="E120" s="7"/>
    </row>
    <row r="121" ht="15.75" customHeight="1">
      <c r="B121" s="164"/>
      <c r="C121" s="478"/>
      <c r="D121" s="7"/>
      <c r="E121" s="7"/>
    </row>
    <row r="122" ht="15.75" customHeight="1">
      <c r="B122" s="164"/>
      <c r="C122" s="478"/>
      <c r="D122" s="7"/>
      <c r="E122" s="7"/>
    </row>
    <row r="123" ht="15.75" customHeight="1">
      <c r="B123" s="164"/>
      <c r="C123" s="478"/>
      <c r="D123" s="7"/>
      <c r="E123" s="7"/>
    </row>
    <row r="124" ht="15.75" customHeight="1">
      <c r="B124" s="164"/>
      <c r="C124" s="478"/>
      <c r="D124" s="7"/>
      <c r="E124" s="7"/>
    </row>
    <row r="125" ht="15.75" customHeight="1">
      <c r="B125" s="164"/>
      <c r="C125" s="478"/>
      <c r="D125" s="7"/>
      <c r="E125" s="7"/>
    </row>
    <row r="126" ht="15.75" customHeight="1">
      <c r="B126" s="164"/>
      <c r="C126" s="478"/>
      <c r="D126" s="7"/>
      <c r="E126" s="7"/>
    </row>
    <row r="127" ht="15.75" customHeight="1">
      <c r="B127" s="164"/>
      <c r="C127" s="478"/>
      <c r="D127" s="7"/>
      <c r="E127" s="7"/>
    </row>
    <row r="128" ht="15.75" customHeight="1">
      <c r="B128" s="164"/>
      <c r="C128" s="478"/>
      <c r="D128" s="7"/>
      <c r="E128" s="7"/>
    </row>
    <row r="129" ht="15.75" customHeight="1">
      <c r="B129" s="164"/>
      <c r="C129" s="478"/>
      <c r="D129" s="7"/>
      <c r="E129" s="7"/>
    </row>
    <row r="130" ht="15.75" customHeight="1">
      <c r="B130" s="164"/>
      <c r="C130" s="478"/>
      <c r="D130" s="7"/>
      <c r="E130" s="7"/>
    </row>
    <row r="131" ht="15.75" customHeight="1">
      <c r="B131" s="164"/>
      <c r="C131" s="478"/>
      <c r="D131" s="7"/>
      <c r="E131" s="7"/>
    </row>
    <row r="132" ht="15.75" customHeight="1">
      <c r="B132" s="164"/>
      <c r="C132" s="478"/>
      <c r="D132" s="7"/>
      <c r="E132" s="7"/>
    </row>
    <row r="133" ht="15.75" customHeight="1">
      <c r="B133" s="164"/>
      <c r="C133" s="478"/>
      <c r="D133" s="7"/>
      <c r="E133" s="7"/>
    </row>
    <row r="134" ht="15.75" customHeight="1">
      <c r="B134" s="164"/>
      <c r="C134" s="478"/>
      <c r="D134" s="7"/>
      <c r="E134" s="7"/>
    </row>
    <row r="135" ht="15.75" customHeight="1">
      <c r="B135" s="164"/>
      <c r="C135" s="478"/>
      <c r="D135" s="7"/>
      <c r="E135" s="7"/>
    </row>
    <row r="136" ht="15.75" customHeight="1">
      <c r="B136" s="164"/>
      <c r="C136" s="478"/>
      <c r="D136" s="7"/>
      <c r="E136" s="7"/>
    </row>
    <row r="137" ht="15.75" customHeight="1">
      <c r="B137" s="164"/>
      <c r="C137" s="478"/>
      <c r="D137" s="7"/>
      <c r="E137" s="7"/>
    </row>
    <row r="138" ht="15.75" customHeight="1">
      <c r="B138" s="164"/>
      <c r="C138" s="478"/>
      <c r="D138" s="7"/>
      <c r="E138" s="7"/>
    </row>
    <row r="139" ht="15.75" customHeight="1">
      <c r="B139" s="164"/>
      <c r="C139" s="478"/>
      <c r="D139" s="7"/>
      <c r="E139" s="7"/>
    </row>
    <row r="140" ht="15.75" customHeight="1">
      <c r="B140" s="164"/>
      <c r="C140" s="478"/>
      <c r="D140" s="7"/>
      <c r="E140" s="7"/>
    </row>
    <row r="141" ht="15.75" customHeight="1">
      <c r="B141" s="164"/>
      <c r="C141" s="478"/>
      <c r="D141" s="7"/>
      <c r="E141" s="7"/>
    </row>
    <row r="142" ht="15.75" customHeight="1">
      <c r="B142" s="164"/>
      <c r="C142" s="478"/>
      <c r="D142" s="7"/>
      <c r="E142" s="7"/>
    </row>
    <row r="143" ht="15.75" customHeight="1">
      <c r="B143" s="164"/>
      <c r="C143" s="478"/>
      <c r="D143" s="7"/>
      <c r="E143" s="7"/>
    </row>
    <row r="144" ht="15.75" customHeight="1">
      <c r="B144" s="164"/>
      <c r="C144" s="478"/>
      <c r="D144" s="7"/>
      <c r="E144" s="7"/>
    </row>
    <row r="145" ht="15.75" customHeight="1">
      <c r="B145" s="164"/>
      <c r="C145" s="478"/>
      <c r="D145" s="7"/>
      <c r="E145" s="7"/>
    </row>
    <row r="146" ht="15.75" customHeight="1">
      <c r="B146" s="164"/>
      <c r="C146" s="478"/>
      <c r="D146" s="7"/>
      <c r="E146" s="7"/>
    </row>
    <row r="147" ht="15.75" customHeight="1">
      <c r="B147" s="164"/>
      <c r="C147" s="478"/>
      <c r="D147" s="7"/>
      <c r="E147" s="7"/>
    </row>
    <row r="148" ht="15.75" customHeight="1">
      <c r="B148" s="164"/>
      <c r="C148" s="478"/>
      <c r="D148" s="7"/>
      <c r="E148" s="7"/>
    </row>
    <row r="149" ht="15.75" customHeight="1">
      <c r="B149" s="164"/>
      <c r="C149" s="478"/>
      <c r="D149" s="7"/>
      <c r="E149" s="7"/>
    </row>
    <row r="150" ht="15.75" customHeight="1">
      <c r="B150" s="164"/>
      <c r="C150" s="478"/>
      <c r="D150" s="7"/>
      <c r="E150" s="7"/>
    </row>
    <row r="151" ht="15.75" customHeight="1">
      <c r="B151" s="164"/>
      <c r="C151" s="478"/>
      <c r="D151" s="7"/>
      <c r="E151" s="7"/>
    </row>
    <row r="152" ht="15.75" customHeight="1">
      <c r="B152" s="164"/>
      <c r="C152" s="478"/>
      <c r="D152" s="7"/>
      <c r="E152" s="7"/>
    </row>
    <row r="153" ht="15.75" customHeight="1">
      <c r="B153" s="164"/>
      <c r="C153" s="478"/>
      <c r="D153" s="7"/>
      <c r="E153" s="7"/>
    </row>
    <row r="154" ht="15.75" customHeight="1">
      <c r="B154" s="164"/>
      <c r="C154" s="478"/>
      <c r="D154" s="7"/>
      <c r="E154" s="7"/>
    </row>
    <row r="155" ht="15.75" customHeight="1">
      <c r="B155" s="164"/>
      <c r="C155" s="478"/>
      <c r="D155" s="7"/>
      <c r="E155" s="7"/>
    </row>
    <row r="156" ht="15.75" customHeight="1">
      <c r="B156" s="164"/>
      <c r="C156" s="478"/>
      <c r="D156" s="7"/>
      <c r="E156" s="7"/>
    </row>
    <row r="157" ht="15.75" customHeight="1">
      <c r="B157" s="164"/>
      <c r="C157" s="478"/>
      <c r="D157" s="7"/>
      <c r="E157" s="7"/>
    </row>
    <row r="158" ht="15.75" customHeight="1">
      <c r="B158" s="164"/>
      <c r="C158" s="478"/>
      <c r="D158" s="7"/>
      <c r="E158" s="7"/>
    </row>
    <row r="159" ht="15.75" customHeight="1">
      <c r="B159" s="164"/>
      <c r="C159" s="478"/>
      <c r="D159" s="7"/>
      <c r="E159" s="7"/>
    </row>
    <row r="160" ht="15.75" customHeight="1">
      <c r="B160" s="164"/>
      <c r="C160" s="478"/>
      <c r="D160" s="7"/>
      <c r="E160" s="7"/>
    </row>
    <row r="161" ht="15.75" customHeight="1">
      <c r="B161" s="164"/>
      <c r="C161" s="478"/>
      <c r="D161" s="7"/>
      <c r="E161" s="7"/>
    </row>
    <row r="162" ht="15.75" customHeight="1">
      <c r="B162" s="164"/>
      <c r="C162" s="478"/>
      <c r="D162" s="7"/>
      <c r="E162" s="7"/>
    </row>
    <row r="163" ht="15.75" customHeight="1">
      <c r="B163" s="164"/>
      <c r="C163" s="478"/>
      <c r="D163" s="7"/>
      <c r="E163" s="7"/>
    </row>
    <row r="164" ht="15.75" customHeight="1">
      <c r="B164" s="164"/>
      <c r="C164" s="478"/>
      <c r="D164" s="7"/>
      <c r="E164" s="7"/>
    </row>
    <row r="165" ht="15.75" customHeight="1">
      <c r="B165" s="164"/>
      <c r="C165" s="478"/>
      <c r="D165" s="7"/>
      <c r="E165" s="7"/>
    </row>
    <row r="166" ht="15.75" customHeight="1">
      <c r="B166" s="164"/>
      <c r="C166" s="478"/>
      <c r="D166" s="7"/>
      <c r="E166" s="7"/>
    </row>
    <row r="167" ht="15.75" customHeight="1">
      <c r="B167" s="164"/>
      <c r="C167" s="478"/>
      <c r="D167" s="7"/>
      <c r="E167" s="7"/>
    </row>
    <row r="168" ht="15.75" customHeight="1">
      <c r="B168" s="164"/>
      <c r="C168" s="478"/>
      <c r="D168" s="7"/>
      <c r="E168" s="7"/>
    </row>
    <row r="169" ht="15.75" customHeight="1">
      <c r="B169" s="164"/>
      <c r="C169" s="478"/>
      <c r="D169" s="7"/>
      <c r="E169" s="7"/>
    </row>
    <row r="170" ht="15.75" customHeight="1">
      <c r="B170" s="164"/>
      <c r="C170" s="478"/>
      <c r="D170" s="7"/>
      <c r="E170" s="7"/>
    </row>
    <row r="171" ht="15.75" customHeight="1">
      <c r="B171" s="164"/>
      <c r="C171" s="478"/>
      <c r="D171" s="7"/>
      <c r="E171" s="7"/>
    </row>
    <row r="172" ht="15.75" customHeight="1">
      <c r="B172" s="164"/>
      <c r="C172" s="478"/>
      <c r="D172" s="7"/>
      <c r="E172" s="7"/>
    </row>
    <row r="173" ht="15.75" customHeight="1">
      <c r="B173" s="164"/>
      <c r="C173" s="478"/>
      <c r="D173" s="7"/>
      <c r="E173" s="7"/>
    </row>
    <row r="174" ht="15.75" customHeight="1">
      <c r="B174" s="164"/>
      <c r="C174" s="478"/>
      <c r="D174" s="7"/>
      <c r="E174" s="7"/>
    </row>
    <row r="175" ht="15.75" customHeight="1">
      <c r="B175" s="164"/>
      <c r="C175" s="478"/>
      <c r="D175" s="7"/>
      <c r="E175" s="7"/>
    </row>
    <row r="176" ht="15.75" customHeight="1">
      <c r="B176" s="164"/>
      <c r="C176" s="478"/>
      <c r="D176" s="7"/>
      <c r="E176" s="7"/>
    </row>
    <row r="177" ht="15.75" customHeight="1">
      <c r="B177" s="164"/>
      <c r="C177" s="478"/>
      <c r="D177" s="7"/>
      <c r="E177" s="7"/>
    </row>
    <row r="178" ht="15.75" customHeight="1">
      <c r="B178" s="164"/>
      <c r="C178" s="478"/>
      <c r="D178" s="7"/>
      <c r="E178" s="7"/>
    </row>
    <row r="179" ht="15.75" customHeight="1">
      <c r="B179" s="164"/>
      <c r="C179" s="478"/>
      <c r="D179" s="7"/>
      <c r="E179" s="7"/>
    </row>
    <row r="180" ht="15.75" customHeight="1">
      <c r="B180" s="164"/>
      <c r="C180" s="478"/>
      <c r="D180" s="7"/>
      <c r="E180" s="7"/>
    </row>
    <row r="181" ht="15.75" customHeight="1">
      <c r="B181" s="164"/>
      <c r="C181" s="478"/>
      <c r="D181" s="7"/>
      <c r="E181" s="7"/>
    </row>
    <row r="182" ht="15.75" customHeight="1">
      <c r="B182" s="164"/>
      <c r="C182" s="478"/>
      <c r="D182" s="7"/>
      <c r="E182" s="7"/>
    </row>
    <row r="183" ht="15.75" customHeight="1">
      <c r="B183" s="164"/>
      <c r="C183" s="478"/>
      <c r="D183" s="7"/>
      <c r="E183" s="7"/>
    </row>
    <row r="184" ht="15.75" customHeight="1">
      <c r="B184" s="164"/>
      <c r="C184" s="478"/>
      <c r="D184" s="7"/>
      <c r="E184" s="7"/>
    </row>
    <row r="185" ht="15.75" customHeight="1">
      <c r="B185" s="164"/>
      <c r="C185" s="478"/>
      <c r="D185" s="7"/>
      <c r="E185" s="7"/>
    </row>
    <row r="186" ht="15.75" customHeight="1">
      <c r="B186" s="164"/>
      <c r="C186" s="478"/>
      <c r="D186" s="7"/>
      <c r="E186" s="7"/>
    </row>
    <row r="187" ht="15.75" customHeight="1">
      <c r="B187" s="164"/>
      <c r="C187" s="478"/>
      <c r="D187" s="7"/>
      <c r="E187" s="7"/>
    </row>
    <row r="188" ht="15.75" customHeight="1">
      <c r="B188" s="164"/>
      <c r="C188" s="478"/>
      <c r="D188" s="7"/>
      <c r="E188" s="7"/>
    </row>
    <row r="189" ht="15.75" customHeight="1">
      <c r="B189" s="164"/>
      <c r="C189" s="478"/>
      <c r="D189" s="7"/>
      <c r="E189" s="7"/>
    </row>
    <row r="190" ht="15.75" customHeight="1">
      <c r="B190" s="164"/>
      <c r="C190" s="478"/>
      <c r="D190" s="7"/>
      <c r="E190" s="7"/>
    </row>
    <row r="191" ht="15.75" customHeight="1">
      <c r="B191" s="164"/>
      <c r="C191" s="478"/>
      <c r="D191" s="7"/>
      <c r="E191" s="7"/>
    </row>
    <row r="192" ht="15.75" customHeight="1">
      <c r="B192" s="164"/>
      <c r="C192" s="478"/>
      <c r="D192" s="7"/>
      <c r="E192" s="7"/>
    </row>
    <row r="193" ht="15.75" customHeight="1">
      <c r="B193" s="164"/>
      <c r="C193" s="478"/>
      <c r="D193" s="7"/>
      <c r="E193" s="7"/>
    </row>
    <row r="194" ht="15.75" customHeight="1">
      <c r="B194" s="164"/>
      <c r="C194" s="478"/>
      <c r="D194" s="7"/>
      <c r="E194" s="7"/>
    </row>
    <row r="195" ht="15.75" customHeight="1">
      <c r="B195" s="164"/>
      <c r="C195" s="478"/>
      <c r="D195" s="7"/>
      <c r="E195" s="7"/>
    </row>
    <row r="196" ht="15.75" customHeight="1">
      <c r="B196" s="164"/>
      <c r="C196" s="478"/>
      <c r="D196" s="7"/>
      <c r="E196" s="7"/>
    </row>
    <row r="197" ht="15.75" customHeight="1">
      <c r="B197" s="164"/>
      <c r="C197" s="478"/>
      <c r="D197" s="7"/>
      <c r="E197" s="7"/>
    </row>
    <row r="198" ht="15.75" customHeight="1">
      <c r="B198" s="164"/>
      <c r="C198" s="478"/>
      <c r="D198" s="7"/>
      <c r="E198" s="7"/>
    </row>
    <row r="199" ht="15.75" customHeight="1">
      <c r="B199" s="164"/>
      <c r="C199" s="478"/>
      <c r="D199" s="7"/>
      <c r="E199" s="7"/>
    </row>
    <row r="200" ht="15.75" customHeight="1">
      <c r="B200" s="164"/>
      <c r="C200" s="478"/>
      <c r="D200" s="7"/>
      <c r="E200" s="7"/>
    </row>
    <row r="201" ht="15.75" customHeight="1">
      <c r="B201" s="164"/>
      <c r="C201" s="478"/>
      <c r="D201" s="7"/>
      <c r="E201" s="7"/>
    </row>
    <row r="202" ht="15.75" customHeight="1">
      <c r="B202" s="164"/>
      <c r="C202" s="478"/>
      <c r="D202" s="7"/>
      <c r="E202" s="7"/>
    </row>
    <row r="203" ht="15.75" customHeight="1">
      <c r="B203" s="164"/>
      <c r="C203" s="478"/>
      <c r="D203" s="7"/>
      <c r="E203" s="7"/>
    </row>
    <row r="204" ht="15.75" customHeight="1">
      <c r="B204" s="164"/>
      <c r="C204" s="478"/>
      <c r="D204" s="7"/>
      <c r="E204" s="7"/>
    </row>
    <row r="205" ht="15.75" customHeight="1">
      <c r="B205" s="164"/>
      <c r="C205" s="478"/>
      <c r="D205" s="7"/>
      <c r="E205" s="7"/>
    </row>
    <row r="206" ht="15.75" customHeight="1">
      <c r="B206" s="164"/>
      <c r="C206" s="478"/>
      <c r="D206" s="7"/>
      <c r="E206" s="7"/>
    </row>
    <row r="207" ht="15.75" customHeight="1">
      <c r="B207" s="164"/>
      <c r="C207" s="478"/>
      <c r="D207" s="7"/>
      <c r="E207" s="7"/>
    </row>
    <row r="208" ht="15.75" customHeight="1">
      <c r="B208" s="164"/>
      <c r="C208" s="478"/>
      <c r="D208" s="7"/>
      <c r="E208" s="7"/>
    </row>
    <row r="209" ht="15.75" customHeight="1">
      <c r="B209" s="164"/>
      <c r="C209" s="478"/>
      <c r="D209" s="7"/>
      <c r="E209" s="7"/>
    </row>
    <row r="210" ht="15.75" customHeight="1">
      <c r="B210" s="164"/>
      <c r="C210" s="478"/>
      <c r="D210" s="7"/>
      <c r="E210" s="7"/>
    </row>
    <row r="211" ht="15.75" customHeight="1">
      <c r="B211" s="164"/>
      <c r="C211" s="478"/>
      <c r="D211" s="7"/>
      <c r="E211" s="7"/>
    </row>
    <row r="212" ht="15.75" customHeight="1">
      <c r="B212" s="164"/>
      <c r="C212" s="478"/>
      <c r="D212" s="7"/>
      <c r="E212" s="7"/>
    </row>
    <row r="213" ht="15.75" customHeight="1">
      <c r="B213" s="164"/>
      <c r="C213" s="478"/>
      <c r="D213" s="7"/>
      <c r="E213" s="7"/>
    </row>
    <row r="214" ht="15.75" customHeight="1">
      <c r="B214" s="164"/>
      <c r="C214" s="478"/>
      <c r="D214" s="7"/>
      <c r="E214" s="7"/>
    </row>
    <row r="215" ht="15.75" customHeight="1">
      <c r="B215" s="164"/>
      <c r="C215" s="478"/>
      <c r="D215" s="7"/>
      <c r="E215" s="7"/>
    </row>
    <row r="216" ht="15.75" customHeight="1">
      <c r="B216" s="164"/>
      <c r="C216" s="478"/>
      <c r="D216" s="7"/>
      <c r="E216" s="7"/>
    </row>
    <row r="217" ht="15.75" customHeight="1">
      <c r="B217" s="164"/>
      <c r="C217" s="478"/>
      <c r="D217" s="7"/>
      <c r="E217" s="7"/>
    </row>
    <row r="218" ht="15.75" customHeight="1">
      <c r="B218" s="164"/>
      <c r="C218" s="478"/>
      <c r="D218" s="7"/>
      <c r="E218" s="7"/>
    </row>
    <row r="219" ht="15.75" customHeight="1">
      <c r="B219" s="164"/>
      <c r="C219" s="478"/>
      <c r="D219" s="7"/>
      <c r="E219" s="7"/>
    </row>
    <row r="220" ht="15.75" customHeight="1">
      <c r="B220" s="164"/>
      <c r="C220" s="478"/>
      <c r="D220" s="7"/>
      <c r="E220" s="7"/>
    </row>
    <row r="221" ht="15.75" customHeight="1">
      <c r="B221" s="164"/>
      <c r="C221" s="478"/>
      <c r="D221" s="7"/>
      <c r="E221" s="7"/>
    </row>
    <row r="222" ht="15.75" customHeight="1">
      <c r="B222" s="164"/>
      <c r="C222" s="478"/>
      <c r="D222" s="7"/>
      <c r="E222" s="7"/>
    </row>
    <row r="223" ht="15.75" customHeight="1">
      <c r="B223" s="164"/>
      <c r="C223" s="478"/>
      <c r="D223" s="7"/>
      <c r="E223" s="7"/>
    </row>
    <row r="224" ht="15.75" customHeight="1">
      <c r="B224" s="164"/>
      <c r="C224" s="478"/>
      <c r="D224" s="7"/>
      <c r="E224" s="7"/>
    </row>
    <row r="225" ht="15.75" customHeight="1">
      <c r="B225" s="164"/>
      <c r="C225" s="478"/>
      <c r="D225" s="7"/>
      <c r="E225" s="7"/>
    </row>
    <row r="226" ht="15.75" customHeight="1">
      <c r="B226" s="164"/>
      <c r="C226" s="478"/>
      <c r="D226" s="7"/>
      <c r="E226" s="7"/>
    </row>
    <row r="227" ht="15.75" customHeight="1">
      <c r="B227" s="164"/>
      <c r="C227" s="478"/>
      <c r="D227" s="7"/>
      <c r="E227" s="7"/>
    </row>
    <row r="228" ht="15.75" customHeight="1">
      <c r="B228" s="164"/>
      <c r="C228" s="478"/>
      <c r="D228" s="7"/>
      <c r="E228" s="7"/>
    </row>
    <row r="229" ht="15.75" customHeight="1">
      <c r="B229" s="164"/>
      <c r="C229" s="478"/>
      <c r="D229" s="7"/>
      <c r="E229" s="7"/>
    </row>
    <row r="230" ht="15.75" customHeight="1">
      <c r="B230" s="164"/>
      <c r="C230" s="478"/>
      <c r="D230" s="7"/>
      <c r="E230" s="7"/>
    </row>
    <row r="231" ht="15.75" customHeight="1">
      <c r="B231" s="164"/>
      <c r="C231" s="478"/>
      <c r="D231" s="7"/>
      <c r="E231" s="7"/>
    </row>
    <row r="232" ht="15.75" customHeight="1">
      <c r="B232" s="164"/>
      <c r="C232" s="478"/>
      <c r="D232" s="7"/>
      <c r="E232" s="7"/>
    </row>
    <row r="233" ht="15.75" customHeight="1">
      <c r="B233" s="164"/>
      <c r="C233" s="478"/>
      <c r="D233" s="7"/>
      <c r="E233" s="7"/>
    </row>
    <row r="234" ht="15.75" customHeight="1">
      <c r="B234" s="164"/>
      <c r="C234" s="478"/>
      <c r="D234" s="7"/>
      <c r="E234" s="7"/>
    </row>
    <row r="235" ht="15.75" customHeight="1">
      <c r="B235" s="164"/>
      <c r="C235" s="478"/>
      <c r="D235" s="7"/>
      <c r="E235" s="7"/>
    </row>
    <row r="236" ht="15.75" customHeight="1">
      <c r="B236" s="164"/>
      <c r="C236" s="478"/>
      <c r="D236" s="7"/>
      <c r="E236" s="7"/>
    </row>
    <row r="237" ht="15.75" customHeight="1">
      <c r="B237" s="164"/>
      <c r="C237" s="478"/>
      <c r="D237" s="7"/>
      <c r="E237" s="7"/>
    </row>
    <row r="238" ht="15.75" customHeight="1">
      <c r="B238" s="164"/>
      <c r="C238" s="478"/>
      <c r="D238" s="7"/>
      <c r="E238" s="7"/>
    </row>
    <row r="239" ht="15.75" customHeight="1">
      <c r="B239" s="164"/>
      <c r="C239" s="478"/>
      <c r="D239" s="7"/>
      <c r="E239" s="7"/>
    </row>
    <row r="240" ht="15.75" customHeight="1">
      <c r="B240" s="164"/>
      <c r="C240" s="478"/>
      <c r="D240" s="7"/>
      <c r="E240" s="7"/>
    </row>
    <row r="241" ht="15.75" customHeight="1">
      <c r="B241" s="164"/>
      <c r="C241" s="478"/>
      <c r="D241" s="7"/>
      <c r="E241" s="7"/>
    </row>
    <row r="242" ht="15.75" customHeight="1">
      <c r="B242" s="164"/>
      <c r="C242" s="478"/>
      <c r="D242" s="7"/>
      <c r="E242" s="7"/>
    </row>
    <row r="243" ht="15.75" customHeight="1">
      <c r="B243" s="164"/>
      <c r="C243" s="478"/>
      <c r="D243" s="7"/>
      <c r="E243" s="7"/>
    </row>
    <row r="244" ht="15.75" customHeight="1">
      <c r="B244" s="164"/>
      <c r="C244" s="478"/>
      <c r="D244" s="7"/>
      <c r="E244" s="7"/>
    </row>
    <row r="245" ht="15.75" customHeight="1">
      <c r="B245" s="164"/>
      <c r="C245" s="478"/>
      <c r="D245" s="7"/>
      <c r="E245" s="7"/>
    </row>
    <row r="246" ht="15.75" customHeight="1">
      <c r="B246" s="164"/>
      <c r="C246" s="478"/>
      <c r="D246" s="7"/>
      <c r="E246" s="7"/>
    </row>
    <row r="247" ht="15.75" customHeight="1">
      <c r="B247" s="164"/>
      <c r="C247" s="478"/>
      <c r="D247" s="7"/>
      <c r="E247" s="7"/>
    </row>
    <row r="248" ht="15.75" customHeight="1">
      <c r="B248" s="164"/>
      <c r="C248" s="478"/>
      <c r="D248" s="7"/>
      <c r="E248" s="7"/>
    </row>
    <row r="249" ht="15.75" customHeight="1">
      <c r="B249" s="164"/>
      <c r="C249" s="478"/>
      <c r="D249" s="7"/>
      <c r="E249" s="7"/>
    </row>
    <row r="250" ht="15.75" customHeight="1">
      <c r="B250" s="164"/>
      <c r="C250" s="478"/>
      <c r="D250" s="7"/>
      <c r="E250" s="7"/>
    </row>
    <row r="251" ht="15.75" customHeight="1">
      <c r="B251" s="164"/>
      <c r="C251" s="478"/>
      <c r="D251" s="7"/>
      <c r="E251" s="7"/>
    </row>
    <row r="252" ht="15.75" customHeight="1">
      <c r="B252" s="164"/>
      <c r="C252" s="478"/>
      <c r="D252" s="7"/>
      <c r="E252" s="7"/>
    </row>
    <row r="253" ht="15.75" customHeight="1">
      <c r="B253" s="164"/>
      <c r="C253" s="478"/>
      <c r="D253" s="7"/>
      <c r="E253" s="7"/>
    </row>
    <row r="254" ht="15.75" customHeight="1">
      <c r="B254" s="164"/>
      <c r="C254" s="478"/>
      <c r="D254" s="7"/>
      <c r="E254" s="7"/>
    </row>
    <row r="255" ht="15.75" customHeight="1">
      <c r="B255" s="164"/>
      <c r="C255" s="478"/>
      <c r="D255" s="7"/>
      <c r="E255" s="7"/>
    </row>
    <row r="256" ht="15.75" customHeight="1">
      <c r="B256" s="164"/>
      <c r="C256" s="478"/>
      <c r="D256" s="7"/>
      <c r="E256" s="7"/>
    </row>
    <row r="257" ht="15.75" customHeight="1">
      <c r="B257" s="164"/>
      <c r="C257" s="478"/>
      <c r="D257" s="7"/>
      <c r="E257" s="7"/>
    </row>
    <row r="258" ht="15.75" customHeight="1">
      <c r="B258" s="164"/>
      <c r="C258" s="478"/>
      <c r="D258" s="7"/>
      <c r="E258" s="7"/>
    </row>
    <row r="259" ht="15.75" customHeight="1">
      <c r="B259" s="164"/>
      <c r="C259" s="478"/>
      <c r="D259" s="7"/>
      <c r="E259" s="7"/>
    </row>
    <row r="260" ht="15.75" customHeight="1">
      <c r="B260" s="164"/>
      <c r="C260" s="478"/>
      <c r="D260" s="7"/>
      <c r="E260" s="7"/>
    </row>
    <row r="261" ht="15.75" customHeight="1">
      <c r="B261" s="164"/>
      <c r="C261" s="478"/>
      <c r="D261" s="7"/>
      <c r="E261" s="7"/>
    </row>
    <row r="262" ht="15.75" customHeight="1">
      <c r="B262" s="164"/>
      <c r="C262" s="478"/>
      <c r="D262" s="7"/>
      <c r="E262" s="7"/>
    </row>
    <row r="263" ht="15.75" customHeight="1">
      <c r="B263" s="164"/>
      <c r="C263" s="478"/>
      <c r="D263" s="7"/>
      <c r="E263" s="7"/>
    </row>
    <row r="264" ht="15.75" customHeight="1">
      <c r="B264" s="164"/>
      <c r="C264" s="478"/>
      <c r="D264" s="7"/>
      <c r="E264" s="7"/>
    </row>
    <row r="265" ht="15.75" customHeight="1">
      <c r="B265" s="164"/>
      <c r="C265" s="478"/>
      <c r="D265" s="7"/>
      <c r="E265" s="7"/>
    </row>
    <row r="266" ht="15.75" customHeight="1">
      <c r="B266" s="164"/>
      <c r="C266" s="478"/>
      <c r="D266" s="7"/>
      <c r="E266" s="7"/>
    </row>
    <row r="267" ht="15.75" customHeight="1">
      <c r="B267" s="164"/>
      <c r="C267" s="478"/>
      <c r="D267" s="7"/>
      <c r="E267" s="7"/>
    </row>
    <row r="268" ht="15.75" customHeight="1">
      <c r="B268" s="164"/>
      <c r="C268" s="478"/>
      <c r="D268" s="7"/>
      <c r="E268" s="7"/>
    </row>
    <row r="269" ht="15.75" customHeight="1">
      <c r="B269" s="164"/>
      <c r="C269" s="478"/>
      <c r="D269" s="7"/>
      <c r="E269" s="7"/>
    </row>
    <row r="270" ht="15.75" customHeight="1">
      <c r="B270" s="164"/>
      <c r="C270" s="478"/>
      <c r="D270" s="7"/>
      <c r="E270" s="7"/>
    </row>
    <row r="271" ht="15.75" customHeight="1">
      <c r="B271" s="164"/>
      <c r="C271" s="478"/>
      <c r="D271" s="7"/>
      <c r="E271" s="7"/>
    </row>
    <row r="272" ht="15.75" customHeight="1">
      <c r="B272" s="164"/>
      <c r="C272" s="478"/>
      <c r="D272" s="7"/>
      <c r="E272" s="7"/>
    </row>
    <row r="273" ht="15.75" customHeight="1">
      <c r="B273" s="164"/>
      <c r="C273" s="478"/>
      <c r="D273" s="7"/>
      <c r="E273" s="7"/>
    </row>
    <row r="274" ht="15.75" customHeight="1">
      <c r="B274" s="164"/>
      <c r="C274" s="478"/>
      <c r="D274" s="7"/>
      <c r="E274" s="7"/>
    </row>
    <row r="275" ht="15.75" customHeight="1">
      <c r="B275" s="164"/>
      <c r="C275" s="478"/>
      <c r="D275" s="7"/>
      <c r="E275" s="7"/>
    </row>
    <row r="276" ht="15.75" customHeight="1">
      <c r="B276" s="164"/>
      <c r="C276" s="478"/>
      <c r="D276" s="7"/>
      <c r="E276" s="7"/>
    </row>
    <row r="277" ht="15.75" customHeight="1">
      <c r="B277" s="164"/>
      <c r="C277" s="478"/>
      <c r="D277" s="7"/>
      <c r="E277" s="7"/>
    </row>
    <row r="278" ht="15.75" customHeight="1">
      <c r="B278" s="164"/>
      <c r="C278" s="478"/>
      <c r="D278" s="7"/>
      <c r="E278" s="7"/>
    </row>
    <row r="279" ht="15.75" customHeight="1">
      <c r="B279" s="164"/>
      <c r="C279" s="478"/>
      <c r="D279" s="7"/>
      <c r="E279" s="7"/>
    </row>
    <row r="280" ht="15.75" customHeight="1">
      <c r="B280" s="164"/>
      <c r="C280" s="478"/>
      <c r="D280" s="7"/>
      <c r="E280" s="7"/>
    </row>
    <row r="281" ht="15.75" customHeight="1">
      <c r="B281" s="164"/>
      <c r="C281" s="478"/>
      <c r="D281" s="7"/>
      <c r="E281" s="7"/>
    </row>
    <row r="282" ht="15.75" customHeight="1">
      <c r="B282" s="164"/>
      <c r="C282" s="478"/>
      <c r="D282" s="7"/>
      <c r="E282" s="7"/>
    </row>
    <row r="283" ht="15.75" customHeight="1">
      <c r="B283" s="164"/>
      <c r="C283" s="478"/>
      <c r="D283" s="7"/>
      <c r="E283" s="7"/>
    </row>
    <row r="284" ht="15.75" customHeight="1">
      <c r="B284" s="164"/>
      <c r="C284" s="478"/>
      <c r="D284" s="7"/>
      <c r="E284" s="7"/>
    </row>
    <row r="285" ht="15.75" customHeight="1">
      <c r="B285" s="164"/>
      <c r="C285" s="478"/>
      <c r="D285" s="7"/>
      <c r="E285" s="7"/>
    </row>
    <row r="286" ht="15.75" customHeight="1">
      <c r="B286" s="164"/>
      <c r="C286" s="478"/>
      <c r="D286" s="7"/>
      <c r="E286" s="7"/>
    </row>
    <row r="287" ht="15.75" customHeight="1">
      <c r="B287" s="164"/>
      <c r="C287" s="478"/>
      <c r="D287" s="7"/>
      <c r="E287" s="7"/>
    </row>
    <row r="288" ht="15.75" customHeight="1">
      <c r="B288" s="164"/>
      <c r="C288" s="478"/>
      <c r="D288" s="7"/>
      <c r="E288" s="7"/>
    </row>
    <row r="289" ht="15.75" customHeight="1">
      <c r="B289" s="164"/>
      <c r="C289" s="478"/>
      <c r="D289" s="7"/>
      <c r="E289" s="7"/>
    </row>
    <row r="290" ht="15.75" customHeight="1">
      <c r="B290" s="164"/>
      <c r="C290" s="478"/>
      <c r="D290" s="7"/>
      <c r="E290" s="7"/>
    </row>
    <row r="291" ht="15.75" customHeight="1">
      <c r="B291" s="164"/>
      <c r="C291" s="478"/>
      <c r="D291" s="7"/>
      <c r="E291" s="7"/>
    </row>
    <row r="292" ht="15.75" customHeight="1">
      <c r="B292" s="164"/>
      <c r="C292" s="478"/>
      <c r="D292" s="7"/>
      <c r="E292" s="7"/>
    </row>
    <row r="293" ht="15.75" customHeight="1">
      <c r="B293" s="164"/>
      <c r="C293" s="478"/>
      <c r="D293" s="7"/>
      <c r="E293" s="7"/>
    </row>
    <row r="294" ht="15.75" customHeight="1">
      <c r="B294" s="164"/>
      <c r="C294" s="478"/>
      <c r="D294" s="7"/>
      <c r="E294" s="7"/>
    </row>
    <row r="295" ht="15.75" customHeight="1">
      <c r="B295" s="164"/>
      <c r="C295" s="478"/>
      <c r="D295" s="7"/>
      <c r="E295" s="7"/>
    </row>
    <row r="296" ht="15.75" customHeight="1">
      <c r="B296" s="164"/>
      <c r="C296" s="478"/>
      <c r="D296" s="7"/>
      <c r="E296" s="7"/>
    </row>
    <row r="297" ht="15.75" customHeight="1">
      <c r="B297" s="164"/>
      <c r="C297" s="478"/>
      <c r="D297" s="7"/>
      <c r="E297" s="7"/>
    </row>
    <row r="298" ht="15.75" customHeight="1">
      <c r="B298" s="164"/>
      <c r="C298" s="478"/>
      <c r="D298" s="7"/>
      <c r="E298" s="7"/>
    </row>
    <row r="299" ht="15.75" customHeight="1">
      <c r="B299" s="164"/>
      <c r="C299" s="478"/>
      <c r="D299" s="7"/>
      <c r="E299" s="7"/>
    </row>
    <row r="300" ht="15.75" customHeight="1">
      <c r="B300" s="164"/>
      <c r="C300" s="478"/>
      <c r="D300" s="7"/>
      <c r="E300" s="7"/>
    </row>
    <row r="301" ht="15.75" customHeight="1">
      <c r="B301" s="164"/>
      <c r="C301" s="478"/>
      <c r="D301" s="7"/>
      <c r="E301" s="7"/>
    </row>
    <row r="302" ht="15.75" customHeight="1">
      <c r="B302" s="164"/>
      <c r="C302" s="478"/>
      <c r="D302" s="7"/>
      <c r="E302" s="7"/>
    </row>
    <row r="303" ht="15.75" customHeight="1">
      <c r="B303" s="164"/>
      <c r="C303" s="478"/>
      <c r="D303" s="7"/>
      <c r="E303" s="7"/>
    </row>
    <row r="304" ht="15.75" customHeight="1">
      <c r="B304" s="164"/>
      <c r="C304" s="478"/>
      <c r="D304" s="7"/>
      <c r="E304" s="7"/>
    </row>
    <row r="305" ht="15.75" customHeight="1">
      <c r="B305" s="164"/>
      <c r="C305" s="478"/>
      <c r="D305" s="7"/>
      <c r="E305" s="7"/>
    </row>
    <row r="306" ht="15.75" customHeight="1">
      <c r="B306" s="164"/>
      <c r="C306" s="478"/>
      <c r="D306" s="7"/>
      <c r="E306" s="7"/>
    </row>
    <row r="307" ht="15.75" customHeight="1">
      <c r="B307" s="164"/>
      <c r="C307" s="478"/>
      <c r="D307" s="7"/>
      <c r="E307" s="7"/>
    </row>
    <row r="308" ht="15.75" customHeight="1">
      <c r="B308" s="164"/>
      <c r="C308" s="478"/>
      <c r="D308" s="7"/>
      <c r="E308" s="7"/>
    </row>
    <row r="309" ht="15.75" customHeight="1">
      <c r="B309" s="164"/>
      <c r="C309" s="478"/>
      <c r="D309" s="7"/>
      <c r="E309" s="7"/>
    </row>
    <row r="310" ht="15.75" customHeight="1">
      <c r="B310" s="164"/>
      <c r="C310" s="478"/>
      <c r="D310" s="7"/>
      <c r="E310" s="7"/>
    </row>
    <row r="311" ht="15.75" customHeight="1">
      <c r="B311" s="164"/>
      <c r="C311" s="478"/>
      <c r="D311" s="7"/>
      <c r="E311" s="7"/>
    </row>
    <row r="312" ht="15.75" customHeight="1">
      <c r="B312" s="164"/>
      <c r="C312" s="478"/>
      <c r="D312" s="7"/>
      <c r="E312" s="7"/>
    </row>
    <row r="313" ht="15.75" customHeight="1">
      <c r="B313" s="164"/>
      <c r="C313" s="478"/>
      <c r="D313" s="7"/>
      <c r="E313" s="7"/>
    </row>
    <row r="314" ht="15.75" customHeight="1">
      <c r="B314" s="164"/>
      <c r="C314" s="478"/>
      <c r="D314" s="7"/>
      <c r="E314" s="7"/>
    </row>
    <row r="315" ht="15.75" customHeight="1">
      <c r="B315" s="164"/>
      <c r="C315" s="478"/>
      <c r="D315" s="7"/>
      <c r="E315" s="7"/>
    </row>
    <row r="316" ht="15.75" customHeight="1">
      <c r="B316" s="164"/>
      <c r="C316" s="478"/>
      <c r="D316" s="7"/>
      <c r="E316" s="7"/>
    </row>
    <row r="317" ht="15.75" customHeight="1">
      <c r="B317" s="164"/>
      <c r="C317" s="478"/>
      <c r="D317" s="7"/>
      <c r="E317" s="7"/>
    </row>
    <row r="318" ht="15.75" customHeight="1">
      <c r="B318" s="164"/>
      <c r="C318" s="478"/>
      <c r="D318" s="7"/>
      <c r="E318" s="7"/>
    </row>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18"/>
  <conditionalFormatting sqref="F2:F53 F60:F70 G2:G50 H2:H51 H65">
    <cfRule type="colorScale" priority="1">
      <colorScale>
        <cfvo type="min"/>
        <cfvo type="max"/>
        <color rgb="FFFFFFFF"/>
        <color rgb="FFB7E1CD"/>
      </colorScale>
    </cfRule>
  </conditionalFormatting>
  <dataValidations>
    <dataValidation type="list" allowBlank="1" showErrorMessage="1" sqref="D97:D117">
      <formula1>"Студия,1+1,1+2,Дом,Студия/твин"</formula1>
    </dataValidation>
    <dataValidation type="list" allowBlank="1" showErrorMessage="1" sqref="E2:E34 E37:E118">
      <formula1>"70/30,80/20,Лето,90/10,100/0,❌"</formula1>
    </dataValidation>
  </dataValidations>
  <hyperlinks>
    <hyperlink r:id="rId1" ref="F2"/>
    <hyperlink r:id="rId2" ref="G2"/>
    <hyperlink r:id="rId3" ref="F3"/>
    <hyperlink r:id="rId4" ref="F4"/>
    <hyperlink r:id="rId5" ref="F5"/>
    <hyperlink r:id="rId6" ref="F6"/>
    <hyperlink r:id="rId7" ref="G6"/>
    <hyperlink r:id="rId8" ref="F7"/>
    <hyperlink r:id="rId9" ref="F8"/>
    <hyperlink r:id="rId10" ref="F9"/>
    <hyperlink r:id="rId11" ref="F10"/>
    <hyperlink r:id="rId12" ref="F11"/>
    <hyperlink r:id="rId13" ref="F12"/>
    <hyperlink r:id="rId14" ref="F13"/>
    <hyperlink r:id="rId15" ref="F14"/>
    <hyperlink r:id="rId16" ref="F15"/>
    <hyperlink r:id="rId17" ref="F16"/>
    <hyperlink r:id="rId18" ref="F17"/>
    <hyperlink r:id="rId19" ref="F19"/>
    <hyperlink r:id="rId20" ref="G19"/>
    <hyperlink r:id="rId21" ref="F20"/>
    <hyperlink r:id="rId22" ref="G20"/>
    <hyperlink r:id="rId23" ref="F21"/>
    <hyperlink r:id="rId24" ref="G21"/>
    <hyperlink r:id="rId25" ref="F22"/>
    <hyperlink r:id="rId26" ref="G22"/>
    <hyperlink r:id="rId27" ref="F23"/>
    <hyperlink r:id="rId28" ref="F24"/>
    <hyperlink r:id="rId29" ref="G24"/>
    <hyperlink r:id="rId30" ref="F25"/>
    <hyperlink r:id="rId31" ref="G25"/>
    <hyperlink r:id="rId32" ref="F26"/>
    <hyperlink r:id="rId33" ref="G26"/>
    <hyperlink r:id="rId34" ref="F27"/>
    <hyperlink r:id="rId35" ref="F28"/>
    <hyperlink r:id="rId36" ref="G28"/>
    <hyperlink r:id="rId37" ref="F29"/>
    <hyperlink r:id="rId38" ref="G29"/>
    <hyperlink r:id="rId39" ref="F30"/>
    <hyperlink r:id="rId40" ref="G30"/>
    <hyperlink r:id="rId41" ref="F31"/>
    <hyperlink r:id="rId42" ref="F32"/>
    <hyperlink r:id="rId43" ref="G37"/>
    <hyperlink r:id="rId44" ref="F54"/>
    <hyperlink r:id="rId45" ref="F55"/>
    <hyperlink r:id="rId46" ref="F57"/>
    <hyperlink r:id="rId47" ref="F60"/>
    <hyperlink r:id="rId48" ref="G60"/>
    <hyperlink r:id="rId49" ref="F61"/>
    <hyperlink r:id="rId50" ref="F62"/>
    <hyperlink r:id="rId51" ref="F63"/>
    <hyperlink r:id="rId52" ref="F64"/>
    <hyperlink r:id="rId53" ref="F65"/>
    <hyperlink r:id="rId54" ref="F67"/>
    <hyperlink r:id="rId55" ref="F68"/>
    <hyperlink r:id="rId56" ref="G68"/>
    <hyperlink r:id="rId57" ref="F69"/>
    <hyperlink r:id="rId58" ref="F70"/>
    <hyperlink r:id="rId59" ref="G70"/>
    <hyperlink r:id="rId60" ref="F117"/>
  </hyperlinks>
  <drawing r:id="rId6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
    <col customWidth="1" hidden="1" min="2" max="3" width="9.38"/>
    <col customWidth="1" min="4" max="4" width="12.63"/>
    <col customWidth="1" min="5" max="5" width="4.5"/>
    <col customWidth="1" hidden="1" min="6" max="6" width="8.75"/>
    <col customWidth="1" min="7" max="15" width="7.88"/>
  </cols>
  <sheetData>
    <row r="1" ht="30.75" customHeight="1">
      <c r="A1" s="1338" t="str">
        <f>F1</f>
        <v/>
      </c>
      <c r="B1" s="1339"/>
      <c r="C1" s="1339"/>
      <c r="D1" s="1340"/>
      <c r="E1" s="1317"/>
      <c r="F1" s="1316"/>
      <c r="G1" s="1341" t="s">
        <v>1606</v>
      </c>
      <c r="H1" s="1342" t="s">
        <v>1607</v>
      </c>
      <c r="I1" s="1343" t="s">
        <v>1608</v>
      </c>
      <c r="J1" s="1344" t="s">
        <v>1609</v>
      </c>
      <c r="K1" s="1317" t="s">
        <v>1610</v>
      </c>
      <c r="L1" s="1317" t="s">
        <v>1611</v>
      </c>
      <c r="M1" s="1317" t="s">
        <v>1612</v>
      </c>
      <c r="N1" s="1317" t="s">
        <v>1613</v>
      </c>
      <c r="O1" s="1317"/>
      <c r="P1" s="1345"/>
      <c r="Q1" s="1345"/>
      <c r="R1" s="1345"/>
      <c r="S1" s="1345"/>
      <c r="T1" s="1345"/>
      <c r="U1" s="1345"/>
      <c r="V1" s="1345"/>
      <c r="W1" s="1345"/>
      <c r="X1" s="1345"/>
      <c r="Y1" s="1345"/>
      <c r="Z1" s="1346"/>
    </row>
    <row r="2" ht="15.75" customHeight="1">
      <c r="A2" s="4">
        <v>1.0</v>
      </c>
      <c r="B2" s="1238"/>
      <c r="C2" s="11" t="s">
        <v>58</v>
      </c>
      <c r="D2" s="12" t="s">
        <v>24</v>
      </c>
      <c r="E2" s="13" t="s">
        <v>25</v>
      </c>
      <c r="F2" s="1347" t="s">
        <v>27</v>
      </c>
      <c r="G2" s="93" t="b">
        <v>0</v>
      </c>
      <c r="H2" s="93" t="b">
        <v>0</v>
      </c>
      <c r="I2" s="93" t="b">
        <v>0</v>
      </c>
      <c r="J2" s="93" t="b">
        <v>0</v>
      </c>
      <c r="K2" s="93" t="b">
        <v>0</v>
      </c>
      <c r="L2" s="93" t="b">
        <v>0</v>
      </c>
      <c r="M2" s="93" t="b">
        <v>0</v>
      </c>
      <c r="N2" s="93" t="b">
        <v>0</v>
      </c>
      <c r="O2" s="93" t="b">
        <v>0</v>
      </c>
    </row>
    <row r="3" ht="15.75" customHeight="1">
      <c r="A3" s="17">
        <f t="shared" ref="A3:A127" si="1">A2+1</f>
        <v>2</v>
      </c>
      <c r="B3" s="1248"/>
      <c r="C3" s="18" t="s">
        <v>58</v>
      </c>
      <c r="D3" s="19" t="s">
        <v>29</v>
      </c>
      <c r="E3" s="20" t="s">
        <v>25</v>
      </c>
      <c r="F3" s="1348" t="s">
        <v>30</v>
      </c>
      <c r="G3" s="93" t="b">
        <v>0</v>
      </c>
      <c r="H3" s="93" t="b">
        <v>0</v>
      </c>
      <c r="I3" s="93" t="b">
        <v>0</v>
      </c>
      <c r="J3" s="93" t="b">
        <v>0</v>
      </c>
      <c r="K3" s="93" t="b">
        <v>0</v>
      </c>
      <c r="L3" s="93" t="b">
        <v>0</v>
      </c>
      <c r="M3" s="93" t="b">
        <v>0</v>
      </c>
      <c r="N3" s="93" t="b">
        <v>0</v>
      </c>
      <c r="O3" s="93" t="b">
        <v>0</v>
      </c>
    </row>
    <row r="4" ht="15.75" customHeight="1">
      <c r="A4" s="17">
        <f t="shared" si="1"/>
        <v>3</v>
      </c>
      <c r="B4" s="1248"/>
      <c r="C4" s="18" t="s">
        <v>58</v>
      </c>
      <c r="D4" s="19" t="s">
        <v>32</v>
      </c>
      <c r="E4" s="20" t="s">
        <v>25</v>
      </c>
      <c r="F4" s="1348" t="s">
        <v>33</v>
      </c>
      <c r="G4" s="93" t="b">
        <v>0</v>
      </c>
      <c r="H4" s="93" t="b">
        <v>0</v>
      </c>
      <c r="I4" s="93" t="b">
        <v>0</v>
      </c>
      <c r="J4" s="93" t="b">
        <v>0</v>
      </c>
      <c r="K4" s="93" t="b">
        <v>0</v>
      </c>
      <c r="L4" s="93" t="b">
        <v>0</v>
      </c>
      <c r="M4" s="93" t="b">
        <v>0</v>
      </c>
      <c r="N4" s="93" t="b">
        <v>0</v>
      </c>
      <c r="O4" s="93" t="b">
        <v>0</v>
      </c>
    </row>
    <row r="5" ht="15.75" customHeight="1">
      <c r="A5" s="17">
        <f t="shared" si="1"/>
        <v>4</v>
      </c>
      <c r="B5" s="1248"/>
      <c r="C5" s="18" t="s">
        <v>58</v>
      </c>
      <c r="D5" s="22" t="s">
        <v>35</v>
      </c>
      <c r="E5" s="20" t="s">
        <v>25</v>
      </c>
      <c r="F5" s="1348" t="s">
        <v>30</v>
      </c>
      <c r="G5" s="93" t="b">
        <v>0</v>
      </c>
      <c r="H5" s="93" t="b">
        <v>0</v>
      </c>
      <c r="I5" s="93" t="b">
        <v>0</v>
      </c>
      <c r="J5" s="93" t="b">
        <v>0</v>
      </c>
      <c r="K5" s="93" t="b">
        <v>0</v>
      </c>
      <c r="L5" s="93" t="b">
        <v>0</v>
      </c>
      <c r="M5" s="93" t="b">
        <v>0</v>
      </c>
      <c r="N5" s="93" t="b">
        <v>0</v>
      </c>
      <c r="O5" s="93" t="b">
        <v>0</v>
      </c>
    </row>
    <row r="6" ht="15.75" customHeight="1">
      <c r="A6" s="17">
        <f t="shared" si="1"/>
        <v>5</v>
      </c>
      <c r="B6" s="1248"/>
      <c r="C6" s="18" t="s">
        <v>58</v>
      </c>
      <c r="D6" s="22" t="s">
        <v>37</v>
      </c>
      <c r="E6" s="20" t="s">
        <v>25</v>
      </c>
      <c r="F6" s="1348" t="s">
        <v>30</v>
      </c>
      <c r="G6" s="93" t="b">
        <v>0</v>
      </c>
      <c r="H6" s="93" t="b">
        <v>0</v>
      </c>
      <c r="I6" s="93" t="b">
        <v>0</v>
      </c>
      <c r="J6" s="93" t="b">
        <v>0</v>
      </c>
      <c r="K6" s="93" t="b">
        <v>0</v>
      </c>
      <c r="L6" s="93" t="b">
        <v>0</v>
      </c>
      <c r="M6" s="93" t="b">
        <v>0</v>
      </c>
      <c r="N6" s="93" t="b">
        <v>0</v>
      </c>
      <c r="O6" s="93" t="b">
        <v>0</v>
      </c>
    </row>
    <row r="7" ht="15.75" customHeight="1">
      <c r="A7" s="17">
        <f t="shared" si="1"/>
        <v>6</v>
      </c>
      <c r="B7" s="1248"/>
      <c r="C7" s="18" t="s">
        <v>58</v>
      </c>
      <c r="D7" s="19" t="s">
        <v>39</v>
      </c>
      <c r="E7" s="20" t="s">
        <v>25</v>
      </c>
      <c r="F7" s="1348" t="s">
        <v>27</v>
      </c>
      <c r="G7" s="93" t="b">
        <v>0</v>
      </c>
      <c r="H7" s="93" t="b">
        <v>0</v>
      </c>
      <c r="I7" s="93" t="b">
        <v>0</v>
      </c>
      <c r="J7" s="93" t="b">
        <v>0</v>
      </c>
      <c r="K7" s="93" t="b">
        <v>0</v>
      </c>
      <c r="L7" s="93" t="b">
        <v>0</v>
      </c>
      <c r="M7" s="93" t="b">
        <v>0</v>
      </c>
      <c r="N7" s="93" t="b">
        <v>0</v>
      </c>
      <c r="O7" s="93" t="b">
        <v>0</v>
      </c>
    </row>
    <row r="8" ht="15.75" customHeight="1">
      <c r="A8" s="17">
        <f t="shared" si="1"/>
        <v>7</v>
      </c>
      <c r="B8" s="1248"/>
      <c r="C8" s="18" t="s">
        <v>58</v>
      </c>
      <c r="D8" s="19" t="s">
        <v>41</v>
      </c>
      <c r="E8" s="20" t="s">
        <v>25</v>
      </c>
      <c r="F8" s="1348" t="s">
        <v>30</v>
      </c>
      <c r="G8" s="93" t="b">
        <v>0</v>
      </c>
      <c r="H8" s="93" t="b">
        <v>0</v>
      </c>
      <c r="I8" s="93" t="b">
        <v>0</v>
      </c>
      <c r="J8" s="93" t="b">
        <v>0</v>
      </c>
      <c r="K8" s="93" t="b">
        <v>0</v>
      </c>
      <c r="L8" s="93" t="b">
        <v>0</v>
      </c>
      <c r="M8" s="93" t="b">
        <v>0</v>
      </c>
      <c r="N8" s="93" t="b">
        <v>0</v>
      </c>
      <c r="O8" s="93" t="b">
        <v>1</v>
      </c>
    </row>
    <row r="9" ht="15.75" customHeight="1">
      <c r="A9" s="17">
        <f t="shared" si="1"/>
        <v>8</v>
      </c>
      <c r="B9" s="1248"/>
      <c r="C9" s="18" t="s">
        <v>58</v>
      </c>
      <c r="D9" s="19" t="s">
        <v>43</v>
      </c>
      <c r="E9" s="20" t="s">
        <v>25</v>
      </c>
      <c r="F9" s="1348" t="s">
        <v>30</v>
      </c>
      <c r="G9" s="93" t="b">
        <v>0</v>
      </c>
      <c r="H9" s="93" t="b">
        <v>0</v>
      </c>
      <c r="I9" s="93" t="b">
        <v>0</v>
      </c>
      <c r="J9" s="93" t="b">
        <v>0</v>
      </c>
      <c r="K9" s="93" t="b">
        <v>0</v>
      </c>
      <c r="L9" s="93" t="b">
        <v>0</v>
      </c>
      <c r="M9" s="93" t="b">
        <v>0</v>
      </c>
      <c r="N9" s="93" t="b">
        <v>0</v>
      </c>
      <c r="O9" s="93" t="b">
        <v>0</v>
      </c>
    </row>
    <row r="10" ht="15.75" customHeight="1">
      <c r="A10" s="17">
        <f t="shared" si="1"/>
        <v>9</v>
      </c>
      <c r="B10" s="1248"/>
      <c r="C10" s="18" t="s">
        <v>58</v>
      </c>
      <c r="D10" s="19" t="s">
        <v>45</v>
      </c>
      <c r="E10" s="20" t="s">
        <v>25</v>
      </c>
      <c r="F10" s="1348" t="s">
        <v>46</v>
      </c>
      <c r="G10" s="93" t="b">
        <v>0</v>
      </c>
      <c r="H10" s="93" t="b">
        <v>0</v>
      </c>
      <c r="I10" s="93" t="b">
        <v>0</v>
      </c>
      <c r="J10" s="93" t="b">
        <v>0</v>
      </c>
      <c r="K10" s="93" t="b">
        <v>0</v>
      </c>
      <c r="L10" s="93" t="b">
        <v>0</v>
      </c>
      <c r="M10" s="93" t="b">
        <v>0</v>
      </c>
      <c r="N10" s="93" t="b">
        <v>0</v>
      </c>
      <c r="O10" s="93" t="b">
        <v>0</v>
      </c>
    </row>
    <row r="11" ht="15.75" customHeight="1">
      <c r="A11" s="17">
        <f t="shared" si="1"/>
        <v>10</v>
      </c>
      <c r="B11" s="1248"/>
      <c r="C11" s="18" t="s">
        <v>58</v>
      </c>
      <c r="D11" s="19" t="s">
        <v>48</v>
      </c>
      <c r="E11" s="20" t="s">
        <v>25</v>
      </c>
      <c r="F11" s="1348" t="s">
        <v>46</v>
      </c>
      <c r="G11" s="93" t="b">
        <v>0</v>
      </c>
      <c r="H11" s="93" t="b">
        <v>0</v>
      </c>
      <c r="I11" s="93" t="b">
        <v>0</v>
      </c>
      <c r="J11" s="93" t="b">
        <v>0</v>
      </c>
      <c r="K11" s="93" t="b">
        <v>0</v>
      </c>
      <c r="L11" s="93" t="b">
        <v>0</v>
      </c>
      <c r="M11" s="93" t="b">
        <v>0</v>
      </c>
      <c r="N11" s="93" t="b">
        <v>0</v>
      </c>
      <c r="O11" s="93" t="b">
        <v>0</v>
      </c>
    </row>
    <row r="12" ht="15.75" customHeight="1">
      <c r="A12" s="17">
        <f t="shared" si="1"/>
        <v>11</v>
      </c>
      <c r="B12" s="1248"/>
      <c r="C12" s="18" t="s">
        <v>58</v>
      </c>
      <c r="D12" s="19" t="s">
        <v>50</v>
      </c>
      <c r="E12" s="20" t="s">
        <v>25</v>
      </c>
      <c r="F12" s="1348" t="s">
        <v>30</v>
      </c>
      <c r="G12" s="93" t="b">
        <v>0</v>
      </c>
      <c r="H12" s="93" t="b">
        <v>0</v>
      </c>
      <c r="I12" s="93" t="b">
        <v>0</v>
      </c>
      <c r="J12" s="93" t="b">
        <v>0</v>
      </c>
      <c r="K12" s="93" t="b">
        <v>0</v>
      </c>
      <c r="L12" s="93" t="b">
        <v>0</v>
      </c>
      <c r="M12" s="93" t="b">
        <v>0</v>
      </c>
      <c r="N12" s="93" t="b">
        <v>0</v>
      </c>
      <c r="O12" s="93" t="b">
        <v>0</v>
      </c>
    </row>
    <row r="13" ht="15.75" customHeight="1">
      <c r="A13" s="17">
        <f t="shared" si="1"/>
        <v>12</v>
      </c>
      <c r="B13" s="1248"/>
      <c r="C13" s="18" t="s">
        <v>58</v>
      </c>
      <c r="D13" s="19" t="s">
        <v>52</v>
      </c>
      <c r="E13" s="20" t="s">
        <v>25</v>
      </c>
      <c r="F13" s="1348" t="s">
        <v>30</v>
      </c>
      <c r="G13" s="93" t="b">
        <v>0</v>
      </c>
      <c r="H13" s="93" t="b">
        <v>0</v>
      </c>
      <c r="I13" s="93" t="b">
        <v>0</v>
      </c>
      <c r="J13" s="93" t="b">
        <v>0</v>
      </c>
      <c r="K13" s="93" t="b">
        <v>0</v>
      </c>
      <c r="L13" s="93" t="b">
        <v>0</v>
      </c>
      <c r="M13" s="93" t="b">
        <v>0</v>
      </c>
      <c r="N13" s="93" t="b">
        <v>0</v>
      </c>
      <c r="O13" s="93" t="b">
        <v>0</v>
      </c>
    </row>
    <row r="14" ht="15.75" customHeight="1">
      <c r="A14" s="17">
        <f t="shared" si="1"/>
        <v>13</v>
      </c>
      <c r="B14" s="1248"/>
      <c r="C14" s="18" t="s">
        <v>58</v>
      </c>
      <c r="D14" s="19" t="s">
        <v>54</v>
      </c>
      <c r="E14" s="20" t="s">
        <v>25</v>
      </c>
      <c r="F14" s="1348" t="s">
        <v>27</v>
      </c>
      <c r="G14" s="93" t="b">
        <v>0</v>
      </c>
      <c r="H14" s="93" t="b">
        <v>0</v>
      </c>
      <c r="I14" s="93" t="b">
        <v>0</v>
      </c>
      <c r="J14" s="93" t="b">
        <v>0</v>
      </c>
      <c r="K14" s="93" t="b">
        <v>0</v>
      </c>
      <c r="L14" s="93" t="b">
        <v>0</v>
      </c>
      <c r="M14" s="93" t="b">
        <v>0</v>
      </c>
      <c r="N14" s="93" t="b">
        <v>0</v>
      </c>
      <c r="O14" s="93" t="b">
        <v>0</v>
      </c>
    </row>
    <row r="15" ht="15.75" customHeight="1">
      <c r="A15" s="17">
        <f t="shared" si="1"/>
        <v>14</v>
      </c>
      <c r="B15" s="1248"/>
      <c r="C15" s="18" t="s">
        <v>58</v>
      </c>
      <c r="D15" s="19" t="s">
        <v>56</v>
      </c>
      <c r="E15" s="20" t="s">
        <v>25</v>
      </c>
      <c r="F15" s="1348" t="s">
        <v>30</v>
      </c>
      <c r="G15" s="93" t="b">
        <v>0</v>
      </c>
      <c r="H15" s="93" t="b">
        <v>0</v>
      </c>
      <c r="I15" s="93" t="b">
        <v>0</v>
      </c>
      <c r="J15" s="93" t="b">
        <v>0</v>
      </c>
      <c r="K15" s="93" t="b">
        <v>0</v>
      </c>
      <c r="L15" s="93" t="b">
        <v>0</v>
      </c>
      <c r="M15" s="93" t="b">
        <v>0</v>
      </c>
      <c r="N15" s="93" t="b">
        <v>0</v>
      </c>
      <c r="O15" s="93" t="b">
        <v>0</v>
      </c>
    </row>
    <row r="16" ht="15.75" customHeight="1">
      <c r="A16" s="17">
        <f t="shared" si="1"/>
        <v>15</v>
      </c>
      <c r="B16" s="1248"/>
      <c r="C16" s="18" t="s">
        <v>58</v>
      </c>
      <c r="D16" s="22" t="s">
        <v>59</v>
      </c>
      <c r="E16" s="20" t="s">
        <v>60</v>
      </c>
      <c r="F16" s="1348" t="s">
        <v>30</v>
      </c>
      <c r="G16" s="93" t="b">
        <v>0</v>
      </c>
      <c r="H16" s="93" t="b">
        <v>0</v>
      </c>
      <c r="I16" s="93" t="b">
        <v>0</v>
      </c>
      <c r="J16" s="93" t="b">
        <v>0</v>
      </c>
      <c r="K16" s="93" t="b">
        <v>0</v>
      </c>
      <c r="L16" s="93" t="b">
        <v>0</v>
      </c>
      <c r="M16" s="93" t="b">
        <v>0</v>
      </c>
      <c r="N16" s="93" t="b">
        <v>0</v>
      </c>
      <c r="O16" s="93" t="b">
        <v>0</v>
      </c>
    </row>
    <row r="17" ht="15.75" customHeight="1">
      <c r="A17" s="17">
        <f t="shared" si="1"/>
        <v>16</v>
      </c>
      <c r="B17" s="1248"/>
      <c r="C17" s="18" t="s">
        <v>58</v>
      </c>
      <c r="D17" s="22" t="s">
        <v>62</v>
      </c>
      <c r="E17" s="20" t="s">
        <v>60</v>
      </c>
      <c r="F17" s="1348" t="s">
        <v>30</v>
      </c>
      <c r="G17" s="93" t="b">
        <v>0</v>
      </c>
      <c r="H17" s="93" t="b">
        <v>0</v>
      </c>
      <c r="I17" s="93" t="b">
        <v>0</v>
      </c>
      <c r="J17" s="93" t="b">
        <v>0</v>
      </c>
      <c r="K17" s="93" t="b">
        <v>0</v>
      </c>
      <c r="L17" s="93" t="b">
        <v>0</v>
      </c>
      <c r="M17" s="93" t="b">
        <v>0</v>
      </c>
      <c r="N17" s="93" t="b">
        <v>0</v>
      </c>
      <c r="O17" s="93" t="b">
        <v>0</v>
      </c>
    </row>
    <row r="18" ht="15.75" customHeight="1">
      <c r="A18" s="17">
        <f t="shared" si="1"/>
        <v>17</v>
      </c>
      <c r="B18" s="1248"/>
      <c r="C18" s="18" t="s">
        <v>58</v>
      </c>
      <c r="D18" s="24" t="s">
        <v>64</v>
      </c>
      <c r="E18" s="20" t="s">
        <v>65</v>
      </c>
      <c r="F18" s="1348" t="s">
        <v>30</v>
      </c>
      <c r="G18" s="93" t="b">
        <v>0</v>
      </c>
      <c r="H18" s="93" t="b">
        <v>0</v>
      </c>
      <c r="I18" s="93" t="b">
        <v>0</v>
      </c>
      <c r="J18" s="93" t="b">
        <v>0</v>
      </c>
      <c r="K18" s="93" t="b">
        <v>0</v>
      </c>
      <c r="L18" s="93" t="b">
        <v>0</v>
      </c>
      <c r="M18" s="93" t="b">
        <v>0</v>
      </c>
      <c r="N18" s="93" t="b">
        <v>0</v>
      </c>
      <c r="O18" s="93" t="b">
        <v>0</v>
      </c>
    </row>
    <row r="19" ht="15.75" customHeight="1">
      <c r="A19" s="17">
        <f t="shared" si="1"/>
        <v>18</v>
      </c>
      <c r="B19" s="1248"/>
      <c r="C19" s="18" t="s">
        <v>58</v>
      </c>
      <c r="D19" s="25" t="s">
        <v>67</v>
      </c>
      <c r="E19" s="26" t="s">
        <v>68</v>
      </c>
      <c r="F19" s="1348" t="s">
        <v>30</v>
      </c>
      <c r="G19" s="93" t="b">
        <v>0</v>
      </c>
      <c r="H19" s="93" t="b">
        <v>0</v>
      </c>
      <c r="I19" s="93" t="b">
        <v>0</v>
      </c>
      <c r="J19" s="93" t="b">
        <v>0</v>
      </c>
      <c r="K19" s="93" t="b">
        <v>0</v>
      </c>
      <c r="L19" s="93" t="b">
        <v>0</v>
      </c>
      <c r="M19" s="93" t="b">
        <v>0</v>
      </c>
      <c r="N19" s="93" t="b">
        <v>0</v>
      </c>
      <c r="O19" s="93" t="b">
        <v>0</v>
      </c>
    </row>
    <row r="20" ht="15.75" customHeight="1">
      <c r="A20" s="17">
        <f t="shared" si="1"/>
        <v>19</v>
      </c>
      <c r="B20" s="1248"/>
      <c r="C20" s="18" t="s">
        <v>58</v>
      </c>
      <c r="D20" s="25" t="s">
        <v>70</v>
      </c>
      <c r="E20" s="26" t="s">
        <v>71</v>
      </c>
      <c r="F20" s="1348" t="s">
        <v>30</v>
      </c>
      <c r="G20" s="93" t="b">
        <v>0</v>
      </c>
      <c r="H20" s="93" t="b">
        <v>0</v>
      </c>
      <c r="I20" s="93" t="b">
        <v>0</v>
      </c>
      <c r="J20" s="93" t="b">
        <v>0</v>
      </c>
      <c r="K20" s="93" t="b">
        <v>0</v>
      </c>
      <c r="L20" s="93" t="b">
        <v>0</v>
      </c>
      <c r="M20" s="93" t="b">
        <v>0</v>
      </c>
      <c r="N20" s="93" t="b">
        <v>0</v>
      </c>
      <c r="O20" s="93" t="b">
        <v>0</v>
      </c>
    </row>
    <row r="21" ht="15.75" customHeight="1">
      <c r="A21" s="17">
        <f t="shared" si="1"/>
        <v>20</v>
      </c>
      <c r="B21" s="1248"/>
      <c r="C21" s="18" t="s">
        <v>58</v>
      </c>
      <c r="D21" s="25" t="s">
        <v>73</v>
      </c>
      <c r="E21" s="26" t="s">
        <v>71</v>
      </c>
      <c r="F21" s="1348" t="s">
        <v>30</v>
      </c>
      <c r="G21" s="93" t="b">
        <v>0</v>
      </c>
      <c r="H21" s="93" t="b">
        <v>0</v>
      </c>
      <c r="I21" s="93" t="b">
        <v>0</v>
      </c>
      <c r="J21" s="93" t="b">
        <v>0</v>
      </c>
      <c r="K21" s="93" t="b">
        <v>0</v>
      </c>
      <c r="L21" s="93" t="b">
        <v>0</v>
      </c>
      <c r="M21" s="93" t="b">
        <v>0</v>
      </c>
      <c r="N21" s="93" t="b">
        <v>0</v>
      </c>
      <c r="O21" s="93" t="b">
        <v>0</v>
      </c>
    </row>
    <row r="22" ht="15.75" customHeight="1">
      <c r="A22" s="17">
        <f t="shared" si="1"/>
        <v>21</v>
      </c>
      <c r="B22" s="1248"/>
      <c r="C22" s="18" t="s">
        <v>58</v>
      </c>
      <c r="D22" s="25" t="s">
        <v>75</v>
      </c>
      <c r="E22" s="26" t="s">
        <v>71</v>
      </c>
      <c r="F22" s="1348" t="s">
        <v>30</v>
      </c>
      <c r="G22" s="93" t="b">
        <v>0</v>
      </c>
      <c r="H22" s="93" t="b">
        <v>0</v>
      </c>
      <c r="I22" s="93" t="b">
        <v>0</v>
      </c>
      <c r="J22" s="93" t="b">
        <v>0</v>
      </c>
      <c r="K22" s="93" t="b">
        <v>0</v>
      </c>
      <c r="L22" s="93" t="b">
        <v>0</v>
      </c>
      <c r="M22" s="93" t="b">
        <v>0</v>
      </c>
      <c r="N22" s="93" t="b">
        <v>0</v>
      </c>
      <c r="O22" s="93" t="b">
        <v>0</v>
      </c>
    </row>
    <row r="23" ht="15.75" customHeight="1">
      <c r="A23" s="17">
        <f t="shared" si="1"/>
        <v>22</v>
      </c>
      <c r="B23" s="1248"/>
      <c r="C23" s="18" t="s">
        <v>58</v>
      </c>
      <c r="D23" s="25" t="s">
        <v>77</v>
      </c>
      <c r="E23" s="26" t="s">
        <v>60</v>
      </c>
      <c r="F23" s="1348" t="s">
        <v>27</v>
      </c>
      <c r="G23" s="93" t="b">
        <v>0</v>
      </c>
      <c r="H23" s="93" t="b">
        <v>0</v>
      </c>
      <c r="I23" s="93" t="b">
        <v>0</v>
      </c>
      <c r="J23" s="93" t="b">
        <v>0</v>
      </c>
      <c r="K23" s="93" t="b">
        <v>0</v>
      </c>
      <c r="L23" s="93" t="b">
        <v>0</v>
      </c>
      <c r="M23" s="93" t="b">
        <v>0</v>
      </c>
      <c r="N23" s="93" t="b">
        <v>0</v>
      </c>
      <c r="O23" s="93" t="b">
        <v>0</v>
      </c>
    </row>
    <row r="24" ht="15.75" customHeight="1">
      <c r="A24" s="17">
        <f t="shared" si="1"/>
        <v>23</v>
      </c>
      <c r="B24" s="1248"/>
      <c r="C24" s="18" t="s">
        <v>58</v>
      </c>
      <c r="D24" s="25" t="s">
        <v>79</v>
      </c>
      <c r="E24" s="26" t="s">
        <v>60</v>
      </c>
      <c r="F24" s="1348" t="s">
        <v>27</v>
      </c>
      <c r="G24" s="93" t="b">
        <v>0</v>
      </c>
      <c r="H24" s="93" t="b">
        <v>0</v>
      </c>
      <c r="I24" s="93" t="b">
        <v>0</v>
      </c>
      <c r="J24" s="93" t="b">
        <v>0</v>
      </c>
      <c r="K24" s="93" t="b">
        <v>0</v>
      </c>
      <c r="L24" s="93" t="b">
        <v>0</v>
      </c>
      <c r="M24" s="93" t="b">
        <v>0</v>
      </c>
      <c r="N24" s="93" t="b">
        <v>0</v>
      </c>
      <c r="O24" s="93" t="b">
        <v>0</v>
      </c>
    </row>
    <row r="25" ht="15.75" customHeight="1">
      <c r="A25" s="17">
        <f t="shared" si="1"/>
        <v>24</v>
      </c>
      <c r="B25" s="1248"/>
      <c r="C25" s="18" t="s">
        <v>58</v>
      </c>
      <c r="D25" s="25" t="s">
        <v>80</v>
      </c>
      <c r="E25" s="26" t="s">
        <v>60</v>
      </c>
      <c r="F25" s="1348" t="s">
        <v>27</v>
      </c>
      <c r="G25" s="93" t="b">
        <v>0</v>
      </c>
      <c r="H25" s="93" t="b">
        <v>0</v>
      </c>
      <c r="I25" s="93" t="b">
        <v>0</v>
      </c>
      <c r="J25" s="93" t="b">
        <v>0</v>
      </c>
      <c r="K25" s="93" t="b">
        <v>0</v>
      </c>
      <c r="L25" s="93" t="b">
        <v>0</v>
      </c>
      <c r="M25" s="93" t="b">
        <v>0</v>
      </c>
      <c r="N25" s="93" t="b">
        <v>0</v>
      </c>
      <c r="O25" s="93" t="b">
        <v>0</v>
      </c>
    </row>
    <row r="26" ht="15.75" customHeight="1">
      <c r="A26" s="17">
        <f t="shared" si="1"/>
        <v>25</v>
      </c>
      <c r="B26" s="1248"/>
      <c r="C26" s="18" t="s">
        <v>58</v>
      </c>
      <c r="D26" s="25" t="s">
        <v>82</v>
      </c>
      <c r="E26" s="26" t="s">
        <v>60</v>
      </c>
      <c r="F26" s="1348" t="s">
        <v>27</v>
      </c>
      <c r="G26" s="93" t="b">
        <v>0</v>
      </c>
      <c r="H26" s="93" t="b">
        <v>0</v>
      </c>
      <c r="I26" s="93" t="b">
        <v>0</v>
      </c>
      <c r="J26" s="93" t="b">
        <v>0</v>
      </c>
      <c r="K26" s="93" t="b">
        <v>0</v>
      </c>
      <c r="L26" s="93" t="b">
        <v>0</v>
      </c>
      <c r="M26" s="93" t="b">
        <v>0</v>
      </c>
      <c r="N26" s="93" t="b">
        <v>0</v>
      </c>
      <c r="O26" s="93" t="b">
        <v>0</v>
      </c>
    </row>
    <row r="27" ht="15.75" customHeight="1">
      <c r="A27" s="17">
        <f t="shared" si="1"/>
        <v>26</v>
      </c>
      <c r="B27" s="1248"/>
      <c r="C27" s="18" t="s">
        <v>58</v>
      </c>
      <c r="D27" s="25" t="s">
        <v>84</v>
      </c>
      <c r="E27" s="26" t="s">
        <v>60</v>
      </c>
      <c r="F27" s="1348" t="s">
        <v>27</v>
      </c>
      <c r="G27" s="93" t="b">
        <v>0</v>
      </c>
      <c r="H27" s="93" t="b">
        <v>0</v>
      </c>
      <c r="I27" s="93" t="b">
        <v>0</v>
      </c>
      <c r="J27" s="93" t="b">
        <v>0</v>
      </c>
      <c r="K27" s="93" t="b">
        <v>0</v>
      </c>
      <c r="L27" s="93" t="b">
        <v>0</v>
      </c>
      <c r="M27" s="93" t="b">
        <v>0</v>
      </c>
      <c r="N27" s="93" t="b">
        <v>0</v>
      </c>
      <c r="O27" s="93" t="b">
        <v>0</v>
      </c>
    </row>
    <row r="28" ht="15.75" customHeight="1">
      <c r="A28" s="17">
        <f t="shared" si="1"/>
        <v>27</v>
      </c>
      <c r="B28" s="1248"/>
      <c r="C28" s="18" t="s">
        <v>58</v>
      </c>
      <c r="D28" s="25" t="s">
        <v>86</v>
      </c>
      <c r="E28" s="26" t="s">
        <v>60</v>
      </c>
      <c r="F28" s="1348" t="s">
        <v>27</v>
      </c>
      <c r="G28" s="93" t="b">
        <v>0</v>
      </c>
      <c r="H28" s="93" t="b">
        <v>0</v>
      </c>
      <c r="I28" s="93" t="b">
        <v>0</v>
      </c>
      <c r="J28" s="93" t="b">
        <v>0</v>
      </c>
      <c r="K28" s="93" t="b">
        <v>0</v>
      </c>
      <c r="L28" s="93" t="b">
        <v>0</v>
      </c>
      <c r="M28" s="93" t="b">
        <v>0</v>
      </c>
      <c r="N28" s="93" t="b">
        <v>0</v>
      </c>
      <c r="O28" s="93" t="b">
        <v>0</v>
      </c>
    </row>
    <row r="29" ht="15.75" customHeight="1">
      <c r="A29" s="17">
        <f t="shared" si="1"/>
        <v>28</v>
      </c>
      <c r="B29" s="1248"/>
      <c r="C29" s="18" t="s">
        <v>58</v>
      </c>
      <c r="D29" s="25" t="s">
        <v>88</v>
      </c>
      <c r="E29" s="26" t="s">
        <v>60</v>
      </c>
      <c r="F29" s="1348" t="s">
        <v>27</v>
      </c>
      <c r="G29" s="93" t="b">
        <v>0</v>
      </c>
      <c r="H29" s="93" t="b">
        <v>0</v>
      </c>
      <c r="I29" s="93" t="b">
        <v>0</v>
      </c>
      <c r="J29" s="93" t="b">
        <v>0</v>
      </c>
      <c r="K29" s="93" t="b">
        <v>0</v>
      </c>
      <c r="L29" s="93" t="b">
        <v>0</v>
      </c>
      <c r="M29" s="93" t="b">
        <v>0</v>
      </c>
      <c r="N29" s="93" t="b">
        <v>0</v>
      </c>
      <c r="O29" s="93" t="b">
        <v>0</v>
      </c>
    </row>
    <row r="30" ht="15.75" customHeight="1">
      <c r="A30" s="17">
        <f t="shared" si="1"/>
        <v>29</v>
      </c>
      <c r="B30" s="1349"/>
      <c r="C30" s="27" t="s">
        <v>58</v>
      </c>
      <c r="D30" s="28" t="s">
        <v>90</v>
      </c>
      <c r="E30" s="29" t="s">
        <v>60</v>
      </c>
      <c r="F30" s="1350" t="s">
        <v>27</v>
      </c>
      <c r="G30" s="93" t="b">
        <v>0</v>
      </c>
      <c r="H30" s="93" t="b">
        <v>0</v>
      </c>
      <c r="I30" s="93" t="b">
        <v>0</v>
      </c>
      <c r="J30" s="93" t="b">
        <v>0</v>
      </c>
      <c r="K30" s="93" t="b">
        <v>0</v>
      </c>
      <c r="L30" s="93" t="b">
        <v>0</v>
      </c>
      <c r="M30" s="93" t="b">
        <v>0</v>
      </c>
      <c r="N30" s="93" t="b">
        <v>0</v>
      </c>
      <c r="O30" s="93" t="b">
        <v>0</v>
      </c>
    </row>
    <row r="31" ht="15.75" customHeight="1">
      <c r="A31" s="17">
        <f t="shared" si="1"/>
        <v>30</v>
      </c>
      <c r="B31" s="1349"/>
      <c r="C31" s="27" t="s">
        <v>58</v>
      </c>
      <c r="D31" s="28" t="s">
        <v>92</v>
      </c>
      <c r="E31" s="32" t="s">
        <v>60</v>
      </c>
      <c r="F31" s="1350" t="s">
        <v>30</v>
      </c>
      <c r="G31" s="93" t="b">
        <v>0</v>
      </c>
      <c r="H31" s="93" t="b">
        <v>0</v>
      </c>
      <c r="I31" s="93" t="b">
        <v>0</v>
      </c>
      <c r="J31" s="93" t="b">
        <v>0</v>
      </c>
      <c r="K31" s="93" t="b">
        <v>0</v>
      </c>
      <c r="L31" s="93" t="b">
        <v>0</v>
      </c>
      <c r="M31" s="93" t="b">
        <v>0</v>
      </c>
      <c r="N31" s="93" t="b">
        <v>0</v>
      </c>
      <c r="O31" s="93" t="b">
        <v>0</v>
      </c>
    </row>
    <row r="32" ht="15.75" customHeight="1">
      <c r="A32" s="17">
        <f t="shared" si="1"/>
        <v>31</v>
      </c>
      <c r="B32" s="1349"/>
      <c r="C32" s="27" t="s">
        <v>58</v>
      </c>
      <c r="D32" s="28" t="s">
        <v>94</v>
      </c>
      <c r="E32" s="32" t="s">
        <v>60</v>
      </c>
      <c r="F32" s="1350" t="s">
        <v>30</v>
      </c>
      <c r="G32" s="93" t="b">
        <v>0</v>
      </c>
      <c r="H32" s="93" t="b">
        <v>0</v>
      </c>
      <c r="I32" s="93" t="b">
        <v>0</v>
      </c>
      <c r="J32" s="93" t="b">
        <v>0</v>
      </c>
      <c r="K32" s="93" t="b">
        <v>0</v>
      </c>
      <c r="L32" s="93" t="b">
        <v>0</v>
      </c>
      <c r="M32" s="93" t="b">
        <v>0</v>
      </c>
      <c r="N32" s="93" t="b">
        <v>0</v>
      </c>
      <c r="O32" s="93" t="b">
        <v>0</v>
      </c>
    </row>
    <row r="33" ht="15.75" customHeight="1">
      <c r="A33" s="17">
        <f t="shared" si="1"/>
        <v>32</v>
      </c>
      <c r="B33" s="1351" t="s">
        <v>146</v>
      </c>
      <c r="C33" s="36" t="s">
        <v>99</v>
      </c>
      <c r="D33" s="37" t="s">
        <v>100</v>
      </c>
      <c r="E33" s="38" t="s">
        <v>101</v>
      </c>
      <c r="F33" s="1352" t="s">
        <v>30</v>
      </c>
      <c r="G33" s="93" t="b">
        <v>0</v>
      </c>
      <c r="H33" s="93" t="b">
        <v>0</v>
      </c>
      <c r="I33" s="93" t="b">
        <v>0</v>
      </c>
      <c r="J33" s="93" t="b">
        <v>0</v>
      </c>
      <c r="K33" s="93" t="b">
        <v>0</v>
      </c>
      <c r="L33" s="93" t="b">
        <v>0</v>
      </c>
      <c r="M33" s="93" t="b">
        <v>0</v>
      </c>
      <c r="N33" s="93" t="b">
        <v>0</v>
      </c>
      <c r="O33" s="93" t="b">
        <v>0</v>
      </c>
    </row>
    <row r="34" ht="15.75" customHeight="1">
      <c r="A34" s="17">
        <f t="shared" si="1"/>
        <v>33</v>
      </c>
      <c r="B34" s="44" t="s">
        <v>146</v>
      </c>
      <c r="C34" s="36" t="s">
        <v>99</v>
      </c>
      <c r="D34" s="41" t="s">
        <v>104</v>
      </c>
      <c r="E34" s="20" t="s">
        <v>101</v>
      </c>
      <c r="F34" s="1348" t="s">
        <v>27</v>
      </c>
      <c r="G34" s="93" t="b">
        <v>0</v>
      </c>
      <c r="H34" s="93" t="b">
        <v>0</v>
      </c>
      <c r="I34" s="93" t="b">
        <v>0</v>
      </c>
      <c r="J34" s="93" t="b">
        <v>0</v>
      </c>
      <c r="K34" s="93" t="b">
        <v>0</v>
      </c>
      <c r="L34" s="93" t="b">
        <v>0</v>
      </c>
      <c r="M34" s="93" t="b">
        <v>0</v>
      </c>
      <c r="N34" s="93" t="b">
        <v>0</v>
      </c>
      <c r="O34" s="93" t="b">
        <v>0</v>
      </c>
    </row>
    <row r="35" ht="15.75" customHeight="1">
      <c r="A35" s="17">
        <f t="shared" si="1"/>
        <v>34</v>
      </c>
      <c r="B35" s="44" t="s">
        <v>146</v>
      </c>
      <c r="C35" s="36" t="s">
        <v>99</v>
      </c>
      <c r="D35" s="41" t="s">
        <v>106</v>
      </c>
      <c r="E35" s="20" t="s">
        <v>101</v>
      </c>
      <c r="F35" s="1348" t="s">
        <v>27</v>
      </c>
      <c r="G35" s="93" t="b">
        <v>0</v>
      </c>
      <c r="H35" s="93" t="b">
        <v>0</v>
      </c>
      <c r="I35" s="93" t="b">
        <v>0</v>
      </c>
      <c r="J35" s="93" t="b">
        <v>0</v>
      </c>
      <c r="K35" s="93" t="b">
        <v>0</v>
      </c>
      <c r="L35" s="93" t="b">
        <v>0</v>
      </c>
      <c r="M35" s="93" t="b">
        <v>0</v>
      </c>
      <c r="N35" s="93" t="b">
        <v>0</v>
      </c>
      <c r="O35" s="93" t="b">
        <v>0</v>
      </c>
    </row>
    <row r="36" ht="15.75" customHeight="1">
      <c r="A36" s="17">
        <f t="shared" si="1"/>
        <v>35</v>
      </c>
      <c r="B36" s="44" t="s">
        <v>146</v>
      </c>
      <c r="C36" s="36" t="s">
        <v>99</v>
      </c>
      <c r="D36" s="41" t="s">
        <v>108</v>
      </c>
      <c r="E36" s="20" t="s">
        <v>101</v>
      </c>
      <c r="F36" s="1348" t="s">
        <v>30</v>
      </c>
      <c r="G36" s="93" t="b">
        <v>0</v>
      </c>
      <c r="H36" s="93" t="b">
        <v>0</v>
      </c>
      <c r="I36" s="93" t="b">
        <v>0</v>
      </c>
      <c r="J36" s="93" t="b">
        <v>0</v>
      </c>
      <c r="K36" s="93" t="b">
        <v>0</v>
      </c>
      <c r="L36" s="93" t="b">
        <v>0</v>
      </c>
      <c r="M36" s="93" t="b">
        <v>0</v>
      </c>
      <c r="N36" s="93" t="b">
        <v>0</v>
      </c>
      <c r="O36" s="93" t="b">
        <v>0</v>
      </c>
    </row>
    <row r="37" ht="15.75" customHeight="1">
      <c r="A37" s="17">
        <f t="shared" si="1"/>
        <v>36</v>
      </c>
      <c r="B37" s="44" t="s">
        <v>146</v>
      </c>
      <c r="C37" s="36" t="s">
        <v>99</v>
      </c>
      <c r="D37" s="41" t="s">
        <v>110</v>
      </c>
      <c r="E37" s="20" t="s">
        <v>101</v>
      </c>
      <c r="F37" s="1348" t="s">
        <v>30</v>
      </c>
      <c r="G37" s="93" t="b">
        <v>0</v>
      </c>
      <c r="H37" s="93" t="b">
        <v>0</v>
      </c>
      <c r="I37" s="93" t="b">
        <v>0</v>
      </c>
      <c r="J37" s="93" t="b">
        <v>0</v>
      </c>
      <c r="K37" s="93" t="b">
        <v>0</v>
      </c>
      <c r="L37" s="93" t="b">
        <v>0</v>
      </c>
      <c r="M37" s="93" t="b">
        <v>0</v>
      </c>
      <c r="N37" s="93" t="b">
        <v>0</v>
      </c>
      <c r="O37" s="93" t="b">
        <v>0</v>
      </c>
    </row>
    <row r="38" ht="15.75" customHeight="1">
      <c r="A38" s="17">
        <f t="shared" si="1"/>
        <v>37</v>
      </c>
      <c r="B38" s="44" t="s">
        <v>146</v>
      </c>
      <c r="C38" s="36" t="s">
        <v>99</v>
      </c>
      <c r="D38" s="41" t="s">
        <v>111</v>
      </c>
      <c r="E38" s="20" t="s">
        <v>101</v>
      </c>
      <c r="F38" s="1348" t="s">
        <v>30</v>
      </c>
      <c r="G38" s="93" t="b">
        <v>0</v>
      </c>
      <c r="H38" s="93" t="b">
        <v>0</v>
      </c>
      <c r="I38" s="93" t="b">
        <v>0</v>
      </c>
      <c r="J38" s="93" t="b">
        <v>0</v>
      </c>
      <c r="K38" s="93" t="b">
        <v>0</v>
      </c>
      <c r="L38" s="93" t="b">
        <v>0</v>
      </c>
      <c r="M38" s="93" t="b">
        <v>0</v>
      </c>
      <c r="N38" s="93" t="b">
        <v>0</v>
      </c>
      <c r="O38" s="93" t="b">
        <v>0</v>
      </c>
    </row>
    <row r="39" ht="15.75" customHeight="1">
      <c r="A39" s="17">
        <f t="shared" si="1"/>
        <v>38</v>
      </c>
      <c r="B39" s="44" t="s">
        <v>146</v>
      </c>
      <c r="C39" s="36" t="s">
        <v>99</v>
      </c>
      <c r="D39" s="41" t="s">
        <v>113</v>
      </c>
      <c r="E39" s="20" t="s">
        <v>101</v>
      </c>
      <c r="F39" s="1348" t="s">
        <v>30</v>
      </c>
      <c r="G39" s="93" t="b">
        <v>0</v>
      </c>
      <c r="H39" s="93" t="b">
        <v>0</v>
      </c>
      <c r="I39" s="93" t="b">
        <v>0</v>
      </c>
      <c r="J39" s="93" t="b">
        <v>0</v>
      </c>
      <c r="K39" s="93" t="b">
        <v>0</v>
      </c>
      <c r="L39" s="93" t="b">
        <v>0</v>
      </c>
      <c r="M39" s="93" t="b">
        <v>0</v>
      </c>
      <c r="N39" s="93" t="b">
        <v>0</v>
      </c>
      <c r="O39" s="93" t="b">
        <v>0</v>
      </c>
    </row>
    <row r="40" ht="15.75" customHeight="1">
      <c r="A40" s="17">
        <f t="shared" si="1"/>
        <v>39</v>
      </c>
      <c r="B40" s="44" t="s">
        <v>146</v>
      </c>
      <c r="C40" s="36" t="s">
        <v>99</v>
      </c>
      <c r="D40" s="41" t="s">
        <v>115</v>
      </c>
      <c r="E40" s="20" t="s">
        <v>101</v>
      </c>
      <c r="F40" s="1348" t="s">
        <v>27</v>
      </c>
      <c r="G40" s="93" t="b">
        <v>0</v>
      </c>
      <c r="H40" s="93" t="b">
        <v>0</v>
      </c>
      <c r="I40" s="93" t="b">
        <v>0</v>
      </c>
      <c r="J40" s="93" t="b">
        <v>0</v>
      </c>
      <c r="K40" s="93" t="b">
        <v>0</v>
      </c>
      <c r="L40" s="93" t="b">
        <v>0</v>
      </c>
      <c r="M40" s="93" t="b">
        <v>0</v>
      </c>
      <c r="N40" s="93" t="b">
        <v>0</v>
      </c>
      <c r="O40" s="93" t="b">
        <v>0</v>
      </c>
    </row>
    <row r="41" ht="15.75" customHeight="1">
      <c r="A41" s="17">
        <f t="shared" si="1"/>
        <v>40</v>
      </c>
      <c r="B41" s="44" t="s">
        <v>146</v>
      </c>
      <c r="C41" s="36" t="s">
        <v>99</v>
      </c>
      <c r="D41" s="41" t="s">
        <v>117</v>
      </c>
      <c r="E41" s="20" t="s">
        <v>101</v>
      </c>
      <c r="F41" s="1348" t="s">
        <v>27</v>
      </c>
      <c r="G41" s="93" t="b">
        <v>0</v>
      </c>
      <c r="H41" s="93" t="b">
        <v>0</v>
      </c>
      <c r="I41" s="93" t="b">
        <v>0</v>
      </c>
      <c r="J41" s="93" t="b">
        <v>0</v>
      </c>
      <c r="K41" s="93" t="b">
        <v>0</v>
      </c>
      <c r="L41" s="93" t="b">
        <v>0</v>
      </c>
      <c r="M41" s="93" t="b">
        <v>0</v>
      </c>
      <c r="N41" s="93" t="b">
        <v>0</v>
      </c>
      <c r="O41" s="93" t="b">
        <v>0</v>
      </c>
    </row>
    <row r="42" ht="15.75" customHeight="1">
      <c r="A42" s="17">
        <f t="shared" si="1"/>
        <v>41</v>
      </c>
      <c r="B42" s="44" t="s">
        <v>146</v>
      </c>
      <c r="C42" s="36" t="s">
        <v>99</v>
      </c>
      <c r="D42" s="41" t="s">
        <v>119</v>
      </c>
      <c r="E42" s="20" t="s">
        <v>101</v>
      </c>
      <c r="F42" s="1348" t="s">
        <v>27</v>
      </c>
      <c r="G42" s="93" t="b">
        <v>0</v>
      </c>
      <c r="H42" s="93" t="b">
        <v>0</v>
      </c>
      <c r="I42" s="93" t="b">
        <v>0</v>
      </c>
      <c r="J42" s="93" t="b">
        <v>0</v>
      </c>
      <c r="K42" s="93" t="b">
        <v>0</v>
      </c>
      <c r="L42" s="93" t="b">
        <v>0</v>
      </c>
      <c r="M42" s="93" t="b">
        <v>0</v>
      </c>
      <c r="N42" s="93" t="b">
        <v>0</v>
      </c>
      <c r="O42" s="93" t="b">
        <v>0</v>
      </c>
    </row>
    <row r="43" ht="15.75" customHeight="1">
      <c r="A43" s="17">
        <f t="shared" si="1"/>
        <v>42</v>
      </c>
      <c r="B43" s="44" t="s">
        <v>146</v>
      </c>
      <c r="C43" s="36" t="s">
        <v>99</v>
      </c>
      <c r="D43" s="41" t="s">
        <v>121</v>
      </c>
      <c r="E43" s="20" t="s">
        <v>101</v>
      </c>
      <c r="F43" s="1348" t="s">
        <v>27</v>
      </c>
      <c r="G43" s="93" t="b">
        <v>0</v>
      </c>
      <c r="H43" s="93" t="b">
        <v>0</v>
      </c>
      <c r="I43" s="93" t="b">
        <v>0</v>
      </c>
      <c r="J43" s="93" t="b">
        <v>0</v>
      </c>
      <c r="K43" s="93" t="b">
        <v>0</v>
      </c>
      <c r="L43" s="93" t="b">
        <v>0</v>
      </c>
      <c r="M43" s="93" t="b">
        <v>0</v>
      </c>
      <c r="N43" s="93" t="b">
        <v>0</v>
      </c>
      <c r="O43" s="93" t="b">
        <v>0</v>
      </c>
    </row>
    <row r="44" ht="15.75" customHeight="1">
      <c r="A44" s="17">
        <f t="shared" si="1"/>
        <v>43</v>
      </c>
      <c r="B44" s="44" t="s">
        <v>146</v>
      </c>
      <c r="C44" s="44" t="s">
        <v>146</v>
      </c>
      <c r="D44" s="45" t="s">
        <v>124</v>
      </c>
      <c r="E44" s="20" t="s">
        <v>125</v>
      </c>
      <c r="F44" s="1348" t="s">
        <v>27</v>
      </c>
      <c r="G44" s="93" t="b">
        <v>0</v>
      </c>
      <c r="H44" s="93" t="b">
        <v>0</v>
      </c>
      <c r="I44" s="93" t="b">
        <v>0</v>
      </c>
      <c r="J44" s="93" t="b">
        <v>0</v>
      </c>
      <c r="K44" s="93" t="b">
        <v>0</v>
      </c>
      <c r="L44" s="93" t="b">
        <v>0</v>
      </c>
      <c r="M44" s="93" t="b">
        <v>0</v>
      </c>
      <c r="N44" s="93" t="b">
        <v>0</v>
      </c>
      <c r="O44" s="93" t="b">
        <v>0</v>
      </c>
    </row>
    <row r="45" ht="15.75" customHeight="1">
      <c r="A45" s="17">
        <f t="shared" si="1"/>
        <v>44</v>
      </c>
      <c r="B45" s="44" t="s">
        <v>146</v>
      </c>
      <c r="C45" s="44" t="s">
        <v>146</v>
      </c>
      <c r="D45" s="47" t="s">
        <v>127</v>
      </c>
      <c r="E45" s="20" t="s">
        <v>125</v>
      </c>
      <c r="F45" s="1348" t="s">
        <v>30</v>
      </c>
      <c r="G45" s="93" t="b">
        <v>0</v>
      </c>
      <c r="H45" s="93" t="b">
        <v>0</v>
      </c>
      <c r="I45" s="93" t="b">
        <v>0</v>
      </c>
      <c r="J45" s="93" t="b">
        <v>0</v>
      </c>
      <c r="K45" s="93" t="b">
        <v>0</v>
      </c>
      <c r="L45" s="93" t="b">
        <v>0</v>
      </c>
      <c r="M45" s="93" t="b">
        <v>0</v>
      </c>
      <c r="N45" s="93" t="b">
        <v>0</v>
      </c>
      <c r="O45" s="93" t="b">
        <v>0</v>
      </c>
    </row>
    <row r="46" ht="15.75" customHeight="1">
      <c r="A46" s="17">
        <f t="shared" si="1"/>
        <v>45</v>
      </c>
      <c r="B46" s="44" t="s">
        <v>146</v>
      </c>
      <c r="C46" s="44" t="s">
        <v>146</v>
      </c>
      <c r="D46" s="47" t="s">
        <v>129</v>
      </c>
      <c r="E46" s="20" t="s">
        <v>125</v>
      </c>
      <c r="F46" s="1348" t="s">
        <v>30</v>
      </c>
      <c r="G46" s="93" t="b">
        <v>0</v>
      </c>
      <c r="H46" s="93" t="b">
        <v>0</v>
      </c>
      <c r="I46" s="93" t="b">
        <v>0</v>
      </c>
      <c r="J46" s="93" t="b">
        <v>0</v>
      </c>
      <c r="K46" s="93" t="b">
        <v>0</v>
      </c>
      <c r="L46" s="93" t="b">
        <v>0</v>
      </c>
      <c r="M46" s="93" t="b">
        <v>0</v>
      </c>
      <c r="N46" s="93" t="b">
        <v>0</v>
      </c>
      <c r="O46" s="93" t="b">
        <v>0</v>
      </c>
    </row>
    <row r="47" ht="15.75" customHeight="1">
      <c r="A47" s="17">
        <f t="shared" si="1"/>
        <v>46</v>
      </c>
      <c r="B47" s="44" t="s">
        <v>146</v>
      </c>
      <c r="C47" s="44" t="s">
        <v>146</v>
      </c>
      <c r="D47" s="47" t="s">
        <v>131</v>
      </c>
      <c r="E47" s="20" t="s">
        <v>125</v>
      </c>
      <c r="F47" s="1348" t="s">
        <v>27</v>
      </c>
      <c r="G47" s="93" t="b">
        <v>0</v>
      </c>
      <c r="H47" s="93" t="b">
        <v>0</v>
      </c>
      <c r="I47" s="93" t="b">
        <v>0</v>
      </c>
      <c r="J47" s="93" t="b">
        <v>0</v>
      </c>
      <c r="K47" s="93" t="b">
        <v>0</v>
      </c>
      <c r="L47" s="93" t="b">
        <v>0</v>
      </c>
      <c r="M47" s="93" t="b">
        <v>0</v>
      </c>
      <c r="N47" s="93" t="b">
        <v>0</v>
      </c>
      <c r="O47" s="93" t="b">
        <v>0</v>
      </c>
    </row>
    <row r="48" ht="15.75" customHeight="1">
      <c r="A48" s="17">
        <f t="shared" si="1"/>
        <v>47</v>
      </c>
      <c r="B48" s="44" t="s">
        <v>146</v>
      </c>
      <c r="C48" s="44" t="s">
        <v>146</v>
      </c>
      <c r="D48" s="47" t="s">
        <v>133</v>
      </c>
      <c r="E48" s="20" t="s">
        <v>125</v>
      </c>
      <c r="F48" s="1348" t="s">
        <v>27</v>
      </c>
      <c r="G48" s="93" t="b">
        <v>0</v>
      </c>
      <c r="H48" s="93" t="b">
        <v>0</v>
      </c>
      <c r="I48" s="93" t="b">
        <v>0</v>
      </c>
      <c r="J48" s="93" t="b">
        <v>0</v>
      </c>
      <c r="K48" s="93" t="b">
        <v>0</v>
      </c>
      <c r="L48" s="93" t="b">
        <v>0</v>
      </c>
      <c r="M48" s="93" t="b">
        <v>0</v>
      </c>
      <c r="N48" s="93" t="b">
        <v>0</v>
      </c>
      <c r="O48" s="93" t="b">
        <v>0</v>
      </c>
    </row>
    <row r="49" ht="15.75" customHeight="1">
      <c r="A49" s="17">
        <f t="shared" si="1"/>
        <v>48</v>
      </c>
      <c r="B49" s="44" t="s">
        <v>146</v>
      </c>
      <c r="C49" s="44" t="s">
        <v>146</v>
      </c>
      <c r="D49" s="47" t="s">
        <v>135</v>
      </c>
      <c r="E49" s="20" t="s">
        <v>136</v>
      </c>
      <c r="F49" s="1348" t="s">
        <v>27</v>
      </c>
      <c r="G49" s="93" t="b">
        <v>0</v>
      </c>
      <c r="H49" s="93" t="b">
        <v>0</v>
      </c>
      <c r="I49" s="93" t="b">
        <v>0</v>
      </c>
      <c r="J49" s="93" t="b">
        <v>0</v>
      </c>
      <c r="K49" s="93" t="b">
        <v>0</v>
      </c>
      <c r="L49" s="93" t="b">
        <v>0</v>
      </c>
      <c r="M49" s="93" t="b">
        <v>0</v>
      </c>
      <c r="N49" s="93" t="b">
        <v>0</v>
      </c>
      <c r="O49" s="93" t="b">
        <v>0</v>
      </c>
    </row>
    <row r="50" ht="15.75" customHeight="1">
      <c r="A50" s="17">
        <f t="shared" si="1"/>
        <v>49</v>
      </c>
      <c r="B50" s="44" t="s">
        <v>146</v>
      </c>
      <c r="C50" s="44" t="s">
        <v>146</v>
      </c>
      <c r="D50" s="47" t="s">
        <v>138</v>
      </c>
      <c r="E50" s="20" t="s">
        <v>136</v>
      </c>
      <c r="F50" s="1348" t="s">
        <v>27</v>
      </c>
      <c r="G50" s="93" t="b">
        <v>0</v>
      </c>
      <c r="H50" s="93" t="b">
        <v>0</v>
      </c>
      <c r="I50" s="93" t="b">
        <v>0</v>
      </c>
      <c r="J50" s="93" t="b">
        <v>0</v>
      </c>
      <c r="K50" s="93" t="b">
        <v>0</v>
      </c>
      <c r="L50" s="93" t="b">
        <v>0</v>
      </c>
      <c r="M50" s="93" t="b">
        <v>0</v>
      </c>
      <c r="N50" s="93" t="b">
        <v>0</v>
      </c>
      <c r="O50" s="93" t="b">
        <v>0</v>
      </c>
    </row>
    <row r="51" ht="15.75" customHeight="1">
      <c r="A51" s="17">
        <f t="shared" si="1"/>
        <v>50</v>
      </c>
      <c r="B51" s="44" t="s">
        <v>146</v>
      </c>
      <c r="C51" s="44" t="s">
        <v>146</v>
      </c>
      <c r="D51" s="47" t="s">
        <v>140</v>
      </c>
      <c r="E51" s="20" t="s">
        <v>141</v>
      </c>
      <c r="F51" s="1348" t="s">
        <v>30</v>
      </c>
      <c r="G51" s="93" t="b">
        <v>0</v>
      </c>
      <c r="H51" s="93" t="b">
        <v>0</v>
      </c>
      <c r="I51" s="93" t="b">
        <v>0</v>
      </c>
      <c r="J51" s="93" t="b">
        <v>0</v>
      </c>
      <c r="K51" s="93" t="b">
        <v>0</v>
      </c>
      <c r="L51" s="93" t="b">
        <v>0</v>
      </c>
      <c r="M51" s="93" t="b">
        <v>0</v>
      </c>
      <c r="N51" s="93" t="b">
        <v>0</v>
      </c>
      <c r="O51" s="93" t="b">
        <v>0</v>
      </c>
    </row>
    <row r="52" ht="15.75" customHeight="1">
      <c r="A52" s="17">
        <f t="shared" si="1"/>
        <v>51</v>
      </c>
      <c r="B52" s="44" t="s">
        <v>146</v>
      </c>
      <c r="C52" s="44" t="s">
        <v>146</v>
      </c>
      <c r="D52" s="52" t="s">
        <v>144</v>
      </c>
      <c r="E52" s="20" t="s">
        <v>141</v>
      </c>
      <c r="F52" s="1352" t="s">
        <v>33</v>
      </c>
      <c r="G52" s="93" t="b">
        <v>0</v>
      </c>
      <c r="H52" s="93" t="b">
        <v>0</v>
      </c>
      <c r="I52" s="93" t="b">
        <v>0</v>
      </c>
      <c r="J52" s="93" t="b">
        <v>0</v>
      </c>
      <c r="K52" s="93" t="b">
        <v>0</v>
      </c>
      <c r="L52" s="93" t="b">
        <v>0</v>
      </c>
      <c r="M52" s="93" t="b">
        <v>0</v>
      </c>
      <c r="N52" s="93" t="b">
        <v>0</v>
      </c>
      <c r="O52" s="93" t="b">
        <v>0</v>
      </c>
    </row>
    <row r="53" ht="15.75" customHeight="1">
      <c r="A53" s="17">
        <f t="shared" si="1"/>
        <v>52</v>
      </c>
      <c r="B53" s="44" t="s">
        <v>146</v>
      </c>
      <c r="C53" s="44" t="s">
        <v>146</v>
      </c>
      <c r="D53" s="54" t="s">
        <v>147</v>
      </c>
      <c r="E53" s="1353"/>
      <c r="F53" s="1347" t="s">
        <v>27</v>
      </c>
      <c r="G53" s="93" t="b">
        <v>0</v>
      </c>
      <c r="H53" s="93" t="b">
        <v>0</v>
      </c>
      <c r="I53" s="93" t="b">
        <v>0</v>
      </c>
      <c r="J53" s="93" t="b">
        <v>0</v>
      </c>
      <c r="K53" s="93" t="b">
        <v>0</v>
      </c>
      <c r="L53" s="93" t="b">
        <v>0</v>
      </c>
      <c r="M53" s="93" t="b">
        <v>0</v>
      </c>
      <c r="N53" s="93" t="b">
        <v>0</v>
      </c>
      <c r="O53" s="93" t="b">
        <v>0</v>
      </c>
    </row>
    <row r="54" ht="15.75" customHeight="1">
      <c r="A54" s="17">
        <f t="shared" si="1"/>
        <v>53</v>
      </c>
      <c r="B54" s="44" t="s">
        <v>146</v>
      </c>
      <c r="C54" s="44" t="s">
        <v>146</v>
      </c>
      <c r="D54" s="1262" t="s">
        <v>150</v>
      </c>
      <c r="E54" s="1354"/>
      <c r="F54" s="1348" t="s">
        <v>27</v>
      </c>
      <c r="G54" s="93" t="b">
        <v>0</v>
      </c>
      <c r="H54" s="93" t="b">
        <v>0</v>
      </c>
      <c r="I54" s="93" t="b">
        <v>0</v>
      </c>
      <c r="J54" s="93" t="b">
        <v>0</v>
      </c>
      <c r="K54" s="93" t="b">
        <v>0</v>
      </c>
      <c r="L54" s="93" t="b">
        <v>0</v>
      </c>
      <c r="M54" s="93" t="b">
        <v>0</v>
      </c>
      <c r="N54" s="93" t="b">
        <v>0</v>
      </c>
      <c r="O54" s="93" t="b">
        <v>0</v>
      </c>
    </row>
    <row r="55" ht="15.75" customHeight="1">
      <c r="A55" s="17">
        <f t="shared" si="1"/>
        <v>54</v>
      </c>
      <c r="B55" s="44" t="s">
        <v>146</v>
      </c>
      <c r="C55" s="44" t="s">
        <v>146</v>
      </c>
      <c r="D55" s="47" t="s">
        <v>152</v>
      </c>
      <c r="E55" s="1354"/>
      <c r="F55" s="1348" t="s">
        <v>30</v>
      </c>
      <c r="G55" s="93" t="b">
        <v>0</v>
      </c>
      <c r="H55" s="93" t="b">
        <v>0</v>
      </c>
      <c r="I55" s="93" t="b">
        <v>0</v>
      </c>
      <c r="J55" s="93" t="b">
        <v>0</v>
      </c>
      <c r="K55" s="93" t="b">
        <v>0</v>
      </c>
      <c r="L55" s="93" t="b">
        <v>0</v>
      </c>
      <c r="M55" s="93" t="b">
        <v>0</v>
      </c>
      <c r="N55" s="93" t="b">
        <v>0</v>
      </c>
      <c r="O55" s="93" t="b">
        <v>0</v>
      </c>
    </row>
    <row r="56" ht="15.75" customHeight="1">
      <c r="A56" s="17">
        <f t="shared" si="1"/>
        <v>55</v>
      </c>
      <c r="B56" s="44" t="s">
        <v>146</v>
      </c>
      <c r="C56" s="44" t="s">
        <v>146</v>
      </c>
      <c r="D56" s="47" t="s">
        <v>154</v>
      </c>
      <c r="E56" s="1354"/>
      <c r="F56" s="1348" t="s">
        <v>30</v>
      </c>
      <c r="G56" s="93" t="b">
        <v>0</v>
      </c>
      <c r="H56" s="93" t="b">
        <v>0</v>
      </c>
      <c r="I56" s="93" t="b">
        <v>0</v>
      </c>
      <c r="J56" s="93" t="b">
        <v>0</v>
      </c>
      <c r="K56" s="93" t="b">
        <v>0</v>
      </c>
      <c r="L56" s="93" t="b">
        <v>0</v>
      </c>
      <c r="M56" s="93" t="b">
        <v>0</v>
      </c>
      <c r="N56" s="93" t="b">
        <v>0</v>
      </c>
      <c r="O56" s="93" t="b">
        <v>0</v>
      </c>
    </row>
    <row r="57" ht="15.75" customHeight="1">
      <c r="A57" s="17">
        <f t="shared" si="1"/>
        <v>56</v>
      </c>
      <c r="B57" s="44" t="s">
        <v>146</v>
      </c>
      <c r="C57" s="57" t="s">
        <v>146</v>
      </c>
      <c r="D57" s="58" t="s">
        <v>156</v>
      </c>
      <c r="E57" s="1355"/>
      <c r="F57" s="1356" t="s">
        <v>30</v>
      </c>
      <c r="G57" s="93" t="b">
        <v>0</v>
      </c>
      <c r="H57" s="93" t="b">
        <v>0</v>
      </c>
      <c r="I57" s="93" t="b">
        <v>0</v>
      </c>
      <c r="J57" s="93" t="b">
        <v>0</v>
      </c>
      <c r="K57" s="93" t="b">
        <v>0</v>
      </c>
      <c r="L57" s="93" t="b">
        <v>0</v>
      </c>
      <c r="M57" s="93" t="b">
        <v>0</v>
      </c>
      <c r="N57" s="93" t="b">
        <v>0</v>
      </c>
      <c r="O57" s="93" t="b">
        <v>0</v>
      </c>
    </row>
    <row r="58" ht="15.75" customHeight="1">
      <c r="A58" s="17">
        <f t="shared" si="1"/>
        <v>57</v>
      </c>
      <c r="B58" s="44" t="s">
        <v>146</v>
      </c>
      <c r="C58" s="1357" t="s">
        <v>146</v>
      </c>
      <c r="D58" s="62" t="s">
        <v>157</v>
      </c>
      <c r="E58" s="9" t="s">
        <v>158</v>
      </c>
      <c r="F58" s="1358" t="s">
        <v>27</v>
      </c>
      <c r="G58" s="93" t="b">
        <v>0</v>
      </c>
      <c r="H58" s="93" t="b">
        <v>0</v>
      </c>
      <c r="I58" s="93" t="b">
        <v>0</v>
      </c>
      <c r="J58" s="93" t="b">
        <v>0</v>
      </c>
      <c r="K58" s="93" t="b">
        <v>0</v>
      </c>
      <c r="L58" s="93" t="b">
        <v>0</v>
      </c>
      <c r="M58" s="93" t="b">
        <v>0</v>
      </c>
      <c r="N58" s="93" t="b">
        <v>0</v>
      </c>
      <c r="O58" s="93" t="b">
        <v>0</v>
      </c>
    </row>
    <row r="59" ht="15.75" customHeight="1">
      <c r="A59" s="17">
        <f t="shared" si="1"/>
        <v>58</v>
      </c>
      <c r="B59" s="44" t="s">
        <v>146</v>
      </c>
      <c r="C59" s="461" t="s">
        <v>146</v>
      </c>
      <c r="D59" s="1359" t="s">
        <v>244</v>
      </c>
      <c r="E59" s="15" t="s">
        <v>158</v>
      </c>
      <c r="F59" s="1350" t="s">
        <v>30</v>
      </c>
      <c r="G59" s="93" t="b">
        <v>0</v>
      </c>
      <c r="H59" s="93" t="b">
        <v>0</v>
      </c>
      <c r="I59" s="93" t="b">
        <v>0</v>
      </c>
      <c r="J59" s="93" t="b">
        <v>0</v>
      </c>
      <c r="K59" s="93" t="b">
        <v>0</v>
      </c>
      <c r="L59" s="93" t="b">
        <v>0</v>
      </c>
      <c r="M59" s="93" t="b">
        <v>0</v>
      </c>
      <c r="N59" s="93" t="b">
        <v>0</v>
      </c>
      <c r="O59" s="93" t="b">
        <v>0</v>
      </c>
    </row>
    <row r="60" ht="15.75" customHeight="1">
      <c r="A60" s="17">
        <f t="shared" si="1"/>
        <v>59</v>
      </c>
      <c r="B60" s="44" t="s">
        <v>146</v>
      </c>
      <c r="C60" s="461" t="s">
        <v>146</v>
      </c>
      <c r="D60" s="1359" t="s">
        <v>246</v>
      </c>
      <c r="E60" s="15" t="s">
        <v>158</v>
      </c>
      <c r="F60" s="1350" t="s">
        <v>30</v>
      </c>
      <c r="G60" s="93" t="b">
        <v>0</v>
      </c>
      <c r="H60" s="93" t="b">
        <v>0</v>
      </c>
      <c r="I60" s="93" t="b">
        <v>0</v>
      </c>
      <c r="J60" s="93" t="b">
        <v>0</v>
      </c>
      <c r="K60" s="93" t="b">
        <v>0</v>
      </c>
      <c r="L60" s="93" t="b">
        <v>0</v>
      </c>
      <c r="M60" s="93" t="b">
        <v>0</v>
      </c>
      <c r="N60" s="93" t="b">
        <v>0</v>
      </c>
      <c r="O60" s="93" t="b">
        <v>0</v>
      </c>
    </row>
    <row r="61" ht="15.75" customHeight="1">
      <c r="A61" s="17">
        <f t="shared" si="1"/>
        <v>60</v>
      </c>
      <c r="B61" s="44" t="s">
        <v>146</v>
      </c>
      <c r="C61" s="461" t="s">
        <v>146</v>
      </c>
      <c r="D61" s="1359" t="s">
        <v>248</v>
      </c>
      <c r="E61" s="15" t="s">
        <v>158</v>
      </c>
      <c r="F61" s="1350" t="s">
        <v>30</v>
      </c>
      <c r="G61" s="93" t="b">
        <v>0</v>
      </c>
      <c r="H61" s="93" t="b">
        <v>0</v>
      </c>
      <c r="I61" s="93" t="b">
        <v>0</v>
      </c>
      <c r="J61" s="93" t="b">
        <v>0</v>
      </c>
      <c r="K61" s="93" t="b">
        <v>0</v>
      </c>
      <c r="L61" s="93" t="b">
        <v>0</v>
      </c>
      <c r="M61" s="93" t="b">
        <v>0</v>
      </c>
      <c r="N61" s="93" t="b">
        <v>0</v>
      </c>
      <c r="O61" s="93" t="b">
        <v>0</v>
      </c>
    </row>
    <row r="62" ht="15.75" customHeight="1">
      <c r="A62" s="17">
        <f t="shared" si="1"/>
        <v>61</v>
      </c>
      <c r="B62" s="44" t="s">
        <v>146</v>
      </c>
      <c r="C62" s="461" t="s">
        <v>146</v>
      </c>
      <c r="D62" s="64" t="s">
        <v>161</v>
      </c>
      <c r="E62" s="15" t="s">
        <v>158</v>
      </c>
      <c r="F62" s="1350" t="s">
        <v>30</v>
      </c>
      <c r="G62" s="93" t="b">
        <v>0</v>
      </c>
      <c r="H62" s="93" t="b">
        <v>0</v>
      </c>
      <c r="I62" s="93" t="b">
        <v>0</v>
      </c>
      <c r="J62" s="93" t="b">
        <v>0</v>
      </c>
      <c r="K62" s="93" t="b">
        <v>0</v>
      </c>
      <c r="L62" s="93" t="b">
        <v>0</v>
      </c>
      <c r="M62" s="93" t="b">
        <v>0</v>
      </c>
      <c r="N62" s="93" t="b">
        <v>0</v>
      </c>
      <c r="O62" s="93" t="b">
        <v>0</v>
      </c>
    </row>
    <row r="63" ht="15.75" customHeight="1">
      <c r="A63" s="17">
        <f t="shared" si="1"/>
        <v>62</v>
      </c>
      <c r="B63" s="44" t="s">
        <v>146</v>
      </c>
      <c r="C63" s="1360" t="s">
        <v>146</v>
      </c>
      <c r="D63" s="66" t="s">
        <v>163</v>
      </c>
      <c r="E63" s="67" t="s">
        <v>164</v>
      </c>
      <c r="F63" s="1361" t="s">
        <v>30</v>
      </c>
      <c r="G63" s="93" t="b">
        <v>0</v>
      </c>
      <c r="H63" s="93" t="b">
        <v>0</v>
      </c>
      <c r="I63" s="93" t="b">
        <v>0</v>
      </c>
      <c r="J63" s="93" t="b">
        <v>0</v>
      </c>
      <c r="K63" s="93" t="b">
        <v>0</v>
      </c>
      <c r="L63" s="93" t="b">
        <v>0</v>
      </c>
      <c r="M63" s="93" t="b">
        <v>0</v>
      </c>
      <c r="N63" s="93" t="b">
        <v>0</v>
      </c>
      <c r="O63" s="93" t="b">
        <v>0</v>
      </c>
    </row>
    <row r="64" ht="15.75" customHeight="1">
      <c r="A64" s="17">
        <f t="shared" si="1"/>
        <v>63</v>
      </c>
      <c r="B64" s="44" t="s">
        <v>146</v>
      </c>
      <c r="C64" s="69" t="s">
        <v>146</v>
      </c>
      <c r="D64" s="54" t="s">
        <v>165</v>
      </c>
      <c r="E64" s="13" t="s">
        <v>166</v>
      </c>
      <c r="F64" s="1347" t="s">
        <v>30</v>
      </c>
      <c r="G64" s="93" t="b">
        <v>0</v>
      </c>
      <c r="H64" s="93" t="b">
        <v>0</v>
      </c>
      <c r="I64" s="93" t="b">
        <v>0</v>
      </c>
      <c r="J64" s="93" t="b">
        <v>0</v>
      </c>
      <c r="K64" s="93" t="b">
        <v>0</v>
      </c>
      <c r="L64" s="93" t="b">
        <v>0</v>
      </c>
      <c r="M64" s="93" t="b">
        <v>0</v>
      </c>
      <c r="N64" s="93" t="b">
        <v>0</v>
      </c>
      <c r="O64" s="93" t="b">
        <v>0</v>
      </c>
    </row>
    <row r="65" ht="15.75" customHeight="1">
      <c r="A65" s="17">
        <f t="shared" si="1"/>
        <v>64</v>
      </c>
      <c r="B65" s="44" t="s">
        <v>146</v>
      </c>
      <c r="C65" s="44" t="s">
        <v>146</v>
      </c>
      <c r="D65" s="47" t="s">
        <v>169</v>
      </c>
      <c r="E65" s="20" t="s">
        <v>166</v>
      </c>
      <c r="F65" s="1348" t="s">
        <v>30</v>
      </c>
      <c r="G65" s="93" t="b">
        <v>0</v>
      </c>
      <c r="H65" s="93" t="b">
        <v>0</v>
      </c>
      <c r="I65" s="93" t="b">
        <v>0</v>
      </c>
      <c r="J65" s="93" t="b">
        <v>0</v>
      </c>
      <c r="K65" s="93" t="b">
        <v>0</v>
      </c>
      <c r="L65" s="93" t="b">
        <v>0</v>
      </c>
      <c r="M65" s="93" t="b">
        <v>0</v>
      </c>
      <c r="N65" s="93" t="b">
        <v>0</v>
      </c>
      <c r="O65" s="93" t="b">
        <v>0</v>
      </c>
    </row>
    <row r="66" ht="15.75" customHeight="1">
      <c r="A66" s="17">
        <f t="shared" si="1"/>
        <v>65</v>
      </c>
      <c r="B66" s="44" t="s">
        <v>146</v>
      </c>
      <c r="C66" s="44" t="s">
        <v>146</v>
      </c>
      <c r="D66" s="47" t="s">
        <v>171</v>
      </c>
      <c r="E66" s="20" t="s">
        <v>166</v>
      </c>
      <c r="F66" s="1348" t="s">
        <v>27</v>
      </c>
      <c r="G66" s="93" t="b">
        <v>0</v>
      </c>
      <c r="H66" s="93" t="b">
        <v>0</v>
      </c>
      <c r="I66" s="93" t="b">
        <v>0</v>
      </c>
      <c r="J66" s="93" t="b">
        <v>0</v>
      </c>
      <c r="K66" s="93" t="b">
        <v>0</v>
      </c>
      <c r="L66" s="93" t="b">
        <v>0</v>
      </c>
      <c r="M66" s="93" t="b">
        <v>0</v>
      </c>
      <c r="N66" s="93" t="b">
        <v>0</v>
      </c>
      <c r="O66" s="93" t="b">
        <v>0</v>
      </c>
    </row>
    <row r="67" ht="15.75" customHeight="1">
      <c r="A67" s="17">
        <f t="shared" si="1"/>
        <v>66</v>
      </c>
      <c r="B67" s="44" t="s">
        <v>146</v>
      </c>
      <c r="C67" s="44" t="s">
        <v>146</v>
      </c>
      <c r="D67" s="47" t="s">
        <v>173</v>
      </c>
      <c r="E67" s="20" t="s">
        <v>166</v>
      </c>
      <c r="F67" s="1348" t="s">
        <v>27</v>
      </c>
      <c r="G67" s="93" t="b">
        <v>0</v>
      </c>
      <c r="H67" s="93" t="b">
        <v>0</v>
      </c>
      <c r="I67" s="93" t="b">
        <v>0</v>
      </c>
      <c r="J67" s="93" t="b">
        <v>0</v>
      </c>
      <c r="K67" s="93" t="b">
        <v>0</v>
      </c>
      <c r="L67" s="93" t="b">
        <v>0</v>
      </c>
      <c r="M67" s="93" t="b">
        <v>0</v>
      </c>
      <c r="N67" s="93" t="b">
        <v>0</v>
      </c>
      <c r="O67" s="93" t="b">
        <v>0</v>
      </c>
    </row>
    <row r="68" ht="15.75" customHeight="1">
      <c r="A68" s="17">
        <f t="shared" si="1"/>
        <v>67</v>
      </c>
      <c r="B68" s="1362" t="s">
        <v>146</v>
      </c>
      <c r="C68" s="57" t="s">
        <v>146</v>
      </c>
      <c r="D68" s="58" t="s">
        <v>175</v>
      </c>
      <c r="E68" s="30" t="s">
        <v>166</v>
      </c>
      <c r="F68" s="1356" t="s">
        <v>30</v>
      </c>
      <c r="G68" s="93" t="b">
        <v>0</v>
      </c>
      <c r="H68" s="93" t="b">
        <v>0</v>
      </c>
      <c r="I68" s="93" t="b">
        <v>0</v>
      </c>
      <c r="J68" s="93" t="b">
        <v>0</v>
      </c>
      <c r="K68" s="93" t="b">
        <v>0</v>
      </c>
      <c r="L68" s="93" t="b">
        <v>0</v>
      </c>
      <c r="M68" s="93" t="b">
        <v>0</v>
      </c>
      <c r="N68" s="93" t="b">
        <v>0</v>
      </c>
      <c r="O68" s="93" t="b">
        <v>0</v>
      </c>
    </row>
    <row r="69" ht="15.75" customHeight="1">
      <c r="A69" s="17">
        <f t="shared" si="1"/>
        <v>68</v>
      </c>
      <c r="B69" s="1363"/>
      <c r="C69" s="11" t="s">
        <v>177</v>
      </c>
      <c r="D69" s="73" t="s">
        <v>178</v>
      </c>
      <c r="E69" s="74" t="s">
        <v>179</v>
      </c>
      <c r="F69" s="1347" t="s">
        <v>30</v>
      </c>
      <c r="G69" s="93" t="b">
        <v>0</v>
      </c>
      <c r="H69" s="93" t="b">
        <v>0</v>
      </c>
      <c r="I69" s="93" t="b">
        <v>0</v>
      </c>
      <c r="J69" s="93" t="b">
        <v>0</v>
      </c>
      <c r="K69" s="93" t="b">
        <v>0</v>
      </c>
      <c r="L69" s="93" t="b">
        <v>0</v>
      </c>
      <c r="M69" s="93" t="b">
        <v>0</v>
      </c>
      <c r="N69" s="93" t="b">
        <v>0</v>
      </c>
      <c r="O69" s="93" t="b">
        <v>0</v>
      </c>
    </row>
    <row r="70" ht="15.75" customHeight="1">
      <c r="A70" s="17">
        <f t="shared" si="1"/>
        <v>69</v>
      </c>
      <c r="B70" s="1364"/>
      <c r="C70" s="18" t="s">
        <v>177</v>
      </c>
      <c r="D70" s="76" t="s">
        <v>181</v>
      </c>
      <c r="E70" s="77" t="s">
        <v>179</v>
      </c>
      <c r="F70" s="1348" t="s">
        <v>33</v>
      </c>
      <c r="G70" s="93" t="b">
        <v>0</v>
      </c>
      <c r="H70" s="93" t="b">
        <v>0</v>
      </c>
      <c r="I70" s="93" t="b">
        <v>0</v>
      </c>
      <c r="J70" s="93" t="b">
        <v>0</v>
      </c>
      <c r="K70" s="93" t="b">
        <v>0</v>
      </c>
      <c r="L70" s="93" t="b">
        <v>0</v>
      </c>
      <c r="M70" s="93" t="b">
        <v>0</v>
      </c>
      <c r="N70" s="93" t="b">
        <v>0</v>
      </c>
      <c r="O70" s="93" t="b">
        <v>0</v>
      </c>
    </row>
    <row r="71" ht="15.75" customHeight="1">
      <c r="A71" s="17">
        <f t="shared" si="1"/>
        <v>70</v>
      </c>
      <c r="B71" s="1364"/>
      <c r="C71" s="18" t="s">
        <v>177</v>
      </c>
      <c r="D71" s="76" t="s">
        <v>183</v>
      </c>
      <c r="E71" s="77" t="s">
        <v>184</v>
      </c>
      <c r="F71" s="1348" t="s">
        <v>185</v>
      </c>
      <c r="G71" s="93" t="b">
        <v>0</v>
      </c>
      <c r="H71" s="93" t="b">
        <v>0</v>
      </c>
      <c r="I71" s="93" t="b">
        <v>0</v>
      </c>
      <c r="J71" s="93" t="b">
        <v>0</v>
      </c>
      <c r="K71" s="93" t="b">
        <v>0</v>
      </c>
      <c r="L71" s="93" t="b">
        <v>0</v>
      </c>
      <c r="M71" s="93" t="b">
        <v>0</v>
      </c>
      <c r="N71" s="93" t="b">
        <v>0</v>
      </c>
      <c r="O71" s="93" t="b">
        <v>0</v>
      </c>
    </row>
    <row r="72" ht="15.75" customHeight="1">
      <c r="A72" s="17">
        <f t="shared" si="1"/>
        <v>71</v>
      </c>
      <c r="B72" s="1364"/>
      <c r="C72" s="18" t="s">
        <v>177</v>
      </c>
      <c r="D72" s="76" t="s">
        <v>186</v>
      </c>
      <c r="E72" s="77" t="s">
        <v>184</v>
      </c>
      <c r="F72" s="1348" t="s">
        <v>185</v>
      </c>
      <c r="G72" s="93" t="b">
        <v>0</v>
      </c>
      <c r="H72" s="93" t="b">
        <v>0</v>
      </c>
      <c r="I72" s="93" t="b">
        <v>0</v>
      </c>
      <c r="J72" s="93" t="b">
        <v>0</v>
      </c>
      <c r="K72" s="93" t="b">
        <v>0</v>
      </c>
      <c r="L72" s="93" t="b">
        <v>0</v>
      </c>
      <c r="M72" s="93" t="b">
        <v>0</v>
      </c>
      <c r="N72" s="93" t="b">
        <v>0</v>
      </c>
      <c r="O72" s="93" t="b">
        <v>0</v>
      </c>
    </row>
    <row r="73" ht="15.75" customHeight="1">
      <c r="A73" s="17">
        <f t="shared" si="1"/>
        <v>72</v>
      </c>
      <c r="B73" s="1364"/>
      <c r="C73" s="18" t="s">
        <v>177</v>
      </c>
      <c r="D73" s="76" t="s">
        <v>188</v>
      </c>
      <c r="E73" s="77" t="s">
        <v>184</v>
      </c>
      <c r="F73" s="1348" t="s">
        <v>185</v>
      </c>
      <c r="G73" s="93" t="b">
        <v>0</v>
      </c>
      <c r="H73" s="93" t="b">
        <v>0</v>
      </c>
      <c r="I73" s="93" t="b">
        <v>0</v>
      </c>
      <c r="J73" s="93" t="b">
        <v>0</v>
      </c>
      <c r="K73" s="93" t="b">
        <v>0</v>
      </c>
      <c r="L73" s="93" t="b">
        <v>0</v>
      </c>
      <c r="M73" s="93" t="b">
        <v>0</v>
      </c>
      <c r="N73" s="93" t="b">
        <v>0</v>
      </c>
      <c r="O73" s="93" t="b">
        <v>0</v>
      </c>
    </row>
    <row r="74" ht="15.75" customHeight="1">
      <c r="A74" s="17">
        <f t="shared" si="1"/>
        <v>73</v>
      </c>
      <c r="B74" s="1365"/>
      <c r="C74" s="1366" t="s">
        <v>177</v>
      </c>
      <c r="D74" s="81" t="s">
        <v>191</v>
      </c>
      <c r="E74" s="82" t="s">
        <v>141</v>
      </c>
      <c r="F74" s="1356" t="s">
        <v>30</v>
      </c>
      <c r="G74" s="93" t="b">
        <v>0</v>
      </c>
      <c r="H74" s="93" t="b">
        <v>0</v>
      </c>
      <c r="I74" s="93" t="b">
        <v>0</v>
      </c>
      <c r="J74" s="93" t="b">
        <v>0</v>
      </c>
      <c r="K74" s="93" t="b">
        <v>0</v>
      </c>
      <c r="L74" s="93" t="b">
        <v>0</v>
      </c>
      <c r="M74" s="93" t="b">
        <v>0</v>
      </c>
      <c r="N74" s="93" t="b">
        <v>0</v>
      </c>
      <c r="O74" s="93" t="b">
        <v>0</v>
      </c>
    </row>
    <row r="75" ht="15.75" customHeight="1">
      <c r="A75" s="17">
        <f t="shared" si="1"/>
        <v>74</v>
      </c>
      <c r="B75" s="1364"/>
      <c r="C75" s="84"/>
      <c r="D75" s="85" t="s">
        <v>192</v>
      </c>
      <c r="E75" s="86" t="s">
        <v>193</v>
      </c>
      <c r="F75" s="1352" t="s">
        <v>30</v>
      </c>
      <c r="G75" s="93" t="b">
        <v>0</v>
      </c>
      <c r="H75" s="93" t="b">
        <v>0</v>
      </c>
      <c r="I75" s="93" t="b">
        <v>0</v>
      </c>
      <c r="J75" s="93" t="b">
        <v>0</v>
      </c>
      <c r="K75" s="93" t="b">
        <v>0</v>
      </c>
      <c r="L75" s="93" t="b">
        <v>0</v>
      </c>
      <c r="M75" s="93" t="b">
        <v>0</v>
      </c>
      <c r="N75" s="93" t="b">
        <v>0</v>
      </c>
      <c r="O75" s="93" t="b">
        <v>0</v>
      </c>
    </row>
    <row r="76" ht="15.75" customHeight="1">
      <c r="A76" s="17">
        <f t="shared" si="1"/>
        <v>75</v>
      </c>
      <c r="B76" s="1364"/>
      <c r="C76" s="18"/>
      <c r="D76" s="87" t="s">
        <v>195</v>
      </c>
      <c r="E76" s="77" t="s">
        <v>193</v>
      </c>
      <c r="F76" s="1348" t="s">
        <v>27</v>
      </c>
      <c r="G76" s="93" t="b">
        <v>0</v>
      </c>
      <c r="H76" s="93" t="b">
        <v>0</v>
      </c>
      <c r="I76" s="93" t="b">
        <v>0</v>
      </c>
      <c r="J76" s="93" t="b">
        <v>0</v>
      </c>
      <c r="K76" s="93" t="b">
        <v>0</v>
      </c>
      <c r="L76" s="93" t="b">
        <v>0</v>
      </c>
      <c r="M76" s="93" t="b">
        <v>0</v>
      </c>
      <c r="N76" s="93" t="b">
        <v>0</v>
      </c>
      <c r="O76" s="93" t="b">
        <v>0</v>
      </c>
    </row>
    <row r="77" ht="15.75" customHeight="1">
      <c r="A77" s="17">
        <f t="shared" si="1"/>
        <v>76</v>
      </c>
      <c r="B77" s="1364"/>
      <c r="C77" s="18"/>
      <c r="D77" s="87" t="s">
        <v>197</v>
      </c>
      <c r="E77" s="77" t="s">
        <v>193</v>
      </c>
      <c r="F77" s="1348" t="s">
        <v>27</v>
      </c>
      <c r="G77" s="93" t="b">
        <v>0</v>
      </c>
      <c r="H77" s="93" t="b">
        <v>0</v>
      </c>
      <c r="I77" s="93" t="b">
        <v>0</v>
      </c>
      <c r="J77" s="93" t="b">
        <v>0</v>
      </c>
      <c r="K77" s="93" t="b">
        <v>0</v>
      </c>
      <c r="L77" s="93" t="b">
        <v>0</v>
      </c>
      <c r="M77" s="93" t="b">
        <v>0</v>
      </c>
      <c r="N77" s="93" t="b">
        <v>0</v>
      </c>
      <c r="O77" s="93" t="b">
        <v>0</v>
      </c>
    </row>
    <row r="78" ht="15.75" customHeight="1">
      <c r="A78" s="17">
        <f t="shared" si="1"/>
        <v>77</v>
      </c>
      <c r="B78" s="1364"/>
      <c r="C78" s="18"/>
      <c r="D78" s="87" t="s">
        <v>199</v>
      </c>
      <c r="E78" s="77" t="s">
        <v>193</v>
      </c>
      <c r="F78" s="1348" t="s">
        <v>27</v>
      </c>
      <c r="G78" s="93" t="b">
        <v>0</v>
      </c>
      <c r="H78" s="93" t="b">
        <v>0</v>
      </c>
      <c r="I78" s="93" t="b">
        <v>0</v>
      </c>
      <c r="J78" s="93" t="b">
        <v>0</v>
      </c>
      <c r="K78" s="93" t="b">
        <v>0</v>
      </c>
      <c r="L78" s="93" t="b">
        <v>0</v>
      </c>
      <c r="M78" s="93" t="b">
        <v>0</v>
      </c>
      <c r="N78" s="93" t="b">
        <v>0</v>
      </c>
      <c r="O78" s="93" t="b">
        <v>0</v>
      </c>
    </row>
    <row r="79" ht="15.75" customHeight="1">
      <c r="A79" s="17">
        <f t="shared" si="1"/>
        <v>78</v>
      </c>
      <c r="B79" s="1364"/>
      <c r="C79" s="18"/>
      <c r="D79" s="87" t="s">
        <v>201</v>
      </c>
      <c r="E79" s="77" t="s">
        <v>193</v>
      </c>
      <c r="F79" s="1348" t="s">
        <v>30</v>
      </c>
      <c r="G79" s="93" t="b">
        <v>0</v>
      </c>
      <c r="H79" s="93" t="b">
        <v>0</v>
      </c>
      <c r="I79" s="93" t="b">
        <v>0</v>
      </c>
      <c r="J79" s="93" t="b">
        <v>0</v>
      </c>
      <c r="K79" s="93" t="b">
        <v>0</v>
      </c>
      <c r="L79" s="93" t="b">
        <v>0</v>
      </c>
      <c r="M79" s="93" t="b">
        <v>0</v>
      </c>
      <c r="N79" s="93" t="b">
        <v>0</v>
      </c>
      <c r="O79" s="93" t="b">
        <v>0</v>
      </c>
    </row>
    <row r="80" ht="15.75" customHeight="1">
      <c r="A80" s="17">
        <f t="shared" si="1"/>
        <v>79</v>
      </c>
      <c r="B80" s="1364"/>
      <c r="C80" s="18"/>
      <c r="D80" s="87" t="s">
        <v>203</v>
      </c>
      <c r="E80" s="77" t="s">
        <v>193</v>
      </c>
      <c r="F80" s="1348" t="s">
        <v>46</v>
      </c>
      <c r="G80" s="93" t="b">
        <v>0</v>
      </c>
      <c r="H80" s="93" t="b">
        <v>0</v>
      </c>
      <c r="I80" s="93" t="b">
        <v>0</v>
      </c>
      <c r="J80" s="93" t="b">
        <v>0</v>
      </c>
      <c r="K80" s="93" t="b">
        <v>0</v>
      </c>
      <c r="L80" s="93" t="b">
        <v>0</v>
      </c>
      <c r="M80" s="93" t="b">
        <v>0</v>
      </c>
      <c r="N80" s="93" t="b">
        <v>0</v>
      </c>
      <c r="O80" s="93" t="b">
        <v>0</v>
      </c>
    </row>
    <row r="81" ht="15.75" customHeight="1">
      <c r="A81" s="17">
        <f t="shared" si="1"/>
        <v>80</v>
      </c>
      <c r="B81" s="1364"/>
      <c r="C81" s="18"/>
      <c r="D81" s="87" t="s">
        <v>205</v>
      </c>
      <c r="E81" s="77" t="s">
        <v>193</v>
      </c>
      <c r="F81" s="1348" t="s">
        <v>30</v>
      </c>
      <c r="G81" s="93" t="b">
        <v>0</v>
      </c>
      <c r="H81" s="93" t="b">
        <v>0</v>
      </c>
      <c r="I81" s="93" t="b">
        <v>0</v>
      </c>
      <c r="J81" s="93" t="b">
        <v>0</v>
      </c>
      <c r="K81" s="93" t="b">
        <v>0</v>
      </c>
      <c r="L81" s="93" t="b">
        <v>0</v>
      </c>
      <c r="M81" s="93" t="b">
        <v>0</v>
      </c>
      <c r="N81" s="93" t="b">
        <v>0</v>
      </c>
      <c r="O81" s="93" t="b">
        <v>0</v>
      </c>
    </row>
    <row r="82" ht="15.75" customHeight="1">
      <c r="A82" s="17">
        <f t="shared" si="1"/>
        <v>81</v>
      </c>
      <c r="B82" s="1364"/>
      <c r="C82" s="18"/>
      <c r="D82" s="87" t="s">
        <v>207</v>
      </c>
      <c r="E82" s="77" t="s">
        <v>193</v>
      </c>
      <c r="F82" s="1348" t="s">
        <v>30</v>
      </c>
      <c r="G82" s="93" t="b">
        <v>0</v>
      </c>
      <c r="H82" s="93" t="b">
        <v>0</v>
      </c>
      <c r="I82" s="93" t="b">
        <v>0</v>
      </c>
      <c r="J82" s="93" t="b">
        <v>0</v>
      </c>
      <c r="K82" s="93" t="b">
        <v>0</v>
      </c>
      <c r="L82" s="93" t="b">
        <v>0</v>
      </c>
      <c r="M82" s="93" t="b">
        <v>0</v>
      </c>
      <c r="N82" s="93" t="b">
        <v>0</v>
      </c>
      <c r="O82" s="93" t="b">
        <v>0</v>
      </c>
    </row>
    <row r="83" ht="15.75" customHeight="1">
      <c r="A83" s="17">
        <f t="shared" si="1"/>
        <v>82</v>
      </c>
      <c r="B83" s="1364"/>
      <c r="C83" s="18"/>
      <c r="D83" s="87" t="s">
        <v>209</v>
      </c>
      <c r="E83" s="77" t="s">
        <v>193</v>
      </c>
      <c r="F83" s="1348" t="s">
        <v>27</v>
      </c>
      <c r="G83" s="93" t="b">
        <v>0</v>
      </c>
      <c r="H83" s="93" t="b">
        <v>0</v>
      </c>
      <c r="I83" s="93" t="b">
        <v>0</v>
      </c>
      <c r="J83" s="93" t="b">
        <v>0</v>
      </c>
      <c r="K83" s="93" t="b">
        <v>0</v>
      </c>
      <c r="L83" s="93" t="b">
        <v>0</v>
      </c>
      <c r="M83" s="93" t="b">
        <v>0</v>
      </c>
      <c r="N83" s="93" t="b">
        <v>0</v>
      </c>
      <c r="O83" s="93" t="b">
        <v>0</v>
      </c>
    </row>
    <row r="84" ht="15.75" customHeight="1">
      <c r="A84" s="17">
        <f t="shared" si="1"/>
        <v>83</v>
      </c>
      <c r="B84" s="1364"/>
      <c r="C84" s="18"/>
      <c r="D84" s="87" t="s">
        <v>211</v>
      </c>
      <c r="E84" s="77" t="s">
        <v>193</v>
      </c>
      <c r="F84" s="1348" t="s">
        <v>46</v>
      </c>
      <c r="G84" s="93" t="b">
        <v>0</v>
      </c>
      <c r="H84" s="93" t="b">
        <v>0</v>
      </c>
      <c r="I84" s="93" t="b">
        <v>0</v>
      </c>
      <c r="J84" s="93" t="b">
        <v>0</v>
      </c>
      <c r="K84" s="93" t="b">
        <v>0</v>
      </c>
      <c r="L84" s="93" t="b">
        <v>0</v>
      </c>
      <c r="M84" s="93" t="b">
        <v>0</v>
      </c>
      <c r="N84" s="93" t="b">
        <v>0</v>
      </c>
      <c r="O84" s="93" t="b">
        <v>0</v>
      </c>
    </row>
    <row r="85" ht="15.75" customHeight="1">
      <c r="A85" s="17">
        <f t="shared" si="1"/>
        <v>84</v>
      </c>
      <c r="B85" s="1364"/>
      <c r="C85" s="18"/>
      <c r="D85" s="88" t="s">
        <v>213</v>
      </c>
      <c r="E85" s="77" t="s">
        <v>193</v>
      </c>
      <c r="F85" s="1348" t="s">
        <v>30</v>
      </c>
      <c r="G85" s="93" t="b">
        <v>0</v>
      </c>
      <c r="H85" s="93" t="b">
        <v>0</v>
      </c>
      <c r="I85" s="93" t="b">
        <v>0</v>
      </c>
      <c r="J85" s="93" t="b">
        <v>0</v>
      </c>
      <c r="K85" s="93" t="b">
        <v>0</v>
      </c>
      <c r="L85" s="93" t="b">
        <v>0</v>
      </c>
      <c r="M85" s="93" t="b">
        <v>0</v>
      </c>
      <c r="N85" s="93" t="b">
        <v>0</v>
      </c>
      <c r="O85" s="93" t="b">
        <v>0</v>
      </c>
    </row>
    <row r="86" ht="15.75" customHeight="1">
      <c r="A86" s="17">
        <f t="shared" si="1"/>
        <v>85</v>
      </c>
      <c r="B86" s="1364"/>
      <c r="C86" s="18"/>
      <c r="D86" s="87" t="s">
        <v>214</v>
      </c>
      <c r="E86" s="77" t="s">
        <v>193</v>
      </c>
      <c r="F86" s="1348" t="s">
        <v>30</v>
      </c>
      <c r="G86" s="93" t="b">
        <v>0</v>
      </c>
      <c r="H86" s="93" t="b">
        <v>0</v>
      </c>
      <c r="I86" s="93" t="b">
        <v>0</v>
      </c>
      <c r="J86" s="93" t="b">
        <v>0</v>
      </c>
      <c r="K86" s="93" t="b">
        <v>0</v>
      </c>
      <c r="L86" s="93" t="b">
        <v>0</v>
      </c>
      <c r="M86" s="93" t="b">
        <v>0</v>
      </c>
      <c r="N86" s="93" t="b">
        <v>0</v>
      </c>
      <c r="O86" s="93" t="b">
        <v>0</v>
      </c>
    </row>
    <row r="87" ht="15.75" customHeight="1">
      <c r="A87" s="17">
        <f t="shared" si="1"/>
        <v>86</v>
      </c>
      <c r="B87" s="1364"/>
      <c r="C87" s="18"/>
      <c r="D87" s="87" t="s">
        <v>216</v>
      </c>
      <c r="E87" s="77" t="s">
        <v>193</v>
      </c>
      <c r="F87" s="1348" t="s">
        <v>30</v>
      </c>
      <c r="G87" s="93" t="b">
        <v>0</v>
      </c>
      <c r="H87" s="93" t="b">
        <v>0</v>
      </c>
      <c r="I87" s="93" t="b">
        <v>0</v>
      </c>
      <c r="J87" s="93" t="b">
        <v>0</v>
      </c>
      <c r="K87" s="93" t="b">
        <v>0</v>
      </c>
      <c r="L87" s="93" t="b">
        <v>0</v>
      </c>
      <c r="M87" s="93" t="b">
        <v>0</v>
      </c>
      <c r="N87" s="93" t="b">
        <v>0</v>
      </c>
      <c r="O87" s="93" t="b">
        <v>0</v>
      </c>
    </row>
    <row r="88" ht="15.75" customHeight="1">
      <c r="A88" s="17">
        <f t="shared" si="1"/>
        <v>87</v>
      </c>
      <c r="B88" s="1364"/>
      <c r="C88" s="18"/>
      <c r="D88" s="87" t="s">
        <v>218</v>
      </c>
      <c r="E88" s="77" t="s">
        <v>193</v>
      </c>
      <c r="F88" s="1348" t="s">
        <v>27</v>
      </c>
      <c r="G88" s="93" t="b">
        <v>0</v>
      </c>
      <c r="H88" s="93" t="b">
        <v>0</v>
      </c>
      <c r="I88" s="93" t="b">
        <v>0</v>
      </c>
      <c r="J88" s="93" t="b">
        <v>0</v>
      </c>
      <c r="K88" s="93" t="b">
        <v>0</v>
      </c>
      <c r="L88" s="93" t="b">
        <v>0</v>
      </c>
      <c r="M88" s="93" t="b">
        <v>0</v>
      </c>
      <c r="N88" s="93" t="b">
        <v>0</v>
      </c>
      <c r="O88" s="93" t="b">
        <v>0</v>
      </c>
    </row>
    <row r="89" ht="15.75" customHeight="1">
      <c r="A89" s="17">
        <f t="shared" si="1"/>
        <v>88</v>
      </c>
      <c r="B89" s="1364"/>
      <c r="C89" s="18"/>
      <c r="D89" s="87" t="s">
        <v>220</v>
      </c>
      <c r="E89" s="77" t="s">
        <v>193</v>
      </c>
      <c r="F89" s="1348" t="s">
        <v>221</v>
      </c>
      <c r="G89" s="93" t="b">
        <v>0</v>
      </c>
      <c r="H89" s="93" t="b">
        <v>0</v>
      </c>
      <c r="I89" s="93" t="b">
        <v>0</v>
      </c>
      <c r="J89" s="93" t="b">
        <v>0</v>
      </c>
      <c r="K89" s="93" t="b">
        <v>0</v>
      </c>
      <c r="L89" s="93" t="b">
        <v>0</v>
      </c>
      <c r="M89" s="93" t="b">
        <v>0</v>
      </c>
      <c r="N89" s="93" t="b">
        <v>0</v>
      </c>
      <c r="O89" s="93" t="b">
        <v>0</v>
      </c>
    </row>
    <row r="90" ht="15.75" customHeight="1">
      <c r="A90" s="17">
        <f t="shared" si="1"/>
        <v>89</v>
      </c>
      <c r="B90" s="1364"/>
      <c r="C90" s="18"/>
      <c r="D90" s="87" t="s">
        <v>223</v>
      </c>
      <c r="E90" s="77" t="s">
        <v>193</v>
      </c>
      <c r="F90" s="1348" t="s">
        <v>224</v>
      </c>
      <c r="G90" s="93" t="b">
        <v>0</v>
      </c>
      <c r="H90" s="93" t="b">
        <v>0</v>
      </c>
      <c r="I90" s="93" t="b">
        <v>0</v>
      </c>
      <c r="J90" s="93" t="b">
        <v>0</v>
      </c>
      <c r="K90" s="93" t="b">
        <v>0</v>
      </c>
      <c r="L90" s="93" t="b">
        <v>0</v>
      </c>
      <c r="M90" s="93" t="b">
        <v>0</v>
      </c>
      <c r="N90" s="93" t="b">
        <v>0</v>
      </c>
      <c r="O90" s="93" t="b">
        <v>0</v>
      </c>
    </row>
    <row r="91" ht="15.75" customHeight="1">
      <c r="A91" s="17">
        <f t="shared" si="1"/>
        <v>90</v>
      </c>
      <c r="B91" s="1364"/>
      <c r="C91" s="18"/>
      <c r="D91" s="87" t="s">
        <v>226</v>
      </c>
      <c r="E91" s="77" t="s">
        <v>193</v>
      </c>
      <c r="F91" s="1348" t="s">
        <v>224</v>
      </c>
      <c r="G91" s="93" t="b">
        <v>0</v>
      </c>
      <c r="H91" s="93" t="b">
        <v>0</v>
      </c>
      <c r="I91" s="93" t="b">
        <v>0</v>
      </c>
      <c r="J91" s="93" t="b">
        <v>0</v>
      </c>
      <c r="K91" s="93" t="b">
        <v>0</v>
      </c>
      <c r="L91" s="93" t="b">
        <v>0</v>
      </c>
      <c r="M91" s="93" t="b">
        <v>0</v>
      </c>
      <c r="N91" s="93" t="b">
        <v>0</v>
      </c>
      <c r="O91" s="93" t="b">
        <v>0</v>
      </c>
    </row>
    <row r="92" ht="15.75" customHeight="1">
      <c r="A92" s="17">
        <f t="shared" si="1"/>
        <v>91</v>
      </c>
      <c r="B92" s="1364"/>
      <c r="C92" s="18"/>
      <c r="D92" s="87" t="s">
        <v>227</v>
      </c>
      <c r="E92" s="77" t="s">
        <v>193</v>
      </c>
      <c r="F92" s="1348" t="s">
        <v>224</v>
      </c>
      <c r="G92" s="93" t="b">
        <v>0</v>
      </c>
      <c r="H92" s="93" t="b">
        <v>0</v>
      </c>
      <c r="I92" s="93" t="b">
        <v>0</v>
      </c>
      <c r="J92" s="93" t="b">
        <v>0</v>
      </c>
      <c r="K92" s="93" t="b">
        <v>0</v>
      </c>
      <c r="L92" s="93" t="b">
        <v>0</v>
      </c>
      <c r="M92" s="93" t="b">
        <v>0</v>
      </c>
      <c r="N92" s="93" t="b">
        <v>0</v>
      </c>
      <c r="O92" s="93" t="b">
        <v>0</v>
      </c>
    </row>
    <row r="93" ht="15.75" customHeight="1">
      <c r="A93" s="17">
        <f t="shared" si="1"/>
        <v>92</v>
      </c>
      <c r="B93" s="1364"/>
      <c r="C93" s="18"/>
      <c r="D93" s="87" t="s">
        <v>229</v>
      </c>
      <c r="E93" s="77" t="s">
        <v>193</v>
      </c>
      <c r="F93" s="1348" t="s">
        <v>27</v>
      </c>
      <c r="G93" s="93" t="b">
        <v>0</v>
      </c>
      <c r="H93" s="93" t="b">
        <v>0</v>
      </c>
      <c r="I93" s="93" t="b">
        <v>0</v>
      </c>
      <c r="J93" s="93" t="b">
        <v>0</v>
      </c>
      <c r="K93" s="93" t="b">
        <v>0</v>
      </c>
      <c r="L93" s="93" t="b">
        <v>0</v>
      </c>
      <c r="M93" s="93" t="b">
        <v>0</v>
      </c>
      <c r="N93" s="93" t="b">
        <v>0</v>
      </c>
      <c r="O93" s="93" t="b">
        <v>0</v>
      </c>
    </row>
    <row r="94" ht="15.75" customHeight="1">
      <c r="A94" s="17">
        <f t="shared" si="1"/>
        <v>93</v>
      </c>
      <c r="B94" s="1364"/>
      <c r="C94" s="18"/>
      <c r="D94" s="87" t="s">
        <v>231</v>
      </c>
      <c r="E94" s="77" t="s">
        <v>193</v>
      </c>
      <c r="F94" s="1348" t="s">
        <v>27</v>
      </c>
      <c r="G94" s="93" t="b">
        <v>0</v>
      </c>
      <c r="H94" s="93" t="b">
        <v>0</v>
      </c>
      <c r="I94" s="93" t="b">
        <v>0</v>
      </c>
      <c r="J94" s="93" t="b">
        <v>0</v>
      </c>
      <c r="K94" s="93" t="b">
        <v>0</v>
      </c>
      <c r="L94" s="93" t="b">
        <v>0</v>
      </c>
      <c r="M94" s="93" t="b">
        <v>0</v>
      </c>
      <c r="N94" s="93" t="b">
        <v>0</v>
      </c>
      <c r="O94" s="93" t="b">
        <v>0</v>
      </c>
    </row>
    <row r="95" ht="15.75" customHeight="1">
      <c r="A95" s="17">
        <f t="shared" si="1"/>
        <v>94</v>
      </c>
      <c r="B95" s="1364"/>
      <c r="C95" s="18"/>
      <c r="D95" s="87" t="s">
        <v>232</v>
      </c>
      <c r="E95" s="77" t="s">
        <v>193</v>
      </c>
      <c r="F95" s="1348" t="s">
        <v>27</v>
      </c>
      <c r="G95" s="93" t="b">
        <v>0</v>
      </c>
      <c r="H95" s="93" t="b">
        <v>0</v>
      </c>
      <c r="I95" s="93" t="b">
        <v>0</v>
      </c>
      <c r="J95" s="93" t="b">
        <v>0</v>
      </c>
      <c r="K95" s="93" t="b">
        <v>0</v>
      </c>
      <c r="L95" s="93" t="b">
        <v>0</v>
      </c>
      <c r="M95" s="93" t="b">
        <v>0</v>
      </c>
      <c r="N95" s="93" t="b">
        <v>0</v>
      </c>
      <c r="O95" s="93" t="b">
        <v>0</v>
      </c>
    </row>
    <row r="96" ht="15.75" customHeight="1">
      <c r="A96" s="17">
        <f t="shared" si="1"/>
        <v>95</v>
      </c>
      <c r="B96" s="1364"/>
      <c r="C96" s="18"/>
      <c r="D96" s="87" t="s">
        <v>233</v>
      </c>
      <c r="E96" s="77" t="s">
        <v>193</v>
      </c>
      <c r="F96" s="1348" t="s">
        <v>30</v>
      </c>
      <c r="G96" s="93" t="b">
        <v>0</v>
      </c>
      <c r="H96" s="93" t="b">
        <v>0</v>
      </c>
      <c r="I96" s="93" t="b">
        <v>0</v>
      </c>
      <c r="J96" s="93" t="b">
        <v>0</v>
      </c>
      <c r="K96" s="93" t="b">
        <v>0</v>
      </c>
      <c r="L96" s="93" t="b">
        <v>0</v>
      </c>
      <c r="M96" s="93" t="b">
        <v>0</v>
      </c>
      <c r="N96" s="93" t="b">
        <v>0</v>
      </c>
      <c r="O96" s="93" t="b">
        <v>0</v>
      </c>
    </row>
    <row r="97" ht="15.75" customHeight="1">
      <c r="A97" s="17">
        <f t="shared" si="1"/>
        <v>96</v>
      </c>
      <c r="B97" s="1364"/>
      <c r="C97" s="18"/>
      <c r="D97" s="103" t="s">
        <v>250</v>
      </c>
      <c r="E97" s="77" t="s">
        <v>236</v>
      </c>
      <c r="F97" s="1348" t="s">
        <v>33</v>
      </c>
      <c r="G97" s="93" t="b">
        <v>0</v>
      </c>
      <c r="H97" s="93" t="b">
        <v>0</v>
      </c>
      <c r="I97" s="93" t="b">
        <v>0</v>
      </c>
      <c r="J97" s="93" t="b">
        <v>0</v>
      </c>
      <c r="K97" s="93" t="b">
        <v>0</v>
      </c>
      <c r="L97" s="93" t="b">
        <v>0</v>
      </c>
      <c r="M97" s="93" t="b">
        <v>0</v>
      </c>
      <c r="N97" s="93" t="b">
        <v>0</v>
      </c>
      <c r="O97" s="93" t="b">
        <v>0</v>
      </c>
    </row>
    <row r="98" ht="15.75" customHeight="1">
      <c r="A98" s="17">
        <f t="shared" si="1"/>
        <v>97</v>
      </c>
      <c r="B98" s="1364"/>
      <c r="C98" s="18"/>
      <c r="D98" s="103" t="s">
        <v>238</v>
      </c>
      <c r="E98" s="77" t="s">
        <v>236</v>
      </c>
      <c r="F98" s="1348" t="s">
        <v>27</v>
      </c>
      <c r="G98" s="93" t="b">
        <v>0</v>
      </c>
      <c r="H98" s="93" t="b">
        <v>0</v>
      </c>
      <c r="I98" s="93" t="b">
        <v>0</v>
      </c>
      <c r="J98" s="93" t="b">
        <v>0</v>
      </c>
      <c r="K98" s="93" t="b">
        <v>0</v>
      </c>
      <c r="L98" s="93" t="b">
        <v>0</v>
      </c>
      <c r="M98" s="93" t="b">
        <v>0</v>
      </c>
      <c r="N98" s="93" t="b">
        <v>0</v>
      </c>
      <c r="O98" s="93" t="b">
        <v>0</v>
      </c>
    </row>
    <row r="99" ht="15.75" customHeight="1">
      <c r="A99" s="17">
        <f t="shared" si="1"/>
        <v>98</v>
      </c>
      <c r="B99" s="1364"/>
      <c r="C99" s="18"/>
      <c r="D99" s="103" t="s">
        <v>252</v>
      </c>
      <c r="E99" s="77" t="s">
        <v>236</v>
      </c>
      <c r="F99" s="1348" t="s">
        <v>30</v>
      </c>
      <c r="G99" s="93" t="b">
        <v>0</v>
      </c>
      <c r="H99" s="93" t="b">
        <v>0</v>
      </c>
      <c r="I99" s="93" t="b">
        <v>0</v>
      </c>
      <c r="J99" s="93" t="b">
        <v>0</v>
      </c>
      <c r="K99" s="93" t="b">
        <v>0</v>
      </c>
      <c r="L99" s="93" t="b">
        <v>0</v>
      </c>
      <c r="M99" s="93" t="b">
        <v>0</v>
      </c>
      <c r="N99" s="93" t="b">
        <v>0</v>
      </c>
      <c r="O99" s="93" t="b">
        <v>0</v>
      </c>
    </row>
    <row r="100" ht="15.75" customHeight="1">
      <c r="A100" s="17">
        <f t="shared" si="1"/>
        <v>99</v>
      </c>
      <c r="B100" s="1364"/>
      <c r="C100" s="18"/>
      <c r="D100" s="103" t="s">
        <v>254</v>
      </c>
      <c r="E100" s="77" t="s">
        <v>236</v>
      </c>
      <c r="F100" s="1348" t="s">
        <v>27</v>
      </c>
      <c r="G100" s="93" t="b">
        <v>0</v>
      </c>
      <c r="H100" s="93" t="b">
        <v>0</v>
      </c>
      <c r="I100" s="93" t="b">
        <v>0</v>
      </c>
      <c r="J100" s="93" t="b">
        <v>0</v>
      </c>
      <c r="K100" s="93" t="b">
        <v>0</v>
      </c>
      <c r="L100" s="93" t="b">
        <v>0</v>
      </c>
      <c r="M100" s="93" t="b">
        <v>0</v>
      </c>
      <c r="N100" s="93" t="b">
        <v>0</v>
      </c>
      <c r="O100" s="93" t="b">
        <v>0</v>
      </c>
    </row>
    <row r="101" ht="15.75" customHeight="1">
      <c r="A101" s="17">
        <f t="shared" si="1"/>
        <v>100</v>
      </c>
      <c r="B101" s="1364"/>
      <c r="C101" s="18"/>
      <c r="D101" s="103" t="s">
        <v>256</v>
      </c>
      <c r="E101" s="77" t="s">
        <v>236</v>
      </c>
      <c r="F101" s="1348" t="s">
        <v>30</v>
      </c>
      <c r="G101" s="93" t="b">
        <v>0</v>
      </c>
      <c r="H101" s="93" t="b">
        <v>0</v>
      </c>
      <c r="I101" s="93" t="b">
        <v>0</v>
      </c>
      <c r="J101" s="93" t="b">
        <v>0</v>
      </c>
      <c r="K101" s="93" t="b">
        <v>0</v>
      </c>
      <c r="L101" s="93" t="b">
        <v>0</v>
      </c>
      <c r="M101" s="93" t="b">
        <v>0</v>
      </c>
      <c r="N101" s="93" t="b">
        <v>0</v>
      </c>
      <c r="O101" s="93" t="b">
        <v>0</v>
      </c>
    </row>
    <row r="102" ht="15.75" customHeight="1">
      <c r="A102" s="17">
        <f t="shared" si="1"/>
        <v>101</v>
      </c>
      <c r="B102" s="1364"/>
      <c r="C102" s="18"/>
      <c r="D102" s="103" t="s">
        <v>258</v>
      </c>
      <c r="E102" s="77" t="s">
        <v>236</v>
      </c>
      <c r="F102" s="1348" t="s">
        <v>30</v>
      </c>
      <c r="G102" s="93" t="b">
        <v>0</v>
      </c>
      <c r="H102" s="93" t="b">
        <v>0</v>
      </c>
      <c r="I102" s="93" t="b">
        <v>0</v>
      </c>
      <c r="J102" s="93" t="b">
        <v>0</v>
      </c>
      <c r="K102" s="93" t="b">
        <v>0</v>
      </c>
      <c r="L102" s="93" t="b">
        <v>0</v>
      </c>
      <c r="M102" s="93" t="b">
        <v>0</v>
      </c>
      <c r="N102" s="93" t="b">
        <v>0</v>
      </c>
      <c r="O102" s="93" t="b">
        <v>0</v>
      </c>
    </row>
    <row r="103" ht="15.75" customHeight="1">
      <c r="A103" s="17">
        <f t="shared" si="1"/>
        <v>102</v>
      </c>
      <c r="B103" s="1364"/>
      <c r="C103" s="18"/>
      <c r="D103" s="103" t="s">
        <v>260</v>
      </c>
      <c r="E103" s="77" t="s">
        <v>236</v>
      </c>
      <c r="F103" s="1348" t="s">
        <v>27</v>
      </c>
      <c r="G103" s="93" t="b">
        <v>0</v>
      </c>
      <c r="H103" s="93" t="b">
        <v>0</v>
      </c>
      <c r="I103" s="93" t="b">
        <v>0</v>
      </c>
      <c r="J103" s="93" t="b">
        <v>0</v>
      </c>
      <c r="K103" s="93" t="b">
        <v>0</v>
      </c>
      <c r="L103" s="93" t="b">
        <v>0</v>
      </c>
      <c r="M103" s="93" t="b">
        <v>0</v>
      </c>
      <c r="N103" s="93" t="b">
        <v>0</v>
      </c>
      <c r="O103" s="93" t="b">
        <v>0</v>
      </c>
    </row>
    <row r="104" ht="15.75" customHeight="1">
      <c r="A104" s="17">
        <f t="shared" si="1"/>
        <v>103</v>
      </c>
      <c r="B104" s="1364"/>
      <c r="C104" s="18"/>
      <c r="D104" s="103" t="s">
        <v>262</v>
      </c>
      <c r="E104" s="77" t="s">
        <v>236</v>
      </c>
      <c r="F104" s="1348" t="s">
        <v>30</v>
      </c>
      <c r="G104" s="93" t="b">
        <v>0</v>
      </c>
      <c r="H104" s="93" t="b">
        <v>0</v>
      </c>
      <c r="I104" s="93" t="b">
        <v>0</v>
      </c>
      <c r="J104" s="93" t="b">
        <v>0</v>
      </c>
      <c r="K104" s="93" t="b">
        <v>0</v>
      </c>
      <c r="L104" s="93" t="b">
        <v>0</v>
      </c>
      <c r="M104" s="93" t="b">
        <v>0</v>
      </c>
      <c r="N104" s="93" t="b">
        <v>0</v>
      </c>
      <c r="O104" s="93" t="b">
        <v>0</v>
      </c>
    </row>
    <row r="105" ht="15.75" customHeight="1">
      <c r="A105" s="17">
        <f t="shared" si="1"/>
        <v>104</v>
      </c>
      <c r="B105" s="1364"/>
      <c r="C105" s="18"/>
      <c r="D105" s="103" t="s">
        <v>240</v>
      </c>
      <c r="E105" s="77" t="s">
        <v>236</v>
      </c>
      <c r="F105" s="1348" t="s">
        <v>27</v>
      </c>
      <c r="G105" s="93" t="b">
        <v>0</v>
      </c>
      <c r="H105" s="93" t="b">
        <v>0</v>
      </c>
      <c r="I105" s="93" t="b">
        <v>0</v>
      </c>
      <c r="J105" s="93" t="b">
        <v>0</v>
      </c>
      <c r="K105" s="93" t="b">
        <v>0</v>
      </c>
      <c r="L105" s="93" t="b">
        <v>0</v>
      </c>
      <c r="M105" s="93" t="b">
        <v>0</v>
      </c>
      <c r="N105" s="93" t="b">
        <v>0</v>
      </c>
      <c r="O105" s="93" t="b">
        <v>0</v>
      </c>
    </row>
    <row r="106" ht="15.75" customHeight="1">
      <c r="A106" s="17">
        <f t="shared" si="1"/>
        <v>105</v>
      </c>
      <c r="B106" s="1364"/>
      <c r="C106" s="18"/>
      <c r="D106" s="103" t="s">
        <v>264</v>
      </c>
      <c r="E106" s="77" t="s">
        <v>236</v>
      </c>
      <c r="F106" s="1348" t="s">
        <v>33</v>
      </c>
      <c r="G106" s="93" t="b">
        <v>0</v>
      </c>
      <c r="H106" s="93" t="b">
        <v>0</v>
      </c>
      <c r="I106" s="93" t="b">
        <v>0</v>
      </c>
      <c r="J106" s="93" t="b">
        <v>0</v>
      </c>
      <c r="K106" s="93" t="b">
        <v>0</v>
      </c>
      <c r="L106" s="93" t="b">
        <v>0</v>
      </c>
      <c r="M106" s="93" t="b">
        <v>0</v>
      </c>
      <c r="N106" s="93" t="b">
        <v>0</v>
      </c>
      <c r="O106" s="93" t="b">
        <v>0</v>
      </c>
    </row>
    <row r="107" ht="15.75" customHeight="1">
      <c r="A107" s="17">
        <f t="shared" si="1"/>
        <v>106</v>
      </c>
      <c r="B107" s="1364"/>
      <c r="C107" s="18"/>
      <c r="D107" s="103" t="s">
        <v>266</v>
      </c>
      <c r="E107" s="77" t="s">
        <v>236</v>
      </c>
      <c r="F107" s="1348" t="s">
        <v>27</v>
      </c>
      <c r="G107" s="93" t="b">
        <v>0</v>
      </c>
      <c r="H107" s="93" t="b">
        <v>0</v>
      </c>
      <c r="I107" s="93" t="b">
        <v>0</v>
      </c>
      <c r="J107" s="93" t="b">
        <v>0</v>
      </c>
      <c r="K107" s="93" t="b">
        <v>0</v>
      </c>
      <c r="L107" s="93" t="b">
        <v>0</v>
      </c>
      <c r="M107" s="93" t="b">
        <v>0</v>
      </c>
      <c r="N107" s="93" t="b">
        <v>0</v>
      </c>
      <c r="O107" s="93" t="b">
        <v>0</v>
      </c>
    </row>
    <row r="108" ht="15.75" customHeight="1">
      <c r="A108" s="17">
        <f t="shared" si="1"/>
        <v>107</v>
      </c>
      <c r="B108" s="1364"/>
      <c r="C108" s="18"/>
      <c r="D108" s="103" t="s">
        <v>268</v>
      </c>
      <c r="E108" s="77" t="s">
        <v>236</v>
      </c>
      <c r="F108" s="1348" t="s">
        <v>30</v>
      </c>
      <c r="G108" s="93" t="b">
        <v>0</v>
      </c>
      <c r="H108" s="93" t="b">
        <v>0</v>
      </c>
      <c r="I108" s="93" t="b">
        <v>0</v>
      </c>
      <c r="J108" s="93" t="b">
        <v>0</v>
      </c>
      <c r="K108" s="93" t="b">
        <v>0</v>
      </c>
      <c r="L108" s="93" t="b">
        <v>0</v>
      </c>
      <c r="M108" s="93" t="b">
        <v>0</v>
      </c>
      <c r="N108" s="93" t="b">
        <v>0</v>
      </c>
      <c r="O108" s="93" t="b">
        <v>0</v>
      </c>
    </row>
    <row r="109" ht="15.75" customHeight="1">
      <c r="A109" s="17">
        <f t="shared" si="1"/>
        <v>108</v>
      </c>
      <c r="B109" s="1364"/>
      <c r="C109" s="18"/>
      <c r="D109" s="103" t="s">
        <v>242</v>
      </c>
      <c r="E109" s="77" t="s">
        <v>236</v>
      </c>
      <c r="F109" s="1348" t="s">
        <v>30</v>
      </c>
      <c r="G109" s="93" t="b">
        <v>0</v>
      </c>
      <c r="H109" s="93" t="b">
        <v>0</v>
      </c>
      <c r="I109" s="93" t="b">
        <v>0</v>
      </c>
      <c r="J109" s="93" t="b">
        <v>0</v>
      </c>
      <c r="K109" s="93" t="b">
        <v>0</v>
      </c>
      <c r="L109" s="93" t="b">
        <v>0</v>
      </c>
      <c r="M109" s="93" t="b">
        <v>0</v>
      </c>
      <c r="N109" s="93" t="b">
        <v>0</v>
      </c>
      <c r="O109" s="93" t="b">
        <v>0</v>
      </c>
    </row>
    <row r="110" ht="15.75" customHeight="1">
      <c r="A110" s="17">
        <f t="shared" si="1"/>
        <v>109</v>
      </c>
      <c r="B110" s="1364"/>
      <c r="C110" s="18"/>
      <c r="D110" s="103" t="s">
        <v>270</v>
      </c>
      <c r="E110" s="77" t="s">
        <v>236</v>
      </c>
      <c r="F110" s="1348" t="s">
        <v>30</v>
      </c>
      <c r="G110" s="93" t="b">
        <v>0</v>
      </c>
      <c r="H110" s="93" t="b">
        <v>0</v>
      </c>
      <c r="I110" s="93" t="b">
        <v>0</v>
      </c>
      <c r="J110" s="93" t="b">
        <v>0</v>
      </c>
      <c r="K110" s="93" t="b">
        <v>0</v>
      </c>
      <c r="L110" s="93" t="b">
        <v>0</v>
      </c>
      <c r="M110" s="93" t="b">
        <v>0</v>
      </c>
      <c r="N110" s="93" t="b">
        <v>0</v>
      </c>
      <c r="O110" s="93" t="b">
        <v>0</v>
      </c>
    </row>
    <row r="111" ht="15.75" customHeight="1">
      <c r="A111" s="17">
        <f t="shared" si="1"/>
        <v>110</v>
      </c>
      <c r="B111" s="1364"/>
      <c r="C111" s="18"/>
      <c r="D111" s="103" t="s">
        <v>272</v>
      </c>
      <c r="E111" s="77" t="s">
        <v>236</v>
      </c>
      <c r="F111" s="1348" t="s">
        <v>27</v>
      </c>
      <c r="G111" s="93" t="b">
        <v>0</v>
      </c>
      <c r="H111" s="93" t="b">
        <v>0</v>
      </c>
      <c r="I111" s="93" t="b">
        <v>0</v>
      </c>
      <c r="J111" s="93" t="b">
        <v>0</v>
      </c>
      <c r="K111" s="93" t="b">
        <v>0</v>
      </c>
      <c r="L111" s="93" t="b">
        <v>0</v>
      </c>
      <c r="M111" s="93" t="b">
        <v>0</v>
      </c>
      <c r="N111" s="93" t="b">
        <v>0</v>
      </c>
      <c r="O111" s="93" t="b">
        <v>0</v>
      </c>
    </row>
    <row r="112" ht="15.75" customHeight="1">
      <c r="A112" s="17">
        <f t="shared" si="1"/>
        <v>111</v>
      </c>
      <c r="B112" s="1364"/>
      <c r="C112" s="18"/>
      <c r="D112" s="103" t="s">
        <v>274</v>
      </c>
      <c r="E112" s="77" t="s">
        <v>236</v>
      </c>
      <c r="F112" s="1348" t="s">
        <v>27</v>
      </c>
      <c r="G112" s="93" t="b">
        <v>0</v>
      </c>
      <c r="H112" s="93" t="b">
        <v>0</v>
      </c>
      <c r="I112" s="93" t="b">
        <v>0</v>
      </c>
      <c r="J112" s="93" t="b">
        <v>0</v>
      </c>
      <c r="K112" s="93" t="b">
        <v>0</v>
      </c>
      <c r="L112" s="93" t="b">
        <v>0</v>
      </c>
      <c r="M112" s="93" t="b">
        <v>0</v>
      </c>
      <c r="N112" s="93" t="b">
        <v>0</v>
      </c>
      <c r="O112" s="93" t="b">
        <v>0</v>
      </c>
    </row>
    <row r="113" ht="15.75" customHeight="1">
      <c r="A113" s="17">
        <f t="shared" si="1"/>
        <v>112</v>
      </c>
      <c r="B113" s="1364"/>
      <c r="C113" s="18"/>
      <c r="D113" s="103" t="s">
        <v>276</v>
      </c>
      <c r="E113" s="77" t="s">
        <v>236</v>
      </c>
      <c r="F113" s="1348" t="s">
        <v>27</v>
      </c>
      <c r="G113" s="93" t="b">
        <v>0</v>
      </c>
      <c r="H113" s="93" t="b">
        <v>0</v>
      </c>
      <c r="I113" s="93" t="b">
        <v>0</v>
      </c>
      <c r="J113" s="93" t="b">
        <v>0</v>
      </c>
      <c r="K113" s="93" t="b">
        <v>0</v>
      </c>
      <c r="L113" s="93" t="b">
        <v>0</v>
      </c>
      <c r="M113" s="93" t="b">
        <v>0</v>
      </c>
      <c r="N113" s="93" t="b">
        <v>0</v>
      </c>
      <c r="O113" s="93" t="b">
        <v>0</v>
      </c>
    </row>
    <row r="114" ht="15.75" customHeight="1">
      <c r="A114" s="17">
        <f t="shared" si="1"/>
        <v>113</v>
      </c>
      <c r="B114" s="1364"/>
      <c r="C114" s="18"/>
      <c r="D114" s="103" t="s">
        <v>278</v>
      </c>
      <c r="E114" s="77" t="s">
        <v>236</v>
      </c>
      <c r="F114" s="1348" t="s">
        <v>27</v>
      </c>
      <c r="G114" s="93" t="b">
        <v>0</v>
      </c>
      <c r="H114" s="93" t="b">
        <v>0</v>
      </c>
      <c r="I114" s="93" t="b">
        <v>0</v>
      </c>
      <c r="J114" s="93" t="b">
        <v>0</v>
      </c>
      <c r="K114" s="93" t="b">
        <v>0</v>
      </c>
      <c r="L114" s="93" t="b">
        <v>0</v>
      </c>
      <c r="M114" s="93" t="b">
        <v>0</v>
      </c>
      <c r="N114" s="93" t="b">
        <v>0</v>
      </c>
      <c r="O114" s="93" t="b">
        <v>0</v>
      </c>
    </row>
    <row r="115" ht="15.75" customHeight="1">
      <c r="A115" s="17">
        <f t="shared" si="1"/>
        <v>114</v>
      </c>
      <c r="B115" s="1364"/>
      <c r="C115" s="18"/>
      <c r="D115" s="103" t="s">
        <v>280</v>
      </c>
      <c r="E115" s="77" t="s">
        <v>236</v>
      </c>
      <c r="F115" s="1348" t="s">
        <v>281</v>
      </c>
      <c r="G115" s="93" t="b">
        <v>0</v>
      </c>
      <c r="H115" s="93" t="b">
        <v>0</v>
      </c>
      <c r="I115" s="93" t="b">
        <v>0</v>
      </c>
      <c r="J115" s="93" t="b">
        <v>0</v>
      </c>
      <c r="K115" s="93" t="b">
        <v>0</v>
      </c>
      <c r="L115" s="93" t="b">
        <v>0</v>
      </c>
      <c r="M115" s="93" t="b">
        <v>0</v>
      </c>
      <c r="N115" s="93" t="b">
        <v>0</v>
      </c>
      <c r="O115" s="93" t="b">
        <v>0</v>
      </c>
    </row>
    <row r="116" ht="15.75" customHeight="1">
      <c r="A116" s="17">
        <f t="shared" si="1"/>
        <v>115</v>
      </c>
      <c r="B116" s="1364"/>
      <c r="C116" s="18"/>
      <c r="D116" s="103" t="s">
        <v>283</v>
      </c>
      <c r="E116" s="77" t="s">
        <v>236</v>
      </c>
      <c r="F116" s="1348" t="s">
        <v>284</v>
      </c>
      <c r="G116" s="93" t="b">
        <v>0</v>
      </c>
      <c r="H116" s="93" t="b">
        <v>0</v>
      </c>
      <c r="I116" s="93" t="b">
        <v>0</v>
      </c>
      <c r="J116" s="93" t="b">
        <v>0</v>
      </c>
      <c r="K116" s="93" t="b">
        <v>0</v>
      </c>
      <c r="L116" s="93" t="b">
        <v>0</v>
      </c>
      <c r="M116" s="93" t="b">
        <v>0</v>
      </c>
      <c r="N116" s="93" t="b">
        <v>0</v>
      </c>
      <c r="O116" s="93" t="b">
        <v>0</v>
      </c>
    </row>
    <row r="117" ht="15.75" customHeight="1">
      <c r="A117" s="17">
        <f t="shared" si="1"/>
        <v>116</v>
      </c>
      <c r="B117" s="1364"/>
      <c r="C117" s="18"/>
      <c r="D117" s="103" t="s">
        <v>286</v>
      </c>
      <c r="E117" s="77" t="s">
        <v>236</v>
      </c>
      <c r="F117" s="1348" t="s">
        <v>221</v>
      </c>
      <c r="G117" s="93" t="b">
        <v>0</v>
      </c>
      <c r="H117" s="93" t="b">
        <v>0</v>
      </c>
      <c r="I117" s="93" t="b">
        <v>0</v>
      </c>
      <c r="J117" s="93" t="b">
        <v>0</v>
      </c>
      <c r="K117" s="93" t="b">
        <v>0</v>
      </c>
      <c r="L117" s="93" t="b">
        <v>0</v>
      </c>
      <c r="M117" s="93" t="b">
        <v>0</v>
      </c>
      <c r="N117" s="93" t="b">
        <v>0</v>
      </c>
      <c r="O117" s="93" t="b">
        <v>0</v>
      </c>
    </row>
    <row r="118" ht="15.75" customHeight="1">
      <c r="A118" s="17">
        <f t="shared" si="1"/>
        <v>117</v>
      </c>
      <c r="B118" s="1364"/>
      <c r="C118" s="18"/>
      <c r="D118" s="103" t="s">
        <v>235</v>
      </c>
      <c r="E118" s="77" t="s">
        <v>236</v>
      </c>
      <c r="F118" s="1348" t="s">
        <v>27</v>
      </c>
      <c r="G118" s="93" t="b">
        <v>0</v>
      </c>
      <c r="H118" s="93" t="b">
        <v>0</v>
      </c>
      <c r="I118" s="93" t="b">
        <v>0</v>
      </c>
      <c r="J118" s="93" t="b">
        <v>0</v>
      </c>
      <c r="K118" s="93" t="b">
        <v>0</v>
      </c>
      <c r="L118" s="93" t="b">
        <v>0</v>
      </c>
      <c r="M118" s="93" t="b">
        <v>0</v>
      </c>
      <c r="N118" s="93" t="b">
        <v>0</v>
      </c>
      <c r="O118" s="93" t="b">
        <v>0</v>
      </c>
    </row>
    <row r="119" ht="15.75" customHeight="1">
      <c r="A119" s="17">
        <f t="shared" si="1"/>
        <v>118</v>
      </c>
      <c r="B119" s="1365"/>
      <c r="C119" s="1366"/>
      <c r="D119" s="81" t="s">
        <v>189</v>
      </c>
      <c r="E119" s="82" t="s">
        <v>184</v>
      </c>
      <c r="F119" s="1356" t="s">
        <v>185</v>
      </c>
      <c r="G119" s="93" t="b">
        <v>0</v>
      </c>
      <c r="H119" s="93" t="b">
        <v>0</v>
      </c>
      <c r="I119" s="93" t="b">
        <v>0</v>
      </c>
      <c r="J119" s="93" t="b">
        <v>0</v>
      </c>
      <c r="K119" s="93" t="b">
        <v>0</v>
      </c>
      <c r="L119" s="93" t="b">
        <v>0</v>
      </c>
      <c r="M119" s="93" t="b">
        <v>0</v>
      </c>
      <c r="N119" s="93" t="b">
        <v>0</v>
      </c>
      <c r="O119" s="93" t="b">
        <v>0</v>
      </c>
    </row>
    <row r="120" ht="15.75" customHeight="1">
      <c r="A120" s="17">
        <f t="shared" si="1"/>
        <v>119</v>
      </c>
      <c r="B120" s="1367"/>
      <c r="C120" s="93"/>
      <c r="D120" s="93"/>
      <c r="E120" s="93"/>
      <c r="F120" s="1350"/>
      <c r="G120" s="93"/>
      <c r="H120" s="93"/>
      <c r="I120" s="93"/>
      <c r="J120" s="93"/>
      <c r="K120" s="93"/>
      <c r="L120" s="93"/>
      <c r="M120" s="93"/>
      <c r="N120" s="93"/>
      <c r="O120" s="93"/>
    </row>
    <row r="121" ht="15.75" customHeight="1">
      <c r="A121" s="17">
        <f t="shared" si="1"/>
        <v>120</v>
      </c>
      <c r="B121" s="94"/>
      <c r="C121" s="93"/>
      <c r="D121" s="93"/>
      <c r="E121" s="93"/>
      <c r="F121" s="1350"/>
      <c r="G121" s="93"/>
      <c r="H121" s="93"/>
      <c r="I121" s="93"/>
      <c r="J121" s="93"/>
      <c r="K121" s="93"/>
      <c r="L121" s="93"/>
      <c r="M121" s="93"/>
      <c r="N121" s="93"/>
      <c r="O121" s="93"/>
    </row>
    <row r="122" ht="15.75" customHeight="1">
      <c r="A122" s="17">
        <f t="shared" si="1"/>
        <v>121</v>
      </c>
      <c r="B122" s="94"/>
      <c r="C122" s="93"/>
      <c r="D122" s="93"/>
      <c r="E122" s="93"/>
      <c r="F122" s="1350"/>
      <c r="G122" s="93"/>
      <c r="H122" s="93"/>
      <c r="I122" s="93"/>
      <c r="J122" s="93"/>
      <c r="K122" s="93"/>
      <c r="L122" s="93"/>
      <c r="M122" s="93"/>
      <c r="N122" s="93"/>
      <c r="O122" s="93"/>
    </row>
    <row r="123" ht="15.75" customHeight="1">
      <c r="A123" s="17">
        <f t="shared" si="1"/>
        <v>122</v>
      </c>
      <c r="B123" s="94"/>
      <c r="C123" s="93"/>
      <c r="D123" s="93"/>
      <c r="E123" s="93"/>
      <c r="F123" s="1350"/>
      <c r="G123" s="93"/>
      <c r="H123" s="93"/>
      <c r="I123" s="93"/>
      <c r="J123" s="93"/>
      <c r="K123" s="93"/>
      <c r="L123" s="93"/>
      <c r="M123" s="93"/>
      <c r="N123" s="93"/>
      <c r="O123" s="93"/>
    </row>
    <row r="124" ht="15.75" customHeight="1">
      <c r="A124" s="17">
        <f t="shared" si="1"/>
        <v>123</v>
      </c>
      <c r="B124" s="94"/>
      <c r="C124" s="93"/>
      <c r="D124" s="93"/>
      <c r="E124" s="93"/>
      <c r="F124" s="1350"/>
      <c r="G124" s="93"/>
      <c r="H124" s="93"/>
      <c r="I124" s="93"/>
      <c r="J124" s="93"/>
      <c r="K124" s="93"/>
      <c r="L124" s="93"/>
      <c r="M124" s="93"/>
      <c r="N124" s="93"/>
      <c r="O124" s="93"/>
    </row>
    <row r="125" ht="15.75" customHeight="1">
      <c r="A125" s="17">
        <f t="shared" si="1"/>
        <v>124</v>
      </c>
      <c r="B125" s="94"/>
      <c r="C125" s="93"/>
      <c r="D125" s="93"/>
      <c r="E125" s="93"/>
      <c r="F125" s="1350"/>
      <c r="G125" s="93"/>
      <c r="H125" s="93"/>
      <c r="I125" s="93"/>
      <c r="J125" s="93"/>
      <c r="K125" s="93"/>
      <c r="L125" s="93"/>
      <c r="M125" s="93"/>
      <c r="N125" s="93"/>
      <c r="O125" s="93"/>
    </row>
    <row r="126" ht="15.75" customHeight="1">
      <c r="A126" s="17">
        <f t="shared" si="1"/>
        <v>125</v>
      </c>
      <c r="B126" s="94"/>
      <c r="C126" s="93"/>
      <c r="D126" s="93"/>
      <c r="E126" s="93"/>
      <c r="F126" s="1350"/>
      <c r="G126" s="93"/>
      <c r="H126" s="93"/>
      <c r="I126" s="93"/>
      <c r="J126" s="93"/>
      <c r="K126" s="93"/>
      <c r="L126" s="93"/>
      <c r="M126" s="93"/>
      <c r="N126" s="93"/>
      <c r="O126" s="93"/>
    </row>
    <row r="127" ht="15.75" customHeight="1">
      <c r="A127" s="17">
        <f t="shared" si="1"/>
        <v>126</v>
      </c>
      <c r="B127" s="94"/>
      <c r="C127" s="93"/>
      <c r="D127" s="93"/>
      <c r="E127" s="93"/>
      <c r="F127" s="1350"/>
      <c r="G127" s="93"/>
      <c r="H127" s="93"/>
      <c r="I127" s="93"/>
      <c r="J127" s="93"/>
      <c r="K127" s="93"/>
      <c r="L127" s="93"/>
      <c r="M127" s="93"/>
      <c r="N127" s="93"/>
      <c r="O127" s="93"/>
    </row>
    <row r="128" ht="15.75" customHeight="1">
      <c r="A128" s="7"/>
      <c r="B128" s="94"/>
      <c r="C128" s="93"/>
      <c r="D128" s="93"/>
      <c r="E128" s="93"/>
      <c r="F128" s="1350"/>
      <c r="G128" s="93"/>
      <c r="H128" s="93"/>
      <c r="I128" s="93"/>
      <c r="J128" s="93"/>
      <c r="K128" s="93"/>
      <c r="L128" s="93"/>
      <c r="M128" s="93"/>
      <c r="N128" s="93"/>
      <c r="O128" s="93"/>
    </row>
    <row r="129" ht="15.75" customHeight="1">
      <c r="A129" s="7"/>
      <c r="B129" s="94"/>
      <c r="C129" s="93"/>
      <c r="D129" s="93"/>
      <c r="E129" s="93"/>
      <c r="F129" s="1350"/>
      <c r="G129" s="93"/>
      <c r="H129" s="93"/>
      <c r="I129" s="93"/>
      <c r="J129" s="93"/>
      <c r="K129" s="93"/>
      <c r="L129" s="93"/>
      <c r="M129" s="93"/>
      <c r="N129" s="93"/>
      <c r="O129" s="93"/>
    </row>
    <row r="130" ht="15.75" customHeight="1">
      <c r="A130" s="7"/>
      <c r="B130" s="94"/>
      <c r="C130" s="93"/>
      <c r="D130" s="93"/>
      <c r="E130" s="93"/>
      <c r="F130" s="1350"/>
      <c r="G130" s="93"/>
      <c r="H130" s="93"/>
      <c r="I130" s="93"/>
      <c r="J130" s="93"/>
      <c r="K130" s="93"/>
      <c r="L130" s="93"/>
      <c r="M130" s="93"/>
      <c r="N130" s="93"/>
      <c r="O130" s="93"/>
    </row>
    <row r="131" ht="15.75" customHeight="1">
      <c r="A131" s="7"/>
      <c r="B131" s="94"/>
      <c r="C131" s="93"/>
      <c r="D131" s="93"/>
      <c r="E131" s="93"/>
      <c r="F131" s="1350"/>
      <c r="G131" s="93"/>
      <c r="H131" s="93"/>
      <c r="I131" s="93"/>
      <c r="J131" s="93"/>
      <c r="K131" s="93"/>
      <c r="L131" s="93"/>
      <c r="M131" s="93"/>
      <c r="N131" s="93"/>
      <c r="O131" s="93"/>
    </row>
    <row r="132" ht="15.75" customHeight="1">
      <c r="A132" s="7"/>
      <c r="B132" s="94"/>
      <c r="C132" s="93"/>
      <c r="D132" s="93"/>
      <c r="E132" s="93"/>
      <c r="F132" s="1350"/>
      <c r="G132" s="93"/>
      <c r="H132" s="93"/>
      <c r="I132" s="93"/>
      <c r="J132" s="93"/>
      <c r="K132" s="93"/>
      <c r="L132" s="93"/>
      <c r="M132" s="93"/>
      <c r="N132" s="93"/>
      <c r="O132" s="93"/>
    </row>
    <row r="133" ht="15.75" customHeight="1">
      <c r="A133" s="7"/>
      <c r="B133" s="94"/>
      <c r="C133" s="93"/>
      <c r="D133" s="93"/>
      <c r="E133" s="93"/>
      <c r="F133" s="1350"/>
      <c r="G133" s="93"/>
      <c r="H133" s="93"/>
      <c r="I133" s="93"/>
      <c r="J133" s="93"/>
      <c r="K133" s="93"/>
      <c r="L133" s="93"/>
      <c r="M133" s="93"/>
      <c r="N133" s="93"/>
      <c r="O133" s="93"/>
    </row>
    <row r="134" ht="15.75" customHeight="1">
      <c r="A134" s="7"/>
      <c r="B134" s="94"/>
      <c r="C134" s="93"/>
      <c r="D134" s="93"/>
      <c r="E134" s="93"/>
      <c r="F134" s="1350"/>
      <c r="G134" s="93"/>
      <c r="H134" s="93"/>
      <c r="I134" s="93"/>
      <c r="J134" s="93"/>
      <c r="K134" s="93"/>
      <c r="L134" s="93"/>
      <c r="M134" s="93"/>
      <c r="N134" s="93"/>
      <c r="O134" s="93"/>
    </row>
    <row r="135" ht="15.75" customHeight="1">
      <c r="A135" s="7"/>
      <c r="B135" s="94"/>
      <c r="C135" s="93"/>
      <c r="D135" s="93"/>
      <c r="E135" s="93"/>
      <c r="F135" s="1350"/>
      <c r="G135" s="93"/>
      <c r="H135" s="93"/>
      <c r="I135" s="93"/>
      <c r="J135" s="93"/>
      <c r="K135" s="93"/>
      <c r="L135" s="93"/>
      <c r="M135" s="93"/>
      <c r="N135" s="93"/>
      <c r="O135" s="93"/>
    </row>
    <row r="136" ht="15.75" customHeight="1">
      <c r="A136" s="7"/>
      <c r="C136" s="93"/>
      <c r="D136" s="93"/>
      <c r="E136" s="93"/>
      <c r="F136" s="1350"/>
      <c r="G136" s="93"/>
      <c r="H136" s="93"/>
      <c r="I136" s="93"/>
      <c r="J136" s="93"/>
      <c r="K136" s="93"/>
      <c r="L136" s="93"/>
      <c r="M136" s="93"/>
      <c r="N136" s="93"/>
      <c r="O136" s="93"/>
    </row>
    <row r="137" ht="15.75" customHeight="1">
      <c r="A137" s="7"/>
      <c r="B137" s="94"/>
      <c r="C137" s="93"/>
      <c r="D137" s="93"/>
      <c r="E137" s="93"/>
      <c r="F137" s="1350"/>
      <c r="G137" s="93"/>
      <c r="H137" s="93"/>
      <c r="I137" s="93"/>
      <c r="J137" s="93"/>
      <c r="K137" s="93"/>
      <c r="L137" s="93"/>
      <c r="M137" s="93"/>
      <c r="N137" s="93"/>
      <c r="O137" s="93"/>
    </row>
    <row r="138" ht="15.75" customHeight="1">
      <c r="A138" s="7"/>
      <c r="B138" s="94"/>
      <c r="C138" s="93"/>
      <c r="D138" s="93"/>
      <c r="E138" s="93"/>
      <c r="F138" s="1350"/>
      <c r="G138" s="93"/>
      <c r="H138" s="93"/>
      <c r="I138" s="93"/>
      <c r="J138" s="93"/>
      <c r="K138" s="93"/>
      <c r="L138" s="93"/>
      <c r="M138" s="93"/>
      <c r="N138" s="93"/>
      <c r="O138" s="93"/>
    </row>
    <row r="139" ht="15.75" customHeight="1">
      <c r="A139" s="7"/>
      <c r="B139" s="94"/>
      <c r="C139" s="93"/>
      <c r="D139" s="93"/>
      <c r="E139" s="93"/>
      <c r="F139" s="1350"/>
      <c r="G139" s="93"/>
      <c r="H139" s="93"/>
      <c r="I139" s="93"/>
      <c r="J139" s="93"/>
      <c r="K139" s="93"/>
      <c r="L139" s="93"/>
      <c r="M139" s="93"/>
      <c r="N139" s="93"/>
      <c r="O139" s="93"/>
    </row>
    <row r="140" ht="15.75" customHeight="1">
      <c r="A140" s="7"/>
      <c r="C140" s="93"/>
      <c r="D140" s="93"/>
      <c r="E140" s="93"/>
      <c r="F140" s="1350"/>
      <c r="G140" s="93"/>
      <c r="H140" s="93"/>
      <c r="I140" s="93"/>
      <c r="J140" s="93"/>
      <c r="K140" s="93"/>
      <c r="L140" s="93"/>
      <c r="M140" s="93"/>
      <c r="N140" s="93"/>
      <c r="O140" s="93"/>
    </row>
    <row r="141" ht="15.75" customHeight="1">
      <c r="A141" s="7"/>
      <c r="C141" s="93"/>
      <c r="D141" s="93"/>
      <c r="E141" s="15"/>
      <c r="F141" s="1350"/>
      <c r="G141" s="93"/>
      <c r="H141" s="93"/>
      <c r="I141" s="93"/>
      <c r="J141" s="93"/>
      <c r="K141" s="93"/>
      <c r="L141" s="93"/>
      <c r="M141" s="93"/>
      <c r="N141" s="93"/>
      <c r="O141" s="93"/>
    </row>
    <row r="142" ht="15.75" customHeight="1">
      <c r="A142" s="7"/>
      <c r="C142" s="93"/>
      <c r="D142" s="93"/>
      <c r="E142" s="15"/>
      <c r="F142" s="1350"/>
      <c r="G142" s="93"/>
      <c r="H142" s="93"/>
      <c r="I142" s="93"/>
      <c r="J142" s="93"/>
      <c r="K142" s="93"/>
      <c r="L142" s="93"/>
      <c r="M142" s="93"/>
      <c r="N142" s="93"/>
      <c r="O142" s="93"/>
    </row>
    <row r="143" ht="15.75" customHeight="1">
      <c r="A143" s="7"/>
      <c r="C143" s="93"/>
      <c r="D143" s="93"/>
      <c r="E143" s="15"/>
      <c r="F143" s="1350"/>
      <c r="G143" s="93"/>
      <c r="H143" s="93"/>
      <c r="I143" s="93"/>
      <c r="J143" s="93"/>
      <c r="K143" s="93"/>
      <c r="L143" s="93"/>
      <c r="M143" s="93"/>
      <c r="N143" s="93"/>
      <c r="O143" s="93"/>
    </row>
    <row r="144" ht="15.75" customHeight="1">
      <c r="A144" s="7"/>
      <c r="C144" s="93"/>
      <c r="D144" s="93"/>
      <c r="E144" s="15"/>
      <c r="F144" s="1350"/>
      <c r="G144" s="93"/>
      <c r="H144" s="93"/>
      <c r="I144" s="93"/>
      <c r="J144" s="93"/>
      <c r="K144" s="93"/>
      <c r="L144" s="93"/>
      <c r="M144" s="93"/>
      <c r="N144" s="93"/>
      <c r="O144" s="93"/>
    </row>
    <row r="145" ht="15.75" customHeight="1">
      <c r="A145" s="7"/>
      <c r="C145" s="93"/>
      <c r="D145" s="93"/>
      <c r="E145" s="15"/>
      <c r="F145" s="1350"/>
      <c r="G145" s="93"/>
      <c r="H145" s="93"/>
      <c r="I145" s="93"/>
      <c r="J145" s="93"/>
      <c r="K145" s="93"/>
      <c r="L145" s="93"/>
      <c r="M145" s="93"/>
      <c r="N145" s="93"/>
      <c r="O145" s="93"/>
    </row>
    <row r="146" ht="15.75" customHeight="1">
      <c r="A146" s="7"/>
      <c r="C146" s="93"/>
      <c r="D146" s="93"/>
      <c r="E146" s="15"/>
      <c r="F146" s="1350"/>
      <c r="G146" s="93"/>
      <c r="H146" s="93"/>
      <c r="I146" s="93"/>
      <c r="J146" s="93"/>
      <c r="K146" s="93"/>
      <c r="L146" s="93"/>
      <c r="M146" s="93"/>
      <c r="N146" s="93"/>
      <c r="O146" s="93"/>
    </row>
    <row r="147" ht="15.75" customHeight="1">
      <c r="A147" s="7"/>
      <c r="C147" s="93"/>
      <c r="D147" s="93"/>
      <c r="E147" s="15"/>
      <c r="F147" s="1350"/>
      <c r="G147" s="93"/>
      <c r="H147" s="93"/>
      <c r="I147" s="93"/>
      <c r="J147" s="93"/>
      <c r="K147" s="93"/>
      <c r="L147" s="93"/>
      <c r="M147" s="93"/>
      <c r="N147" s="93"/>
      <c r="O147" s="93"/>
    </row>
    <row r="148" ht="15.75" customHeight="1">
      <c r="A148" s="7"/>
      <c r="C148" s="93"/>
      <c r="D148" s="93"/>
      <c r="E148" s="15"/>
      <c r="F148" s="1350"/>
      <c r="G148" s="93"/>
      <c r="H148" s="93"/>
      <c r="I148" s="93"/>
      <c r="J148" s="93"/>
      <c r="K148" s="93"/>
      <c r="L148" s="93"/>
      <c r="M148" s="93"/>
      <c r="N148" s="93"/>
      <c r="O148" s="93"/>
    </row>
    <row r="149" ht="15.75" customHeight="1">
      <c r="A149" s="7"/>
      <c r="C149" s="93"/>
      <c r="D149" s="93"/>
      <c r="E149" s="15"/>
      <c r="F149" s="1350"/>
      <c r="G149" s="93"/>
      <c r="H149" s="93"/>
      <c r="I149" s="93"/>
      <c r="J149" s="93"/>
      <c r="K149" s="93"/>
      <c r="L149" s="93"/>
      <c r="M149" s="93"/>
      <c r="N149" s="93"/>
      <c r="O149" s="93"/>
    </row>
    <row r="150" ht="15.75" customHeight="1">
      <c r="A150" s="7"/>
      <c r="C150" s="93"/>
      <c r="D150" s="93"/>
      <c r="E150" s="15"/>
      <c r="F150" s="1350"/>
      <c r="G150" s="93"/>
      <c r="H150" s="93"/>
      <c r="I150" s="93"/>
      <c r="J150" s="93"/>
      <c r="K150" s="93"/>
      <c r="L150" s="93"/>
      <c r="M150" s="93"/>
      <c r="N150" s="93"/>
      <c r="O150" s="93"/>
    </row>
    <row r="151" ht="15.75" customHeight="1">
      <c r="A151" s="7"/>
      <c r="C151" s="93"/>
      <c r="D151" s="93"/>
      <c r="E151" s="15"/>
      <c r="F151" s="1350"/>
      <c r="G151" s="93"/>
      <c r="H151" s="93"/>
      <c r="I151" s="93"/>
      <c r="J151" s="93"/>
      <c r="K151" s="93"/>
      <c r="L151" s="93"/>
      <c r="M151" s="93"/>
      <c r="N151" s="93"/>
      <c r="O151" s="93"/>
    </row>
    <row r="152" ht="15.75" customHeight="1">
      <c r="A152" s="7"/>
      <c r="C152" s="93"/>
      <c r="D152" s="93"/>
      <c r="E152" s="15"/>
      <c r="F152" s="1350"/>
      <c r="G152" s="93"/>
      <c r="H152" s="93"/>
      <c r="I152" s="93"/>
      <c r="J152" s="93"/>
      <c r="K152" s="93"/>
      <c r="L152" s="93"/>
      <c r="M152" s="93"/>
      <c r="N152" s="93"/>
      <c r="O152" s="93"/>
    </row>
    <row r="153" ht="15.75" customHeight="1">
      <c r="A153" s="7"/>
      <c r="C153" s="93"/>
      <c r="D153" s="93"/>
      <c r="E153" s="15"/>
      <c r="F153" s="1350"/>
      <c r="G153" s="93"/>
      <c r="H153" s="93"/>
      <c r="I153" s="93"/>
      <c r="J153" s="93"/>
      <c r="K153" s="93"/>
      <c r="L153" s="93"/>
      <c r="M153" s="93"/>
      <c r="N153" s="93"/>
      <c r="O153" s="93"/>
    </row>
    <row r="154" ht="15.75" customHeight="1">
      <c r="A154" s="7"/>
      <c r="C154" s="93"/>
      <c r="D154" s="93"/>
      <c r="E154" s="15"/>
      <c r="F154" s="1350"/>
      <c r="G154" s="93"/>
      <c r="H154" s="93"/>
      <c r="I154" s="93"/>
      <c r="J154" s="93"/>
      <c r="K154" s="93"/>
      <c r="L154" s="93"/>
      <c r="M154" s="93"/>
      <c r="N154" s="93"/>
      <c r="O154" s="93"/>
    </row>
    <row r="155" ht="15.75" customHeight="1">
      <c r="A155" s="7"/>
      <c r="C155" s="93"/>
      <c r="D155" s="93"/>
      <c r="E155" s="15"/>
      <c r="F155" s="1350"/>
      <c r="G155" s="93"/>
      <c r="H155" s="93"/>
      <c r="I155" s="93"/>
      <c r="J155" s="93"/>
      <c r="K155" s="93"/>
      <c r="L155" s="93"/>
      <c r="M155" s="93"/>
      <c r="N155" s="93"/>
      <c r="O155" s="93"/>
    </row>
    <row r="156" ht="15.75" customHeight="1">
      <c r="A156" s="7"/>
      <c r="C156" s="93"/>
      <c r="D156" s="93"/>
      <c r="E156" s="15"/>
      <c r="F156" s="1350"/>
      <c r="G156" s="93"/>
      <c r="H156" s="93"/>
      <c r="I156" s="93"/>
      <c r="J156" s="93"/>
      <c r="K156" s="93"/>
      <c r="L156" s="93"/>
      <c r="M156" s="93"/>
      <c r="N156" s="93"/>
      <c r="O156" s="93"/>
    </row>
    <row r="157" ht="15.75" customHeight="1">
      <c r="A157" s="7"/>
      <c r="C157" s="93"/>
      <c r="D157" s="93"/>
      <c r="E157" s="15"/>
      <c r="F157" s="1350"/>
      <c r="G157" s="93"/>
      <c r="H157" s="93"/>
      <c r="I157" s="93"/>
      <c r="J157" s="93"/>
      <c r="K157" s="93"/>
      <c r="L157" s="93"/>
      <c r="M157" s="93"/>
      <c r="N157" s="93"/>
      <c r="O157" s="93"/>
    </row>
    <row r="158" ht="15.75" customHeight="1">
      <c r="A158" s="7"/>
      <c r="C158" s="93"/>
      <c r="D158" s="93"/>
      <c r="E158" s="15"/>
      <c r="F158" s="1350"/>
      <c r="G158" s="93"/>
      <c r="H158" s="93"/>
      <c r="I158" s="93"/>
      <c r="J158" s="93"/>
      <c r="K158" s="93"/>
      <c r="L158" s="93"/>
      <c r="M158" s="93"/>
      <c r="N158" s="93"/>
      <c r="O158" s="93"/>
    </row>
    <row r="159" ht="15.75" customHeight="1">
      <c r="A159" s="7"/>
      <c r="C159" s="93"/>
      <c r="D159" s="93"/>
      <c r="E159" s="15"/>
      <c r="F159" s="1350"/>
      <c r="G159" s="93"/>
      <c r="H159" s="93"/>
      <c r="I159" s="93"/>
      <c r="J159" s="93"/>
      <c r="K159" s="93"/>
      <c r="L159" s="93"/>
      <c r="M159" s="93"/>
      <c r="N159" s="93"/>
      <c r="O159" s="93"/>
    </row>
    <row r="160" ht="15.75" customHeight="1">
      <c r="A160" s="7"/>
      <c r="C160" s="93"/>
      <c r="D160" s="93"/>
      <c r="E160" s="15"/>
      <c r="F160" s="1350"/>
      <c r="G160" s="93"/>
      <c r="H160" s="93"/>
      <c r="I160" s="93"/>
      <c r="J160" s="93"/>
      <c r="K160" s="93"/>
      <c r="L160" s="93"/>
      <c r="M160" s="93"/>
      <c r="N160" s="93"/>
      <c r="O160" s="93"/>
    </row>
    <row r="161" ht="15.75" customHeight="1">
      <c r="A161" s="7"/>
      <c r="C161" s="93"/>
      <c r="D161" s="93"/>
      <c r="E161" s="15"/>
      <c r="F161" s="1350"/>
      <c r="G161" s="93"/>
      <c r="H161" s="93"/>
      <c r="I161" s="93"/>
      <c r="J161" s="93"/>
      <c r="K161" s="93"/>
      <c r="L161" s="93"/>
      <c r="M161" s="93"/>
      <c r="N161" s="93"/>
      <c r="O161" s="93"/>
    </row>
    <row r="162" ht="15.75" customHeight="1">
      <c r="A162" s="7"/>
      <c r="C162" s="93"/>
      <c r="D162" s="93"/>
      <c r="E162" s="15"/>
      <c r="F162" s="1350"/>
      <c r="G162" s="93"/>
      <c r="H162" s="93"/>
      <c r="I162" s="93"/>
      <c r="J162" s="93"/>
      <c r="K162" s="93"/>
      <c r="L162" s="93"/>
      <c r="M162" s="93"/>
      <c r="N162" s="93"/>
      <c r="O162" s="93"/>
    </row>
    <row r="163" ht="15.75" customHeight="1">
      <c r="A163" s="7"/>
      <c r="C163" s="93"/>
      <c r="D163" s="93"/>
      <c r="E163" s="15"/>
      <c r="F163" s="1350"/>
      <c r="G163" s="93"/>
      <c r="H163" s="93"/>
      <c r="I163" s="93"/>
      <c r="J163" s="93"/>
      <c r="K163" s="93"/>
      <c r="L163" s="93"/>
      <c r="M163" s="93"/>
      <c r="N163" s="93"/>
      <c r="O163" s="93"/>
    </row>
    <row r="164" ht="15.75" customHeight="1">
      <c r="A164" s="7"/>
      <c r="C164" s="93"/>
      <c r="D164" s="93"/>
      <c r="E164" s="15"/>
      <c r="F164" s="1350"/>
      <c r="G164" s="93"/>
      <c r="H164" s="93"/>
      <c r="I164" s="93"/>
      <c r="J164" s="93"/>
      <c r="K164" s="93"/>
      <c r="L164" s="93"/>
      <c r="M164" s="93"/>
      <c r="N164" s="93"/>
      <c r="O164" s="93"/>
    </row>
    <row r="165" ht="15.75" customHeight="1">
      <c r="A165" s="7"/>
      <c r="C165" s="93"/>
      <c r="D165" s="93"/>
      <c r="E165" s="15"/>
      <c r="F165" s="1350"/>
      <c r="G165" s="93"/>
      <c r="H165" s="93"/>
      <c r="I165" s="93"/>
      <c r="J165" s="93"/>
      <c r="K165" s="93"/>
      <c r="L165" s="93"/>
      <c r="M165" s="93"/>
      <c r="N165" s="93"/>
      <c r="O165" s="93"/>
    </row>
    <row r="166" ht="15.75" customHeight="1">
      <c r="A166" s="4" t="str">
        <f>F166</f>
        <v/>
      </c>
      <c r="B166" s="5"/>
      <c r="C166" s="5"/>
      <c r="D166" s="1368"/>
      <c r="E166" s="15"/>
      <c r="F166" s="1350"/>
      <c r="G166" s="93"/>
      <c r="H166" s="93"/>
      <c r="I166" s="93"/>
      <c r="J166" s="93"/>
      <c r="K166" s="93"/>
      <c r="L166" s="93"/>
      <c r="M166" s="93"/>
      <c r="N166" s="93"/>
      <c r="O166" s="93"/>
    </row>
    <row r="167" ht="15.75" customHeight="1">
      <c r="A167" s="4">
        <v>1.0</v>
      </c>
      <c r="B167" s="1238"/>
      <c r="C167" s="11" t="s">
        <v>58</v>
      </c>
      <c r="D167" s="12" t="s">
        <v>24</v>
      </c>
      <c r="E167" s="13" t="s">
        <v>25</v>
      </c>
      <c r="F167" s="1347" t="s">
        <v>27</v>
      </c>
      <c r="G167" s="93"/>
      <c r="H167" s="93"/>
      <c r="I167" s="93"/>
      <c r="J167" s="93"/>
      <c r="K167" s="93"/>
      <c r="L167" s="93"/>
      <c r="M167" s="93"/>
      <c r="N167" s="93"/>
      <c r="O167" s="93"/>
    </row>
    <row r="168" ht="15.75" customHeight="1">
      <c r="A168" s="17">
        <f t="shared" ref="A168:A292" si="2">A167+1</f>
        <v>2</v>
      </c>
      <c r="B168" s="1248"/>
      <c r="C168" s="18" t="s">
        <v>58</v>
      </c>
      <c r="D168" s="19" t="s">
        <v>29</v>
      </c>
      <c r="E168" s="20" t="s">
        <v>25</v>
      </c>
      <c r="F168" s="1348" t="s">
        <v>30</v>
      </c>
      <c r="G168" s="93"/>
      <c r="H168" s="93"/>
      <c r="I168" s="93"/>
      <c r="J168" s="93"/>
      <c r="K168" s="93"/>
      <c r="L168" s="93"/>
      <c r="M168" s="93"/>
      <c r="N168" s="93"/>
      <c r="O168" s="93"/>
    </row>
    <row r="169" ht="15.75" customHeight="1">
      <c r="A169" s="17">
        <f t="shared" si="2"/>
        <v>3</v>
      </c>
      <c r="B169" s="1248"/>
      <c r="C169" s="18" t="s">
        <v>58</v>
      </c>
      <c r="D169" s="19" t="s">
        <v>32</v>
      </c>
      <c r="E169" s="20" t="s">
        <v>25</v>
      </c>
      <c r="F169" s="1348" t="s">
        <v>33</v>
      </c>
      <c r="G169" s="93"/>
      <c r="H169" s="93"/>
      <c r="I169" s="93"/>
      <c r="J169" s="93"/>
      <c r="K169" s="93"/>
      <c r="L169" s="93"/>
      <c r="M169" s="93"/>
      <c r="N169" s="93"/>
      <c r="O169" s="93"/>
    </row>
    <row r="170" ht="15.75" customHeight="1">
      <c r="A170" s="17">
        <f t="shared" si="2"/>
        <v>4</v>
      </c>
      <c r="B170" s="1248"/>
      <c r="C170" s="18" t="s">
        <v>58</v>
      </c>
      <c r="D170" s="22" t="s">
        <v>35</v>
      </c>
      <c r="E170" s="20" t="s">
        <v>25</v>
      </c>
      <c r="F170" s="1348" t="s">
        <v>30</v>
      </c>
      <c r="G170" s="93"/>
      <c r="H170" s="93"/>
      <c r="I170" s="93"/>
      <c r="J170" s="93"/>
      <c r="K170" s="93"/>
      <c r="L170" s="93"/>
      <c r="M170" s="93"/>
      <c r="N170" s="93"/>
      <c r="O170" s="93"/>
    </row>
    <row r="171" ht="15.75" customHeight="1">
      <c r="A171" s="17">
        <f t="shared" si="2"/>
        <v>5</v>
      </c>
      <c r="B171" s="1248"/>
      <c r="C171" s="18" t="s">
        <v>58</v>
      </c>
      <c r="D171" s="22" t="s">
        <v>37</v>
      </c>
      <c r="E171" s="20" t="s">
        <v>25</v>
      </c>
      <c r="F171" s="1348" t="s">
        <v>30</v>
      </c>
      <c r="G171" s="93"/>
      <c r="H171" s="93"/>
      <c r="I171" s="93"/>
      <c r="J171" s="93"/>
      <c r="K171" s="93"/>
      <c r="L171" s="93"/>
      <c r="M171" s="93"/>
      <c r="N171" s="93"/>
      <c r="O171" s="93"/>
    </row>
    <row r="172" ht="15.75" customHeight="1">
      <c r="A172" s="17">
        <f t="shared" si="2"/>
        <v>6</v>
      </c>
      <c r="B172" s="1248"/>
      <c r="C172" s="18" t="s">
        <v>58</v>
      </c>
      <c r="D172" s="19" t="s">
        <v>39</v>
      </c>
      <c r="E172" s="20" t="s">
        <v>25</v>
      </c>
      <c r="F172" s="1348" t="s">
        <v>27</v>
      </c>
      <c r="G172" s="93"/>
      <c r="H172" s="93"/>
      <c r="I172" s="93"/>
      <c r="J172" s="93"/>
      <c r="K172" s="93"/>
      <c r="L172" s="93"/>
      <c r="M172" s="93"/>
      <c r="N172" s="93"/>
      <c r="O172" s="93"/>
    </row>
    <row r="173" ht="15.75" customHeight="1">
      <c r="A173" s="17">
        <f t="shared" si="2"/>
        <v>7</v>
      </c>
      <c r="B173" s="1248"/>
      <c r="C173" s="18" t="s">
        <v>58</v>
      </c>
      <c r="D173" s="19" t="s">
        <v>41</v>
      </c>
      <c r="E173" s="20" t="s">
        <v>25</v>
      </c>
      <c r="F173" s="1348" t="s">
        <v>30</v>
      </c>
      <c r="G173" s="93"/>
      <c r="H173" s="93"/>
      <c r="I173" s="93"/>
      <c r="J173" s="93"/>
      <c r="K173" s="93"/>
      <c r="L173" s="93"/>
      <c r="M173" s="93"/>
      <c r="N173" s="93"/>
      <c r="O173" s="93"/>
    </row>
    <row r="174" ht="15.75" customHeight="1">
      <c r="A174" s="17">
        <f t="shared" si="2"/>
        <v>8</v>
      </c>
      <c r="B174" s="1248"/>
      <c r="C174" s="18" t="s">
        <v>58</v>
      </c>
      <c r="D174" s="19" t="s">
        <v>43</v>
      </c>
      <c r="E174" s="20" t="s">
        <v>25</v>
      </c>
      <c r="F174" s="1348" t="s">
        <v>30</v>
      </c>
      <c r="G174" s="93"/>
      <c r="H174" s="93"/>
      <c r="I174" s="93"/>
      <c r="J174" s="93"/>
      <c r="K174" s="93"/>
      <c r="L174" s="93"/>
      <c r="M174" s="93"/>
      <c r="N174" s="93"/>
      <c r="O174" s="93"/>
    </row>
    <row r="175" ht="15.75" customHeight="1">
      <c r="A175" s="17">
        <f t="shared" si="2"/>
        <v>9</v>
      </c>
      <c r="B175" s="1248"/>
      <c r="C175" s="18" t="s">
        <v>58</v>
      </c>
      <c r="D175" s="19" t="s">
        <v>45</v>
      </c>
      <c r="E175" s="20" t="s">
        <v>25</v>
      </c>
      <c r="F175" s="1348" t="s">
        <v>46</v>
      </c>
      <c r="G175" s="93"/>
      <c r="H175" s="93"/>
      <c r="I175" s="93"/>
      <c r="J175" s="93"/>
      <c r="K175" s="93"/>
      <c r="L175" s="93"/>
      <c r="M175" s="93"/>
      <c r="N175" s="93"/>
      <c r="O175" s="93"/>
    </row>
    <row r="176" ht="15.75" customHeight="1">
      <c r="A176" s="17">
        <f t="shared" si="2"/>
        <v>10</v>
      </c>
      <c r="B176" s="1248"/>
      <c r="C176" s="18" t="s">
        <v>58</v>
      </c>
      <c r="D176" s="19" t="s">
        <v>48</v>
      </c>
      <c r="E176" s="20" t="s">
        <v>25</v>
      </c>
      <c r="F176" s="1348" t="s">
        <v>46</v>
      </c>
      <c r="G176" s="93"/>
      <c r="H176" s="93"/>
      <c r="I176" s="93"/>
      <c r="J176" s="93"/>
      <c r="K176" s="93"/>
      <c r="L176" s="93"/>
      <c r="M176" s="93"/>
      <c r="N176" s="93"/>
      <c r="O176" s="93"/>
    </row>
    <row r="177" ht="15.75" customHeight="1">
      <c r="A177" s="17">
        <f t="shared" si="2"/>
        <v>11</v>
      </c>
      <c r="B177" s="1248"/>
      <c r="C177" s="18" t="s">
        <v>58</v>
      </c>
      <c r="D177" s="19" t="s">
        <v>50</v>
      </c>
      <c r="E177" s="20" t="s">
        <v>25</v>
      </c>
      <c r="F177" s="1348" t="s">
        <v>30</v>
      </c>
      <c r="G177" s="93"/>
      <c r="H177" s="93"/>
      <c r="I177" s="93"/>
      <c r="J177" s="93"/>
      <c r="K177" s="93"/>
      <c r="L177" s="93"/>
      <c r="M177" s="93"/>
      <c r="N177" s="93"/>
      <c r="O177" s="93"/>
    </row>
    <row r="178" ht="15.75" customHeight="1">
      <c r="A178" s="17">
        <f t="shared" si="2"/>
        <v>12</v>
      </c>
      <c r="B178" s="1248"/>
      <c r="C178" s="18" t="s">
        <v>58</v>
      </c>
      <c r="D178" s="19" t="s">
        <v>52</v>
      </c>
      <c r="E178" s="20" t="s">
        <v>25</v>
      </c>
      <c r="F178" s="1348" t="s">
        <v>30</v>
      </c>
      <c r="G178" s="93"/>
      <c r="H178" s="93"/>
      <c r="I178" s="93"/>
      <c r="J178" s="93"/>
      <c r="K178" s="93"/>
      <c r="L178" s="93"/>
      <c r="M178" s="93"/>
      <c r="N178" s="93"/>
      <c r="O178" s="93"/>
    </row>
    <row r="179" ht="15.75" customHeight="1">
      <c r="A179" s="17">
        <f t="shared" si="2"/>
        <v>13</v>
      </c>
      <c r="B179" s="1248"/>
      <c r="C179" s="18" t="s">
        <v>58</v>
      </c>
      <c r="D179" s="19" t="s">
        <v>54</v>
      </c>
      <c r="E179" s="20" t="s">
        <v>25</v>
      </c>
      <c r="F179" s="1348" t="s">
        <v>27</v>
      </c>
      <c r="G179" s="93"/>
      <c r="H179" s="93"/>
      <c r="I179" s="93"/>
      <c r="J179" s="93"/>
      <c r="K179" s="93"/>
      <c r="L179" s="93"/>
      <c r="M179" s="93"/>
      <c r="N179" s="93"/>
      <c r="O179" s="93"/>
    </row>
    <row r="180" ht="15.75" customHeight="1">
      <c r="A180" s="17">
        <f t="shared" si="2"/>
        <v>14</v>
      </c>
      <c r="B180" s="1248"/>
      <c r="C180" s="18" t="s">
        <v>58</v>
      </c>
      <c r="D180" s="19" t="s">
        <v>56</v>
      </c>
      <c r="E180" s="20" t="s">
        <v>25</v>
      </c>
      <c r="F180" s="1348" t="s">
        <v>30</v>
      </c>
      <c r="G180" s="93"/>
      <c r="H180" s="93"/>
      <c r="I180" s="93"/>
      <c r="J180" s="93"/>
      <c r="K180" s="93"/>
      <c r="L180" s="93"/>
      <c r="M180" s="93"/>
      <c r="N180" s="93"/>
      <c r="O180" s="93"/>
    </row>
    <row r="181" ht="15.75" customHeight="1">
      <c r="A181" s="17">
        <f t="shared" si="2"/>
        <v>15</v>
      </c>
      <c r="B181" s="1248"/>
      <c r="C181" s="18" t="s">
        <v>58</v>
      </c>
      <c r="D181" s="22" t="s">
        <v>59</v>
      </c>
      <c r="E181" s="20" t="s">
        <v>60</v>
      </c>
      <c r="F181" s="1348" t="s">
        <v>30</v>
      </c>
      <c r="G181" s="93"/>
      <c r="H181" s="93"/>
      <c r="I181" s="93"/>
      <c r="J181" s="93"/>
      <c r="K181" s="93"/>
      <c r="L181" s="93"/>
      <c r="M181" s="93"/>
      <c r="N181" s="93"/>
      <c r="O181" s="93"/>
    </row>
    <row r="182" ht="15.75" customHeight="1">
      <c r="A182" s="17">
        <f t="shared" si="2"/>
        <v>16</v>
      </c>
      <c r="B182" s="1248"/>
      <c r="C182" s="18" t="s">
        <v>58</v>
      </c>
      <c r="D182" s="22" t="s">
        <v>62</v>
      </c>
      <c r="E182" s="20" t="s">
        <v>60</v>
      </c>
      <c r="F182" s="1348" t="s">
        <v>30</v>
      </c>
      <c r="G182" s="93"/>
      <c r="H182" s="93"/>
      <c r="I182" s="93"/>
      <c r="J182" s="93"/>
      <c r="K182" s="93"/>
      <c r="L182" s="93"/>
      <c r="M182" s="93"/>
      <c r="N182" s="93"/>
      <c r="O182" s="93"/>
    </row>
    <row r="183" ht="15.75" customHeight="1">
      <c r="A183" s="17">
        <f t="shared" si="2"/>
        <v>17</v>
      </c>
      <c r="B183" s="1248"/>
      <c r="C183" s="18" t="s">
        <v>58</v>
      </c>
      <c r="D183" s="24" t="s">
        <v>64</v>
      </c>
      <c r="E183" s="20" t="s">
        <v>65</v>
      </c>
      <c r="F183" s="1348" t="s">
        <v>30</v>
      </c>
      <c r="G183" s="93"/>
      <c r="H183" s="93"/>
      <c r="I183" s="93"/>
      <c r="J183" s="93"/>
      <c r="K183" s="93"/>
      <c r="L183" s="93"/>
      <c r="M183" s="93"/>
      <c r="N183" s="93"/>
      <c r="O183" s="93"/>
    </row>
    <row r="184" ht="15.75" customHeight="1">
      <c r="A184" s="17">
        <f t="shared" si="2"/>
        <v>18</v>
      </c>
      <c r="B184" s="1248"/>
      <c r="C184" s="18" t="s">
        <v>58</v>
      </c>
      <c r="D184" s="25" t="s">
        <v>67</v>
      </c>
      <c r="E184" s="26" t="s">
        <v>68</v>
      </c>
      <c r="F184" s="1348" t="s">
        <v>30</v>
      </c>
      <c r="G184" s="93"/>
      <c r="H184" s="93"/>
      <c r="I184" s="93"/>
      <c r="J184" s="93"/>
      <c r="K184" s="93"/>
      <c r="L184" s="93"/>
      <c r="M184" s="93"/>
      <c r="N184" s="93"/>
      <c r="O184" s="93"/>
    </row>
    <row r="185" ht="15.75" customHeight="1">
      <c r="A185" s="17">
        <f t="shared" si="2"/>
        <v>19</v>
      </c>
      <c r="B185" s="1248"/>
      <c r="C185" s="18" t="s">
        <v>58</v>
      </c>
      <c r="D185" s="25" t="s">
        <v>70</v>
      </c>
      <c r="E185" s="26" t="s">
        <v>71</v>
      </c>
      <c r="F185" s="1348" t="s">
        <v>30</v>
      </c>
      <c r="G185" s="93"/>
      <c r="H185" s="93"/>
      <c r="I185" s="93"/>
      <c r="J185" s="93"/>
      <c r="K185" s="93"/>
      <c r="L185" s="93"/>
      <c r="M185" s="93"/>
      <c r="N185" s="93"/>
      <c r="O185" s="93"/>
    </row>
    <row r="186" ht="15.75" customHeight="1">
      <c r="A186" s="17">
        <f t="shared" si="2"/>
        <v>20</v>
      </c>
      <c r="B186" s="1248"/>
      <c r="C186" s="18" t="s">
        <v>58</v>
      </c>
      <c r="D186" s="25" t="s">
        <v>73</v>
      </c>
      <c r="E186" s="26" t="s">
        <v>71</v>
      </c>
      <c r="F186" s="1348" t="s">
        <v>30</v>
      </c>
      <c r="G186" s="93"/>
      <c r="H186" s="93"/>
      <c r="I186" s="93"/>
      <c r="J186" s="93"/>
      <c r="K186" s="93"/>
      <c r="L186" s="93"/>
      <c r="M186" s="93"/>
      <c r="N186" s="93"/>
      <c r="O186" s="93"/>
    </row>
    <row r="187" ht="15.75" customHeight="1">
      <c r="A187" s="17">
        <f t="shared" si="2"/>
        <v>21</v>
      </c>
      <c r="B187" s="1248"/>
      <c r="C187" s="18" t="s">
        <v>58</v>
      </c>
      <c r="D187" s="25" t="s">
        <v>75</v>
      </c>
      <c r="E187" s="26" t="s">
        <v>71</v>
      </c>
      <c r="F187" s="1348" t="s">
        <v>30</v>
      </c>
      <c r="G187" s="93"/>
      <c r="H187" s="93"/>
      <c r="I187" s="93"/>
      <c r="J187" s="93"/>
      <c r="K187" s="93"/>
      <c r="L187" s="93"/>
      <c r="M187" s="93"/>
      <c r="N187" s="93"/>
      <c r="O187" s="93"/>
    </row>
    <row r="188" ht="15.75" customHeight="1">
      <c r="A188" s="17">
        <f t="shared" si="2"/>
        <v>22</v>
      </c>
      <c r="B188" s="1248"/>
      <c r="C188" s="18" t="s">
        <v>58</v>
      </c>
      <c r="D188" s="25" t="s">
        <v>77</v>
      </c>
      <c r="E188" s="26" t="s">
        <v>60</v>
      </c>
      <c r="F188" s="1348" t="s">
        <v>27</v>
      </c>
      <c r="G188" s="93"/>
      <c r="H188" s="93"/>
      <c r="I188" s="93"/>
      <c r="J188" s="93"/>
      <c r="K188" s="93"/>
      <c r="L188" s="93"/>
      <c r="M188" s="93"/>
      <c r="N188" s="93"/>
      <c r="O188" s="93"/>
    </row>
    <row r="189" ht="15.75" customHeight="1">
      <c r="A189" s="17">
        <f t="shared" si="2"/>
        <v>23</v>
      </c>
      <c r="B189" s="1248"/>
      <c r="C189" s="18" t="s">
        <v>58</v>
      </c>
      <c r="D189" s="25" t="s">
        <v>79</v>
      </c>
      <c r="E189" s="26" t="s">
        <v>60</v>
      </c>
      <c r="F189" s="1348" t="s">
        <v>27</v>
      </c>
      <c r="G189" s="93"/>
      <c r="H189" s="93"/>
      <c r="I189" s="93"/>
      <c r="J189" s="93"/>
      <c r="K189" s="93"/>
      <c r="L189" s="93"/>
      <c r="M189" s="93"/>
      <c r="N189" s="93"/>
      <c r="O189" s="93"/>
    </row>
    <row r="190" ht="15.75" customHeight="1">
      <c r="A190" s="17">
        <f t="shared" si="2"/>
        <v>24</v>
      </c>
      <c r="B190" s="1248"/>
      <c r="C190" s="18" t="s">
        <v>58</v>
      </c>
      <c r="D190" s="25" t="s">
        <v>80</v>
      </c>
      <c r="E190" s="26" t="s">
        <v>60</v>
      </c>
      <c r="F190" s="1348" t="s">
        <v>27</v>
      </c>
      <c r="G190" s="93"/>
      <c r="H190" s="93"/>
      <c r="I190" s="93"/>
      <c r="J190" s="93"/>
      <c r="K190" s="93"/>
      <c r="L190" s="93"/>
      <c r="M190" s="93"/>
      <c r="N190" s="93"/>
      <c r="O190" s="93"/>
    </row>
    <row r="191" ht="15.75" customHeight="1">
      <c r="A191" s="17">
        <f t="shared" si="2"/>
        <v>25</v>
      </c>
      <c r="B191" s="1248"/>
      <c r="C191" s="18" t="s">
        <v>58</v>
      </c>
      <c r="D191" s="25" t="s">
        <v>82</v>
      </c>
      <c r="E191" s="26" t="s">
        <v>60</v>
      </c>
      <c r="F191" s="1348" t="s">
        <v>27</v>
      </c>
      <c r="G191" s="93"/>
      <c r="H191" s="93"/>
      <c r="I191" s="93"/>
      <c r="J191" s="93"/>
      <c r="K191" s="93"/>
      <c r="L191" s="93"/>
      <c r="M191" s="93"/>
      <c r="N191" s="93"/>
      <c r="O191" s="93"/>
    </row>
    <row r="192" ht="15.75" customHeight="1">
      <c r="A192" s="17">
        <f t="shared" si="2"/>
        <v>26</v>
      </c>
      <c r="B192" s="1248"/>
      <c r="C192" s="18" t="s">
        <v>58</v>
      </c>
      <c r="D192" s="25" t="s">
        <v>84</v>
      </c>
      <c r="E192" s="26" t="s">
        <v>60</v>
      </c>
      <c r="F192" s="1348" t="s">
        <v>27</v>
      </c>
      <c r="G192" s="93"/>
      <c r="H192" s="93"/>
      <c r="I192" s="93"/>
      <c r="J192" s="93"/>
      <c r="K192" s="93"/>
      <c r="L192" s="93"/>
      <c r="M192" s="93"/>
      <c r="N192" s="93"/>
      <c r="O192" s="93"/>
    </row>
    <row r="193" ht="15.75" customHeight="1">
      <c r="A193" s="17">
        <f t="shared" si="2"/>
        <v>27</v>
      </c>
      <c r="B193" s="1248"/>
      <c r="C193" s="18" t="s">
        <v>58</v>
      </c>
      <c r="D193" s="25" t="s">
        <v>86</v>
      </c>
      <c r="E193" s="26" t="s">
        <v>60</v>
      </c>
      <c r="F193" s="1348" t="s">
        <v>27</v>
      </c>
      <c r="G193" s="93"/>
      <c r="H193" s="93"/>
      <c r="I193" s="93"/>
      <c r="J193" s="93"/>
      <c r="K193" s="93"/>
      <c r="L193" s="93"/>
      <c r="M193" s="93"/>
      <c r="N193" s="93"/>
      <c r="O193" s="93"/>
    </row>
    <row r="194" ht="15.75" customHeight="1">
      <c r="A194" s="17">
        <f t="shared" si="2"/>
        <v>28</v>
      </c>
      <c r="B194" s="1248"/>
      <c r="C194" s="18" t="s">
        <v>58</v>
      </c>
      <c r="D194" s="25" t="s">
        <v>88</v>
      </c>
      <c r="E194" s="26" t="s">
        <v>60</v>
      </c>
      <c r="F194" s="1348" t="s">
        <v>27</v>
      </c>
      <c r="G194" s="93"/>
      <c r="H194" s="93"/>
      <c r="I194" s="93"/>
      <c r="J194" s="93"/>
      <c r="K194" s="93"/>
      <c r="L194" s="93"/>
      <c r="M194" s="93"/>
      <c r="N194" s="93"/>
      <c r="O194" s="93"/>
    </row>
    <row r="195" ht="15.75" customHeight="1">
      <c r="A195" s="17">
        <f t="shared" si="2"/>
        <v>29</v>
      </c>
      <c r="B195" s="1349"/>
      <c r="C195" s="27" t="s">
        <v>58</v>
      </c>
      <c r="D195" s="28" t="s">
        <v>90</v>
      </c>
      <c r="E195" s="29" t="s">
        <v>60</v>
      </c>
      <c r="F195" s="1350" t="s">
        <v>27</v>
      </c>
      <c r="G195" s="93"/>
      <c r="H195" s="93"/>
      <c r="I195" s="93"/>
      <c r="J195" s="93"/>
      <c r="K195" s="93"/>
      <c r="L195" s="93"/>
      <c r="M195" s="93"/>
      <c r="N195" s="93"/>
      <c r="O195" s="93"/>
    </row>
    <row r="196" ht="15.75" customHeight="1">
      <c r="A196" s="17">
        <f t="shared" si="2"/>
        <v>30</v>
      </c>
      <c r="B196" s="1349"/>
      <c r="C196" s="27" t="s">
        <v>58</v>
      </c>
      <c r="D196" s="28" t="s">
        <v>92</v>
      </c>
      <c r="E196" s="29" t="s">
        <v>60</v>
      </c>
      <c r="F196" s="1350" t="s">
        <v>30</v>
      </c>
      <c r="G196" s="93"/>
      <c r="H196" s="93"/>
      <c r="I196" s="93"/>
      <c r="J196" s="93"/>
      <c r="K196" s="93"/>
      <c r="L196" s="93"/>
      <c r="M196" s="93"/>
      <c r="N196" s="93"/>
      <c r="O196" s="93"/>
    </row>
    <row r="197" ht="15.75" customHeight="1">
      <c r="A197" s="17">
        <f t="shared" si="2"/>
        <v>31</v>
      </c>
      <c r="B197" s="1349"/>
      <c r="C197" s="27" t="s">
        <v>58</v>
      </c>
      <c r="D197" s="34" t="s">
        <v>94</v>
      </c>
      <c r="E197" s="35" t="s">
        <v>60</v>
      </c>
      <c r="F197" s="1350" t="s">
        <v>30</v>
      </c>
      <c r="G197" s="93"/>
      <c r="H197" s="93"/>
      <c r="I197" s="93"/>
      <c r="J197" s="93"/>
      <c r="K197" s="93"/>
      <c r="L197" s="93"/>
      <c r="M197" s="93"/>
      <c r="N197" s="93"/>
      <c r="O197" s="93"/>
    </row>
    <row r="198" ht="15.75" customHeight="1">
      <c r="A198" s="17">
        <f t="shared" si="2"/>
        <v>32</v>
      </c>
      <c r="B198" s="1351" t="s">
        <v>146</v>
      </c>
      <c r="C198" s="36" t="s">
        <v>99</v>
      </c>
      <c r="D198" s="37" t="s">
        <v>100</v>
      </c>
      <c r="E198" s="38" t="s">
        <v>101</v>
      </c>
      <c r="F198" s="1352" t="s">
        <v>30</v>
      </c>
      <c r="G198" s="93"/>
      <c r="H198" s="93"/>
      <c r="I198" s="93"/>
      <c r="J198" s="93"/>
      <c r="K198" s="93"/>
      <c r="L198" s="93"/>
      <c r="M198" s="93"/>
      <c r="N198" s="93"/>
      <c r="O198" s="93"/>
    </row>
    <row r="199" ht="15.75" customHeight="1">
      <c r="A199" s="17">
        <f t="shared" si="2"/>
        <v>33</v>
      </c>
      <c r="B199" s="44" t="s">
        <v>146</v>
      </c>
      <c r="C199" s="36" t="s">
        <v>99</v>
      </c>
      <c r="D199" s="41" t="s">
        <v>104</v>
      </c>
      <c r="E199" s="20" t="s">
        <v>101</v>
      </c>
      <c r="F199" s="1348" t="s">
        <v>27</v>
      </c>
      <c r="G199" s="93"/>
      <c r="H199" s="93"/>
      <c r="I199" s="93"/>
      <c r="J199" s="93"/>
      <c r="K199" s="93"/>
      <c r="L199" s="93"/>
      <c r="M199" s="93"/>
      <c r="N199" s="93"/>
      <c r="O199" s="93"/>
    </row>
    <row r="200" ht="15.75" customHeight="1">
      <c r="A200" s="17">
        <f t="shared" si="2"/>
        <v>34</v>
      </c>
      <c r="B200" s="44" t="s">
        <v>146</v>
      </c>
      <c r="C200" s="36" t="s">
        <v>99</v>
      </c>
      <c r="D200" s="41" t="s">
        <v>106</v>
      </c>
      <c r="E200" s="20" t="s">
        <v>101</v>
      </c>
      <c r="F200" s="1348" t="s">
        <v>27</v>
      </c>
      <c r="G200" s="93"/>
      <c r="H200" s="93"/>
      <c r="I200" s="93"/>
      <c r="J200" s="93"/>
      <c r="K200" s="93"/>
      <c r="L200" s="93"/>
      <c r="M200" s="93"/>
      <c r="N200" s="93"/>
      <c r="O200" s="93"/>
    </row>
    <row r="201" ht="15.75" customHeight="1">
      <c r="A201" s="17">
        <f t="shared" si="2"/>
        <v>35</v>
      </c>
      <c r="B201" s="44" t="s">
        <v>146</v>
      </c>
      <c r="C201" s="36" t="s">
        <v>99</v>
      </c>
      <c r="D201" s="41" t="s">
        <v>108</v>
      </c>
      <c r="E201" s="20" t="s">
        <v>101</v>
      </c>
      <c r="F201" s="1348" t="s">
        <v>30</v>
      </c>
      <c r="G201" s="93"/>
      <c r="H201" s="93"/>
      <c r="I201" s="93"/>
      <c r="J201" s="93"/>
      <c r="K201" s="93"/>
      <c r="L201" s="93"/>
      <c r="M201" s="93"/>
      <c r="N201" s="93"/>
      <c r="O201" s="93"/>
    </row>
    <row r="202" ht="15.75" customHeight="1">
      <c r="A202" s="17">
        <f t="shared" si="2"/>
        <v>36</v>
      </c>
      <c r="B202" s="44" t="s">
        <v>146</v>
      </c>
      <c r="C202" s="36" t="s">
        <v>99</v>
      </c>
      <c r="D202" s="41" t="s">
        <v>110</v>
      </c>
      <c r="E202" s="20" t="s">
        <v>101</v>
      </c>
      <c r="F202" s="1348" t="s">
        <v>30</v>
      </c>
      <c r="G202" s="93"/>
      <c r="H202" s="93"/>
      <c r="I202" s="93"/>
      <c r="J202" s="93"/>
      <c r="K202" s="93"/>
      <c r="L202" s="93"/>
      <c r="M202" s="93"/>
      <c r="N202" s="93"/>
      <c r="O202" s="93"/>
    </row>
    <row r="203" ht="15.75" customHeight="1">
      <c r="A203" s="17">
        <f t="shared" si="2"/>
        <v>37</v>
      </c>
      <c r="B203" s="44" t="s">
        <v>146</v>
      </c>
      <c r="C203" s="36" t="s">
        <v>99</v>
      </c>
      <c r="D203" s="41" t="s">
        <v>111</v>
      </c>
      <c r="E203" s="20" t="s">
        <v>101</v>
      </c>
      <c r="F203" s="1348" t="s">
        <v>30</v>
      </c>
      <c r="G203" s="93"/>
      <c r="H203" s="93"/>
      <c r="I203" s="93"/>
      <c r="J203" s="93"/>
      <c r="K203" s="93"/>
      <c r="L203" s="93"/>
      <c r="M203" s="93"/>
      <c r="N203" s="93"/>
      <c r="O203" s="93"/>
    </row>
    <row r="204" ht="15.75" customHeight="1">
      <c r="A204" s="17">
        <f t="shared" si="2"/>
        <v>38</v>
      </c>
      <c r="B204" s="44" t="s">
        <v>146</v>
      </c>
      <c r="C204" s="36" t="s">
        <v>99</v>
      </c>
      <c r="D204" s="41" t="s">
        <v>113</v>
      </c>
      <c r="E204" s="20" t="s">
        <v>101</v>
      </c>
      <c r="F204" s="1348" t="s">
        <v>30</v>
      </c>
      <c r="G204" s="93"/>
      <c r="H204" s="93"/>
      <c r="I204" s="93"/>
      <c r="J204" s="93"/>
      <c r="K204" s="93"/>
      <c r="L204" s="93"/>
      <c r="M204" s="93"/>
      <c r="N204" s="93"/>
      <c r="O204" s="93"/>
    </row>
    <row r="205" ht="15.75" customHeight="1">
      <c r="A205" s="17">
        <f t="shared" si="2"/>
        <v>39</v>
      </c>
      <c r="B205" s="44" t="s">
        <v>146</v>
      </c>
      <c r="C205" s="36" t="s">
        <v>99</v>
      </c>
      <c r="D205" s="41" t="s">
        <v>115</v>
      </c>
      <c r="E205" s="20" t="s">
        <v>101</v>
      </c>
      <c r="F205" s="1348" t="s">
        <v>27</v>
      </c>
      <c r="G205" s="93"/>
      <c r="H205" s="93"/>
      <c r="I205" s="93"/>
      <c r="J205" s="93"/>
      <c r="K205" s="93"/>
      <c r="L205" s="93"/>
      <c r="M205" s="93"/>
      <c r="N205" s="93"/>
      <c r="O205" s="93"/>
    </row>
    <row r="206" ht="15.75" customHeight="1">
      <c r="A206" s="17">
        <f t="shared" si="2"/>
        <v>40</v>
      </c>
      <c r="B206" s="44" t="s">
        <v>146</v>
      </c>
      <c r="C206" s="36" t="s">
        <v>99</v>
      </c>
      <c r="D206" s="41" t="s">
        <v>117</v>
      </c>
      <c r="E206" s="20" t="s">
        <v>101</v>
      </c>
      <c r="F206" s="1348" t="s">
        <v>27</v>
      </c>
      <c r="G206" s="93"/>
      <c r="H206" s="93"/>
      <c r="I206" s="93"/>
      <c r="J206" s="93"/>
      <c r="K206" s="93"/>
      <c r="L206" s="93"/>
      <c r="M206" s="93"/>
      <c r="N206" s="93"/>
      <c r="O206" s="93"/>
    </row>
    <row r="207" ht="15.75" customHeight="1">
      <c r="A207" s="17">
        <f t="shared" si="2"/>
        <v>41</v>
      </c>
      <c r="B207" s="44" t="s">
        <v>146</v>
      </c>
      <c r="C207" s="36" t="s">
        <v>99</v>
      </c>
      <c r="D207" s="41" t="s">
        <v>119</v>
      </c>
      <c r="E207" s="20" t="s">
        <v>101</v>
      </c>
      <c r="F207" s="1348" t="s">
        <v>27</v>
      </c>
      <c r="G207" s="93"/>
      <c r="H207" s="93"/>
      <c r="I207" s="93"/>
      <c r="J207" s="93"/>
      <c r="K207" s="93"/>
      <c r="L207" s="93"/>
      <c r="M207" s="93"/>
      <c r="N207" s="93"/>
      <c r="O207" s="93"/>
    </row>
    <row r="208" ht="15.75" customHeight="1">
      <c r="A208" s="17">
        <f t="shared" si="2"/>
        <v>42</v>
      </c>
      <c r="B208" s="44" t="s">
        <v>146</v>
      </c>
      <c r="C208" s="36" t="s">
        <v>99</v>
      </c>
      <c r="D208" s="41" t="s">
        <v>121</v>
      </c>
      <c r="E208" s="20" t="s">
        <v>101</v>
      </c>
      <c r="F208" s="1348" t="s">
        <v>27</v>
      </c>
      <c r="G208" s="93"/>
      <c r="H208" s="93"/>
      <c r="I208" s="93"/>
      <c r="J208" s="93"/>
      <c r="K208" s="93"/>
      <c r="L208" s="93"/>
      <c r="M208" s="93"/>
      <c r="N208" s="93"/>
      <c r="O208" s="93"/>
    </row>
    <row r="209" ht="15.75" customHeight="1">
      <c r="A209" s="17">
        <f t="shared" si="2"/>
        <v>43</v>
      </c>
      <c r="B209" s="44" t="s">
        <v>146</v>
      </c>
      <c r="C209" s="44" t="s">
        <v>146</v>
      </c>
      <c r="D209" s="45" t="s">
        <v>124</v>
      </c>
      <c r="E209" s="20" t="s">
        <v>125</v>
      </c>
      <c r="F209" s="1348" t="s">
        <v>27</v>
      </c>
      <c r="G209" s="93"/>
      <c r="H209" s="93"/>
      <c r="I209" s="93"/>
      <c r="J209" s="93"/>
      <c r="K209" s="93"/>
      <c r="L209" s="93"/>
      <c r="M209" s="93"/>
      <c r="N209" s="93"/>
      <c r="O209" s="93"/>
    </row>
    <row r="210" ht="15.75" customHeight="1">
      <c r="A210" s="17">
        <f t="shared" si="2"/>
        <v>44</v>
      </c>
      <c r="B210" s="44" t="s">
        <v>146</v>
      </c>
      <c r="C210" s="44" t="s">
        <v>146</v>
      </c>
      <c r="D210" s="47" t="s">
        <v>127</v>
      </c>
      <c r="E210" s="20" t="s">
        <v>125</v>
      </c>
      <c r="F210" s="1348" t="s">
        <v>30</v>
      </c>
      <c r="G210" s="93"/>
      <c r="H210" s="93"/>
      <c r="I210" s="93"/>
      <c r="J210" s="93"/>
      <c r="K210" s="93"/>
      <c r="L210" s="93"/>
      <c r="M210" s="93"/>
      <c r="N210" s="93"/>
      <c r="O210" s="93"/>
    </row>
    <row r="211" ht="15.75" customHeight="1">
      <c r="A211" s="17">
        <f t="shared" si="2"/>
        <v>45</v>
      </c>
      <c r="B211" s="44" t="s">
        <v>146</v>
      </c>
      <c r="C211" s="44" t="s">
        <v>146</v>
      </c>
      <c r="D211" s="47" t="s">
        <v>129</v>
      </c>
      <c r="E211" s="20" t="s">
        <v>125</v>
      </c>
      <c r="F211" s="1348" t="s">
        <v>30</v>
      </c>
      <c r="G211" s="93"/>
      <c r="H211" s="93"/>
      <c r="I211" s="93"/>
      <c r="J211" s="93"/>
      <c r="K211" s="93"/>
      <c r="L211" s="93"/>
      <c r="M211" s="93"/>
      <c r="N211" s="93"/>
      <c r="O211" s="93"/>
    </row>
    <row r="212" ht="15.75" customHeight="1">
      <c r="A212" s="17">
        <f t="shared" si="2"/>
        <v>46</v>
      </c>
      <c r="B212" s="44" t="s">
        <v>146</v>
      </c>
      <c r="C212" s="44" t="s">
        <v>146</v>
      </c>
      <c r="D212" s="47" t="s">
        <v>131</v>
      </c>
      <c r="E212" s="20" t="s">
        <v>125</v>
      </c>
      <c r="F212" s="1348" t="s">
        <v>27</v>
      </c>
      <c r="G212" s="93"/>
      <c r="H212" s="93"/>
      <c r="I212" s="93"/>
      <c r="J212" s="93"/>
      <c r="K212" s="93"/>
      <c r="L212" s="93"/>
      <c r="M212" s="93"/>
      <c r="N212" s="93"/>
      <c r="O212" s="93"/>
    </row>
    <row r="213" ht="15.75" customHeight="1">
      <c r="A213" s="17">
        <f t="shared" si="2"/>
        <v>47</v>
      </c>
      <c r="B213" s="44" t="s">
        <v>146</v>
      </c>
      <c r="C213" s="44" t="s">
        <v>146</v>
      </c>
      <c r="D213" s="47" t="s">
        <v>133</v>
      </c>
      <c r="E213" s="20" t="s">
        <v>125</v>
      </c>
      <c r="F213" s="1348" t="s">
        <v>27</v>
      </c>
      <c r="G213" s="93"/>
      <c r="H213" s="93"/>
      <c r="I213" s="93"/>
      <c r="J213" s="93"/>
      <c r="K213" s="93"/>
      <c r="L213" s="93"/>
      <c r="M213" s="93"/>
      <c r="N213" s="93"/>
      <c r="O213" s="93"/>
    </row>
    <row r="214" ht="15.75" customHeight="1">
      <c r="A214" s="17">
        <f t="shared" si="2"/>
        <v>48</v>
      </c>
      <c r="B214" s="44" t="s">
        <v>146</v>
      </c>
      <c r="C214" s="44" t="s">
        <v>146</v>
      </c>
      <c r="D214" s="47" t="s">
        <v>135</v>
      </c>
      <c r="E214" s="20" t="s">
        <v>136</v>
      </c>
      <c r="F214" s="1348" t="s">
        <v>27</v>
      </c>
      <c r="G214" s="93"/>
      <c r="H214" s="93"/>
      <c r="I214" s="93"/>
      <c r="J214" s="93"/>
      <c r="K214" s="93"/>
      <c r="L214" s="93"/>
      <c r="M214" s="93"/>
      <c r="N214" s="93"/>
      <c r="O214" s="93"/>
    </row>
    <row r="215" ht="15.75" customHeight="1">
      <c r="A215" s="17">
        <f t="shared" si="2"/>
        <v>49</v>
      </c>
      <c r="B215" s="44" t="s">
        <v>146</v>
      </c>
      <c r="C215" s="44" t="s">
        <v>146</v>
      </c>
      <c r="D215" s="47" t="s">
        <v>138</v>
      </c>
      <c r="E215" s="20" t="s">
        <v>136</v>
      </c>
      <c r="F215" s="1348" t="s">
        <v>27</v>
      </c>
      <c r="G215" s="93"/>
      <c r="H215" s="93"/>
      <c r="I215" s="93"/>
      <c r="J215" s="93"/>
      <c r="K215" s="93"/>
      <c r="L215" s="93"/>
      <c r="M215" s="93"/>
      <c r="N215" s="93"/>
      <c r="O215" s="93"/>
    </row>
    <row r="216" ht="15.75" customHeight="1">
      <c r="A216" s="17">
        <f t="shared" si="2"/>
        <v>50</v>
      </c>
      <c r="B216" s="44" t="s">
        <v>146</v>
      </c>
      <c r="C216" s="44" t="s">
        <v>146</v>
      </c>
      <c r="D216" s="47" t="s">
        <v>140</v>
      </c>
      <c r="E216" s="20" t="s">
        <v>141</v>
      </c>
      <c r="F216" s="1348" t="s">
        <v>30</v>
      </c>
      <c r="G216" s="93"/>
      <c r="H216" s="93"/>
      <c r="I216" s="93"/>
      <c r="J216" s="93"/>
      <c r="K216" s="93"/>
      <c r="L216" s="93"/>
      <c r="M216" s="93"/>
      <c r="N216" s="93"/>
      <c r="O216" s="93"/>
    </row>
    <row r="217" ht="15.75" customHeight="1">
      <c r="A217" s="17">
        <f t="shared" si="2"/>
        <v>51</v>
      </c>
      <c r="B217" s="44" t="s">
        <v>146</v>
      </c>
      <c r="C217" s="44" t="s">
        <v>146</v>
      </c>
      <c r="D217" s="52" t="s">
        <v>144</v>
      </c>
      <c r="E217" s="20" t="s">
        <v>141</v>
      </c>
      <c r="F217" s="1352" t="s">
        <v>33</v>
      </c>
      <c r="G217" s="93"/>
      <c r="H217" s="93"/>
      <c r="I217" s="93"/>
      <c r="J217" s="93"/>
      <c r="K217" s="93"/>
      <c r="L217" s="93"/>
      <c r="M217" s="93"/>
      <c r="N217" s="93"/>
      <c r="O217" s="93"/>
    </row>
    <row r="218" ht="15.75" customHeight="1">
      <c r="A218" s="17">
        <f t="shared" si="2"/>
        <v>52</v>
      </c>
      <c r="B218" s="44" t="s">
        <v>146</v>
      </c>
      <c r="C218" s="44" t="s">
        <v>146</v>
      </c>
      <c r="D218" s="54" t="s">
        <v>147</v>
      </c>
      <c r="E218" s="1353"/>
      <c r="F218" s="1347" t="s">
        <v>27</v>
      </c>
      <c r="G218" s="93"/>
      <c r="H218" s="93"/>
      <c r="I218" s="93"/>
      <c r="J218" s="93"/>
      <c r="K218" s="93"/>
      <c r="L218" s="93"/>
      <c r="M218" s="93"/>
      <c r="N218" s="93"/>
      <c r="O218" s="93"/>
    </row>
    <row r="219" ht="15.75" customHeight="1">
      <c r="A219" s="17">
        <f t="shared" si="2"/>
        <v>53</v>
      </c>
      <c r="B219" s="44" t="s">
        <v>146</v>
      </c>
      <c r="C219" s="44" t="s">
        <v>146</v>
      </c>
      <c r="D219" s="1262" t="s">
        <v>150</v>
      </c>
      <c r="E219" s="1354"/>
      <c r="F219" s="1348" t="s">
        <v>27</v>
      </c>
      <c r="G219" s="93"/>
      <c r="H219" s="93"/>
      <c r="I219" s="93"/>
      <c r="J219" s="93"/>
      <c r="K219" s="93"/>
      <c r="L219" s="93"/>
      <c r="M219" s="93"/>
      <c r="N219" s="93"/>
      <c r="O219" s="93"/>
    </row>
    <row r="220" ht="15.75" customHeight="1">
      <c r="A220" s="17">
        <f t="shared" si="2"/>
        <v>54</v>
      </c>
      <c r="B220" s="44" t="s">
        <v>146</v>
      </c>
      <c r="C220" s="44" t="s">
        <v>146</v>
      </c>
      <c r="D220" s="47" t="s">
        <v>152</v>
      </c>
      <c r="E220" s="1354"/>
      <c r="F220" s="1348" t="s">
        <v>30</v>
      </c>
      <c r="G220" s="93"/>
      <c r="H220" s="93"/>
      <c r="I220" s="93"/>
      <c r="J220" s="93"/>
      <c r="K220" s="93"/>
      <c r="L220" s="93"/>
      <c r="M220" s="93"/>
      <c r="N220" s="93"/>
      <c r="O220" s="93"/>
    </row>
    <row r="221" ht="15.75" customHeight="1">
      <c r="A221" s="17">
        <f t="shared" si="2"/>
        <v>55</v>
      </c>
      <c r="B221" s="44" t="s">
        <v>146</v>
      </c>
      <c r="C221" s="44" t="s">
        <v>146</v>
      </c>
      <c r="D221" s="47" t="s">
        <v>154</v>
      </c>
      <c r="E221" s="1354"/>
      <c r="F221" s="1348" t="s">
        <v>30</v>
      </c>
      <c r="G221" s="93"/>
      <c r="H221" s="93"/>
      <c r="I221" s="93"/>
      <c r="J221" s="93"/>
      <c r="K221" s="93"/>
      <c r="L221" s="93"/>
      <c r="M221" s="93"/>
      <c r="N221" s="93"/>
      <c r="O221" s="93"/>
    </row>
    <row r="222" ht="15.75" customHeight="1">
      <c r="A222" s="17">
        <f t="shared" si="2"/>
        <v>56</v>
      </c>
      <c r="B222" s="44" t="s">
        <v>146</v>
      </c>
      <c r="C222" s="57" t="s">
        <v>146</v>
      </c>
      <c r="D222" s="58" t="s">
        <v>156</v>
      </c>
      <c r="E222" s="1355"/>
      <c r="F222" s="1356" t="s">
        <v>30</v>
      </c>
      <c r="G222" s="93"/>
      <c r="H222" s="93"/>
      <c r="I222" s="93"/>
      <c r="J222" s="93"/>
      <c r="K222" s="93"/>
      <c r="L222" s="93"/>
      <c r="M222" s="93"/>
      <c r="N222" s="93"/>
      <c r="O222" s="93"/>
    </row>
    <row r="223" ht="15.75" customHeight="1">
      <c r="A223" s="17">
        <f t="shared" si="2"/>
        <v>57</v>
      </c>
      <c r="B223" s="44" t="s">
        <v>146</v>
      </c>
      <c r="C223" s="1357" t="s">
        <v>146</v>
      </c>
      <c r="D223" s="62" t="s">
        <v>157</v>
      </c>
      <c r="E223" s="9" t="s">
        <v>158</v>
      </c>
      <c r="F223" s="1358" t="s">
        <v>27</v>
      </c>
      <c r="G223" s="93"/>
      <c r="H223" s="93"/>
      <c r="I223" s="93"/>
      <c r="J223" s="93"/>
      <c r="K223" s="93"/>
      <c r="L223" s="93"/>
      <c r="M223" s="93"/>
      <c r="N223" s="93"/>
      <c r="O223" s="93"/>
    </row>
    <row r="224" ht="15.75" customHeight="1">
      <c r="A224" s="17">
        <f t="shared" si="2"/>
        <v>58</v>
      </c>
      <c r="B224" s="44" t="s">
        <v>146</v>
      </c>
      <c r="C224" s="461" t="s">
        <v>146</v>
      </c>
      <c r="D224" s="1359" t="s">
        <v>244</v>
      </c>
      <c r="E224" s="15" t="s">
        <v>158</v>
      </c>
      <c r="F224" s="1350" t="s">
        <v>30</v>
      </c>
      <c r="G224" s="93"/>
      <c r="H224" s="93"/>
      <c r="I224" s="93"/>
      <c r="J224" s="93"/>
      <c r="K224" s="93"/>
      <c r="L224" s="93"/>
      <c r="M224" s="93"/>
      <c r="N224" s="93"/>
      <c r="O224" s="93"/>
    </row>
    <row r="225" ht="15.75" customHeight="1">
      <c r="A225" s="17">
        <f t="shared" si="2"/>
        <v>59</v>
      </c>
      <c r="B225" s="44" t="s">
        <v>146</v>
      </c>
      <c r="C225" s="461" t="s">
        <v>146</v>
      </c>
      <c r="D225" s="1359" t="s">
        <v>246</v>
      </c>
      <c r="E225" s="15" t="s">
        <v>158</v>
      </c>
      <c r="F225" s="1350" t="s">
        <v>30</v>
      </c>
      <c r="G225" s="93"/>
      <c r="H225" s="93"/>
      <c r="I225" s="93"/>
      <c r="J225" s="93"/>
      <c r="K225" s="93"/>
      <c r="L225" s="93"/>
      <c r="M225" s="93"/>
      <c r="N225" s="93"/>
      <c r="O225" s="93"/>
    </row>
    <row r="226" ht="15.75" customHeight="1">
      <c r="A226" s="17">
        <f t="shared" si="2"/>
        <v>60</v>
      </c>
      <c r="B226" s="44" t="s">
        <v>146</v>
      </c>
      <c r="C226" s="461" t="s">
        <v>146</v>
      </c>
      <c r="D226" s="1359" t="s">
        <v>248</v>
      </c>
      <c r="E226" s="15" t="s">
        <v>158</v>
      </c>
      <c r="F226" s="1350" t="s">
        <v>30</v>
      </c>
      <c r="G226" s="93"/>
      <c r="H226" s="93"/>
      <c r="I226" s="93"/>
      <c r="J226" s="93"/>
      <c r="K226" s="93"/>
      <c r="L226" s="93"/>
      <c r="M226" s="93"/>
      <c r="N226" s="93"/>
      <c r="O226" s="93"/>
    </row>
    <row r="227" ht="15.75" customHeight="1">
      <c r="A227" s="17">
        <f t="shared" si="2"/>
        <v>61</v>
      </c>
      <c r="B227" s="44" t="s">
        <v>146</v>
      </c>
      <c r="C227" s="461" t="s">
        <v>146</v>
      </c>
      <c r="D227" s="64" t="s">
        <v>161</v>
      </c>
      <c r="E227" s="15" t="s">
        <v>158</v>
      </c>
      <c r="F227" s="1350" t="s">
        <v>30</v>
      </c>
      <c r="G227" s="93"/>
      <c r="H227" s="93"/>
      <c r="I227" s="93"/>
      <c r="J227" s="93"/>
      <c r="K227" s="93"/>
      <c r="L227" s="93"/>
      <c r="M227" s="93"/>
      <c r="N227" s="93"/>
      <c r="O227" s="93"/>
    </row>
    <row r="228" ht="15.75" customHeight="1">
      <c r="A228" s="17">
        <f t="shared" si="2"/>
        <v>62</v>
      </c>
      <c r="B228" s="44" t="s">
        <v>146</v>
      </c>
      <c r="C228" s="1360" t="s">
        <v>146</v>
      </c>
      <c r="D228" s="66" t="s">
        <v>163</v>
      </c>
      <c r="E228" s="67" t="s">
        <v>164</v>
      </c>
      <c r="F228" s="1361" t="s">
        <v>30</v>
      </c>
      <c r="G228" s="93"/>
      <c r="H228" s="93"/>
      <c r="I228" s="93"/>
      <c r="J228" s="93"/>
      <c r="K228" s="93"/>
      <c r="L228" s="93"/>
      <c r="M228" s="93"/>
      <c r="N228" s="93"/>
      <c r="O228" s="93"/>
    </row>
    <row r="229" ht="15.75" customHeight="1">
      <c r="A229" s="17">
        <f t="shared" si="2"/>
        <v>63</v>
      </c>
      <c r="B229" s="44" t="s">
        <v>146</v>
      </c>
      <c r="C229" s="69" t="s">
        <v>146</v>
      </c>
      <c r="D229" s="54" t="s">
        <v>165</v>
      </c>
      <c r="E229" s="13" t="s">
        <v>166</v>
      </c>
      <c r="F229" s="1347" t="s">
        <v>30</v>
      </c>
      <c r="G229" s="93"/>
      <c r="H229" s="93"/>
      <c r="I229" s="93"/>
      <c r="J229" s="93"/>
      <c r="K229" s="93"/>
      <c r="L229" s="93"/>
      <c r="M229" s="93"/>
      <c r="N229" s="93"/>
      <c r="O229" s="93"/>
    </row>
    <row r="230" ht="15.75" customHeight="1">
      <c r="A230" s="17">
        <f t="shared" si="2"/>
        <v>64</v>
      </c>
      <c r="B230" s="44" t="s">
        <v>146</v>
      </c>
      <c r="C230" s="44" t="s">
        <v>146</v>
      </c>
      <c r="D230" s="47" t="s">
        <v>169</v>
      </c>
      <c r="E230" s="20" t="s">
        <v>166</v>
      </c>
      <c r="F230" s="1348" t="s">
        <v>30</v>
      </c>
      <c r="G230" s="93"/>
      <c r="H230" s="93"/>
      <c r="I230" s="93"/>
      <c r="J230" s="93"/>
      <c r="K230" s="93"/>
      <c r="L230" s="93"/>
      <c r="M230" s="93"/>
      <c r="N230" s="93"/>
      <c r="O230" s="93"/>
    </row>
    <row r="231" ht="15.75" customHeight="1">
      <c r="A231" s="17">
        <f t="shared" si="2"/>
        <v>65</v>
      </c>
      <c r="B231" s="44" t="s">
        <v>146</v>
      </c>
      <c r="C231" s="44" t="s">
        <v>146</v>
      </c>
      <c r="D231" s="47" t="s">
        <v>171</v>
      </c>
      <c r="E231" s="20" t="s">
        <v>166</v>
      </c>
      <c r="F231" s="1348" t="s">
        <v>27</v>
      </c>
      <c r="G231" s="93"/>
      <c r="H231" s="93"/>
      <c r="I231" s="93"/>
      <c r="J231" s="93"/>
      <c r="K231" s="93"/>
      <c r="L231" s="93"/>
      <c r="M231" s="93"/>
      <c r="N231" s="93"/>
      <c r="O231" s="93"/>
    </row>
    <row r="232" ht="15.75" customHeight="1">
      <c r="A232" s="17">
        <f t="shared" si="2"/>
        <v>66</v>
      </c>
      <c r="B232" s="44" t="s">
        <v>146</v>
      </c>
      <c r="C232" s="44" t="s">
        <v>146</v>
      </c>
      <c r="D232" s="47" t="s">
        <v>173</v>
      </c>
      <c r="E232" s="20" t="s">
        <v>166</v>
      </c>
      <c r="F232" s="1348" t="s">
        <v>27</v>
      </c>
      <c r="G232" s="93"/>
      <c r="H232" s="93"/>
      <c r="I232" s="93"/>
      <c r="J232" s="93"/>
      <c r="K232" s="93"/>
      <c r="L232" s="93"/>
      <c r="M232" s="93"/>
      <c r="N232" s="93"/>
      <c r="O232" s="93"/>
    </row>
    <row r="233" ht="15.75" customHeight="1">
      <c r="A233" s="17">
        <f t="shared" si="2"/>
        <v>67</v>
      </c>
      <c r="B233" s="1362" t="s">
        <v>146</v>
      </c>
      <c r="C233" s="57" t="s">
        <v>146</v>
      </c>
      <c r="D233" s="58" t="s">
        <v>175</v>
      </c>
      <c r="E233" s="30" t="s">
        <v>166</v>
      </c>
      <c r="F233" s="1356" t="s">
        <v>30</v>
      </c>
      <c r="G233" s="93"/>
      <c r="H233" s="93"/>
      <c r="I233" s="93"/>
      <c r="J233" s="93"/>
      <c r="K233" s="93"/>
      <c r="L233" s="93"/>
      <c r="M233" s="93"/>
      <c r="N233" s="93"/>
      <c r="O233" s="93"/>
    </row>
    <row r="234" ht="15.75" customHeight="1">
      <c r="A234" s="17">
        <f t="shared" si="2"/>
        <v>68</v>
      </c>
      <c r="B234" s="1363"/>
      <c r="C234" s="11" t="s">
        <v>177</v>
      </c>
      <c r="D234" s="73" t="s">
        <v>178</v>
      </c>
      <c r="E234" s="74" t="s">
        <v>179</v>
      </c>
      <c r="F234" s="1347" t="s">
        <v>30</v>
      </c>
      <c r="G234" s="93"/>
      <c r="H234" s="93"/>
      <c r="I234" s="93"/>
      <c r="J234" s="93"/>
      <c r="K234" s="93"/>
      <c r="L234" s="93"/>
      <c r="M234" s="93"/>
      <c r="N234" s="93"/>
      <c r="O234" s="93"/>
    </row>
    <row r="235" ht="15.75" customHeight="1">
      <c r="A235" s="17">
        <f t="shared" si="2"/>
        <v>69</v>
      </c>
      <c r="B235" s="1364"/>
      <c r="C235" s="18" t="s">
        <v>177</v>
      </c>
      <c r="D235" s="76" t="s">
        <v>181</v>
      </c>
      <c r="E235" s="77" t="s">
        <v>179</v>
      </c>
      <c r="F235" s="1348" t="s">
        <v>33</v>
      </c>
      <c r="G235" s="93"/>
      <c r="H235" s="93"/>
      <c r="I235" s="93"/>
      <c r="J235" s="93"/>
      <c r="K235" s="93"/>
      <c r="L235" s="93"/>
      <c r="M235" s="93"/>
      <c r="N235" s="93"/>
      <c r="O235" s="93"/>
    </row>
    <row r="236" ht="15.75" customHeight="1">
      <c r="A236" s="17">
        <f t="shared" si="2"/>
        <v>70</v>
      </c>
      <c r="B236" s="1364"/>
      <c r="C236" s="18" t="s">
        <v>177</v>
      </c>
      <c r="D236" s="76" t="s">
        <v>183</v>
      </c>
      <c r="E236" s="77" t="s">
        <v>184</v>
      </c>
      <c r="F236" s="1348" t="s">
        <v>185</v>
      </c>
      <c r="G236" s="93"/>
      <c r="H236" s="93"/>
      <c r="I236" s="93"/>
      <c r="J236" s="93"/>
      <c r="K236" s="93"/>
      <c r="L236" s="93"/>
      <c r="M236" s="93"/>
      <c r="N236" s="93"/>
      <c r="O236" s="93"/>
    </row>
    <row r="237" ht="15.75" customHeight="1">
      <c r="A237" s="17">
        <f t="shared" si="2"/>
        <v>71</v>
      </c>
      <c r="B237" s="1364"/>
      <c r="C237" s="18" t="s">
        <v>177</v>
      </c>
      <c r="D237" s="76" t="s">
        <v>186</v>
      </c>
      <c r="E237" s="77" t="s">
        <v>184</v>
      </c>
      <c r="F237" s="1348" t="s">
        <v>185</v>
      </c>
      <c r="G237" s="93"/>
      <c r="H237" s="93"/>
      <c r="I237" s="93"/>
      <c r="J237" s="93"/>
      <c r="K237" s="93"/>
      <c r="L237" s="93"/>
      <c r="M237" s="93"/>
      <c r="N237" s="93"/>
      <c r="O237" s="93"/>
    </row>
    <row r="238" ht="15.75" customHeight="1">
      <c r="A238" s="17">
        <f t="shared" si="2"/>
        <v>72</v>
      </c>
      <c r="B238" s="1364"/>
      <c r="C238" s="18" t="s">
        <v>177</v>
      </c>
      <c r="D238" s="76" t="s">
        <v>188</v>
      </c>
      <c r="E238" s="77" t="s">
        <v>184</v>
      </c>
      <c r="F238" s="1348" t="s">
        <v>185</v>
      </c>
      <c r="G238" s="93"/>
      <c r="H238" s="93"/>
      <c r="I238" s="93"/>
      <c r="J238" s="93"/>
      <c r="K238" s="93"/>
      <c r="L238" s="93"/>
      <c r="M238" s="93"/>
      <c r="N238" s="93"/>
      <c r="O238" s="93"/>
    </row>
    <row r="239" ht="15.75" customHeight="1">
      <c r="A239" s="17">
        <f t="shared" si="2"/>
        <v>73</v>
      </c>
      <c r="B239" s="1365"/>
      <c r="C239" s="1366" t="s">
        <v>177</v>
      </c>
      <c r="D239" s="81" t="s">
        <v>191</v>
      </c>
      <c r="E239" s="82" t="s">
        <v>141</v>
      </c>
      <c r="F239" s="1356" t="s">
        <v>30</v>
      </c>
      <c r="G239" s="93"/>
      <c r="H239" s="93"/>
      <c r="I239" s="93"/>
      <c r="J239" s="93"/>
      <c r="K239" s="93"/>
      <c r="L239" s="93"/>
      <c r="M239" s="93"/>
      <c r="N239" s="93"/>
      <c r="O239" s="93"/>
    </row>
    <row r="240" ht="15.75" customHeight="1">
      <c r="A240" s="17">
        <f t="shared" si="2"/>
        <v>74</v>
      </c>
      <c r="B240" s="1364"/>
      <c r="C240" s="84"/>
      <c r="D240" s="85" t="s">
        <v>192</v>
      </c>
      <c r="E240" s="86" t="s">
        <v>193</v>
      </c>
      <c r="F240" s="1352" t="s">
        <v>30</v>
      </c>
      <c r="G240" s="93"/>
      <c r="H240" s="93"/>
      <c r="I240" s="93"/>
      <c r="J240" s="93"/>
      <c r="K240" s="93"/>
      <c r="L240" s="93"/>
      <c r="M240" s="93"/>
      <c r="N240" s="93"/>
      <c r="O240" s="93"/>
    </row>
    <row r="241" ht="15.75" customHeight="1">
      <c r="A241" s="17">
        <f t="shared" si="2"/>
        <v>75</v>
      </c>
      <c r="B241" s="1364"/>
      <c r="C241" s="18"/>
      <c r="D241" s="87" t="s">
        <v>195</v>
      </c>
      <c r="E241" s="77" t="s">
        <v>193</v>
      </c>
      <c r="F241" s="1348" t="s">
        <v>27</v>
      </c>
      <c r="G241" s="93"/>
      <c r="H241" s="93"/>
      <c r="I241" s="93"/>
      <c r="J241" s="93"/>
      <c r="K241" s="93"/>
      <c r="L241" s="93"/>
      <c r="M241" s="93"/>
      <c r="N241" s="93"/>
      <c r="O241" s="93"/>
    </row>
    <row r="242" ht="15.75" customHeight="1">
      <c r="A242" s="17">
        <f t="shared" si="2"/>
        <v>76</v>
      </c>
      <c r="B242" s="1364"/>
      <c r="C242" s="18"/>
      <c r="D242" s="87" t="s">
        <v>197</v>
      </c>
      <c r="E242" s="77" t="s">
        <v>193</v>
      </c>
      <c r="F242" s="1348" t="s">
        <v>27</v>
      </c>
      <c r="G242" s="93"/>
      <c r="H242" s="93"/>
      <c r="I242" s="93"/>
      <c r="J242" s="93"/>
      <c r="K242" s="93"/>
      <c r="L242" s="93"/>
      <c r="M242" s="93"/>
      <c r="N242" s="93"/>
      <c r="O242" s="93"/>
    </row>
    <row r="243" ht="15.75" customHeight="1">
      <c r="A243" s="17">
        <f t="shared" si="2"/>
        <v>77</v>
      </c>
      <c r="B243" s="1364"/>
      <c r="C243" s="18"/>
      <c r="D243" s="87" t="s">
        <v>199</v>
      </c>
      <c r="E243" s="77" t="s">
        <v>193</v>
      </c>
      <c r="F243" s="1348" t="s">
        <v>27</v>
      </c>
      <c r="G243" s="93"/>
      <c r="H243" s="93"/>
      <c r="I243" s="93"/>
      <c r="J243" s="93"/>
      <c r="K243" s="93"/>
      <c r="L243" s="93"/>
      <c r="M243" s="93"/>
      <c r="N243" s="93"/>
      <c r="O243" s="93"/>
    </row>
    <row r="244" ht="15.75" customHeight="1">
      <c r="A244" s="17">
        <f t="shared" si="2"/>
        <v>78</v>
      </c>
      <c r="B244" s="1364"/>
      <c r="C244" s="18"/>
      <c r="D244" s="87" t="s">
        <v>201</v>
      </c>
      <c r="E244" s="77" t="s">
        <v>193</v>
      </c>
      <c r="F244" s="1348" t="s">
        <v>30</v>
      </c>
      <c r="G244" s="93"/>
      <c r="H244" s="93"/>
      <c r="I244" s="93"/>
      <c r="J244" s="93"/>
      <c r="K244" s="93"/>
      <c r="L244" s="93"/>
      <c r="M244" s="93"/>
      <c r="N244" s="93"/>
      <c r="O244" s="93"/>
    </row>
    <row r="245" ht="15.75" customHeight="1">
      <c r="A245" s="17">
        <f t="shared" si="2"/>
        <v>79</v>
      </c>
      <c r="B245" s="1364"/>
      <c r="C245" s="18"/>
      <c r="D245" s="87" t="s">
        <v>203</v>
      </c>
      <c r="E245" s="77" t="s">
        <v>193</v>
      </c>
      <c r="F245" s="1348" t="s">
        <v>46</v>
      </c>
      <c r="G245" s="93"/>
      <c r="H245" s="93"/>
      <c r="I245" s="93"/>
      <c r="J245" s="93"/>
      <c r="K245" s="93"/>
      <c r="L245" s="93"/>
      <c r="M245" s="93"/>
      <c r="N245" s="93"/>
      <c r="O245" s="93"/>
    </row>
    <row r="246" ht="15.75" customHeight="1">
      <c r="A246" s="17">
        <f t="shared" si="2"/>
        <v>80</v>
      </c>
      <c r="B246" s="1364"/>
      <c r="C246" s="18"/>
      <c r="D246" s="87" t="s">
        <v>205</v>
      </c>
      <c r="E246" s="77" t="s">
        <v>193</v>
      </c>
      <c r="F246" s="1348" t="s">
        <v>30</v>
      </c>
      <c r="G246" s="93"/>
      <c r="H246" s="93"/>
      <c r="I246" s="93"/>
      <c r="J246" s="93"/>
      <c r="K246" s="93"/>
      <c r="L246" s="93"/>
      <c r="M246" s="93"/>
      <c r="N246" s="93"/>
      <c r="O246" s="93"/>
    </row>
    <row r="247" ht="15.75" customHeight="1">
      <c r="A247" s="17">
        <f t="shared" si="2"/>
        <v>81</v>
      </c>
      <c r="B247" s="1364"/>
      <c r="C247" s="18"/>
      <c r="D247" s="87" t="s">
        <v>207</v>
      </c>
      <c r="E247" s="77" t="s">
        <v>193</v>
      </c>
      <c r="F247" s="1348" t="s">
        <v>30</v>
      </c>
      <c r="G247" s="93"/>
      <c r="H247" s="93"/>
      <c r="I247" s="93"/>
      <c r="J247" s="93"/>
      <c r="K247" s="93"/>
      <c r="L247" s="93"/>
      <c r="M247" s="93"/>
      <c r="N247" s="93"/>
      <c r="O247" s="93"/>
    </row>
    <row r="248" ht="15.75" customHeight="1">
      <c r="A248" s="17">
        <f t="shared" si="2"/>
        <v>82</v>
      </c>
      <c r="B248" s="1364"/>
      <c r="C248" s="18"/>
      <c r="D248" s="87" t="s">
        <v>209</v>
      </c>
      <c r="E248" s="77" t="s">
        <v>193</v>
      </c>
      <c r="F248" s="1348" t="s">
        <v>27</v>
      </c>
      <c r="G248" s="93"/>
      <c r="H248" s="93"/>
      <c r="I248" s="93"/>
      <c r="J248" s="93"/>
      <c r="K248" s="93"/>
      <c r="L248" s="93"/>
      <c r="M248" s="93"/>
      <c r="N248" s="93"/>
      <c r="O248" s="93"/>
    </row>
    <row r="249" ht="15.75" customHeight="1">
      <c r="A249" s="17">
        <f t="shared" si="2"/>
        <v>83</v>
      </c>
      <c r="B249" s="1364"/>
      <c r="C249" s="18"/>
      <c r="D249" s="87" t="s">
        <v>211</v>
      </c>
      <c r="E249" s="77" t="s">
        <v>193</v>
      </c>
      <c r="F249" s="1348" t="s">
        <v>46</v>
      </c>
      <c r="G249" s="93"/>
      <c r="H249" s="93"/>
      <c r="I249" s="93"/>
      <c r="J249" s="93"/>
      <c r="K249" s="93"/>
      <c r="L249" s="93"/>
      <c r="M249" s="93"/>
      <c r="N249" s="93"/>
      <c r="O249" s="93"/>
    </row>
    <row r="250" ht="15.75" customHeight="1">
      <c r="A250" s="17">
        <f t="shared" si="2"/>
        <v>84</v>
      </c>
      <c r="B250" s="1364"/>
      <c r="C250" s="18"/>
      <c r="D250" s="88" t="s">
        <v>213</v>
      </c>
      <c r="E250" s="77" t="s">
        <v>193</v>
      </c>
      <c r="F250" s="1348" t="s">
        <v>30</v>
      </c>
      <c r="G250" s="93"/>
      <c r="H250" s="93"/>
      <c r="I250" s="93"/>
      <c r="J250" s="93"/>
      <c r="K250" s="93"/>
      <c r="L250" s="93"/>
      <c r="M250" s="93"/>
      <c r="N250" s="93"/>
      <c r="O250" s="93"/>
    </row>
    <row r="251" ht="15.75" customHeight="1">
      <c r="A251" s="17">
        <f t="shared" si="2"/>
        <v>85</v>
      </c>
      <c r="B251" s="1364"/>
      <c r="C251" s="18"/>
      <c r="D251" s="87" t="s">
        <v>214</v>
      </c>
      <c r="E251" s="77" t="s">
        <v>193</v>
      </c>
      <c r="F251" s="1348" t="s">
        <v>30</v>
      </c>
      <c r="G251" s="93"/>
      <c r="H251" s="93"/>
      <c r="I251" s="93"/>
      <c r="J251" s="93"/>
      <c r="K251" s="93"/>
      <c r="L251" s="93"/>
      <c r="M251" s="93"/>
      <c r="N251" s="93"/>
      <c r="O251" s="93"/>
    </row>
    <row r="252" ht="15.75" customHeight="1">
      <c r="A252" s="17">
        <f t="shared" si="2"/>
        <v>86</v>
      </c>
      <c r="B252" s="1364"/>
      <c r="C252" s="18"/>
      <c r="D252" s="87" t="s">
        <v>216</v>
      </c>
      <c r="E252" s="77" t="s">
        <v>193</v>
      </c>
      <c r="F252" s="1348" t="s">
        <v>30</v>
      </c>
      <c r="G252" s="93"/>
      <c r="H252" s="93"/>
      <c r="I252" s="93"/>
      <c r="J252" s="93"/>
      <c r="K252" s="93"/>
      <c r="L252" s="93"/>
      <c r="M252" s="93"/>
      <c r="N252" s="93"/>
      <c r="O252" s="93"/>
    </row>
    <row r="253" ht="15.75" customHeight="1">
      <c r="A253" s="17">
        <f t="shared" si="2"/>
        <v>87</v>
      </c>
      <c r="B253" s="1364"/>
      <c r="C253" s="18"/>
      <c r="D253" s="87" t="s">
        <v>218</v>
      </c>
      <c r="E253" s="77" t="s">
        <v>193</v>
      </c>
      <c r="F253" s="1348" t="s">
        <v>27</v>
      </c>
      <c r="G253" s="93"/>
      <c r="H253" s="93"/>
      <c r="I253" s="93"/>
      <c r="J253" s="93"/>
      <c r="K253" s="93"/>
      <c r="L253" s="93"/>
      <c r="M253" s="93"/>
      <c r="N253" s="93"/>
      <c r="O253" s="93"/>
    </row>
    <row r="254" ht="15.75" customHeight="1">
      <c r="A254" s="17">
        <f t="shared" si="2"/>
        <v>88</v>
      </c>
      <c r="B254" s="1364"/>
      <c r="C254" s="18"/>
      <c r="D254" s="87" t="s">
        <v>220</v>
      </c>
      <c r="E254" s="77" t="s">
        <v>193</v>
      </c>
      <c r="F254" s="1348" t="s">
        <v>221</v>
      </c>
      <c r="G254" s="93"/>
      <c r="H254" s="93"/>
      <c r="I254" s="93"/>
      <c r="J254" s="93"/>
      <c r="K254" s="93"/>
      <c r="L254" s="93"/>
      <c r="M254" s="93"/>
      <c r="N254" s="93"/>
      <c r="O254" s="93"/>
    </row>
    <row r="255" ht="15.75" customHeight="1">
      <c r="A255" s="17">
        <f t="shared" si="2"/>
        <v>89</v>
      </c>
      <c r="B255" s="1364"/>
      <c r="C255" s="18"/>
      <c r="D255" s="87" t="s">
        <v>223</v>
      </c>
      <c r="E255" s="77" t="s">
        <v>193</v>
      </c>
      <c r="F255" s="1348" t="s">
        <v>224</v>
      </c>
      <c r="G255" s="93"/>
      <c r="H255" s="93"/>
      <c r="I255" s="93"/>
      <c r="J255" s="93"/>
      <c r="K255" s="93"/>
      <c r="L255" s="93"/>
      <c r="M255" s="93"/>
      <c r="N255" s="93"/>
      <c r="O255" s="93"/>
    </row>
    <row r="256" ht="15.75" customHeight="1">
      <c r="A256" s="17">
        <f t="shared" si="2"/>
        <v>90</v>
      </c>
      <c r="B256" s="1364"/>
      <c r="C256" s="18"/>
      <c r="D256" s="87" t="s">
        <v>226</v>
      </c>
      <c r="E256" s="77" t="s">
        <v>193</v>
      </c>
      <c r="F256" s="1348" t="s">
        <v>224</v>
      </c>
      <c r="G256" s="93"/>
      <c r="H256" s="93"/>
      <c r="I256" s="93"/>
      <c r="J256" s="93"/>
      <c r="K256" s="93"/>
      <c r="L256" s="93"/>
      <c r="M256" s="93"/>
      <c r="N256" s="93"/>
      <c r="O256" s="93"/>
    </row>
    <row r="257" ht="15.75" customHeight="1">
      <c r="A257" s="17">
        <f t="shared" si="2"/>
        <v>91</v>
      </c>
      <c r="B257" s="1364"/>
      <c r="C257" s="18"/>
      <c r="D257" s="87" t="s">
        <v>227</v>
      </c>
      <c r="E257" s="77" t="s">
        <v>193</v>
      </c>
      <c r="F257" s="1348" t="s">
        <v>224</v>
      </c>
      <c r="G257" s="93"/>
      <c r="H257" s="93"/>
      <c r="I257" s="93"/>
      <c r="J257" s="93"/>
      <c r="K257" s="93"/>
      <c r="L257" s="93"/>
      <c r="M257" s="93"/>
      <c r="N257" s="93"/>
      <c r="O257" s="93"/>
    </row>
    <row r="258" ht="15.75" customHeight="1">
      <c r="A258" s="17">
        <f t="shared" si="2"/>
        <v>92</v>
      </c>
      <c r="B258" s="1364"/>
      <c r="C258" s="18"/>
      <c r="D258" s="87" t="s">
        <v>229</v>
      </c>
      <c r="E258" s="77" t="s">
        <v>193</v>
      </c>
      <c r="F258" s="1348" t="s">
        <v>27</v>
      </c>
      <c r="G258" s="93"/>
      <c r="H258" s="93"/>
      <c r="I258" s="93"/>
      <c r="J258" s="93"/>
      <c r="K258" s="93"/>
      <c r="L258" s="93"/>
      <c r="M258" s="93"/>
      <c r="N258" s="93"/>
      <c r="O258" s="93"/>
    </row>
    <row r="259" ht="15.75" customHeight="1">
      <c r="A259" s="17">
        <f t="shared" si="2"/>
        <v>93</v>
      </c>
      <c r="B259" s="1364"/>
      <c r="C259" s="18"/>
      <c r="D259" s="87" t="s">
        <v>231</v>
      </c>
      <c r="E259" s="77" t="s">
        <v>193</v>
      </c>
      <c r="F259" s="1348" t="s">
        <v>27</v>
      </c>
      <c r="G259" s="93"/>
      <c r="H259" s="93"/>
      <c r="I259" s="93"/>
      <c r="J259" s="93"/>
      <c r="K259" s="93"/>
      <c r="L259" s="93"/>
      <c r="M259" s="93"/>
      <c r="N259" s="93"/>
      <c r="O259" s="93"/>
    </row>
    <row r="260" ht="15.75" customHeight="1">
      <c r="A260" s="17">
        <f t="shared" si="2"/>
        <v>94</v>
      </c>
      <c r="B260" s="1364"/>
      <c r="C260" s="18"/>
      <c r="D260" s="87" t="s">
        <v>232</v>
      </c>
      <c r="E260" s="77" t="s">
        <v>193</v>
      </c>
      <c r="F260" s="1348" t="s">
        <v>27</v>
      </c>
      <c r="G260" s="93"/>
      <c r="H260" s="93"/>
      <c r="I260" s="93"/>
      <c r="J260" s="93"/>
      <c r="K260" s="93"/>
      <c r="L260" s="93"/>
      <c r="M260" s="93"/>
      <c r="N260" s="93"/>
      <c r="O260" s="93"/>
    </row>
    <row r="261" ht="15.75" customHeight="1">
      <c r="A261" s="17">
        <f t="shared" si="2"/>
        <v>95</v>
      </c>
      <c r="B261" s="1364"/>
      <c r="C261" s="18"/>
      <c r="D261" s="87" t="s">
        <v>233</v>
      </c>
      <c r="E261" s="77" t="s">
        <v>193</v>
      </c>
      <c r="F261" s="1348" t="s">
        <v>30</v>
      </c>
      <c r="G261" s="93"/>
      <c r="H261" s="93"/>
      <c r="I261" s="93"/>
      <c r="J261" s="93"/>
      <c r="K261" s="93"/>
      <c r="L261" s="93"/>
      <c r="M261" s="93"/>
      <c r="N261" s="93"/>
      <c r="O261" s="93"/>
    </row>
    <row r="262" ht="15.75" customHeight="1">
      <c r="A262" s="17">
        <f t="shared" si="2"/>
        <v>96</v>
      </c>
      <c r="B262" s="1364"/>
      <c r="C262" s="18"/>
      <c r="D262" s="103" t="s">
        <v>250</v>
      </c>
      <c r="E262" s="77" t="s">
        <v>236</v>
      </c>
      <c r="F262" s="1348" t="s">
        <v>33</v>
      </c>
      <c r="G262" s="93"/>
      <c r="H262" s="93"/>
      <c r="I262" s="93"/>
      <c r="J262" s="93"/>
      <c r="K262" s="93"/>
      <c r="L262" s="93"/>
      <c r="M262" s="93"/>
      <c r="N262" s="93"/>
      <c r="O262" s="93"/>
    </row>
    <row r="263" ht="15.75" customHeight="1">
      <c r="A263" s="17">
        <f t="shared" si="2"/>
        <v>97</v>
      </c>
      <c r="B263" s="1364"/>
      <c r="C263" s="18"/>
      <c r="D263" s="103" t="s">
        <v>238</v>
      </c>
      <c r="E263" s="77" t="s">
        <v>236</v>
      </c>
      <c r="F263" s="1348" t="s">
        <v>27</v>
      </c>
      <c r="G263" s="93"/>
      <c r="H263" s="93"/>
      <c r="I263" s="93"/>
      <c r="J263" s="93"/>
      <c r="K263" s="93"/>
      <c r="L263" s="93"/>
      <c r="M263" s="93"/>
      <c r="N263" s="93"/>
      <c r="O263" s="93"/>
    </row>
    <row r="264" ht="15.75" customHeight="1">
      <c r="A264" s="17">
        <f t="shared" si="2"/>
        <v>98</v>
      </c>
      <c r="B264" s="1364"/>
      <c r="C264" s="18"/>
      <c r="D264" s="103" t="s">
        <v>252</v>
      </c>
      <c r="E264" s="77" t="s">
        <v>236</v>
      </c>
      <c r="F264" s="1348" t="s">
        <v>30</v>
      </c>
      <c r="G264" s="93"/>
      <c r="H264" s="93"/>
      <c r="I264" s="93"/>
      <c r="J264" s="93"/>
      <c r="K264" s="93"/>
      <c r="L264" s="93"/>
      <c r="M264" s="93"/>
      <c r="N264" s="93"/>
      <c r="O264" s="93"/>
    </row>
    <row r="265" ht="15.75" customHeight="1">
      <c r="A265" s="17">
        <f t="shared" si="2"/>
        <v>99</v>
      </c>
      <c r="B265" s="1364"/>
      <c r="C265" s="18"/>
      <c r="D265" s="103" t="s">
        <v>254</v>
      </c>
      <c r="E265" s="77" t="s">
        <v>236</v>
      </c>
      <c r="F265" s="1348" t="s">
        <v>27</v>
      </c>
      <c r="G265" s="93"/>
      <c r="H265" s="93"/>
      <c r="I265" s="93"/>
      <c r="J265" s="93"/>
      <c r="K265" s="93"/>
      <c r="L265" s="93"/>
      <c r="M265" s="93"/>
      <c r="N265" s="93"/>
      <c r="O265" s="93"/>
    </row>
    <row r="266" ht="15.75" customHeight="1">
      <c r="A266" s="17">
        <f t="shared" si="2"/>
        <v>100</v>
      </c>
      <c r="B266" s="1364"/>
      <c r="C266" s="18"/>
      <c r="D266" s="103" t="s">
        <v>256</v>
      </c>
      <c r="E266" s="77" t="s">
        <v>236</v>
      </c>
      <c r="F266" s="1348" t="s">
        <v>30</v>
      </c>
      <c r="G266" s="93"/>
      <c r="H266" s="93"/>
      <c r="I266" s="93"/>
      <c r="J266" s="93"/>
      <c r="K266" s="93"/>
      <c r="L266" s="93"/>
      <c r="M266" s="93"/>
      <c r="N266" s="93"/>
      <c r="O266" s="93"/>
    </row>
    <row r="267" ht="15.75" customHeight="1">
      <c r="A267" s="17">
        <f t="shared" si="2"/>
        <v>101</v>
      </c>
      <c r="B267" s="1364"/>
      <c r="C267" s="18"/>
      <c r="D267" s="103" t="s">
        <v>258</v>
      </c>
      <c r="E267" s="77" t="s">
        <v>236</v>
      </c>
      <c r="F267" s="1348" t="s">
        <v>30</v>
      </c>
      <c r="G267" s="93"/>
      <c r="H267" s="93"/>
      <c r="I267" s="93"/>
      <c r="J267" s="93"/>
      <c r="K267" s="93"/>
      <c r="L267" s="93"/>
      <c r="M267" s="93"/>
      <c r="N267" s="93"/>
      <c r="O267" s="93"/>
    </row>
    <row r="268" ht="15.75" customHeight="1">
      <c r="A268" s="17">
        <f t="shared" si="2"/>
        <v>102</v>
      </c>
      <c r="B268" s="1364"/>
      <c r="C268" s="18"/>
      <c r="D268" s="103" t="s">
        <v>260</v>
      </c>
      <c r="E268" s="77" t="s">
        <v>236</v>
      </c>
      <c r="F268" s="1348" t="s">
        <v>27</v>
      </c>
      <c r="G268" s="93"/>
      <c r="H268" s="93"/>
      <c r="I268" s="93"/>
      <c r="J268" s="93"/>
      <c r="K268" s="93"/>
      <c r="L268" s="93"/>
      <c r="M268" s="93"/>
      <c r="N268" s="93"/>
      <c r="O268" s="93"/>
    </row>
    <row r="269" ht="15.75" customHeight="1">
      <c r="A269" s="17">
        <f t="shared" si="2"/>
        <v>103</v>
      </c>
      <c r="B269" s="1364"/>
      <c r="C269" s="18"/>
      <c r="D269" s="103" t="s">
        <v>262</v>
      </c>
      <c r="E269" s="77" t="s">
        <v>236</v>
      </c>
      <c r="F269" s="1348" t="s">
        <v>30</v>
      </c>
      <c r="G269" s="93"/>
      <c r="H269" s="93"/>
      <c r="I269" s="93"/>
      <c r="J269" s="93"/>
      <c r="K269" s="93"/>
      <c r="L269" s="93"/>
      <c r="M269" s="93"/>
      <c r="N269" s="93"/>
      <c r="O269" s="93"/>
    </row>
    <row r="270" ht="15.75" customHeight="1">
      <c r="A270" s="17">
        <f t="shared" si="2"/>
        <v>104</v>
      </c>
      <c r="B270" s="1364"/>
      <c r="C270" s="18"/>
      <c r="D270" s="103" t="s">
        <v>240</v>
      </c>
      <c r="E270" s="77" t="s">
        <v>236</v>
      </c>
      <c r="F270" s="1348" t="s">
        <v>27</v>
      </c>
      <c r="G270" s="93"/>
      <c r="H270" s="93"/>
      <c r="I270" s="93"/>
      <c r="J270" s="93"/>
      <c r="K270" s="93"/>
      <c r="L270" s="93"/>
      <c r="M270" s="93"/>
      <c r="N270" s="93"/>
      <c r="O270" s="93"/>
    </row>
    <row r="271" ht="15.75" customHeight="1">
      <c r="A271" s="17">
        <f t="shared" si="2"/>
        <v>105</v>
      </c>
      <c r="B271" s="1364"/>
      <c r="C271" s="18"/>
      <c r="D271" s="103" t="s">
        <v>264</v>
      </c>
      <c r="E271" s="77" t="s">
        <v>236</v>
      </c>
      <c r="F271" s="1348" t="s">
        <v>33</v>
      </c>
      <c r="G271" s="93"/>
      <c r="H271" s="93"/>
      <c r="I271" s="93"/>
      <c r="J271" s="93"/>
      <c r="K271" s="93"/>
      <c r="L271" s="93"/>
      <c r="M271" s="93"/>
      <c r="N271" s="93"/>
      <c r="O271" s="93"/>
    </row>
    <row r="272" ht="15.75" customHeight="1">
      <c r="A272" s="17">
        <f t="shared" si="2"/>
        <v>106</v>
      </c>
      <c r="B272" s="1364"/>
      <c r="C272" s="18"/>
      <c r="D272" s="103" t="s">
        <v>266</v>
      </c>
      <c r="E272" s="77" t="s">
        <v>236</v>
      </c>
      <c r="F272" s="1348" t="s">
        <v>27</v>
      </c>
      <c r="G272" s="93"/>
      <c r="H272" s="93"/>
      <c r="I272" s="93"/>
      <c r="J272" s="93"/>
      <c r="K272" s="93"/>
      <c r="L272" s="93"/>
      <c r="M272" s="93"/>
      <c r="N272" s="93"/>
      <c r="O272" s="93"/>
    </row>
    <row r="273" ht="15.75" customHeight="1">
      <c r="A273" s="17">
        <f t="shared" si="2"/>
        <v>107</v>
      </c>
      <c r="B273" s="1364"/>
      <c r="C273" s="18"/>
      <c r="D273" s="103" t="s">
        <v>268</v>
      </c>
      <c r="E273" s="77" t="s">
        <v>236</v>
      </c>
      <c r="F273" s="1348" t="s">
        <v>30</v>
      </c>
      <c r="G273" s="93"/>
      <c r="H273" s="93"/>
      <c r="I273" s="93"/>
      <c r="J273" s="93"/>
      <c r="K273" s="93"/>
      <c r="L273" s="93"/>
      <c r="M273" s="93"/>
      <c r="N273" s="93"/>
      <c r="O273" s="93"/>
    </row>
    <row r="274" ht="15.75" customHeight="1">
      <c r="A274" s="17">
        <f t="shared" si="2"/>
        <v>108</v>
      </c>
      <c r="B274" s="1364"/>
      <c r="C274" s="18"/>
      <c r="D274" s="103" t="s">
        <v>242</v>
      </c>
      <c r="E274" s="77" t="s">
        <v>236</v>
      </c>
      <c r="F274" s="1348" t="s">
        <v>30</v>
      </c>
      <c r="G274" s="93"/>
      <c r="H274" s="93"/>
      <c r="I274" s="93"/>
      <c r="J274" s="93"/>
      <c r="K274" s="93"/>
      <c r="L274" s="93"/>
      <c r="M274" s="93"/>
      <c r="N274" s="93"/>
      <c r="O274" s="93"/>
    </row>
    <row r="275" ht="15.75" customHeight="1">
      <c r="A275" s="17">
        <f t="shared" si="2"/>
        <v>109</v>
      </c>
      <c r="B275" s="1364"/>
      <c r="C275" s="18"/>
      <c r="D275" s="103" t="s">
        <v>270</v>
      </c>
      <c r="E275" s="77" t="s">
        <v>236</v>
      </c>
      <c r="F275" s="1348" t="s">
        <v>30</v>
      </c>
      <c r="G275" s="93"/>
      <c r="H275" s="93"/>
      <c r="I275" s="93"/>
      <c r="J275" s="93"/>
      <c r="K275" s="93"/>
      <c r="L275" s="93"/>
      <c r="M275" s="93"/>
      <c r="N275" s="93"/>
      <c r="O275" s="93"/>
    </row>
    <row r="276" ht="15.75" customHeight="1">
      <c r="A276" s="17">
        <f t="shared" si="2"/>
        <v>110</v>
      </c>
      <c r="B276" s="1364"/>
      <c r="C276" s="18"/>
      <c r="D276" s="103" t="s">
        <v>272</v>
      </c>
      <c r="E276" s="77" t="s">
        <v>236</v>
      </c>
      <c r="F276" s="1348" t="s">
        <v>27</v>
      </c>
      <c r="G276" s="93"/>
      <c r="H276" s="93"/>
      <c r="I276" s="93"/>
      <c r="J276" s="93"/>
      <c r="K276" s="93"/>
      <c r="L276" s="93"/>
      <c r="M276" s="93"/>
      <c r="N276" s="93"/>
      <c r="O276" s="93"/>
    </row>
    <row r="277" ht="15.75" customHeight="1">
      <c r="A277" s="17">
        <f t="shared" si="2"/>
        <v>111</v>
      </c>
      <c r="B277" s="1364"/>
      <c r="C277" s="18"/>
      <c r="D277" s="103" t="s">
        <v>274</v>
      </c>
      <c r="E277" s="77" t="s">
        <v>236</v>
      </c>
      <c r="F277" s="1348" t="s">
        <v>27</v>
      </c>
      <c r="G277" s="93"/>
      <c r="H277" s="93"/>
      <c r="I277" s="93"/>
      <c r="J277" s="93"/>
      <c r="K277" s="93"/>
      <c r="L277" s="93"/>
      <c r="M277" s="93"/>
      <c r="N277" s="93"/>
      <c r="O277" s="93"/>
    </row>
    <row r="278" ht="15.75" customHeight="1">
      <c r="A278" s="17">
        <f t="shared" si="2"/>
        <v>112</v>
      </c>
      <c r="B278" s="1364"/>
      <c r="C278" s="18"/>
      <c r="D278" s="103" t="s">
        <v>276</v>
      </c>
      <c r="E278" s="77" t="s">
        <v>236</v>
      </c>
      <c r="F278" s="1348" t="s">
        <v>27</v>
      </c>
      <c r="G278" s="93"/>
      <c r="H278" s="93"/>
      <c r="I278" s="93"/>
      <c r="J278" s="93"/>
      <c r="K278" s="93"/>
      <c r="L278" s="93"/>
      <c r="M278" s="93"/>
      <c r="N278" s="93"/>
      <c r="O278" s="93"/>
    </row>
    <row r="279" ht="15.75" customHeight="1">
      <c r="A279" s="17">
        <f t="shared" si="2"/>
        <v>113</v>
      </c>
      <c r="B279" s="1364"/>
      <c r="C279" s="18"/>
      <c r="D279" s="103" t="s">
        <v>278</v>
      </c>
      <c r="E279" s="77" t="s">
        <v>236</v>
      </c>
      <c r="F279" s="1348" t="s">
        <v>27</v>
      </c>
      <c r="G279" s="93"/>
      <c r="H279" s="93"/>
      <c r="I279" s="93"/>
      <c r="J279" s="93"/>
      <c r="K279" s="93"/>
      <c r="L279" s="93"/>
      <c r="M279" s="93"/>
      <c r="N279" s="93"/>
      <c r="O279" s="93"/>
    </row>
    <row r="280" ht="15.75" customHeight="1">
      <c r="A280" s="17">
        <f t="shared" si="2"/>
        <v>114</v>
      </c>
      <c r="B280" s="1364"/>
      <c r="C280" s="18"/>
      <c r="D280" s="103" t="s">
        <v>280</v>
      </c>
      <c r="E280" s="77" t="s">
        <v>236</v>
      </c>
      <c r="F280" s="1348" t="s">
        <v>281</v>
      </c>
      <c r="G280" s="93"/>
      <c r="H280" s="93"/>
      <c r="I280" s="93"/>
      <c r="J280" s="93"/>
      <c r="K280" s="93"/>
      <c r="L280" s="93"/>
      <c r="M280" s="93"/>
      <c r="N280" s="93"/>
      <c r="O280" s="93"/>
    </row>
    <row r="281" ht="15.75" customHeight="1">
      <c r="A281" s="17">
        <f t="shared" si="2"/>
        <v>115</v>
      </c>
      <c r="B281" s="1364"/>
      <c r="C281" s="18"/>
      <c r="D281" s="103" t="s">
        <v>283</v>
      </c>
      <c r="E281" s="77" t="s">
        <v>236</v>
      </c>
      <c r="F281" s="1348" t="s">
        <v>284</v>
      </c>
      <c r="G281" s="93"/>
      <c r="H281" s="93"/>
      <c r="I281" s="93"/>
      <c r="J281" s="93"/>
      <c r="K281" s="93"/>
      <c r="L281" s="93"/>
      <c r="M281" s="93"/>
      <c r="N281" s="93"/>
      <c r="O281" s="93"/>
    </row>
    <row r="282" ht="15.75" customHeight="1">
      <c r="A282" s="17">
        <f t="shared" si="2"/>
        <v>116</v>
      </c>
      <c r="B282" s="1364"/>
      <c r="C282" s="18"/>
      <c r="D282" s="103" t="s">
        <v>286</v>
      </c>
      <c r="E282" s="77" t="s">
        <v>236</v>
      </c>
      <c r="F282" s="1348" t="s">
        <v>221</v>
      </c>
      <c r="G282" s="93"/>
      <c r="H282" s="93"/>
      <c r="I282" s="93"/>
      <c r="J282" s="93"/>
      <c r="K282" s="93"/>
      <c r="L282" s="93"/>
      <c r="M282" s="93"/>
      <c r="N282" s="93"/>
      <c r="O282" s="93"/>
    </row>
    <row r="283" ht="15.75" customHeight="1">
      <c r="A283" s="17">
        <f t="shared" si="2"/>
        <v>117</v>
      </c>
      <c r="B283" s="1364"/>
      <c r="C283" s="18"/>
      <c r="D283" s="103" t="s">
        <v>235</v>
      </c>
      <c r="E283" s="77" t="s">
        <v>236</v>
      </c>
      <c r="F283" s="1348" t="s">
        <v>27</v>
      </c>
      <c r="G283" s="93"/>
      <c r="H283" s="93"/>
      <c r="I283" s="93"/>
      <c r="J283" s="93"/>
      <c r="K283" s="93"/>
      <c r="L283" s="93"/>
      <c r="M283" s="93"/>
      <c r="N283" s="93"/>
      <c r="O283" s="93"/>
    </row>
    <row r="284" ht="15.75" customHeight="1">
      <c r="A284" s="17">
        <f t="shared" si="2"/>
        <v>118</v>
      </c>
      <c r="B284" s="1365"/>
      <c r="C284" s="1366"/>
      <c r="D284" s="81" t="s">
        <v>189</v>
      </c>
      <c r="E284" s="82" t="s">
        <v>184</v>
      </c>
      <c r="F284" s="1356" t="s">
        <v>185</v>
      </c>
      <c r="G284" s="93"/>
      <c r="H284" s="93"/>
      <c r="I284" s="93"/>
      <c r="J284" s="93"/>
      <c r="K284" s="93"/>
      <c r="L284" s="93"/>
      <c r="M284" s="93"/>
      <c r="N284" s="93"/>
      <c r="O284" s="93"/>
    </row>
    <row r="285" ht="15.75" customHeight="1">
      <c r="A285" s="17">
        <f t="shared" si="2"/>
        <v>119</v>
      </c>
      <c r="B285" s="1367"/>
      <c r="C285" s="93"/>
      <c r="D285" s="93"/>
      <c r="E285" s="93"/>
      <c r="F285" s="1350"/>
      <c r="G285" s="93"/>
      <c r="H285" s="93"/>
      <c r="I285" s="93"/>
      <c r="J285" s="93"/>
      <c r="K285" s="93"/>
      <c r="L285" s="93"/>
      <c r="M285" s="93"/>
      <c r="N285" s="93"/>
      <c r="O285" s="93"/>
    </row>
    <row r="286" ht="15.75" customHeight="1">
      <c r="A286" s="17">
        <f t="shared" si="2"/>
        <v>120</v>
      </c>
      <c r="B286" s="94"/>
      <c r="C286" s="93"/>
      <c r="D286" s="93"/>
      <c r="E286" s="93"/>
      <c r="F286" s="1350"/>
      <c r="G286" s="93"/>
      <c r="H286" s="93"/>
      <c r="I286" s="93"/>
      <c r="J286" s="93"/>
      <c r="K286" s="93"/>
      <c r="L286" s="93"/>
      <c r="M286" s="93"/>
      <c r="N286" s="93"/>
      <c r="O286" s="93"/>
    </row>
    <row r="287" ht="15.75" customHeight="1">
      <c r="A287" s="17">
        <f t="shared" si="2"/>
        <v>121</v>
      </c>
      <c r="B287" s="94"/>
      <c r="C287" s="93"/>
      <c r="D287" s="93"/>
      <c r="E287" s="93"/>
      <c r="F287" s="1350"/>
      <c r="G287" s="93"/>
      <c r="H287" s="93"/>
      <c r="I287" s="93"/>
      <c r="J287" s="93"/>
      <c r="K287" s="93"/>
      <c r="L287" s="93"/>
      <c r="M287" s="93"/>
      <c r="N287" s="93"/>
      <c r="O287" s="93"/>
    </row>
    <row r="288" ht="15.75" customHeight="1">
      <c r="A288" s="17">
        <f t="shared" si="2"/>
        <v>122</v>
      </c>
      <c r="B288" s="94"/>
      <c r="C288" s="93"/>
      <c r="D288" s="93"/>
      <c r="E288" s="93"/>
      <c r="F288" s="1350"/>
      <c r="G288" s="93"/>
      <c r="H288" s="93"/>
      <c r="I288" s="93"/>
      <c r="J288" s="93"/>
      <c r="K288" s="93"/>
      <c r="L288" s="93"/>
      <c r="M288" s="93"/>
      <c r="N288" s="93"/>
      <c r="O288" s="93"/>
    </row>
    <row r="289" ht="15.75" customHeight="1">
      <c r="A289" s="17">
        <f t="shared" si="2"/>
        <v>123</v>
      </c>
      <c r="B289" s="94"/>
      <c r="C289" s="93"/>
      <c r="D289" s="93"/>
      <c r="E289" s="93"/>
      <c r="F289" s="1350"/>
      <c r="G289" s="93"/>
      <c r="H289" s="93"/>
      <c r="I289" s="93"/>
      <c r="J289" s="93"/>
      <c r="K289" s="93"/>
      <c r="L289" s="93"/>
      <c r="M289" s="93"/>
      <c r="N289" s="93"/>
      <c r="O289" s="93"/>
    </row>
    <row r="290" ht="15.75" customHeight="1">
      <c r="A290" s="17">
        <f t="shared" si="2"/>
        <v>124</v>
      </c>
      <c r="B290" s="94"/>
      <c r="C290" s="93"/>
      <c r="D290" s="93"/>
      <c r="E290" s="93"/>
      <c r="F290" s="1350"/>
      <c r="G290" s="93"/>
      <c r="H290" s="93"/>
      <c r="I290" s="93"/>
      <c r="J290" s="93"/>
      <c r="K290" s="93"/>
      <c r="L290" s="93"/>
      <c r="M290" s="93"/>
      <c r="N290" s="93"/>
      <c r="O290" s="93"/>
    </row>
    <row r="291" ht="15.75" customHeight="1">
      <c r="A291" s="17">
        <f t="shared" si="2"/>
        <v>125</v>
      </c>
      <c r="B291" s="94"/>
      <c r="C291" s="93"/>
      <c r="D291" s="93"/>
      <c r="E291" s="93"/>
      <c r="F291" s="1350"/>
      <c r="G291" s="93"/>
      <c r="H291" s="93"/>
      <c r="I291" s="93"/>
      <c r="J291" s="93"/>
      <c r="K291" s="93"/>
      <c r="L291" s="93"/>
      <c r="M291" s="93"/>
      <c r="N291" s="93"/>
      <c r="O291" s="93"/>
    </row>
    <row r="292" ht="15.75" customHeight="1">
      <c r="A292" s="17">
        <f t="shared" si="2"/>
        <v>126</v>
      </c>
      <c r="B292" s="94"/>
      <c r="C292" s="93"/>
      <c r="D292" s="93"/>
      <c r="E292" s="93"/>
      <c r="F292" s="1350"/>
      <c r="G292" s="93"/>
      <c r="H292" s="93"/>
      <c r="I292" s="93"/>
      <c r="J292" s="93"/>
      <c r="K292" s="93"/>
      <c r="L292" s="93"/>
      <c r="M292" s="93"/>
      <c r="N292" s="93"/>
      <c r="O292" s="93"/>
    </row>
    <row r="293" ht="15.75" customHeight="1">
      <c r="A293" s="7"/>
      <c r="B293" s="94"/>
      <c r="C293" s="93"/>
      <c r="D293" s="93"/>
      <c r="E293" s="93"/>
      <c r="F293" s="1350"/>
      <c r="G293" s="93"/>
      <c r="H293" s="93"/>
      <c r="I293" s="93"/>
      <c r="J293" s="93"/>
      <c r="K293" s="93"/>
      <c r="L293" s="93"/>
      <c r="M293" s="93"/>
      <c r="N293" s="93"/>
      <c r="O293" s="93"/>
    </row>
    <row r="294" ht="15.75" customHeight="1">
      <c r="A294" s="7"/>
      <c r="B294" s="94"/>
      <c r="C294" s="93"/>
      <c r="D294" s="93"/>
      <c r="E294" s="93"/>
      <c r="F294" s="1350"/>
      <c r="G294" s="93"/>
      <c r="H294" s="93"/>
      <c r="I294" s="93"/>
      <c r="J294" s="93"/>
      <c r="K294" s="93"/>
      <c r="L294" s="93"/>
      <c r="M294" s="93"/>
      <c r="N294" s="93"/>
      <c r="O294" s="93"/>
    </row>
    <row r="295" ht="15.75" customHeight="1">
      <c r="A295" s="7"/>
      <c r="B295" s="94"/>
      <c r="C295" s="93"/>
      <c r="D295" s="93"/>
      <c r="E295" s="93"/>
      <c r="F295" s="1350"/>
      <c r="G295" s="93"/>
      <c r="H295" s="93"/>
      <c r="I295" s="93"/>
      <c r="J295" s="93"/>
      <c r="K295" s="93"/>
      <c r="L295" s="93"/>
      <c r="M295" s="93"/>
      <c r="N295" s="93"/>
      <c r="O295" s="93"/>
    </row>
    <row r="296" ht="15.75" customHeight="1">
      <c r="A296" s="7"/>
      <c r="B296" s="94"/>
      <c r="C296" s="93"/>
      <c r="D296" s="93"/>
      <c r="E296" s="93"/>
      <c r="F296" s="1350"/>
      <c r="G296" s="93"/>
      <c r="H296" s="93"/>
      <c r="I296" s="93"/>
      <c r="J296" s="93"/>
      <c r="K296" s="93"/>
      <c r="L296" s="93"/>
      <c r="M296" s="93"/>
      <c r="N296" s="93"/>
      <c r="O296" s="93"/>
    </row>
    <row r="297" ht="15.75" customHeight="1">
      <c r="A297" s="7"/>
      <c r="B297" s="94"/>
      <c r="C297" s="93"/>
      <c r="D297" s="93"/>
      <c r="E297" s="93"/>
      <c r="F297" s="1350"/>
      <c r="G297" s="93"/>
      <c r="H297" s="93"/>
      <c r="I297" s="93"/>
      <c r="J297" s="93"/>
      <c r="K297" s="93"/>
      <c r="L297" s="93"/>
      <c r="M297" s="93"/>
      <c r="N297" s="93"/>
      <c r="O297" s="93"/>
    </row>
    <row r="298" ht="15.75" customHeight="1">
      <c r="A298" s="7"/>
      <c r="B298" s="94"/>
      <c r="C298" s="93"/>
      <c r="D298" s="93"/>
      <c r="E298" s="93"/>
      <c r="F298" s="1350"/>
      <c r="G298" s="93"/>
      <c r="H298" s="93"/>
      <c r="I298" s="93"/>
      <c r="J298" s="93"/>
      <c r="K298" s="93"/>
      <c r="L298" s="93"/>
      <c r="M298" s="93"/>
      <c r="N298" s="93"/>
      <c r="O298" s="93"/>
    </row>
    <row r="299" ht="15.75" customHeight="1">
      <c r="A299" s="7"/>
      <c r="B299" s="94"/>
      <c r="C299" s="93"/>
      <c r="D299" s="93"/>
      <c r="E299" s="93"/>
      <c r="F299" s="1350"/>
      <c r="G299" s="93"/>
      <c r="H299" s="93"/>
      <c r="I299" s="93"/>
      <c r="J299" s="93"/>
      <c r="K299" s="93"/>
      <c r="L299" s="93"/>
      <c r="M299" s="93"/>
      <c r="N299" s="93"/>
      <c r="O299" s="93"/>
    </row>
    <row r="300" ht="15.75" customHeight="1">
      <c r="A300" s="7"/>
      <c r="B300" s="94"/>
      <c r="C300" s="93"/>
      <c r="D300" s="93"/>
      <c r="E300" s="93"/>
      <c r="F300" s="1350"/>
      <c r="G300" s="93"/>
      <c r="H300" s="93"/>
      <c r="I300" s="93"/>
      <c r="J300" s="93"/>
      <c r="K300" s="93"/>
      <c r="L300" s="93"/>
      <c r="M300" s="93"/>
      <c r="N300" s="93"/>
      <c r="O300" s="93"/>
    </row>
    <row r="301" ht="15.75" customHeight="1">
      <c r="A301" s="7"/>
      <c r="C301" s="93"/>
      <c r="D301" s="93"/>
      <c r="E301" s="93"/>
      <c r="F301" s="1350"/>
      <c r="G301" s="93"/>
      <c r="H301" s="93"/>
      <c r="I301" s="93"/>
      <c r="J301" s="93"/>
      <c r="K301" s="93"/>
      <c r="L301" s="93"/>
      <c r="M301" s="93"/>
      <c r="N301" s="93"/>
      <c r="O301" s="93"/>
    </row>
    <row r="302" ht="15.75" customHeight="1">
      <c r="A302" s="7"/>
      <c r="B302" s="94"/>
      <c r="C302" s="93"/>
      <c r="D302" s="93"/>
      <c r="E302" s="93"/>
      <c r="F302" s="1350"/>
      <c r="G302" s="93"/>
      <c r="H302" s="93"/>
      <c r="I302" s="93"/>
      <c r="J302" s="93"/>
      <c r="K302" s="93"/>
      <c r="L302" s="93"/>
      <c r="M302" s="93"/>
      <c r="N302" s="93"/>
      <c r="O302" s="93"/>
    </row>
    <row r="303" ht="15.75" customHeight="1">
      <c r="A303" s="7"/>
      <c r="B303" s="94"/>
      <c r="C303" s="93"/>
      <c r="D303" s="93"/>
      <c r="E303" s="93"/>
      <c r="F303" s="1350"/>
      <c r="G303" s="93"/>
      <c r="H303" s="93"/>
      <c r="I303" s="93"/>
      <c r="J303" s="93"/>
      <c r="K303" s="93"/>
      <c r="L303" s="93"/>
      <c r="M303" s="93"/>
      <c r="N303" s="93"/>
      <c r="O303" s="93"/>
    </row>
    <row r="304" ht="15.75" customHeight="1">
      <c r="A304" s="7"/>
      <c r="B304" s="94"/>
      <c r="C304" s="93"/>
      <c r="D304" s="93"/>
      <c r="E304" s="93"/>
      <c r="F304" s="1350"/>
      <c r="G304" s="93"/>
      <c r="H304" s="93"/>
      <c r="I304" s="93"/>
      <c r="J304" s="93"/>
      <c r="K304" s="93"/>
      <c r="L304" s="93"/>
      <c r="M304" s="93"/>
      <c r="N304" s="93"/>
      <c r="O304" s="93"/>
    </row>
    <row r="305" ht="15.75" customHeight="1">
      <c r="A305" s="7"/>
      <c r="C305" s="93"/>
      <c r="D305" s="93"/>
      <c r="E305" s="93"/>
      <c r="F305" s="1350"/>
      <c r="G305" s="93"/>
      <c r="H305" s="93"/>
      <c r="I305" s="93"/>
      <c r="J305" s="93"/>
      <c r="K305" s="93"/>
      <c r="L305" s="93"/>
      <c r="M305" s="93"/>
      <c r="N305" s="93"/>
      <c r="O305" s="93"/>
    </row>
    <row r="306" ht="15.75" customHeight="1">
      <c r="A306" s="7"/>
      <c r="C306" s="93"/>
      <c r="D306" s="93"/>
      <c r="E306" s="15"/>
      <c r="F306" s="1350"/>
      <c r="G306" s="93"/>
      <c r="H306" s="93"/>
      <c r="I306" s="93"/>
      <c r="J306" s="93"/>
      <c r="K306" s="93"/>
      <c r="L306" s="93"/>
      <c r="M306" s="93"/>
      <c r="N306" s="93"/>
      <c r="O306" s="93"/>
    </row>
    <row r="307" ht="15.75" customHeight="1">
      <c r="A307" s="7"/>
      <c r="C307" s="93"/>
      <c r="D307" s="93"/>
      <c r="E307" s="15"/>
      <c r="F307" s="1350"/>
      <c r="G307" s="93"/>
      <c r="H307" s="93"/>
      <c r="I307" s="93"/>
      <c r="J307" s="93"/>
      <c r="K307" s="93"/>
      <c r="L307" s="93"/>
      <c r="M307" s="93"/>
      <c r="N307" s="93"/>
      <c r="O307" s="93"/>
    </row>
    <row r="308" ht="15.75" customHeight="1">
      <c r="A308" s="7"/>
      <c r="C308" s="93"/>
      <c r="D308" s="93"/>
      <c r="E308" s="15"/>
      <c r="F308" s="1350"/>
      <c r="G308" s="93"/>
      <c r="H308" s="93"/>
      <c r="I308" s="93"/>
      <c r="J308" s="93"/>
      <c r="K308" s="93"/>
      <c r="L308" s="93"/>
      <c r="M308" s="93"/>
      <c r="N308" s="93"/>
      <c r="O308" s="93"/>
    </row>
    <row r="309" ht="15.75" customHeight="1">
      <c r="A309" s="7"/>
      <c r="C309" s="93"/>
      <c r="D309" s="93"/>
      <c r="E309" s="15"/>
      <c r="F309" s="1350"/>
      <c r="G309" s="93"/>
      <c r="H309" s="93"/>
      <c r="I309" s="93"/>
      <c r="J309" s="93"/>
      <c r="K309" s="93"/>
      <c r="L309" s="93"/>
      <c r="M309" s="93"/>
      <c r="N309" s="93"/>
      <c r="O309" s="93"/>
    </row>
    <row r="310" ht="15.75" customHeight="1">
      <c r="A310" s="7"/>
      <c r="C310" s="93"/>
      <c r="D310" s="93"/>
      <c r="E310" s="15"/>
      <c r="F310" s="1350"/>
      <c r="G310" s="93"/>
      <c r="H310" s="93"/>
      <c r="I310" s="93"/>
      <c r="J310" s="93"/>
      <c r="K310" s="93"/>
      <c r="L310" s="93"/>
      <c r="M310" s="93"/>
      <c r="N310" s="93"/>
      <c r="O310" s="93"/>
    </row>
    <row r="311" ht="15.75" customHeight="1">
      <c r="A311" s="7"/>
      <c r="C311" s="93"/>
      <c r="D311" s="93"/>
      <c r="E311" s="15"/>
      <c r="F311" s="1350"/>
      <c r="G311" s="93"/>
      <c r="H311" s="93"/>
      <c r="I311" s="93"/>
      <c r="J311" s="93"/>
      <c r="K311" s="93"/>
      <c r="L311" s="93"/>
      <c r="M311" s="93"/>
      <c r="N311" s="93"/>
      <c r="O311" s="93"/>
    </row>
    <row r="312" ht="15.75" customHeight="1">
      <c r="A312" s="7"/>
      <c r="C312" s="93"/>
      <c r="D312" s="93"/>
      <c r="E312" s="15"/>
      <c r="F312" s="1350"/>
      <c r="G312" s="93"/>
      <c r="H312" s="93"/>
      <c r="I312" s="93"/>
      <c r="J312" s="93"/>
      <c r="K312" s="93"/>
      <c r="L312" s="93"/>
      <c r="M312" s="93"/>
      <c r="N312" s="93"/>
      <c r="O312" s="93"/>
    </row>
    <row r="313" ht="15.75" customHeight="1">
      <c r="A313" s="7"/>
      <c r="C313" s="93"/>
      <c r="D313" s="93"/>
      <c r="E313" s="15"/>
      <c r="F313" s="1350"/>
      <c r="G313" s="93"/>
      <c r="H313" s="93"/>
      <c r="I313" s="93"/>
      <c r="J313" s="93"/>
      <c r="K313" s="93"/>
      <c r="L313" s="93"/>
      <c r="M313" s="93"/>
      <c r="N313" s="93"/>
      <c r="O313" s="93"/>
    </row>
    <row r="314" ht="15.75" customHeight="1">
      <c r="A314" s="7"/>
      <c r="C314" s="93"/>
      <c r="D314" s="93"/>
      <c r="E314" s="15"/>
      <c r="F314" s="1350"/>
      <c r="G314" s="93"/>
      <c r="H314" s="93"/>
      <c r="I314" s="93"/>
      <c r="J314" s="93"/>
      <c r="K314" s="93"/>
      <c r="L314" s="93"/>
      <c r="M314" s="93"/>
      <c r="N314" s="93"/>
      <c r="O314" s="93"/>
    </row>
    <row r="315" ht="15.75" customHeight="1">
      <c r="A315" s="7"/>
      <c r="C315" s="93"/>
      <c r="D315" s="93"/>
      <c r="E315" s="15"/>
      <c r="F315" s="1350"/>
      <c r="G315" s="93"/>
      <c r="H315" s="93"/>
      <c r="I315" s="93"/>
      <c r="J315" s="93"/>
      <c r="K315" s="93"/>
      <c r="L315" s="93"/>
      <c r="M315" s="93"/>
      <c r="N315" s="93"/>
      <c r="O315" s="93"/>
    </row>
    <row r="316" ht="15.75" customHeight="1">
      <c r="A316" s="7"/>
      <c r="C316" s="93"/>
      <c r="D316" s="93"/>
      <c r="E316" s="15"/>
      <c r="F316" s="1350"/>
      <c r="G316" s="93"/>
      <c r="H316" s="93"/>
      <c r="I316" s="93"/>
      <c r="J316" s="93"/>
      <c r="K316" s="93"/>
      <c r="L316" s="93"/>
      <c r="M316" s="93"/>
      <c r="N316" s="93"/>
      <c r="O316" s="93"/>
    </row>
    <row r="317" ht="15.75" customHeight="1">
      <c r="A317" s="7"/>
      <c r="C317" s="93"/>
      <c r="D317" s="93"/>
      <c r="E317" s="15"/>
      <c r="F317" s="1350"/>
      <c r="G317" s="93"/>
      <c r="H317" s="93"/>
      <c r="I317" s="93"/>
      <c r="J317" s="93"/>
      <c r="K317" s="93"/>
      <c r="L317" s="93"/>
      <c r="M317" s="93"/>
      <c r="N317" s="93"/>
      <c r="O317" s="93"/>
    </row>
    <row r="318" ht="15.75" customHeight="1">
      <c r="A318" s="7"/>
      <c r="C318" s="93"/>
      <c r="D318" s="93"/>
      <c r="E318" s="15"/>
      <c r="F318" s="1350"/>
      <c r="G318" s="93"/>
      <c r="H318" s="93"/>
      <c r="I318" s="93"/>
      <c r="J318" s="93"/>
      <c r="K318" s="93"/>
      <c r="L318" s="93"/>
      <c r="M318" s="93"/>
      <c r="N318" s="93"/>
      <c r="O318" s="93"/>
    </row>
    <row r="319" ht="15.75" customHeight="1">
      <c r="A319" s="7"/>
      <c r="C319" s="93"/>
      <c r="D319" s="93"/>
      <c r="E319" s="15"/>
      <c r="F319" s="1350"/>
      <c r="G319" s="93"/>
      <c r="H319" s="93"/>
      <c r="I319" s="93"/>
      <c r="J319" s="93"/>
      <c r="K319" s="93"/>
      <c r="L319" s="93"/>
      <c r="M319" s="93"/>
      <c r="N319" s="93"/>
      <c r="O319" s="93"/>
    </row>
    <row r="320" ht="15.75" customHeight="1">
      <c r="A320" s="7"/>
      <c r="C320" s="93"/>
      <c r="D320" s="93"/>
      <c r="E320" s="15"/>
      <c r="F320" s="1350"/>
      <c r="G320" s="93"/>
      <c r="H320" s="93"/>
      <c r="I320" s="93"/>
      <c r="J320" s="93"/>
      <c r="K320" s="93"/>
      <c r="L320" s="93"/>
      <c r="M320" s="93"/>
      <c r="N320" s="93"/>
      <c r="O320" s="93"/>
    </row>
    <row r="321" ht="15.75" customHeight="1">
      <c r="A321" s="7"/>
      <c r="C321" s="93"/>
      <c r="D321" s="93"/>
      <c r="E321" s="15"/>
      <c r="F321" s="1350"/>
      <c r="G321" s="93"/>
      <c r="H321" s="93"/>
      <c r="I321" s="93"/>
      <c r="J321" s="93"/>
      <c r="K321" s="93"/>
      <c r="L321" s="93"/>
      <c r="M321" s="93"/>
      <c r="N321" s="93"/>
      <c r="O321" s="93"/>
    </row>
    <row r="322" ht="15.75" customHeight="1">
      <c r="A322" s="7"/>
      <c r="C322" s="93"/>
      <c r="D322" s="93"/>
      <c r="E322" s="15"/>
      <c r="F322" s="1350"/>
      <c r="G322" s="93"/>
      <c r="H322" s="93"/>
      <c r="I322" s="93"/>
      <c r="J322" s="93"/>
      <c r="K322" s="93"/>
      <c r="L322" s="93"/>
      <c r="M322" s="93"/>
      <c r="N322" s="93"/>
      <c r="O322" s="93"/>
    </row>
    <row r="323" ht="15.75" customHeight="1">
      <c r="A323" s="7"/>
      <c r="C323" s="93"/>
      <c r="D323" s="93"/>
      <c r="E323" s="15"/>
      <c r="F323" s="1350"/>
      <c r="G323" s="93"/>
      <c r="H323" s="93"/>
      <c r="I323" s="93"/>
      <c r="J323" s="93"/>
      <c r="K323" s="93"/>
      <c r="L323" s="93"/>
      <c r="M323" s="93"/>
      <c r="N323" s="93"/>
      <c r="O323" s="93"/>
    </row>
    <row r="324" ht="15.75" customHeight="1">
      <c r="A324" s="7"/>
      <c r="C324" s="93"/>
      <c r="D324" s="93"/>
      <c r="E324" s="15"/>
      <c r="F324" s="1350"/>
      <c r="G324" s="93"/>
      <c r="H324" s="93"/>
      <c r="I324" s="93"/>
      <c r="J324" s="93"/>
      <c r="K324" s="93"/>
      <c r="L324" s="93"/>
      <c r="M324" s="93"/>
      <c r="N324" s="93"/>
      <c r="O324" s="93"/>
    </row>
    <row r="325" ht="15.75" customHeight="1">
      <c r="A325" s="7"/>
      <c r="C325" s="93"/>
      <c r="D325" s="93"/>
      <c r="E325" s="15"/>
      <c r="F325" s="1350"/>
      <c r="G325" s="93"/>
      <c r="H325" s="93"/>
      <c r="I325" s="93"/>
      <c r="J325" s="93"/>
      <c r="K325" s="93"/>
      <c r="L325" s="93"/>
      <c r="M325" s="93"/>
      <c r="N325" s="93"/>
      <c r="O325" s="93"/>
    </row>
    <row r="326" ht="15.75" customHeight="1">
      <c r="A326" s="7"/>
      <c r="C326" s="93"/>
      <c r="D326" s="93"/>
      <c r="E326" s="15"/>
      <c r="F326" s="1350"/>
      <c r="G326" s="93"/>
      <c r="H326" s="93"/>
      <c r="I326" s="93"/>
      <c r="J326" s="93"/>
      <c r="K326" s="93"/>
      <c r="L326" s="93"/>
      <c r="M326" s="93"/>
      <c r="N326" s="93"/>
      <c r="O326" s="93"/>
    </row>
    <row r="327" ht="15.75" customHeight="1">
      <c r="A327" s="7"/>
      <c r="C327" s="93"/>
      <c r="D327" s="93"/>
      <c r="E327" s="15"/>
      <c r="F327" s="1350"/>
      <c r="G327" s="93"/>
      <c r="H327" s="93"/>
      <c r="I327" s="93"/>
      <c r="J327" s="93"/>
      <c r="K327" s="93"/>
      <c r="L327" s="93"/>
      <c r="M327" s="93"/>
      <c r="N327" s="93"/>
      <c r="O327" s="93"/>
    </row>
    <row r="328" ht="15.75" customHeight="1">
      <c r="A328" s="7"/>
      <c r="C328" s="93"/>
      <c r="D328" s="93"/>
      <c r="E328" s="15"/>
      <c r="F328" s="1350"/>
      <c r="G328" s="93"/>
      <c r="H328" s="93"/>
      <c r="I328" s="93"/>
      <c r="J328" s="93"/>
      <c r="K328" s="93"/>
      <c r="L328" s="93"/>
      <c r="M328" s="93"/>
      <c r="N328" s="93"/>
      <c r="O328" s="93"/>
    </row>
    <row r="329" ht="15.75" customHeight="1">
      <c r="A329" s="7"/>
      <c r="C329" s="93"/>
      <c r="D329" s="93"/>
      <c r="E329" s="15"/>
      <c r="F329" s="1350"/>
      <c r="G329" s="93"/>
      <c r="H329" s="93"/>
      <c r="I329" s="93"/>
      <c r="J329" s="93"/>
      <c r="K329" s="93"/>
      <c r="L329" s="93"/>
      <c r="M329" s="93"/>
      <c r="N329" s="93"/>
      <c r="O329" s="93"/>
    </row>
    <row r="330" ht="15.75" customHeight="1">
      <c r="A330" s="7"/>
      <c r="C330" s="93"/>
      <c r="D330" s="93"/>
      <c r="E330" s="15"/>
      <c r="F330" s="1350"/>
      <c r="G330" s="93"/>
      <c r="H330" s="93"/>
      <c r="I330" s="93"/>
      <c r="J330" s="93"/>
      <c r="K330" s="93"/>
      <c r="L330" s="93"/>
      <c r="M330" s="93"/>
      <c r="N330" s="93"/>
      <c r="O330" s="93"/>
    </row>
    <row r="331" ht="15.75" customHeight="1">
      <c r="A331" s="4" t="str">
        <f>F331</f>
        <v/>
      </c>
      <c r="B331" s="5"/>
      <c r="C331" s="5"/>
      <c r="D331" s="1368"/>
      <c r="E331" s="15"/>
      <c r="F331" s="1350"/>
      <c r="G331" s="93"/>
      <c r="H331" s="93"/>
      <c r="I331" s="93"/>
      <c r="J331" s="93"/>
      <c r="K331" s="93"/>
      <c r="L331" s="93"/>
      <c r="M331" s="93"/>
      <c r="N331" s="93"/>
      <c r="O331" s="93"/>
    </row>
    <row r="332" ht="15.75" customHeight="1">
      <c r="A332" s="4">
        <v>1.0</v>
      </c>
      <c r="B332" s="1238"/>
      <c r="C332" s="11" t="s">
        <v>58</v>
      </c>
      <c r="D332" s="12" t="s">
        <v>24</v>
      </c>
      <c r="E332" s="13" t="s">
        <v>25</v>
      </c>
      <c r="F332" s="1347" t="s">
        <v>27</v>
      </c>
      <c r="G332" s="93"/>
      <c r="H332" s="93"/>
      <c r="I332" s="93"/>
      <c r="J332" s="93"/>
      <c r="K332" s="93"/>
      <c r="L332" s="93"/>
      <c r="M332" s="93"/>
      <c r="N332" s="93"/>
      <c r="O332" s="93"/>
    </row>
    <row r="333" ht="15.75" customHeight="1">
      <c r="A333" s="17">
        <f t="shared" ref="A333:A457" si="3">A332+1</f>
        <v>2</v>
      </c>
      <c r="B333" s="1248"/>
      <c r="C333" s="18" t="s">
        <v>58</v>
      </c>
      <c r="D333" s="19" t="s">
        <v>29</v>
      </c>
      <c r="E333" s="20" t="s">
        <v>25</v>
      </c>
      <c r="F333" s="1348" t="s">
        <v>30</v>
      </c>
      <c r="G333" s="93"/>
      <c r="H333" s="93"/>
      <c r="I333" s="93"/>
      <c r="J333" s="93"/>
      <c r="K333" s="93"/>
      <c r="L333" s="93"/>
      <c r="M333" s="93"/>
      <c r="N333" s="93"/>
      <c r="O333" s="93"/>
    </row>
    <row r="334" ht="15.75" customHeight="1">
      <c r="A334" s="17">
        <f t="shared" si="3"/>
        <v>3</v>
      </c>
      <c r="B334" s="1248"/>
      <c r="C334" s="18" t="s">
        <v>58</v>
      </c>
      <c r="D334" s="19" t="s">
        <v>32</v>
      </c>
      <c r="E334" s="20" t="s">
        <v>25</v>
      </c>
      <c r="F334" s="1348" t="s">
        <v>33</v>
      </c>
      <c r="G334" s="93"/>
      <c r="H334" s="93"/>
      <c r="I334" s="93"/>
      <c r="J334" s="93"/>
      <c r="K334" s="93"/>
      <c r="L334" s="93"/>
      <c r="M334" s="93"/>
      <c r="N334" s="93"/>
      <c r="O334" s="93"/>
    </row>
    <row r="335" ht="15.75" customHeight="1">
      <c r="A335" s="17">
        <f t="shared" si="3"/>
        <v>4</v>
      </c>
      <c r="B335" s="1248"/>
      <c r="C335" s="18" t="s">
        <v>58</v>
      </c>
      <c r="D335" s="22" t="s">
        <v>35</v>
      </c>
      <c r="E335" s="20" t="s">
        <v>25</v>
      </c>
      <c r="F335" s="1348" t="s">
        <v>30</v>
      </c>
      <c r="G335" s="93"/>
      <c r="H335" s="93"/>
      <c r="I335" s="93"/>
      <c r="J335" s="93"/>
      <c r="K335" s="93"/>
      <c r="L335" s="93"/>
      <c r="M335" s="93"/>
      <c r="N335" s="93"/>
      <c r="O335" s="93"/>
    </row>
    <row r="336" ht="15.75" customHeight="1">
      <c r="A336" s="17">
        <f t="shared" si="3"/>
        <v>5</v>
      </c>
      <c r="B336" s="1248"/>
      <c r="C336" s="18" t="s">
        <v>58</v>
      </c>
      <c r="D336" s="22" t="s">
        <v>37</v>
      </c>
      <c r="E336" s="20" t="s">
        <v>25</v>
      </c>
      <c r="F336" s="1348" t="s">
        <v>30</v>
      </c>
      <c r="G336" s="93"/>
      <c r="H336" s="93"/>
      <c r="I336" s="93"/>
      <c r="J336" s="93"/>
      <c r="K336" s="93"/>
      <c r="L336" s="93"/>
      <c r="M336" s="93"/>
      <c r="N336" s="93"/>
      <c r="O336" s="93"/>
    </row>
    <row r="337" ht="15.75" customHeight="1">
      <c r="A337" s="17">
        <f t="shared" si="3"/>
        <v>6</v>
      </c>
      <c r="B337" s="1248"/>
      <c r="C337" s="18" t="s">
        <v>58</v>
      </c>
      <c r="D337" s="19" t="s">
        <v>39</v>
      </c>
      <c r="E337" s="20" t="s">
        <v>25</v>
      </c>
      <c r="F337" s="1348" t="s">
        <v>27</v>
      </c>
      <c r="G337" s="93"/>
      <c r="H337" s="93"/>
      <c r="I337" s="93"/>
      <c r="J337" s="93"/>
      <c r="K337" s="93"/>
      <c r="L337" s="93"/>
      <c r="M337" s="93"/>
      <c r="N337" s="93"/>
      <c r="O337" s="93"/>
    </row>
    <row r="338" ht="15.75" customHeight="1">
      <c r="A338" s="17">
        <f t="shared" si="3"/>
        <v>7</v>
      </c>
      <c r="B338" s="1248"/>
      <c r="C338" s="18" t="s">
        <v>58</v>
      </c>
      <c r="D338" s="19" t="s">
        <v>41</v>
      </c>
      <c r="E338" s="20" t="s">
        <v>25</v>
      </c>
      <c r="F338" s="1348" t="s">
        <v>30</v>
      </c>
      <c r="G338" s="93"/>
      <c r="H338" s="93"/>
      <c r="I338" s="93"/>
      <c r="J338" s="93"/>
      <c r="K338" s="93"/>
      <c r="L338" s="93"/>
      <c r="M338" s="93"/>
      <c r="N338" s="93"/>
      <c r="O338" s="93"/>
    </row>
    <row r="339" ht="15.75" customHeight="1">
      <c r="A339" s="17">
        <f t="shared" si="3"/>
        <v>8</v>
      </c>
      <c r="B339" s="1248"/>
      <c r="C339" s="18" t="s">
        <v>58</v>
      </c>
      <c r="D339" s="19" t="s">
        <v>43</v>
      </c>
      <c r="E339" s="20" t="s">
        <v>25</v>
      </c>
      <c r="F339" s="1348" t="s">
        <v>30</v>
      </c>
      <c r="G339" s="93"/>
      <c r="H339" s="93"/>
      <c r="I339" s="93"/>
      <c r="J339" s="93"/>
      <c r="K339" s="93"/>
      <c r="L339" s="93"/>
      <c r="M339" s="93"/>
      <c r="N339" s="93"/>
      <c r="O339" s="93"/>
    </row>
    <row r="340" ht="15.75" customHeight="1">
      <c r="A340" s="17">
        <f t="shared" si="3"/>
        <v>9</v>
      </c>
      <c r="B340" s="1248"/>
      <c r="C340" s="18" t="s">
        <v>58</v>
      </c>
      <c r="D340" s="19" t="s">
        <v>45</v>
      </c>
      <c r="E340" s="20" t="s">
        <v>25</v>
      </c>
      <c r="F340" s="1348" t="s">
        <v>46</v>
      </c>
      <c r="G340" s="93"/>
      <c r="H340" s="93"/>
      <c r="I340" s="93"/>
      <c r="J340" s="93"/>
      <c r="K340" s="93"/>
      <c r="L340" s="93"/>
      <c r="M340" s="93"/>
      <c r="N340" s="93"/>
      <c r="O340" s="93"/>
    </row>
    <row r="341" ht="15.75" customHeight="1">
      <c r="A341" s="17">
        <f t="shared" si="3"/>
        <v>10</v>
      </c>
      <c r="B341" s="1248"/>
      <c r="C341" s="18" t="s">
        <v>58</v>
      </c>
      <c r="D341" s="19" t="s">
        <v>48</v>
      </c>
      <c r="E341" s="20" t="s">
        <v>25</v>
      </c>
      <c r="F341" s="1348" t="s">
        <v>46</v>
      </c>
      <c r="G341" s="93"/>
      <c r="H341" s="93"/>
      <c r="I341" s="93"/>
      <c r="J341" s="93"/>
      <c r="K341" s="93"/>
      <c r="L341" s="93"/>
      <c r="M341" s="93"/>
      <c r="N341" s="93"/>
      <c r="O341" s="93"/>
    </row>
    <row r="342" ht="15.75" customHeight="1">
      <c r="A342" s="17">
        <f t="shared" si="3"/>
        <v>11</v>
      </c>
      <c r="B342" s="1248"/>
      <c r="C342" s="18" t="s">
        <v>58</v>
      </c>
      <c r="D342" s="19" t="s">
        <v>50</v>
      </c>
      <c r="E342" s="20" t="s">
        <v>25</v>
      </c>
      <c r="F342" s="1348" t="s">
        <v>30</v>
      </c>
      <c r="G342" s="93"/>
      <c r="H342" s="93"/>
      <c r="I342" s="93"/>
      <c r="J342" s="93"/>
      <c r="K342" s="93"/>
      <c r="L342" s="93"/>
      <c r="M342" s="93"/>
      <c r="N342" s="93"/>
      <c r="O342" s="93"/>
    </row>
    <row r="343" ht="15.75" customHeight="1">
      <c r="A343" s="17">
        <f t="shared" si="3"/>
        <v>12</v>
      </c>
      <c r="B343" s="1248"/>
      <c r="C343" s="18" t="s">
        <v>58</v>
      </c>
      <c r="D343" s="19" t="s">
        <v>52</v>
      </c>
      <c r="E343" s="20" t="s">
        <v>25</v>
      </c>
      <c r="F343" s="1348" t="s">
        <v>30</v>
      </c>
      <c r="G343" s="93"/>
      <c r="H343" s="93"/>
      <c r="I343" s="93"/>
      <c r="J343" s="93"/>
      <c r="K343" s="93"/>
      <c r="L343" s="93"/>
      <c r="M343" s="93"/>
      <c r="N343" s="93"/>
      <c r="O343" s="93"/>
    </row>
    <row r="344" ht="15.75" customHeight="1">
      <c r="A344" s="17">
        <f t="shared" si="3"/>
        <v>13</v>
      </c>
      <c r="B344" s="1248"/>
      <c r="C344" s="18" t="s">
        <v>58</v>
      </c>
      <c r="D344" s="19" t="s">
        <v>54</v>
      </c>
      <c r="E344" s="20" t="s">
        <v>25</v>
      </c>
      <c r="F344" s="1348" t="s">
        <v>27</v>
      </c>
      <c r="G344" s="93"/>
      <c r="H344" s="93"/>
      <c r="I344" s="93"/>
      <c r="J344" s="93"/>
      <c r="K344" s="93"/>
      <c r="L344" s="93"/>
      <c r="M344" s="93"/>
      <c r="N344" s="93"/>
      <c r="O344" s="93"/>
    </row>
    <row r="345" ht="15.75" customHeight="1">
      <c r="A345" s="17">
        <f t="shared" si="3"/>
        <v>14</v>
      </c>
      <c r="B345" s="1248"/>
      <c r="C345" s="18" t="s">
        <v>58</v>
      </c>
      <c r="D345" s="19" t="s">
        <v>56</v>
      </c>
      <c r="E345" s="20" t="s">
        <v>25</v>
      </c>
      <c r="F345" s="1348" t="s">
        <v>30</v>
      </c>
      <c r="G345" s="93"/>
      <c r="H345" s="93"/>
      <c r="I345" s="93"/>
      <c r="J345" s="93"/>
      <c r="K345" s="93"/>
      <c r="L345" s="93"/>
      <c r="M345" s="93"/>
      <c r="N345" s="93"/>
      <c r="O345" s="93"/>
    </row>
    <row r="346" ht="15.75" customHeight="1">
      <c r="A346" s="17">
        <f t="shared" si="3"/>
        <v>15</v>
      </c>
      <c r="B346" s="1248"/>
      <c r="C346" s="18" t="s">
        <v>58</v>
      </c>
      <c r="D346" s="22" t="s">
        <v>59</v>
      </c>
      <c r="E346" s="20" t="s">
        <v>60</v>
      </c>
      <c r="F346" s="1348" t="s">
        <v>30</v>
      </c>
      <c r="G346" s="93"/>
      <c r="H346" s="93"/>
      <c r="I346" s="93"/>
      <c r="J346" s="93"/>
      <c r="K346" s="93"/>
      <c r="L346" s="93"/>
      <c r="M346" s="93"/>
      <c r="N346" s="93"/>
      <c r="O346" s="93"/>
    </row>
    <row r="347" ht="15.75" customHeight="1">
      <c r="A347" s="17">
        <f t="shared" si="3"/>
        <v>16</v>
      </c>
      <c r="B347" s="1248"/>
      <c r="C347" s="18" t="s">
        <v>58</v>
      </c>
      <c r="D347" s="22" t="s">
        <v>62</v>
      </c>
      <c r="E347" s="20" t="s">
        <v>60</v>
      </c>
      <c r="F347" s="1348" t="s">
        <v>30</v>
      </c>
      <c r="G347" s="93"/>
      <c r="H347" s="93"/>
      <c r="I347" s="93"/>
      <c r="J347" s="93"/>
      <c r="K347" s="93"/>
      <c r="L347" s="93"/>
      <c r="M347" s="93"/>
      <c r="N347" s="93"/>
      <c r="O347" s="93"/>
    </row>
    <row r="348" ht="15.75" customHeight="1">
      <c r="A348" s="17">
        <f t="shared" si="3"/>
        <v>17</v>
      </c>
      <c r="B348" s="1248"/>
      <c r="C348" s="18" t="s">
        <v>58</v>
      </c>
      <c r="D348" s="24" t="s">
        <v>64</v>
      </c>
      <c r="E348" s="20" t="s">
        <v>65</v>
      </c>
      <c r="F348" s="1348" t="s">
        <v>30</v>
      </c>
      <c r="G348" s="93"/>
      <c r="H348" s="93"/>
      <c r="I348" s="93"/>
      <c r="J348" s="93"/>
      <c r="K348" s="93"/>
      <c r="L348" s="93"/>
      <c r="M348" s="93"/>
      <c r="N348" s="93"/>
      <c r="O348" s="93"/>
    </row>
    <row r="349" ht="15.75" customHeight="1">
      <c r="A349" s="17">
        <f t="shared" si="3"/>
        <v>18</v>
      </c>
      <c r="B349" s="1248"/>
      <c r="C349" s="18" t="s">
        <v>58</v>
      </c>
      <c r="D349" s="25" t="s">
        <v>67</v>
      </c>
      <c r="E349" s="26" t="s">
        <v>68</v>
      </c>
      <c r="F349" s="1348" t="s">
        <v>30</v>
      </c>
      <c r="G349" s="93"/>
      <c r="H349" s="93"/>
      <c r="I349" s="93"/>
      <c r="J349" s="93"/>
      <c r="K349" s="93"/>
      <c r="L349" s="93"/>
      <c r="M349" s="93"/>
      <c r="N349" s="93"/>
      <c r="O349" s="93"/>
    </row>
    <row r="350" ht="15.75" customHeight="1">
      <c r="A350" s="17">
        <f t="shared" si="3"/>
        <v>19</v>
      </c>
      <c r="B350" s="1248"/>
      <c r="C350" s="18" t="s">
        <v>58</v>
      </c>
      <c r="D350" s="25" t="s">
        <v>70</v>
      </c>
      <c r="E350" s="26" t="s">
        <v>71</v>
      </c>
      <c r="F350" s="1348" t="s">
        <v>30</v>
      </c>
      <c r="G350" s="93"/>
      <c r="H350" s="93"/>
      <c r="I350" s="93"/>
      <c r="J350" s="93"/>
      <c r="K350" s="93"/>
      <c r="L350" s="93"/>
      <c r="M350" s="93"/>
      <c r="N350" s="93"/>
      <c r="O350" s="93"/>
    </row>
    <row r="351" ht="15.75" customHeight="1">
      <c r="A351" s="17">
        <f t="shared" si="3"/>
        <v>20</v>
      </c>
      <c r="B351" s="1248"/>
      <c r="C351" s="18" t="s">
        <v>58</v>
      </c>
      <c r="D351" s="25" t="s">
        <v>73</v>
      </c>
      <c r="E351" s="26" t="s">
        <v>71</v>
      </c>
      <c r="F351" s="1348" t="s">
        <v>30</v>
      </c>
      <c r="G351" s="93"/>
      <c r="H351" s="93"/>
      <c r="I351" s="93"/>
      <c r="J351" s="93"/>
      <c r="K351" s="93"/>
      <c r="L351" s="93"/>
      <c r="M351" s="93"/>
      <c r="N351" s="93"/>
      <c r="O351" s="93"/>
    </row>
    <row r="352" ht="15.75" customHeight="1">
      <c r="A352" s="17">
        <f t="shared" si="3"/>
        <v>21</v>
      </c>
      <c r="B352" s="1248"/>
      <c r="C352" s="18" t="s">
        <v>58</v>
      </c>
      <c r="D352" s="25" t="s">
        <v>75</v>
      </c>
      <c r="E352" s="26" t="s">
        <v>71</v>
      </c>
      <c r="F352" s="1348" t="s">
        <v>30</v>
      </c>
      <c r="G352" s="93"/>
      <c r="H352" s="93"/>
      <c r="I352" s="93"/>
      <c r="J352" s="93"/>
      <c r="K352" s="93"/>
      <c r="L352" s="93"/>
      <c r="M352" s="93"/>
      <c r="N352" s="93"/>
      <c r="O352" s="93"/>
    </row>
    <row r="353" ht="15.75" customHeight="1">
      <c r="A353" s="17">
        <f t="shared" si="3"/>
        <v>22</v>
      </c>
      <c r="B353" s="1248"/>
      <c r="C353" s="18" t="s">
        <v>58</v>
      </c>
      <c r="D353" s="25" t="s">
        <v>77</v>
      </c>
      <c r="E353" s="26" t="s">
        <v>60</v>
      </c>
      <c r="F353" s="1348" t="s">
        <v>27</v>
      </c>
      <c r="G353" s="93"/>
      <c r="H353" s="93"/>
      <c r="I353" s="93"/>
      <c r="J353" s="93"/>
      <c r="K353" s="93"/>
      <c r="L353" s="93"/>
      <c r="M353" s="93"/>
      <c r="N353" s="93"/>
      <c r="O353" s="93"/>
    </row>
    <row r="354" ht="15.75" customHeight="1">
      <c r="A354" s="17">
        <f t="shared" si="3"/>
        <v>23</v>
      </c>
      <c r="B354" s="1248"/>
      <c r="C354" s="18" t="s">
        <v>58</v>
      </c>
      <c r="D354" s="25" t="s">
        <v>79</v>
      </c>
      <c r="E354" s="26" t="s">
        <v>60</v>
      </c>
      <c r="F354" s="1348" t="s">
        <v>27</v>
      </c>
      <c r="G354" s="93"/>
      <c r="H354" s="93"/>
      <c r="I354" s="93"/>
      <c r="J354" s="93"/>
      <c r="K354" s="93"/>
      <c r="L354" s="93"/>
      <c r="M354" s="93"/>
      <c r="N354" s="93"/>
      <c r="O354" s="93"/>
    </row>
    <row r="355" ht="15.75" customHeight="1">
      <c r="A355" s="17">
        <f t="shared" si="3"/>
        <v>24</v>
      </c>
      <c r="B355" s="1248"/>
      <c r="C355" s="18" t="s">
        <v>58</v>
      </c>
      <c r="D355" s="25" t="s">
        <v>80</v>
      </c>
      <c r="E355" s="26" t="s">
        <v>60</v>
      </c>
      <c r="F355" s="1348" t="s">
        <v>27</v>
      </c>
      <c r="G355" s="93"/>
      <c r="H355" s="93"/>
      <c r="I355" s="93"/>
      <c r="J355" s="93"/>
      <c r="K355" s="93"/>
      <c r="L355" s="93"/>
      <c r="M355" s="93"/>
      <c r="N355" s="93"/>
      <c r="O355" s="93"/>
    </row>
    <row r="356" ht="15.75" customHeight="1">
      <c r="A356" s="17">
        <f t="shared" si="3"/>
        <v>25</v>
      </c>
      <c r="B356" s="1248"/>
      <c r="C356" s="18" t="s">
        <v>58</v>
      </c>
      <c r="D356" s="25" t="s">
        <v>82</v>
      </c>
      <c r="E356" s="26" t="s">
        <v>60</v>
      </c>
      <c r="F356" s="1348" t="s">
        <v>27</v>
      </c>
      <c r="G356" s="93"/>
      <c r="H356" s="93"/>
      <c r="I356" s="93"/>
      <c r="J356" s="93"/>
      <c r="K356" s="93"/>
      <c r="L356" s="93"/>
      <c r="M356" s="93"/>
      <c r="N356" s="93"/>
      <c r="O356" s="93"/>
    </row>
    <row r="357" ht="15.75" customHeight="1">
      <c r="A357" s="17">
        <f t="shared" si="3"/>
        <v>26</v>
      </c>
      <c r="B357" s="1248"/>
      <c r="C357" s="18" t="s">
        <v>58</v>
      </c>
      <c r="D357" s="25" t="s">
        <v>84</v>
      </c>
      <c r="E357" s="26" t="s">
        <v>60</v>
      </c>
      <c r="F357" s="1348" t="s">
        <v>27</v>
      </c>
      <c r="G357" s="93"/>
      <c r="H357" s="93"/>
      <c r="I357" s="93"/>
      <c r="J357" s="93"/>
      <c r="K357" s="93"/>
      <c r="L357" s="93"/>
      <c r="M357" s="93"/>
      <c r="N357" s="93"/>
      <c r="O357" s="93"/>
    </row>
    <row r="358" ht="15.75" customHeight="1">
      <c r="A358" s="17">
        <f t="shared" si="3"/>
        <v>27</v>
      </c>
      <c r="B358" s="1248"/>
      <c r="C358" s="18" t="s">
        <v>58</v>
      </c>
      <c r="D358" s="25" t="s">
        <v>86</v>
      </c>
      <c r="E358" s="26" t="s">
        <v>60</v>
      </c>
      <c r="F358" s="1348" t="s">
        <v>27</v>
      </c>
      <c r="G358" s="93"/>
      <c r="H358" s="93"/>
      <c r="I358" s="93"/>
      <c r="J358" s="93"/>
      <c r="K358" s="93"/>
      <c r="L358" s="93"/>
      <c r="M358" s="93"/>
      <c r="N358" s="93"/>
      <c r="O358" s="93"/>
    </row>
    <row r="359" ht="15.75" customHeight="1">
      <c r="A359" s="17">
        <f t="shared" si="3"/>
        <v>28</v>
      </c>
      <c r="B359" s="1248"/>
      <c r="C359" s="18" t="s">
        <v>58</v>
      </c>
      <c r="D359" s="25" t="s">
        <v>88</v>
      </c>
      <c r="E359" s="26" t="s">
        <v>60</v>
      </c>
      <c r="F359" s="1348" t="s">
        <v>27</v>
      </c>
      <c r="G359" s="93"/>
      <c r="H359" s="93"/>
      <c r="I359" s="93"/>
      <c r="J359" s="93"/>
      <c r="K359" s="93"/>
      <c r="L359" s="93"/>
      <c r="M359" s="93"/>
      <c r="N359" s="93"/>
      <c r="O359" s="93"/>
    </row>
    <row r="360" ht="15.75" customHeight="1">
      <c r="A360" s="17">
        <f t="shared" si="3"/>
        <v>29</v>
      </c>
      <c r="B360" s="1349"/>
      <c r="C360" s="27" t="s">
        <v>58</v>
      </c>
      <c r="D360" s="28" t="s">
        <v>90</v>
      </c>
      <c r="E360" s="29" t="s">
        <v>60</v>
      </c>
      <c r="F360" s="1350" t="s">
        <v>27</v>
      </c>
      <c r="G360" s="93"/>
      <c r="H360" s="93"/>
      <c r="I360" s="93"/>
      <c r="J360" s="93"/>
      <c r="K360" s="93"/>
      <c r="L360" s="93"/>
      <c r="M360" s="93"/>
      <c r="N360" s="93"/>
      <c r="O360" s="93"/>
    </row>
    <row r="361" ht="15.75" customHeight="1">
      <c r="A361" s="17">
        <f t="shared" si="3"/>
        <v>30</v>
      </c>
      <c r="B361" s="1349"/>
      <c r="C361" s="27" t="s">
        <v>58</v>
      </c>
      <c r="D361" s="28" t="s">
        <v>92</v>
      </c>
      <c r="E361" s="29" t="s">
        <v>60</v>
      </c>
      <c r="F361" s="1350" t="s">
        <v>30</v>
      </c>
      <c r="G361" s="93"/>
      <c r="H361" s="93"/>
      <c r="I361" s="93"/>
      <c r="J361" s="93"/>
      <c r="K361" s="93"/>
      <c r="L361" s="93"/>
      <c r="M361" s="93"/>
      <c r="N361" s="93"/>
      <c r="O361" s="93"/>
    </row>
    <row r="362" ht="15.75" customHeight="1">
      <c r="A362" s="17">
        <f t="shared" si="3"/>
        <v>31</v>
      </c>
      <c r="B362" s="1349"/>
      <c r="C362" s="27" t="s">
        <v>58</v>
      </c>
      <c r="D362" s="34" t="s">
        <v>94</v>
      </c>
      <c r="E362" s="35" t="s">
        <v>60</v>
      </c>
      <c r="F362" s="1350" t="s">
        <v>30</v>
      </c>
      <c r="G362" s="93"/>
      <c r="H362" s="93"/>
      <c r="I362" s="93"/>
      <c r="J362" s="93"/>
      <c r="K362" s="93"/>
      <c r="L362" s="93"/>
      <c r="M362" s="93"/>
      <c r="N362" s="93"/>
      <c r="O362" s="93"/>
    </row>
    <row r="363" ht="15.75" customHeight="1">
      <c r="A363" s="17">
        <f t="shared" si="3"/>
        <v>32</v>
      </c>
      <c r="B363" s="1351" t="s">
        <v>146</v>
      </c>
      <c r="C363" s="36" t="s">
        <v>99</v>
      </c>
      <c r="D363" s="37" t="s">
        <v>100</v>
      </c>
      <c r="E363" s="38" t="s">
        <v>101</v>
      </c>
      <c r="F363" s="1352" t="s">
        <v>30</v>
      </c>
      <c r="G363" s="93"/>
      <c r="H363" s="93"/>
      <c r="I363" s="93"/>
      <c r="J363" s="93"/>
      <c r="K363" s="93"/>
      <c r="L363" s="93"/>
      <c r="M363" s="93"/>
      <c r="N363" s="93"/>
      <c r="O363" s="93"/>
    </row>
    <row r="364" ht="15.75" customHeight="1">
      <c r="A364" s="17">
        <f t="shared" si="3"/>
        <v>33</v>
      </c>
      <c r="B364" s="44" t="s">
        <v>146</v>
      </c>
      <c r="C364" s="36" t="s">
        <v>99</v>
      </c>
      <c r="D364" s="41" t="s">
        <v>104</v>
      </c>
      <c r="E364" s="20" t="s">
        <v>101</v>
      </c>
      <c r="F364" s="1348" t="s">
        <v>27</v>
      </c>
      <c r="G364" s="93"/>
      <c r="H364" s="93"/>
      <c r="I364" s="93"/>
      <c r="J364" s="93"/>
      <c r="K364" s="93"/>
      <c r="L364" s="93"/>
      <c r="M364" s="93"/>
      <c r="N364" s="93"/>
      <c r="O364" s="93"/>
    </row>
    <row r="365" ht="15.75" customHeight="1">
      <c r="A365" s="17">
        <f t="shared" si="3"/>
        <v>34</v>
      </c>
      <c r="B365" s="44" t="s">
        <v>146</v>
      </c>
      <c r="C365" s="36" t="s">
        <v>99</v>
      </c>
      <c r="D365" s="41" t="s">
        <v>106</v>
      </c>
      <c r="E365" s="20" t="s">
        <v>101</v>
      </c>
      <c r="F365" s="1348" t="s">
        <v>27</v>
      </c>
      <c r="G365" s="93"/>
      <c r="H365" s="93"/>
      <c r="I365" s="93"/>
      <c r="J365" s="93"/>
      <c r="K365" s="93"/>
      <c r="L365" s="93"/>
      <c r="M365" s="93"/>
      <c r="N365" s="93"/>
      <c r="O365" s="93"/>
    </row>
    <row r="366" ht="15.75" customHeight="1">
      <c r="A366" s="17">
        <f t="shared" si="3"/>
        <v>35</v>
      </c>
      <c r="B366" s="44" t="s">
        <v>146</v>
      </c>
      <c r="C366" s="36" t="s">
        <v>99</v>
      </c>
      <c r="D366" s="41" t="s">
        <v>108</v>
      </c>
      <c r="E366" s="20" t="s">
        <v>101</v>
      </c>
      <c r="F366" s="1348" t="s">
        <v>30</v>
      </c>
      <c r="G366" s="93"/>
      <c r="H366" s="93"/>
      <c r="I366" s="93"/>
      <c r="J366" s="93"/>
      <c r="K366" s="93"/>
      <c r="L366" s="93"/>
      <c r="M366" s="93"/>
      <c r="N366" s="93"/>
      <c r="O366" s="93"/>
    </row>
    <row r="367" ht="15.75" customHeight="1">
      <c r="A367" s="17">
        <f t="shared" si="3"/>
        <v>36</v>
      </c>
      <c r="B367" s="44" t="s">
        <v>146</v>
      </c>
      <c r="C367" s="36" t="s">
        <v>99</v>
      </c>
      <c r="D367" s="41" t="s">
        <v>110</v>
      </c>
      <c r="E367" s="20" t="s">
        <v>101</v>
      </c>
      <c r="F367" s="1348" t="s">
        <v>30</v>
      </c>
      <c r="G367" s="93"/>
      <c r="H367" s="93"/>
      <c r="I367" s="93"/>
      <c r="J367" s="93"/>
      <c r="K367" s="93"/>
      <c r="L367" s="93"/>
      <c r="M367" s="93"/>
      <c r="N367" s="93"/>
      <c r="O367" s="93"/>
    </row>
    <row r="368" ht="15.75" customHeight="1">
      <c r="A368" s="17">
        <f t="shared" si="3"/>
        <v>37</v>
      </c>
      <c r="B368" s="44" t="s">
        <v>146</v>
      </c>
      <c r="C368" s="36" t="s">
        <v>99</v>
      </c>
      <c r="D368" s="41" t="s">
        <v>111</v>
      </c>
      <c r="E368" s="20" t="s">
        <v>101</v>
      </c>
      <c r="F368" s="1348" t="s">
        <v>30</v>
      </c>
      <c r="G368" s="93"/>
      <c r="H368" s="93"/>
      <c r="I368" s="93"/>
      <c r="J368" s="93"/>
      <c r="K368" s="93"/>
      <c r="L368" s="93"/>
      <c r="M368" s="93"/>
      <c r="N368" s="93"/>
      <c r="O368" s="93"/>
    </row>
    <row r="369" ht="15.75" customHeight="1">
      <c r="A369" s="17">
        <f t="shared" si="3"/>
        <v>38</v>
      </c>
      <c r="B369" s="44" t="s">
        <v>146</v>
      </c>
      <c r="C369" s="36" t="s">
        <v>99</v>
      </c>
      <c r="D369" s="41" t="s">
        <v>113</v>
      </c>
      <c r="E369" s="20" t="s">
        <v>101</v>
      </c>
      <c r="F369" s="1348" t="s">
        <v>30</v>
      </c>
      <c r="G369" s="93"/>
      <c r="H369" s="93"/>
      <c r="I369" s="93"/>
      <c r="J369" s="93"/>
      <c r="K369" s="93"/>
      <c r="L369" s="93"/>
      <c r="M369" s="93"/>
      <c r="N369" s="93"/>
      <c r="O369" s="93"/>
    </row>
    <row r="370" ht="15.75" customHeight="1">
      <c r="A370" s="17">
        <f t="shared" si="3"/>
        <v>39</v>
      </c>
      <c r="B370" s="44" t="s">
        <v>146</v>
      </c>
      <c r="C370" s="36" t="s">
        <v>99</v>
      </c>
      <c r="D370" s="41" t="s">
        <v>115</v>
      </c>
      <c r="E370" s="20" t="s">
        <v>101</v>
      </c>
      <c r="F370" s="1348" t="s">
        <v>27</v>
      </c>
      <c r="G370" s="93"/>
      <c r="H370" s="93"/>
      <c r="I370" s="93"/>
      <c r="J370" s="93"/>
      <c r="K370" s="93"/>
      <c r="L370" s="93"/>
      <c r="M370" s="93"/>
      <c r="N370" s="93"/>
      <c r="O370" s="93"/>
    </row>
    <row r="371" ht="15.75" customHeight="1">
      <c r="A371" s="17">
        <f t="shared" si="3"/>
        <v>40</v>
      </c>
      <c r="B371" s="44" t="s">
        <v>146</v>
      </c>
      <c r="C371" s="36" t="s">
        <v>99</v>
      </c>
      <c r="D371" s="41" t="s">
        <v>117</v>
      </c>
      <c r="E371" s="20" t="s">
        <v>101</v>
      </c>
      <c r="F371" s="1348" t="s">
        <v>27</v>
      </c>
      <c r="G371" s="93"/>
      <c r="H371" s="93"/>
      <c r="I371" s="93"/>
      <c r="J371" s="93"/>
      <c r="K371" s="93"/>
      <c r="L371" s="93"/>
      <c r="M371" s="93"/>
      <c r="N371" s="93"/>
      <c r="O371" s="93"/>
    </row>
    <row r="372" ht="15.75" customHeight="1">
      <c r="A372" s="17">
        <f t="shared" si="3"/>
        <v>41</v>
      </c>
      <c r="B372" s="44" t="s">
        <v>146</v>
      </c>
      <c r="C372" s="36" t="s">
        <v>99</v>
      </c>
      <c r="D372" s="41" t="s">
        <v>119</v>
      </c>
      <c r="E372" s="20" t="s">
        <v>101</v>
      </c>
      <c r="F372" s="1348" t="s">
        <v>27</v>
      </c>
      <c r="G372" s="93"/>
      <c r="H372" s="93"/>
      <c r="I372" s="93"/>
      <c r="J372" s="93"/>
      <c r="K372" s="93"/>
      <c r="L372" s="93"/>
      <c r="M372" s="93"/>
      <c r="N372" s="93"/>
      <c r="O372" s="93"/>
    </row>
    <row r="373" ht="15.75" customHeight="1">
      <c r="A373" s="17">
        <f t="shared" si="3"/>
        <v>42</v>
      </c>
      <c r="B373" s="44" t="s">
        <v>146</v>
      </c>
      <c r="C373" s="36" t="s">
        <v>99</v>
      </c>
      <c r="D373" s="41" t="s">
        <v>121</v>
      </c>
      <c r="E373" s="20" t="s">
        <v>101</v>
      </c>
      <c r="F373" s="1348" t="s">
        <v>27</v>
      </c>
      <c r="G373" s="93"/>
      <c r="H373" s="93"/>
      <c r="I373" s="93"/>
      <c r="J373" s="93"/>
      <c r="K373" s="93"/>
      <c r="L373" s="93"/>
      <c r="M373" s="93"/>
      <c r="N373" s="93"/>
      <c r="O373" s="93"/>
    </row>
    <row r="374" ht="15.75" customHeight="1">
      <c r="A374" s="17">
        <f t="shared" si="3"/>
        <v>43</v>
      </c>
      <c r="B374" s="44" t="s">
        <v>146</v>
      </c>
      <c r="C374" s="44" t="s">
        <v>146</v>
      </c>
      <c r="D374" s="45" t="s">
        <v>124</v>
      </c>
      <c r="E374" s="20" t="s">
        <v>125</v>
      </c>
      <c r="F374" s="1348" t="s">
        <v>27</v>
      </c>
      <c r="G374" s="93"/>
      <c r="H374" s="93"/>
      <c r="I374" s="93"/>
      <c r="J374" s="93"/>
      <c r="K374" s="93"/>
      <c r="L374" s="93"/>
      <c r="M374" s="93"/>
      <c r="N374" s="93"/>
      <c r="O374" s="93"/>
    </row>
    <row r="375" ht="15.75" customHeight="1">
      <c r="A375" s="17">
        <f t="shared" si="3"/>
        <v>44</v>
      </c>
      <c r="B375" s="44" t="s">
        <v>146</v>
      </c>
      <c r="C375" s="44" t="s">
        <v>146</v>
      </c>
      <c r="D375" s="47" t="s">
        <v>127</v>
      </c>
      <c r="E375" s="20" t="s">
        <v>125</v>
      </c>
      <c r="F375" s="1348" t="s">
        <v>30</v>
      </c>
      <c r="G375" s="93"/>
      <c r="H375" s="93"/>
      <c r="I375" s="93"/>
      <c r="J375" s="93"/>
      <c r="K375" s="93"/>
      <c r="L375" s="93"/>
      <c r="M375" s="93"/>
      <c r="N375" s="93"/>
      <c r="O375" s="93"/>
    </row>
    <row r="376" ht="15.75" customHeight="1">
      <c r="A376" s="17">
        <f t="shared" si="3"/>
        <v>45</v>
      </c>
      <c r="B376" s="44" t="s">
        <v>146</v>
      </c>
      <c r="C376" s="44" t="s">
        <v>146</v>
      </c>
      <c r="D376" s="47" t="s">
        <v>129</v>
      </c>
      <c r="E376" s="20" t="s">
        <v>125</v>
      </c>
      <c r="F376" s="1348" t="s">
        <v>30</v>
      </c>
      <c r="G376" s="93"/>
      <c r="H376" s="93"/>
      <c r="I376" s="93"/>
      <c r="J376" s="93"/>
      <c r="K376" s="93"/>
      <c r="L376" s="93"/>
      <c r="M376" s="93"/>
      <c r="N376" s="93"/>
      <c r="O376" s="93"/>
    </row>
    <row r="377" ht="15.75" customHeight="1">
      <c r="A377" s="17">
        <f t="shared" si="3"/>
        <v>46</v>
      </c>
      <c r="B377" s="44" t="s">
        <v>146</v>
      </c>
      <c r="C377" s="44" t="s">
        <v>146</v>
      </c>
      <c r="D377" s="47" t="s">
        <v>131</v>
      </c>
      <c r="E377" s="20" t="s">
        <v>125</v>
      </c>
      <c r="F377" s="1348" t="s">
        <v>27</v>
      </c>
      <c r="G377" s="93"/>
      <c r="H377" s="93"/>
      <c r="I377" s="93"/>
      <c r="J377" s="93"/>
      <c r="K377" s="93"/>
      <c r="L377" s="93"/>
      <c r="M377" s="93"/>
      <c r="N377" s="93"/>
      <c r="O377" s="93"/>
    </row>
    <row r="378" ht="15.75" customHeight="1">
      <c r="A378" s="17">
        <f t="shared" si="3"/>
        <v>47</v>
      </c>
      <c r="B378" s="44" t="s">
        <v>146</v>
      </c>
      <c r="C378" s="44" t="s">
        <v>146</v>
      </c>
      <c r="D378" s="47" t="s">
        <v>133</v>
      </c>
      <c r="E378" s="20" t="s">
        <v>125</v>
      </c>
      <c r="F378" s="1348" t="s">
        <v>27</v>
      </c>
      <c r="G378" s="93"/>
      <c r="H378" s="93"/>
      <c r="I378" s="93"/>
      <c r="J378" s="93"/>
      <c r="K378" s="93"/>
      <c r="L378" s="93"/>
      <c r="M378" s="93"/>
      <c r="N378" s="93"/>
      <c r="O378" s="93"/>
    </row>
    <row r="379" ht="15.75" customHeight="1">
      <c r="A379" s="17">
        <f t="shared" si="3"/>
        <v>48</v>
      </c>
      <c r="B379" s="44" t="s">
        <v>146</v>
      </c>
      <c r="C379" s="44" t="s">
        <v>146</v>
      </c>
      <c r="D379" s="47" t="s">
        <v>135</v>
      </c>
      <c r="E379" s="20" t="s">
        <v>136</v>
      </c>
      <c r="F379" s="1348" t="s">
        <v>27</v>
      </c>
      <c r="G379" s="93"/>
      <c r="H379" s="93"/>
      <c r="I379" s="93"/>
      <c r="J379" s="93"/>
      <c r="K379" s="93"/>
      <c r="L379" s="93"/>
      <c r="M379" s="93"/>
      <c r="N379" s="93"/>
      <c r="O379" s="93"/>
    </row>
    <row r="380" ht="15.75" customHeight="1">
      <c r="A380" s="17">
        <f t="shared" si="3"/>
        <v>49</v>
      </c>
      <c r="B380" s="44" t="s">
        <v>146</v>
      </c>
      <c r="C380" s="44" t="s">
        <v>146</v>
      </c>
      <c r="D380" s="47" t="s">
        <v>138</v>
      </c>
      <c r="E380" s="20" t="s">
        <v>136</v>
      </c>
      <c r="F380" s="1348" t="s">
        <v>27</v>
      </c>
      <c r="G380" s="93"/>
      <c r="H380" s="93"/>
      <c r="I380" s="93"/>
      <c r="J380" s="93"/>
      <c r="K380" s="93"/>
      <c r="L380" s="93"/>
      <c r="M380" s="93"/>
      <c r="N380" s="93"/>
      <c r="O380" s="93"/>
    </row>
    <row r="381" ht="15.75" customHeight="1">
      <c r="A381" s="17">
        <f t="shared" si="3"/>
        <v>50</v>
      </c>
      <c r="B381" s="44" t="s">
        <v>146</v>
      </c>
      <c r="C381" s="44" t="s">
        <v>146</v>
      </c>
      <c r="D381" s="47" t="s">
        <v>140</v>
      </c>
      <c r="E381" s="20" t="s">
        <v>141</v>
      </c>
      <c r="F381" s="1348" t="s">
        <v>30</v>
      </c>
      <c r="G381" s="93"/>
      <c r="H381" s="93"/>
      <c r="I381" s="93"/>
      <c r="J381" s="93"/>
      <c r="K381" s="93"/>
      <c r="L381" s="93"/>
      <c r="M381" s="93"/>
      <c r="N381" s="93"/>
      <c r="O381" s="93"/>
    </row>
    <row r="382" ht="15.75" customHeight="1">
      <c r="A382" s="17">
        <f t="shared" si="3"/>
        <v>51</v>
      </c>
      <c r="B382" s="44" t="s">
        <v>146</v>
      </c>
      <c r="C382" s="44" t="s">
        <v>146</v>
      </c>
      <c r="D382" s="52" t="s">
        <v>144</v>
      </c>
      <c r="E382" s="20" t="s">
        <v>141</v>
      </c>
      <c r="F382" s="1352" t="s">
        <v>33</v>
      </c>
      <c r="G382" s="93"/>
      <c r="H382" s="93"/>
      <c r="I382" s="93"/>
      <c r="J382" s="93"/>
      <c r="K382" s="93"/>
      <c r="L382" s="93"/>
      <c r="M382" s="93"/>
      <c r="N382" s="93"/>
      <c r="O382" s="93"/>
    </row>
    <row r="383" ht="15.75" customHeight="1">
      <c r="A383" s="17">
        <f t="shared" si="3"/>
        <v>52</v>
      </c>
      <c r="B383" s="44" t="s">
        <v>146</v>
      </c>
      <c r="C383" s="44" t="s">
        <v>146</v>
      </c>
      <c r="D383" s="54" t="s">
        <v>147</v>
      </c>
      <c r="E383" s="1353"/>
      <c r="F383" s="1347" t="s">
        <v>27</v>
      </c>
      <c r="G383" s="93"/>
      <c r="H383" s="93"/>
      <c r="I383" s="93"/>
      <c r="J383" s="93"/>
      <c r="K383" s="93"/>
      <c r="L383" s="93"/>
      <c r="M383" s="93"/>
      <c r="N383" s="93"/>
      <c r="O383" s="93"/>
    </row>
    <row r="384" ht="15.75" customHeight="1">
      <c r="A384" s="17">
        <f t="shared" si="3"/>
        <v>53</v>
      </c>
      <c r="B384" s="44" t="s">
        <v>146</v>
      </c>
      <c r="C384" s="44" t="s">
        <v>146</v>
      </c>
      <c r="D384" s="1262" t="s">
        <v>150</v>
      </c>
      <c r="E384" s="1354"/>
      <c r="F384" s="1348" t="s">
        <v>27</v>
      </c>
      <c r="G384" s="93"/>
      <c r="H384" s="93"/>
      <c r="I384" s="93"/>
      <c r="J384" s="93"/>
      <c r="K384" s="93"/>
      <c r="L384" s="93"/>
      <c r="M384" s="93"/>
      <c r="N384" s="93"/>
      <c r="O384" s="93"/>
    </row>
    <row r="385" ht="15.75" customHeight="1">
      <c r="A385" s="17">
        <f t="shared" si="3"/>
        <v>54</v>
      </c>
      <c r="B385" s="44" t="s">
        <v>146</v>
      </c>
      <c r="C385" s="44" t="s">
        <v>146</v>
      </c>
      <c r="D385" s="47" t="s">
        <v>152</v>
      </c>
      <c r="E385" s="1354"/>
      <c r="F385" s="1348" t="s">
        <v>30</v>
      </c>
      <c r="G385" s="93"/>
      <c r="H385" s="93"/>
      <c r="I385" s="93"/>
      <c r="J385" s="93"/>
      <c r="K385" s="93"/>
      <c r="L385" s="93"/>
      <c r="M385" s="93"/>
      <c r="N385" s="93"/>
      <c r="O385" s="93"/>
    </row>
    <row r="386" ht="15.75" customHeight="1">
      <c r="A386" s="17">
        <f t="shared" si="3"/>
        <v>55</v>
      </c>
      <c r="B386" s="44" t="s">
        <v>146</v>
      </c>
      <c r="C386" s="44" t="s">
        <v>146</v>
      </c>
      <c r="D386" s="47" t="s">
        <v>154</v>
      </c>
      <c r="E386" s="1354"/>
      <c r="F386" s="1348" t="s">
        <v>30</v>
      </c>
      <c r="G386" s="93"/>
      <c r="H386" s="93"/>
      <c r="I386" s="93"/>
      <c r="J386" s="93"/>
      <c r="K386" s="93"/>
      <c r="L386" s="93"/>
      <c r="M386" s="93"/>
      <c r="N386" s="93"/>
      <c r="O386" s="93"/>
    </row>
    <row r="387" ht="15.75" customHeight="1">
      <c r="A387" s="17">
        <f t="shared" si="3"/>
        <v>56</v>
      </c>
      <c r="B387" s="44" t="s">
        <v>146</v>
      </c>
      <c r="C387" s="57" t="s">
        <v>146</v>
      </c>
      <c r="D387" s="58" t="s">
        <v>156</v>
      </c>
      <c r="E387" s="1355"/>
      <c r="F387" s="1356" t="s">
        <v>30</v>
      </c>
      <c r="G387" s="93"/>
      <c r="H387" s="93"/>
      <c r="I387" s="93"/>
      <c r="J387" s="93"/>
      <c r="K387" s="93"/>
      <c r="L387" s="93"/>
      <c r="M387" s="93"/>
      <c r="N387" s="93"/>
      <c r="O387" s="93"/>
    </row>
    <row r="388" ht="15.75" customHeight="1">
      <c r="A388" s="17">
        <f t="shared" si="3"/>
        <v>57</v>
      </c>
      <c r="B388" s="44" t="s">
        <v>146</v>
      </c>
      <c r="C388" s="1357" t="s">
        <v>146</v>
      </c>
      <c r="D388" s="62" t="s">
        <v>157</v>
      </c>
      <c r="E388" s="9" t="s">
        <v>158</v>
      </c>
      <c r="F388" s="1358" t="s">
        <v>27</v>
      </c>
      <c r="G388" s="93"/>
      <c r="H388" s="93"/>
      <c r="I388" s="93"/>
      <c r="J388" s="93"/>
      <c r="K388" s="93"/>
      <c r="L388" s="93"/>
      <c r="M388" s="93"/>
      <c r="N388" s="93"/>
      <c r="O388" s="93"/>
    </row>
    <row r="389" ht="15.75" customHeight="1">
      <c r="A389" s="17">
        <f t="shared" si="3"/>
        <v>58</v>
      </c>
      <c r="B389" s="44" t="s">
        <v>146</v>
      </c>
      <c r="C389" s="461" t="s">
        <v>146</v>
      </c>
      <c r="D389" s="1359" t="s">
        <v>244</v>
      </c>
      <c r="E389" s="15" t="s">
        <v>158</v>
      </c>
      <c r="F389" s="1350" t="s">
        <v>30</v>
      </c>
      <c r="G389" s="93"/>
      <c r="H389" s="93"/>
      <c r="I389" s="93"/>
      <c r="J389" s="93"/>
      <c r="K389" s="93"/>
      <c r="L389" s="93"/>
      <c r="M389" s="93"/>
      <c r="N389" s="93"/>
      <c r="O389" s="93"/>
    </row>
    <row r="390" ht="15.75" customHeight="1">
      <c r="A390" s="17">
        <f t="shared" si="3"/>
        <v>59</v>
      </c>
      <c r="B390" s="44" t="s">
        <v>146</v>
      </c>
      <c r="C390" s="461" t="s">
        <v>146</v>
      </c>
      <c r="D390" s="1359" t="s">
        <v>246</v>
      </c>
      <c r="E390" s="15" t="s">
        <v>158</v>
      </c>
      <c r="F390" s="1350" t="s">
        <v>30</v>
      </c>
      <c r="G390" s="93"/>
      <c r="H390" s="93"/>
      <c r="I390" s="93"/>
      <c r="J390" s="93"/>
      <c r="K390" s="93"/>
      <c r="L390" s="93"/>
      <c r="M390" s="93"/>
      <c r="N390" s="93"/>
      <c r="O390" s="93"/>
    </row>
    <row r="391" ht="15.75" customHeight="1">
      <c r="A391" s="17">
        <f t="shared" si="3"/>
        <v>60</v>
      </c>
      <c r="B391" s="44" t="s">
        <v>146</v>
      </c>
      <c r="C391" s="461" t="s">
        <v>146</v>
      </c>
      <c r="D391" s="1359" t="s">
        <v>248</v>
      </c>
      <c r="E391" s="15" t="s">
        <v>158</v>
      </c>
      <c r="F391" s="1350" t="s">
        <v>30</v>
      </c>
      <c r="G391" s="93"/>
      <c r="H391" s="93"/>
      <c r="I391" s="93"/>
      <c r="J391" s="93"/>
      <c r="K391" s="93"/>
      <c r="L391" s="93"/>
      <c r="M391" s="93"/>
      <c r="N391" s="93"/>
      <c r="O391" s="93"/>
    </row>
    <row r="392" ht="15.75" customHeight="1">
      <c r="A392" s="17">
        <f t="shared" si="3"/>
        <v>61</v>
      </c>
      <c r="B392" s="44" t="s">
        <v>146</v>
      </c>
      <c r="C392" s="461" t="s">
        <v>146</v>
      </c>
      <c r="D392" s="64" t="s">
        <v>161</v>
      </c>
      <c r="E392" s="15" t="s">
        <v>158</v>
      </c>
      <c r="F392" s="1350" t="s">
        <v>30</v>
      </c>
      <c r="G392" s="93"/>
      <c r="H392" s="93"/>
      <c r="I392" s="93"/>
      <c r="J392" s="93"/>
      <c r="K392" s="93"/>
      <c r="L392" s="93"/>
      <c r="M392" s="93"/>
      <c r="N392" s="93"/>
      <c r="O392" s="93"/>
    </row>
    <row r="393" ht="15.75" customHeight="1">
      <c r="A393" s="17">
        <f t="shared" si="3"/>
        <v>62</v>
      </c>
      <c r="B393" s="44" t="s">
        <v>146</v>
      </c>
      <c r="C393" s="1360" t="s">
        <v>146</v>
      </c>
      <c r="D393" s="66" t="s">
        <v>163</v>
      </c>
      <c r="E393" s="67" t="s">
        <v>164</v>
      </c>
      <c r="F393" s="1361" t="s">
        <v>30</v>
      </c>
      <c r="G393" s="93"/>
      <c r="H393" s="93"/>
      <c r="I393" s="93"/>
      <c r="J393" s="93"/>
      <c r="K393" s="93"/>
      <c r="L393" s="93"/>
      <c r="M393" s="93"/>
      <c r="N393" s="93"/>
      <c r="O393" s="93"/>
    </row>
    <row r="394" ht="15.75" customHeight="1">
      <c r="A394" s="17">
        <f t="shared" si="3"/>
        <v>63</v>
      </c>
      <c r="B394" s="44" t="s">
        <v>146</v>
      </c>
      <c r="C394" s="69" t="s">
        <v>146</v>
      </c>
      <c r="D394" s="54" t="s">
        <v>165</v>
      </c>
      <c r="E394" s="13" t="s">
        <v>166</v>
      </c>
      <c r="F394" s="1347" t="s">
        <v>30</v>
      </c>
      <c r="G394" s="93"/>
      <c r="H394" s="93"/>
      <c r="I394" s="93"/>
      <c r="J394" s="93"/>
      <c r="K394" s="93"/>
      <c r="L394" s="93"/>
      <c r="M394" s="93"/>
      <c r="N394" s="93"/>
      <c r="O394" s="93"/>
    </row>
    <row r="395" ht="15.75" customHeight="1">
      <c r="A395" s="17">
        <f t="shared" si="3"/>
        <v>64</v>
      </c>
      <c r="B395" s="44" t="s">
        <v>146</v>
      </c>
      <c r="C395" s="44" t="s">
        <v>146</v>
      </c>
      <c r="D395" s="47" t="s">
        <v>169</v>
      </c>
      <c r="E395" s="20" t="s">
        <v>166</v>
      </c>
      <c r="F395" s="1348" t="s">
        <v>30</v>
      </c>
      <c r="G395" s="93"/>
      <c r="H395" s="93"/>
      <c r="I395" s="93"/>
      <c r="J395" s="93"/>
      <c r="K395" s="93"/>
      <c r="L395" s="93"/>
      <c r="M395" s="93"/>
      <c r="N395" s="93"/>
      <c r="O395" s="93"/>
    </row>
    <row r="396" ht="15.75" customHeight="1">
      <c r="A396" s="17">
        <f t="shared" si="3"/>
        <v>65</v>
      </c>
      <c r="B396" s="44" t="s">
        <v>146</v>
      </c>
      <c r="C396" s="44" t="s">
        <v>146</v>
      </c>
      <c r="D396" s="47" t="s">
        <v>171</v>
      </c>
      <c r="E396" s="20" t="s">
        <v>166</v>
      </c>
      <c r="F396" s="1348" t="s">
        <v>27</v>
      </c>
      <c r="G396" s="93"/>
      <c r="H396" s="93"/>
      <c r="I396" s="93"/>
      <c r="J396" s="93"/>
      <c r="K396" s="93"/>
      <c r="L396" s="93"/>
      <c r="M396" s="93"/>
      <c r="N396" s="93"/>
      <c r="O396" s="93"/>
    </row>
    <row r="397" ht="15.75" customHeight="1">
      <c r="A397" s="17">
        <f t="shared" si="3"/>
        <v>66</v>
      </c>
      <c r="B397" s="44" t="s">
        <v>146</v>
      </c>
      <c r="C397" s="44" t="s">
        <v>146</v>
      </c>
      <c r="D397" s="47" t="s">
        <v>173</v>
      </c>
      <c r="E397" s="20" t="s">
        <v>166</v>
      </c>
      <c r="F397" s="1348" t="s">
        <v>27</v>
      </c>
      <c r="G397" s="93"/>
      <c r="H397" s="93"/>
      <c r="I397" s="93"/>
      <c r="J397" s="93"/>
      <c r="K397" s="93"/>
      <c r="L397" s="93"/>
      <c r="M397" s="93"/>
      <c r="N397" s="93"/>
      <c r="O397" s="93"/>
    </row>
    <row r="398" ht="15.75" customHeight="1">
      <c r="A398" s="17">
        <f t="shared" si="3"/>
        <v>67</v>
      </c>
      <c r="B398" s="1362" t="s">
        <v>146</v>
      </c>
      <c r="C398" s="57" t="s">
        <v>146</v>
      </c>
      <c r="D398" s="58" t="s">
        <v>175</v>
      </c>
      <c r="E398" s="30" t="s">
        <v>166</v>
      </c>
      <c r="F398" s="1356" t="s">
        <v>30</v>
      </c>
      <c r="G398" s="93"/>
      <c r="H398" s="93"/>
      <c r="I398" s="93"/>
      <c r="J398" s="93"/>
      <c r="K398" s="93"/>
      <c r="L398" s="93"/>
      <c r="M398" s="93"/>
      <c r="N398" s="93"/>
      <c r="O398" s="93"/>
    </row>
    <row r="399" ht="15.75" customHeight="1">
      <c r="A399" s="17">
        <f t="shared" si="3"/>
        <v>68</v>
      </c>
      <c r="B399" s="1363"/>
      <c r="C399" s="11" t="s">
        <v>177</v>
      </c>
      <c r="D399" s="73" t="s">
        <v>178</v>
      </c>
      <c r="E399" s="74" t="s">
        <v>179</v>
      </c>
      <c r="F399" s="1347" t="s">
        <v>30</v>
      </c>
      <c r="G399" s="93"/>
      <c r="H399" s="93"/>
      <c r="I399" s="93"/>
      <c r="J399" s="93"/>
      <c r="K399" s="93"/>
      <c r="L399" s="93"/>
      <c r="M399" s="93"/>
      <c r="N399" s="93"/>
      <c r="O399" s="93"/>
    </row>
    <row r="400" ht="15.75" customHeight="1">
      <c r="A400" s="17">
        <f t="shared" si="3"/>
        <v>69</v>
      </c>
      <c r="B400" s="1364"/>
      <c r="C400" s="18" t="s">
        <v>177</v>
      </c>
      <c r="D400" s="76" t="s">
        <v>181</v>
      </c>
      <c r="E400" s="77" t="s">
        <v>179</v>
      </c>
      <c r="F400" s="1348" t="s">
        <v>33</v>
      </c>
      <c r="G400" s="93"/>
      <c r="H400" s="93"/>
      <c r="I400" s="93"/>
      <c r="J400" s="93"/>
      <c r="K400" s="93"/>
      <c r="L400" s="93"/>
      <c r="M400" s="93"/>
      <c r="N400" s="93"/>
      <c r="O400" s="93"/>
    </row>
    <row r="401" ht="15.75" customHeight="1">
      <c r="A401" s="17">
        <f t="shared" si="3"/>
        <v>70</v>
      </c>
      <c r="B401" s="1364"/>
      <c r="C401" s="18" t="s">
        <v>177</v>
      </c>
      <c r="D401" s="76" t="s">
        <v>183</v>
      </c>
      <c r="E401" s="77" t="s">
        <v>184</v>
      </c>
      <c r="F401" s="1348" t="s">
        <v>185</v>
      </c>
      <c r="G401" s="93"/>
      <c r="H401" s="93"/>
      <c r="I401" s="93"/>
      <c r="J401" s="93"/>
      <c r="K401" s="93"/>
      <c r="L401" s="93"/>
      <c r="M401" s="93"/>
      <c r="N401" s="93"/>
      <c r="O401" s="93"/>
    </row>
    <row r="402" ht="15.75" customHeight="1">
      <c r="A402" s="17">
        <f t="shared" si="3"/>
        <v>71</v>
      </c>
      <c r="B402" s="1364"/>
      <c r="C402" s="18" t="s">
        <v>177</v>
      </c>
      <c r="D402" s="76" t="s">
        <v>186</v>
      </c>
      <c r="E402" s="77" t="s">
        <v>184</v>
      </c>
      <c r="F402" s="1348" t="s">
        <v>185</v>
      </c>
      <c r="G402" s="93"/>
      <c r="H402" s="93"/>
      <c r="I402" s="93"/>
      <c r="J402" s="93"/>
      <c r="K402" s="93"/>
      <c r="L402" s="93"/>
      <c r="M402" s="93"/>
      <c r="N402" s="93"/>
      <c r="O402" s="93"/>
    </row>
    <row r="403" ht="15.75" customHeight="1">
      <c r="A403" s="17">
        <f t="shared" si="3"/>
        <v>72</v>
      </c>
      <c r="B403" s="1364"/>
      <c r="C403" s="18" t="s">
        <v>177</v>
      </c>
      <c r="D403" s="76" t="s">
        <v>188</v>
      </c>
      <c r="E403" s="77" t="s">
        <v>184</v>
      </c>
      <c r="F403" s="1348" t="s">
        <v>185</v>
      </c>
      <c r="G403" s="93"/>
      <c r="H403" s="93"/>
      <c r="I403" s="93"/>
      <c r="J403" s="93"/>
      <c r="K403" s="93"/>
      <c r="L403" s="93"/>
      <c r="M403" s="93"/>
      <c r="N403" s="93"/>
      <c r="O403" s="93"/>
    </row>
    <row r="404" ht="15.75" customHeight="1">
      <c r="A404" s="17">
        <f t="shared" si="3"/>
        <v>73</v>
      </c>
      <c r="B404" s="1365"/>
      <c r="C404" s="1366" t="s">
        <v>177</v>
      </c>
      <c r="D404" s="81" t="s">
        <v>191</v>
      </c>
      <c r="E404" s="82" t="s">
        <v>141</v>
      </c>
      <c r="F404" s="1356" t="s">
        <v>30</v>
      </c>
      <c r="G404" s="93"/>
      <c r="H404" s="93"/>
      <c r="I404" s="93"/>
      <c r="J404" s="93"/>
      <c r="K404" s="93"/>
      <c r="L404" s="93"/>
      <c r="M404" s="93"/>
      <c r="N404" s="93"/>
      <c r="O404" s="93"/>
    </row>
    <row r="405" ht="15.75" customHeight="1">
      <c r="A405" s="17">
        <f t="shared" si="3"/>
        <v>74</v>
      </c>
      <c r="B405" s="1364"/>
      <c r="C405" s="84"/>
      <c r="D405" s="85" t="s">
        <v>192</v>
      </c>
      <c r="E405" s="86" t="s">
        <v>193</v>
      </c>
      <c r="F405" s="1352" t="s">
        <v>30</v>
      </c>
      <c r="G405" s="93"/>
      <c r="H405" s="93"/>
      <c r="I405" s="93"/>
      <c r="J405" s="93"/>
      <c r="K405" s="93"/>
      <c r="L405" s="93"/>
      <c r="M405" s="93"/>
      <c r="N405" s="93"/>
      <c r="O405" s="93"/>
    </row>
    <row r="406" ht="15.75" customHeight="1">
      <c r="A406" s="17">
        <f t="shared" si="3"/>
        <v>75</v>
      </c>
      <c r="B406" s="1364"/>
      <c r="C406" s="18"/>
      <c r="D406" s="87" t="s">
        <v>195</v>
      </c>
      <c r="E406" s="77" t="s">
        <v>193</v>
      </c>
      <c r="F406" s="1348" t="s">
        <v>27</v>
      </c>
      <c r="G406" s="93"/>
      <c r="H406" s="93"/>
      <c r="I406" s="93"/>
      <c r="J406" s="93"/>
      <c r="K406" s="93"/>
      <c r="L406" s="93"/>
      <c r="M406" s="93"/>
      <c r="N406" s="93"/>
      <c r="O406" s="93"/>
    </row>
    <row r="407" ht="15.75" customHeight="1">
      <c r="A407" s="17">
        <f t="shared" si="3"/>
        <v>76</v>
      </c>
      <c r="B407" s="1364"/>
      <c r="C407" s="18"/>
      <c r="D407" s="87" t="s">
        <v>197</v>
      </c>
      <c r="E407" s="77" t="s">
        <v>193</v>
      </c>
      <c r="F407" s="1348" t="s">
        <v>27</v>
      </c>
      <c r="G407" s="93"/>
      <c r="H407" s="93"/>
      <c r="I407" s="93"/>
      <c r="J407" s="93"/>
      <c r="K407" s="93"/>
      <c r="L407" s="93"/>
      <c r="M407" s="93"/>
      <c r="N407" s="93"/>
      <c r="O407" s="93"/>
    </row>
    <row r="408" ht="15.75" customHeight="1">
      <c r="A408" s="17">
        <f t="shared" si="3"/>
        <v>77</v>
      </c>
      <c r="B408" s="1364"/>
      <c r="C408" s="18"/>
      <c r="D408" s="87" t="s">
        <v>199</v>
      </c>
      <c r="E408" s="77" t="s">
        <v>193</v>
      </c>
      <c r="F408" s="1348" t="s">
        <v>27</v>
      </c>
      <c r="G408" s="93"/>
      <c r="H408" s="93"/>
      <c r="I408" s="93"/>
      <c r="J408" s="93"/>
      <c r="K408" s="93"/>
      <c r="L408" s="93"/>
      <c r="M408" s="93"/>
      <c r="N408" s="93"/>
      <c r="O408" s="93"/>
    </row>
    <row r="409" ht="15.75" customHeight="1">
      <c r="A409" s="17">
        <f t="shared" si="3"/>
        <v>78</v>
      </c>
      <c r="B409" s="1364"/>
      <c r="C409" s="18"/>
      <c r="D409" s="87" t="s">
        <v>201</v>
      </c>
      <c r="E409" s="77" t="s">
        <v>193</v>
      </c>
      <c r="F409" s="1348" t="s">
        <v>30</v>
      </c>
      <c r="G409" s="93"/>
      <c r="H409" s="93"/>
      <c r="I409" s="93"/>
      <c r="J409" s="93"/>
      <c r="K409" s="93"/>
      <c r="L409" s="93"/>
      <c r="M409" s="93"/>
      <c r="N409" s="93"/>
      <c r="O409" s="93"/>
    </row>
    <row r="410" ht="15.75" customHeight="1">
      <c r="A410" s="17">
        <f t="shared" si="3"/>
        <v>79</v>
      </c>
      <c r="B410" s="1364"/>
      <c r="C410" s="18"/>
      <c r="D410" s="87" t="s">
        <v>203</v>
      </c>
      <c r="E410" s="77" t="s">
        <v>193</v>
      </c>
      <c r="F410" s="1348" t="s">
        <v>46</v>
      </c>
      <c r="G410" s="93"/>
      <c r="H410" s="93"/>
      <c r="I410" s="93"/>
      <c r="J410" s="93"/>
      <c r="K410" s="93"/>
      <c r="L410" s="93"/>
      <c r="M410" s="93"/>
      <c r="N410" s="93"/>
      <c r="O410" s="93"/>
    </row>
    <row r="411" ht="15.75" customHeight="1">
      <c r="A411" s="17">
        <f t="shared" si="3"/>
        <v>80</v>
      </c>
      <c r="B411" s="1364"/>
      <c r="C411" s="18"/>
      <c r="D411" s="87" t="s">
        <v>205</v>
      </c>
      <c r="E411" s="77" t="s">
        <v>193</v>
      </c>
      <c r="F411" s="1348" t="s">
        <v>30</v>
      </c>
      <c r="G411" s="93"/>
      <c r="H411" s="93"/>
      <c r="I411" s="93"/>
      <c r="J411" s="93"/>
      <c r="K411" s="93"/>
      <c r="L411" s="93"/>
      <c r="M411" s="93"/>
      <c r="N411" s="93"/>
      <c r="O411" s="93"/>
    </row>
    <row r="412" ht="15.75" customHeight="1">
      <c r="A412" s="17">
        <f t="shared" si="3"/>
        <v>81</v>
      </c>
      <c r="B412" s="1364"/>
      <c r="C412" s="18"/>
      <c r="D412" s="87" t="s">
        <v>207</v>
      </c>
      <c r="E412" s="77" t="s">
        <v>193</v>
      </c>
      <c r="F412" s="1348" t="s">
        <v>30</v>
      </c>
      <c r="G412" s="93"/>
      <c r="H412" s="93"/>
      <c r="I412" s="93"/>
      <c r="J412" s="93"/>
      <c r="K412" s="93"/>
      <c r="L412" s="93"/>
      <c r="M412" s="93"/>
      <c r="N412" s="93"/>
      <c r="O412" s="93"/>
    </row>
    <row r="413" ht="15.75" customHeight="1">
      <c r="A413" s="17">
        <f t="shared" si="3"/>
        <v>82</v>
      </c>
      <c r="B413" s="1364"/>
      <c r="C413" s="18"/>
      <c r="D413" s="87" t="s">
        <v>209</v>
      </c>
      <c r="E413" s="77" t="s">
        <v>193</v>
      </c>
      <c r="F413" s="1348" t="s">
        <v>27</v>
      </c>
      <c r="G413" s="93"/>
      <c r="H413" s="93"/>
      <c r="I413" s="93"/>
      <c r="J413" s="93"/>
      <c r="K413" s="93"/>
      <c r="L413" s="93"/>
      <c r="M413" s="93"/>
      <c r="N413" s="93"/>
      <c r="O413" s="93"/>
    </row>
    <row r="414" ht="15.75" customHeight="1">
      <c r="A414" s="17">
        <f t="shared" si="3"/>
        <v>83</v>
      </c>
      <c r="B414" s="1364"/>
      <c r="C414" s="18"/>
      <c r="D414" s="87" t="s">
        <v>211</v>
      </c>
      <c r="E414" s="77" t="s">
        <v>193</v>
      </c>
      <c r="F414" s="1348" t="s">
        <v>46</v>
      </c>
      <c r="G414" s="93"/>
      <c r="H414" s="93"/>
      <c r="I414" s="93"/>
      <c r="J414" s="93"/>
      <c r="K414" s="93"/>
      <c r="L414" s="93"/>
      <c r="M414" s="93"/>
      <c r="N414" s="93"/>
      <c r="O414" s="93"/>
    </row>
    <row r="415" ht="15.75" customHeight="1">
      <c r="A415" s="17">
        <f t="shared" si="3"/>
        <v>84</v>
      </c>
      <c r="B415" s="1364"/>
      <c r="C415" s="18"/>
      <c r="D415" s="88" t="s">
        <v>213</v>
      </c>
      <c r="E415" s="77" t="s">
        <v>193</v>
      </c>
      <c r="F415" s="1348" t="s">
        <v>30</v>
      </c>
      <c r="G415" s="93"/>
      <c r="H415" s="93"/>
      <c r="I415" s="93"/>
      <c r="J415" s="93"/>
      <c r="K415" s="93"/>
      <c r="L415" s="93"/>
      <c r="M415" s="93"/>
      <c r="N415" s="93"/>
      <c r="O415" s="93"/>
    </row>
    <row r="416" ht="15.75" customHeight="1">
      <c r="A416" s="17">
        <f t="shared" si="3"/>
        <v>85</v>
      </c>
      <c r="B416" s="1364"/>
      <c r="C416" s="18"/>
      <c r="D416" s="87" t="s">
        <v>214</v>
      </c>
      <c r="E416" s="77" t="s">
        <v>193</v>
      </c>
      <c r="F416" s="1348" t="s">
        <v>30</v>
      </c>
      <c r="G416" s="93"/>
      <c r="H416" s="93"/>
      <c r="I416" s="93"/>
      <c r="J416" s="93"/>
      <c r="K416" s="93"/>
      <c r="L416" s="93"/>
      <c r="M416" s="93"/>
      <c r="N416" s="93"/>
      <c r="O416" s="93"/>
    </row>
    <row r="417" ht="15.75" customHeight="1">
      <c r="A417" s="17">
        <f t="shared" si="3"/>
        <v>86</v>
      </c>
      <c r="B417" s="1364"/>
      <c r="C417" s="18"/>
      <c r="D417" s="87" t="s">
        <v>216</v>
      </c>
      <c r="E417" s="77" t="s">
        <v>193</v>
      </c>
      <c r="F417" s="1348" t="s">
        <v>30</v>
      </c>
      <c r="G417" s="93"/>
      <c r="H417" s="93"/>
      <c r="I417" s="93"/>
      <c r="J417" s="93"/>
      <c r="K417" s="93"/>
      <c r="L417" s="93"/>
      <c r="M417" s="93"/>
      <c r="N417" s="93"/>
      <c r="O417" s="93"/>
    </row>
    <row r="418" ht="15.75" customHeight="1">
      <c r="A418" s="17">
        <f t="shared" si="3"/>
        <v>87</v>
      </c>
      <c r="B418" s="1364"/>
      <c r="C418" s="18"/>
      <c r="D418" s="87" t="s">
        <v>218</v>
      </c>
      <c r="E418" s="77" t="s">
        <v>193</v>
      </c>
      <c r="F418" s="1348" t="s">
        <v>27</v>
      </c>
      <c r="G418" s="93"/>
      <c r="H418" s="93"/>
      <c r="I418" s="93"/>
      <c r="J418" s="93"/>
      <c r="K418" s="93"/>
      <c r="L418" s="93"/>
      <c r="M418" s="93"/>
      <c r="N418" s="93"/>
      <c r="O418" s="93"/>
    </row>
    <row r="419" ht="15.75" customHeight="1">
      <c r="A419" s="17">
        <f t="shared" si="3"/>
        <v>88</v>
      </c>
      <c r="B419" s="1364"/>
      <c r="C419" s="18"/>
      <c r="D419" s="87" t="s">
        <v>220</v>
      </c>
      <c r="E419" s="77" t="s">
        <v>193</v>
      </c>
      <c r="F419" s="1348" t="s">
        <v>221</v>
      </c>
      <c r="G419" s="93"/>
      <c r="H419" s="93"/>
      <c r="I419" s="93"/>
      <c r="J419" s="93"/>
      <c r="K419" s="93"/>
      <c r="L419" s="93"/>
      <c r="M419" s="93"/>
      <c r="N419" s="93"/>
      <c r="O419" s="93"/>
    </row>
    <row r="420" ht="15.75" customHeight="1">
      <c r="A420" s="17">
        <f t="shared" si="3"/>
        <v>89</v>
      </c>
      <c r="B420" s="1364"/>
      <c r="C420" s="18"/>
      <c r="D420" s="87" t="s">
        <v>223</v>
      </c>
      <c r="E420" s="77" t="s">
        <v>193</v>
      </c>
      <c r="F420" s="1348" t="s">
        <v>224</v>
      </c>
      <c r="G420" s="93"/>
      <c r="H420" s="93"/>
      <c r="I420" s="93"/>
      <c r="J420" s="93"/>
      <c r="K420" s="93"/>
      <c r="L420" s="93"/>
      <c r="M420" s="93"/>
      <c r="N420" s="93"/>
      <c r="O420" s="93"/>
    </row>
    <row r="421" ht="15.75" customHeight="1">
      <c r="A421" s="17">
        <f t="shared" si="3"/>
        <v>90</v>
      </c>
      <c r="B421" s="1364"/>
      <c r="C421" s="18"/>
      <c r="D421" s="87" t="s">
        <v>226</v>
      </c>
      <c r="E421" s="77" t="s">
        <v>193</v>
      </c>
      <c r="F421" s="1348" t="s">
        <v>224</v>
      </c>
      <c r="G421" s="93"/>
      <c r="H421" s="93"/>
      <c r="I421" s="93"/>
      <c r="J421" s="93"/>
      <c r="K421" s="93"/>
      <c r="L421" s="93"/>
      <c r="M421" s="93"/>
      <c r="N421" s="93"/>
      <c r="O421" s="93"/>
    </row>
    <row r="422" ht="15.75" customHeight="1">
      <c r="A422" s="17">
        <f t="shared" si="3"/>
        <v>91</v>
      </c>
      <c r="B422" s="1364"/>
      <c r="C422" s="18"/>
      <c r="D422" s="87" t="s">
        <v>227</v>
      </c>
      <c r="E422" s="77" t="s">
        <v>193</v>
      </c>
      <c r="F422" s="1348" t="s">
        <v>224</v>
      </c>
      <c r="G422" s="93"/>
      <c r="H422" s="93"/>
      <c r="I422" s="93"/>
      <c r="J422" s="93"/>
      <c r="K422" s="93"/>
      <c r="L422" s="93"/>
      <c r="M422" s="93"/>
      <c r="N422" s="93"/>
      <c r="O422" s="93"/>
    </row>
    <row r="423" ht="15.75" customHeight="1">
      <c r="A423" s="17">
        <f t="shared" si="3"/>
        <v>92</v>
      </c>
      <c r="B423" s="1364"/>
      <c r="C423" s="18"/>
      <c r="D423" s="87" t="s">
        <v>229</v>
      </c>
      <c r="E423" s="77" t="s">
        <v>193</v>
      </c>
      <c r="F423" s="1348" t="s">
        <v>27</v>
      </c>
      <c r="G423" s="93"/>
      <c r="H423" s="93"/>
      <c r="I423" s="93"/>
      <c r="J423" s="93"/>
      <c r="K423" s="93"/>
      <c r="L423" s="93"/>
      <c r="M423" s="93"/>
      <c r="N423" s="93"/>
      <c r="O423" s="93"/>
    </row>
    <row r="424" ht="15.75" customHeight="1">
      <c r="A424" s="17">
        <f t="shared" si="3"/>
        <v>93</v>
      </c>
      <c r="B424" s="1364"/>
      <c r="C424" s="18"/>
      <c r="D424" s="87" t="s">
        <v>231</v>
      </c>
      <c r="E424" s="77" t="s">
        <v>193</v>
      </c>
      <c r="F424" s="1348" t="s">
        <v>27</v>
      </c>
      <c r="G424" s="93"/>
      <c r="H424" s="93"/>
      <c r="I424" s="93"/>
      <c r="J424" s="93"/>
      <c r="K424" s="93"/>
      <c r="L424" s="93"/>
      <c r="M424" s="93"/>
      <c r="N424" s="93"/>
      <c r="O424" s="93"/>
    </row>
    <row r="425" ht="15.75" customHeight="1">
      <c r="A425" s="17">
        <f t="shared" si="3"/>
        <v>94</v>
      </c>
      <c r="B425" s="1364"/>
      <c r="C425" s="18"/>
      <c r="D425" s="87" t="s">
        <v>232</v>
      </c>
      <c r="E425" s="77" t="s">
        <v>193</v>
      </c>
      <c r="F425" s="1348" t="s">
        <v>27</v>
      </c>
      <c r="G425" s="93"/>
      <c r="H425" s="93"/>
      <c r="I425" s="93"/>
      <c r="J425" s="93"/>
      <c r="K425" s="93"/>
      <c r="L425" s="93"/>
      <c r="M425" s="93"/>
      <c r="N425" s="93"/>
      <c r="O425" s="93"/>
    </row>
    <row r="426" ht="15.75" customHeight="1">
      <c r="A426" s="17">
        <f t="shared" si="3"/>
        <v>95</v>
      </c>
      <c r="B426" s="1364"/>
      <c r="C426" s="18"/>
      <c r="D426" s="87" t="s">
        <v>233</v>
      </c>
      <c r="E426" s="77" t="s">
        <v>193</v>
      </c>
      <c r="F426" s="1348" t="s">
        <v>30</v>
      </c>
      <c r="G426" s="93"/>
      <c r="H426" s="93"/>
      <c r="I426" s="93"/>
      <c r="J426" s="93"/>
      <c r="K426" s="93"/>
      <c r="L426" s="93"/>
      <c r="M426" s="93"/>
      <c r="N426" s="93"/>
      <c r="O426" s="93"/>
    </row>
    <row r="427" ht="15.75" customHeight="1">
      <c r="A427" s="17">
        <f t="shared" si="3"/>
        <v>96</v>
      </c>
      <c r="B427" s="1364"/>
      <c r="C427" s="18"/>
      <c r="D427" s="103" t="s">
        <v>250</v>
      </c>
      <c r="E427" s="77" t="s">
        <v>236</v>
      </c>
      <c r="F427" s="1348" t="s">
        <v>33</v>
      </c>
      <c r="G427" s="93"/>
      <c r="H427" s="93"/>
      <c r="I427" s="93"/>
      <c r="J427" s="93"/>
      <c r="K427" s="93"/>
      <c r="L427" s="93"/>
      <c r="M427" s="93"/>
      <c r="N427" s="93"/>
      <c r="O427" s="93"/>
    </row>
    <row r="428" ht="15.75" customHeight="1">
      <c r="A428" s="17">
        <f t="shared" si="3"/>
        <v>97</v>
      </c>
      <c r="B428" s="1364"/>
      <c r="C428" s="18"/>
      <c r="D428" s="103" t="s">
        <v>238</v>
      </c>
      <c r="E428" s="77" t="s">
        <v>236</v>
      </c>
      <c r="F428" s="1348" t="s">
        <v>27</v>
      </c>
      <c r="G428" s="93"/>
      <c r="H428" s="93"/>
      <c r="I428" s="93"/>
      <c r="J428" s="93"/>
      <c r="K428" s="93"/>
      <c r="L428" s="93"/>
      <c r="M428" s="93"/>
      <c r="N428" s="93"/>
      <c r="O428" s="93"/>
    </row>
    <row r="429" ht="15.75" customHeight="1">
      <c r="A429" s="17">
        <f t="shared" si="3"/>
        <v>98</v>
      </c>
      <c r="B429" s="1364"/>
      <c r="C429" s="18"/>
      <c r="D429" s="103" t="s">
        <v>252</v>
      </c>
      <c r="E429" s="77" t="s">
        <v>236</v>
      </c>
      <c r="F429" s="1348" t="s">
        <v>30</v>
      </c>
      <c r="G429" s="93"/>
      <c r="H429" s="93"/>
      <c r="I429" s="93"/>
      <c r="J429" s="93"/>
      <c r="K429" s="93"/>
      <c r="L429" s="93"/>
      <c r="M429" s="93"/>
      <c r="N429" s="93"/>
      <c r="O429" s="93"/>
    </row>
    <row r="430" ht="15.75" customHeight="1">
      <c r="A430" s="17">
        <f t="shared" si="3"/>
        <v>99</v>
      </c>
      <c r="B430" s="1364"/>
      <c r="C430" s="18"/>
      <c r="D430" s="103" t="s">
        <v>254</v>
      </c>
      <c r="E430" s="77" t="s">
        <v>236</v>
      </c>
      <c r="F430" s="1348" t="s">
        <v>27</v>
      </c>
      <c r="G430" s="93"/>
      <c r="H430" s="93"/>
      <c r="I430" s="93"/>
      <c r="J430" s="93"/>
      <c r="K430" s="93"/>
      <c r="L430" s="93"/>
      <c r="M430" s="93"/>
      <c r="N430" s="93"/>
      <c r="O430" s="93"/>
    </row>
    <row r="431" ht="15.75" customHeight="1">
      <c r="A431" s="17">
        <f t="shared" si="3"/>
        <v>100</v>
      </c>
      <c r="B431" s="1364"/>
      <c r="C431" s="18"/>
      <c r="D431" s="103" t="s">
        <v>256</v>
      </c>
      <c r="E431" s="77" t="s">
        <v>236</v>
      </c>
      <c r="F431" s="1348" t="s">
        <v>30</v>
      </c>
      <c r="G431" s="93"/>
      <c r="H431" s="93"/>
      <c r="I431" s="93"/>
      <c r="J431" s="93"/>
      <c r="K431" s="93"/>
      <c r="L431" s="93"/>
      <c r="M431" s="93"/>
      <c r="N431" s="93"/>
      <c r="O431" s="93"/>
    </row>
    <row r="432" ht="15.75" customHeight="1">
      <c r="A432" s="17">
        <f t="shared" si="3"/>
        <v>101</v>
      </c>
      <c r="B432" s="1364"/>
      <c r="C432" s="18"/>
      <c r="D432" s="103" t="s">
        <v>258</v>
      </c>
      <c r="E432" s="77" t="s">
        <v>236</v>
      </c>
      <c r="F432" s="1348" t="s">
        <v>30</v>
      </c>
      <c r="G432" s="93"/>
      <c r="H432" s="93"/>
      <c r="I432" s="93"/>
      <c r="J432" s="93"/>
      <c r="K432" s="93"/>
      <c r="L432" s="93"/>
      <c r="M432" s="93"/>
      <c r="N432" s="93"/>
      <c r="O432" s="93"/>
    </row>
    <row r="433" ht="15.75" customHeight="1">
      <c r="A433" s="17">
        <f t="shared" si="3"/>
        <v>102</v>
      </c>
      <c r="B433" s="1364"/>
      <c r="C433" s="18"/>
      <c r="D433" s="103" t="s">
        <v>260</v>
      </c>
      <c r="E433" s="77" t="s">
        <v>236</v>
      </c>
      <c r="F433" s="1348" t="s">
        <v>27</v>
      </c>
      <c r="G433" s="93"/>
      <c r="H433" s="93"/>
      <c r="I433" s="93"/>
      <c r="J433" s="93"/>
      <c r="K433" s="93"/>
      <c r="L433" s="93"/>
      <c r="M433" s="93"/>
      <c r="N433" s="93"/>
      <c r="O433" s="93"/>
    </row>
    <row r="434" ht="15.75" customHeight="1">
      <c r="A434" s="17">
        <f t="shared" si="3"/>
        <v>103</v>
      </c>
      <c r="B434" s="1364"/>
      <c r="C434" s="18"/>
      <c r="D434" s="103" t="s">
        <v>262</v>
      </c>
      <c r="E434" s="77" t="s">
        <v>236</v>
      </c>
      <c r="F434" s="1348" t="s">
        <v>30</v>
      </c>
      <c r="G434" s="93"/>
      <c r="H434" s="93"/>
      <c r="I434" s="93"/>
      <c r="J434" s="93"/>
      <c r="K434" s="93"/>
      <c r="L434" s="93"/>
      <c r="M434" s="93"/>
      <c r="N434" s="93"/>
      <c r="O434" s="93"/>
    </row>
    <row r="435" ht="15.75" customHeight="1">
      <c r="A435" s="17">
        <f t="shared" si="3"/>
        <v>104</v>
      </c>
      <c r="B435" s="1364"/>
      <c r="C435" s="18"/>
      <c r="D435" s="103" t="s">
        <v>240</v>
      </c>
      <c r="E435" s="77" t="s">
        <v>236</v>
      </c>
      <c r="F435" s="1348" t="s">
        <v>27</v>
      </c>
      <c r="G435" s="93"/>
      <c r="H435" s="93"/>
      <c r="I435" s="93"/>
      <c r="J435" s="93"/>
      <c r="K435" s="93"/>
      <c r="L435" s="93"/>
      <c r="M435" s="93"/>
      <c r="N435" s="93"/>
      <c r="O435" s="93"/>
    </row>
    <row r="436" ht="15.75" customHeight="1">
      <c r="A436" s="17">
        <f t="shared" si="3"/>
        <v>105</v>
      </c>
      <c r="B436" s="1364"/>
      <c r="C436" s="18"/>
      <c r="D436" s="103" t="s">
        <v>264</v>
      </c>
      <c r="E436" s="77" t="s">
        <v>236</v>
      </c>
      <c r="F436" s="1348" t="s">
        <v>33</v>
      </c>
      <c r="G436" s="93"/>
      <c r="H436" s="93"/>
      <c r="I436" s="93"/>
      <c r="J436" s="93"/>
      <c r="K436" s="93"/>
      <c r="L436" s="93"/>
      <c r="M436" s="93"/>
      <c r="N436" s="93"/>
      <c r="O436" s="93"/>
    </row>
    <row r="437" ht="15.75" customHeight="1">
      <c r="A437" s="17">
        <f t="shared" si="3"/>
        <v>106</v>
      </c>
      <c r="B437" s="1364"/>
      <c r="C437" s="18"/>
      <c r="D437" s="103" t="s">
        <v>266</v>
      </c>
      <c r="E437" s="77" t="s">
        <v>236</v>
      </c>
      <c r="F437" s="1348" t="s">
        <v>27</v>
      </c>
      <c r="G437" s="93"/>
      <c r="H437" s="93"/>
      <c r="I437" s="93"/>
      <c r="J437" s="93"/>
      <c r="K437" s="93"/>
      <c r="L437" s="93"/>
      <c r="M437" s="93"/>
      <c r="N437" s="93"/>
      <c r="O437" s="93"/>
    </row>
    <row r="438" ht="15.75" customHeight="1">
      <c r="A438" s="17">
        <f t="shared" si="3"/>
        <v>107</v>
      </c>
      <c r="B438" s="1364"/>
      <c r="C438" s="18"/>
      <c r="D438" s="103" t="s">
        <v>268</v>
      </c>
      <c r="E438" s="77" t="s">
        <v>236</v>
      </c>
      <c r="F438" s="1348" t="s">
        <v>30</v>
      </c>
      <c r="G438" s="93"/>
      <c r="H438" s="93"/>
      <c r="I438" s="93"/>
      <c r="J438" s="93"/>
      <c r="K438" s="93"/>
      <c r="L438" s="93"/>
      <c r="M438" s="93"/>
      <c r="N438" s="93"/>
      <c r="O438" s="93"/>
    </row>
    <row r="439" ht="15.75" customHeight="1">
      <c r="A439" s="17">
        <f t="shared" si="3"/>
        <v>108</v>
      </c>
      <c r="B439" s="1364"/>
      <c r="C439" s="18"/>
      <c r="D439" s="103" t="s">
        <v>242</v>
      </c>
      <c r="E439" s="77" t="s">
        <v>236</v>
      </c>
      <c r="F439" s="1348" t="s">
        <v>30</v>
      </c>
      <c r="G439" s="93"/>
      <c r="H439" s="93"/>
      <c r="I439" s="93"/>
      <c r="J439" s="93"/>
      <c r="K439" s="93"/>
      <c r="L439" s="93"/>
      <c r="M439" s="93"/>
      <c r="N439" s="93"/>
      <c r="O439" s="93"/>
    </row>
    <row r="440" ht="15.75" customHeight="1">
      <c r="A440" s="17">
        <f t="shared" si="3"/>
        <v>109</v>
      </c>
      <c r="B440" s="1364"/>
      <c r="C440" s="18"/>
      <c r="D440" s="103" t="s">
        <v>270</v>
      </c>
      <c r="E440" s="77" t="s">
        <v>236</v>
      </c>
      <c r="F440" s="1348" t="s">
        <v>30</v>
      </c>
      <c r="G440" s="93"/>
      <c r="H440" s="93"/>
      <c r="I440" s="93"/>
      <c r="J440" s="93"/>
      <c r="K440" s="93"/>
      <c r="L440" s="93"/>
      <c r="M440" s="93"/>
      <c r="N440" s="93"/>
      <c r="O440" s="93"/>
    </row>
    <row r="441" ht="15.75" customHeight="1">
      <c r="A441" s="17">
        <f t="shared" si="3"/>
        <v>110</v>
      </c>
      <c r="B441" s="1364"/>
      <c r="C441" s="18"/>
      <c r="D441" s="103" t="s">
        <v>272</v>
      </c>
      <c r="E441" s="77" t="s">
        <v>236</v>
      </c>
      <c r="F441" s="1348" t="s">
        <v>27</v>
      </c>
      <c r="G441" s="93"/>
      <c r="H441" s="93"/>
      <c r="I441" s="93"/>
      <c r="J441" s="93"/>
      <c r="K441" s="93"/>
      <c r="L441" s="93"/>
      <c r="M441" s="93"/>
      <c r="N441" s="93"/>
      <c r="O441" s="93"/>
    </row>
    <row r="442" ht="15.75" customHeight="1">
      <c r="A442" s="17">
        <f t="shared" si="3"/>
        <v>111</v>
      </c>
      <c r="B442" s="1364"/>
      <c r="C442" s="18"/>
      <c r="D442" s="103" t="s">
        <v>274</v>
      </c>
      <c r="E442" s="77" t="s">
        <v>236</v>
      </c>
      <c r="F442" s="1348" t="s">
        <v>27</v>
      </c>
      <c r="G442" s="93"/>
      <c r="H442" s="93"/>
      <c r="I442" s="93"/>
      <c r="J442" s="93"/>
      <c r="K442" s="93"/>
      <c r="L442" s="93"/>
      <c r="M442" s="93"/>
      <c r="N442" s="93"/>
      <c r="O442" s="93"/>
    </row>
    <row r="443" ht="15.75" customHeight="1">
      <c r="A443" s="17">
        <f t="shared" si="3"/>
        <v>112</v>
      </c>
      <c r="B443" s="1364"/>
      <c r="C443" s="18"/>
      <c r="D443" s="103" t="s">
        <v>276</v>
      </c>
      <c r="E443" s="77" t="s">
        <v>236</v>
      </c>
      <c r="F443" s="1348" t="s">
        <v>27</v>
      </c>
      <c r="G443" s="93"/>
      <c r="H443" s="93"/>
      <c r="I443" s="93"/>
      <c r="J443" s="93"/>
      <c r="K443" s="93"/>
      <c r="L443" s="93"/>
      <c r="M443" s="93"/>
      <c r="N443" s="93"/>
      <c r="O443" s="93"/>
    </row>
    <row r="444" ht="15.75" customHeight="1">
      <c r="A444" s="17">
        <f t="shared" si="3"/>
        <v>113</v>
      </c>
      <c r="B444" s="1364"/>
      <c r="C444" s="18"/>
      <c r="D444" s="103" t="s">
        <v>278</v>
      </c>
      <c r="E444" s="77" t="s">
        <v>236</v>
      </c>
      <c r="F444" s="1348" t="s">
        <v>27</v>
      </c>
      <c r="G444" s="93"/>
      <c r="H444" s="93"/>
      <c r="I444" s="93"/>
      <c r="J444" s="93"/>
      <c r="K444" s="93"/>
      <c r="L444" s="93"/>
      <c r="M444" s="93"/>
      <c r="N444" s="93"/>
      <c r="O444" s="93"/>
    </row>
    <row r="445" ht="15.75" customHeight="1">
      <c r="A445" s="17">
        <f t="shared" si="3"/>
        <v>114</v>
      </c>
      <c r="B445" s="1364"/>
      <c r="C445" s="18"/>
      <c r="D445" s="103" t="s">
        <v>280</v>
      </c>
      <c r="E445" s="77" t="s">
        <v>236</v>
      </c>
      <c r="F445" s="1348" t="s">
        <v>281</v>
      </c>
      <c r="G445" s="93"/>
      <c r="H445" s="93"/>
      <c r="I445" s="93"/>
      <c r="J445" s="93"/>
      <c r="K445" s="93"/>
      <c r="L445" s="93"/>
      <c r="M445" s="93"/>
      <c r="N445" s="93"/>
      <c r="O445" s="93"/>
    </row>
    <row r="446" ht="15.75" customHeight="1">
      <c r="A446" s="17">
        <f t="shared" si="3"/>
        <v>115</v>
      </c>
      <c r="B446" s="1364"/>
      <c r="C446" s="18"/>
      <c r="D446" s="103" t="s">
        <v>283</v>
      </c>
      <c r="E446" s="77" t="s">
        <v>236</v>
      </c>
      <c r="F446" s="1348" t="s">
        <v>284</v>
      </c>
      <c r="G446" s="93"/>
      <c r="H446" s="93"/>
      <c r="I446" s="93"/>
      <c r="J446" s="93"/>
      <c r="K446" s="93"/>
      <c r="L446" s="93"/>
      <c r="M446" s="93"/>
      <c r="N446" s="93"/>
      <c r="O446" s="93"/>
    </row>
    <row r="447" ht="15.75" customHeight="1">
      <c r="A447" s="17">
        <f t="shared" si="3"/>
        <v>116</v>
      </c>
      <c r="B447" s="1364"/>
      <c r="C447" s="18"/>
      <c r="D447" s="103" t="s">
        <v>286</v>
      </c>
      <c r="E447" s="77" t="s">
        <v>236</v>
      </c>
      <c r="F447" s="1348" t="s">
        <v>221</v>
      </c>
      <c r="G447" s="93"/>
      <c r="H447" s="93"/>
      <c r="I447" s="93"/>
      <c r="J447" s="93"/>
      <c r="K447" s="93"/>
      <c r="L447" s="93"/>
      <c r="M447" s="93"/>
      <c r="N447" s="93"/>
      <c r="O447" s="93"/>
    </row>
    <row r="448" ht="15.75" customHeight="1">
      <c r="A448" s="17">
        <f t="shared" si="3"/>
        <v>117</v>
      </c>
      <c r="B448" s="1364"/>
      <c r="C448" s="18"/>
      <c r="D448" s="103" t="s">
        <v>235</v>
      </c>
      <c r="E448" s="77" t="s">
        <v>236</v>
      </c>
      <c r="F448" s="1348" t="s">
        <v>27</v>
      </c>
      <c r="G448" s="93"/>
      <c r="H448" s="93"/>
      <c r="I448" s="93"/>
      <c r="J448" s="93"/>
      <c r="K448" s="93"/>
      <c r="L448" s="93"/>
      <c r="M448" s="93"/>
      <c r="N448" s="93"/>
      <c r="O448" s="93"/>
    </row>
    <row r="449" ht="15.75" customHeight="1">
      <c r="A449" s="17">
        <f t="shared" si="3"/>
        <v>118</v>
      </c>
      <c r="B449" s="1365"/>
      <c r="C449" s="1366"/>
      <c r="D449" s="81" t="s">
        <v>189</v>
      </c>
      <c r="E449" s="82" t="s">
        <v>184</v>
      </c>
      <c r="F449" s="1356" t="s">
        <v>185</v>
      </c>
      <c r="G449" s="93"/>
      <c r="H449" s="93"/>
      <c r="I449" s="93"/>
      <c r="J449" s="93"/>
      <c r="K449" s="93"/>
      <c r="L449" s="93"/>
      <c r="M449" s="93"/>
      <c r="N449" s="93"/>
      <c r="O449" s="93"/>
    </row>
    <row r="450" ht="15.75" customHeight="1">
      <c r="A450" s="17">
        <f t="shared" si="3"/>
        <v>119</v>
      </c>
      <c r="B450" s="1367"/>
      <c r="C450" s="93"/>
      <c r="D450" s="93"/>
      <c r="E450" s="93"/>
      <c r="F450" s="1350"/>
      <c r="G450" s="93"/>
      <c r="H450" s="93"/>
      <c r="I450" s="93"/>
      <c r="J450" s="93"/>
      <c r="K450" s="93"/>
      <c r="L450" s="93"/>
      <c r="M450" s="93"/>
      <c r="N450" s="93"/>
      <c r="O450" s="93"/>
    </row>
    <row r="451" ht="15.75" customHeight="1">
      <c r="A451" s="17">
        <f t="shared" si="3"/>
        <v>120</v>
      </c>
      <c r="B451" s="94"/>
      <c r="C451" s="93"/>
      <c r="D451" s="93"/>
      <c r="E451" s="93"/>
      <c r="F451" s="1350"/>
      <c r="G451" s="93"/>
      <c r="H451" s="93"/>
      <c r="I451" s="93"/>
      <c r="J451" s="93"/>
      <c r="K451" s="93"/>
      <c r="L451" s="93"/>
      <c r="M451" s="93"/>
      <c r="N451" s="93"/>
      <c r="O451" s="93"/>
    </row>
    <row r="452" ht="15.75" customHeight="1">
      <c r="A452" s="17">
        <f t="shared" si="3"/>
        <v>121</v>
      </c>
      <c r="B452" s="94"/>
      <c r="C452" s="93"/>
      <c r="D452" s="93"/>
      <c r="E452" s="93"/>
      <c r="F452" s="1350"/>
      <c r="G452" s="93"/>
      <c r="H452" s="93"/>
      <c r="I452" s="93"/>
      <c r="J452" s="93"/>
      <c r="K452" s="93"/>
      <c r="L452" s="93"/>
      <c r="M452" s="93"/>
      <c r="N452" s="93"/>
      <c r="O452" s="93"/>
    </row>
    <row r="453" ht="15.75" customHeight="1">
      <c r="A453" s="17">
        <f t="shared" si="3"/>
        <v>122</v>
      </c>
      <c r="B453" s="94"/>
      <c r="C453" s="93"/>
      <c r="D453" s="93"/>
      <c r="E453" s="93"/>
      <c r="F453" s="1350"/>
      <c r="G453" s="93"/>
      <c r="H453" s="93"/>
      <c r="I453" s="93"/>
      <c r="J453" s="93"/>
      <c r="K453" s="93"/>
      <c r="L453" s="93"/>
      <c r="M453" s="93"/>
      <c r="N453" s="93"/>
      <c r="O453" s="93"/>
    </row>
    <row r="454" ht="15.75" customHeight="1">
      <c r="A454" s="17">
        <f t="shared" si="3"/>
        <v>123</v>
      </c>
      <c r="B454" s="94"/>
      <c r="C454" s="93"/>
      <c r="D454" s="93"/>
      <c r="E454" s="93"/>
      <c r="F454" s="1350"/>
      <c r="G454" s="93"/>
      <c r="H454" s="93"/>
      <c r="I454" s="93"/>
      <c r="J454" s="93"/>
      <c r="K454" s="93"/>
      <c r="L454" s="93"/>
      <c r="M454" s="93"/>
      <c r="N454" s="93"/>
      <c r="O454" s="93"/>
    </row>
    <row r="455" ht="15.75" customHeight="1">
      <c r="A455" s="17">
        <f t="shared" si="3"/>
        <v>124</v>
      </c>
      <c r="B455" s="94"/>
      <c r="C455" s="93"/>
      <c r="D455" s="93"/>
      <c r="E455" s="93"/>
      <c r="F455" s="1350"/>
      <c r="G455" s="93"/>
      <c r="H455" s="93"/>
      <c r="I455" s="93"/>
      <c r="J455" s="93"/>
      <c r="K455" s="93"/>
      <c r="L455" s="93"/>
      <c r="M455" s="93"/>
      <c r="N455" s="93"/>
      <c r="O455" s="93"/>
    </row>
    <row r="456" ht="15.75" customHeight="1">
      <c r="A456" s="17">
        <f t="shared" si="3"/>
        <v>125</v>
      </c>
      <c r="B456" s="94"/>
      <c r="C456" s="93"/>
      <c r="D456" s="93"/>
      <c r="E456" s="93"/>
      <c r="F456" s="1350"/>
      <c r="G456" s="93"/>
      <c r="H456" s="93"/>
      <c r="I456" s="93"/>
      <c r="J456" s="93"/>
      <c r="K456" s="93"/>
      <c r="L456" s="93"/>
      <c r="M456" s="93"/>
      <c r="N456" s="93"/>
      <c r="O456" s="93"/>
    </row>
    <row r="457" ht="15.75" customHeight="1">
      <c r="A457" s="17">
        <f t="shared" si="3"/>
        <v>126</v>
      </c>
      <c r="B457" s="94"/>
      <c r="C457" s="93"/>
      <c r="D457" s="93"/>
      <c r="E457" s="93"/>
      <c r="F457" s="1350"/>
      <c r="G457" s="93"/>
      <c r="H457" s="93"/>
      <c r="I457" s="93"/>
      <c r="J457" s="93"/>
      <c r="K457" s="93"/>
      <c r="L457" s="93"/>
      <c r="M457" s="93"/>
      <c r="N457" s="93"/>
      <c r="O457" s="93"/>
    </row>
    <row r="458" ht="15.75" customHeight="1">
      <c r="A458" s="7"/>
      <c r="B458" s="94"/>
      <c r="C458" s="93"/>
      <c r="D458" s="93"/>
      <c r="E458" s="93"/>
      <c r="F458" s="1350"/>
      <c r="G458" s="93"/>
      <c r="H458" s="93"/>
      <c r="I458" s="93"/>
      <c r="J458" s="93"/>
      <c r="K458" s="93"/>
      <c r="L458" s="93"/>
      <c r="M458" s="93"/>
      <c r="N458" s="93"/>
      <c r="O458" s="93"/>
    </row>
    <row r="459" ht="15.75" customHeight="1">
      <c r="A459" s="7"/>
      <c r="B459" s="94"/>
      <c r="C459" s="93"/>
      <c r="D459" s="93"/>
      <c r="E459" s="93"/>
      <c r="F459" s="1350"/>
      <c r="G459" s="93"/>
      <c r="H459" s="93"/>
      <c r="I459" s="93"/>
      <c r="J459" s="93"/>
      <c r="K459" s="93"/>
      <c r="L459" s="93"/>
      <c r="M459" s="93"/>
      <c r="N459" s="93"/>
      <c r="O459" s="93"/>
    </row>
    <row r="460" ht="15.75" customHeight="1">
      <c r="A460" s="7"/>
      <c r="B460" s="94"/>
      <c r="C460" s="93"/>
      <c r="D460" s="93"/>
      <c r="E460" s="93"/>
      <c r="F460" s="1350"/>
      <c r="G460" s="93"/>
      <c r="H460" s="93"/>
      <c r="I460" s="93"/>
      <c r="J460" s="93"/>
      <c r="K460" s="93"/>
      <c r="L460" s="93"/>
      <c r="M460" s="93"/>
      <c r="N460" s="93"/>
      <c r="O460" s="93"/>
    </row>
    <row r="461" ht="15.75" customHeight="1">
      <c r="A461" s="7"/>
      <c r="B461" s="94"/>
      <c r="C461" s="93"/>
      <c r="D461" s="93"/>
      <c r="E461" s="93"/>
      <c r="F461" s="1350"/>
      <c r="G461" s="93"/>
      <c r="H461" s="93"/>
      <c r="I461" s="93"/>
      <c r="J461" s="93"/>
      <c r="K461" s="93"/>
      <c r="L461" s="93"/>
      <c r="M461" s="93"/>
      <c r="N461" s="93"/>
      <c r="O461" s="93"/>
    </row>
    <row r="462" ht="15.75" customHeight="1">
      <c r="A462" s="7"/>
      <c r="B462" s="94"/>
      <c r="C462" s="93"/>
      <c r="D462" s="93"/>
      <c r="E462" s="93"/>
      <c r="F462" s="1350"/>
      <c r="G462" s="93"/>
      <c r="H462" s="93"/>
      <c r="I462" s="93"/>
      <c r="J462" s="93"/>
      <c r="K462" s="93"/>
      <c r="L462" s="93"/>
      <c r="M462" s="93"/>
      <c r="N462" s="93"/>
      <c r="O462" s="93"/>
    </row>
    <row r="463" ht="15.75" customHeight="1">
      <c r="A463" s="7"/>
      <c r="B463" s="94"/>
      <c r="C463" s="93"/>
      <c r="D463" s="93"/>
      <c r="E463" s="93"/>
      <c r="F463" s="1350"/>
      <c r="G463" s="93"/>
      <c r="H463" s="93"/>
      <c r="I463" s="93"/>
      <c r="J463" s="93"/>
      <c r="K463" s="93"/>
      <c r="L463" s="93"/>
      <c r="M463" s="93"/>
      <c r="N463" s="93"/>
      <c r="O463" s="93"/>
    </row>
    <row r="464" ht="15.75" customHeight="1">
      <c r="A464" s="7"/>
      <c r="B464" s="94"/>
      <c r="C464" s="93"/>
      <c r="D464" s="93"/>
      <c r="E464" s="93"/>
      <c r="F464" s="1350"/>
      <c r="G464" s="93"/>
      <c r="H464" s="93"/>
      <c r="I464" s="93"/>
      <c r="J464" s="93"/>
      <c r="K464" s="93"/>
      <c r="L464" s="93"/>
      <c r="M464" s="93"/>
      <c r="N464" s="93"/>
      <c r="O464" s="93"/>
    </row>
    <row r="465" ht="15.75" customHeight="1">
      <c r="A465" s="7"/>
      <c r="B465" s="94"/>
      <c r="C465" s="93"/>
      <c r="D465" s="93"/>
      <c r="E465" s="93"/>
      <c r="F465" s="1350"/>
      <c r="G465" s="93"/>
      <c r="H465" s="93"/>
      <c r="I465" s="93"/>
      <c r="J465" s="93"/>
      <c r="K465" s="93"/>
      <c r="L465" s="93"/>
      <c r="M465" s="93"/>
      <c r="N465" s="93"/>
      <c r="O465" s="93"/>
    </row>
    <row r="466" ht="15.75" customHeight="1">
      <c r="A466" s="7"/>
      <c r="C466" s="93"/>
      <c r="D466" s="93"/>
      <c r="E466" s="93"/>
      <c r="F466" s="1350"/>
      <c r="G466" s="93"/>
      <c r="H466" s="93"/>
      <c r="I466" s="93"/>
      <c r="J466" s="93"/>
      <c r="K466" s="93"/>
      <c r="L466" s="93"/>
      <c r="M466" s="93"/>
      <c r="N466" s="93"/>
      <c r="O466" s="93"/>
    </row>
    <row r="467" ht="15.75" customHeight="1">
      <c r="A467" s="7"/>
      <c r="B467" s="94"/>
      <c r="C467" s="93"/>
      <c r="D467" s="93"/>
      <c r="E467" s="93"/>
      <c r="F467" s="1350"/>
      <c r="G467" s="93"/>
      <c r="H467" s="93"/>
      <c r="I467" s="93"/>
      <c r="J467" s="93"/>
      <c r="K467" s="93"/>
      <c r="L467" s="93"/>
      <c r="M467" s="93"/>
      <c r="N467" s="93"/>
      <c r="O467" s="93"/>
    </row>
    <row r="468" ht="15.75" customHeight="1">
      <c r="A468" s="7"/>
      <c r="B468" s="94"/>
      <c r="C468" s="93"/>
      <c r="D468" s="93"/>
      <c r="E468" s="93"/>
      <c r="F468" s="1350"/>
      <c r="G468" s="93"/>
      <c r="H468" s="93"/>
      <c r="I468" s="93"/>
      <c r="J468" s="93"/>
      <c r="K468" s="93"/>
      <c r="L468" s="93"/>
      <c r="M468" s="93"/>
      <c r="N468" s="93"/>
      <c r="O468" s="93"/>
    </row>
    <row r="469" ht="15.75" customHeight="1">
      <c r="A469" s="7"/>
      <c r="B469" s="94"/>
      <c r="C469" s="93"/>
      <c r="D469" s="93"/>
      <c r="E469" s="93"/>
      <c r="F469" s="1350"/>
      <c r="G469" s="93"/>
      <c r="H469" s="93"/>
      <c r="I469" s="93"/>
      <c r="J469" s="93"/>
      <c r="K469" s="93"/>
      <c r="L469" s="93"/>
      <c r="M469" s="93"/>
      <c r="N469" s="93"/>
      <c r="O469" s="93"/>
    </row>
    <row r="470" ht="15.75" customHeight="1">
      <c r="A470" s="7"/>
      <c r="C470" s="93"/>
      <c r="D470" s="93"/>
      <c r="E470" s="93"/>
      <c r="F470" s="1350"/>
      <c r="G470" s="93"/>
      <c r="H470" s="93"/>
      <c r="I470" s="93"/>
      <c r="J470" s="93"/>
      <c r="K470" s="93"/>
      <c r="L470" s="93"/>
      <c r="M470" s="93"/>
      <c r="N470" s="93"/>
      <c r="O470" s="93"/>
    </row>
    <row r="471" ht="15.75" customHeight="1">
      <c r="A471" s="7"/>
      <c r="C471" s="93"/>
      <c r="D471" s="93"/>
      <c r="E471" s="15"/>
      <c r="F471" s="1350"/>
      <c r="G471" s="93"/>
      <c r="H471" s="93"/>
      <c r="I471" s="93"/>
      <c r="J471" s="93"/>
      <c r="K471" s="93"/>
      <c r="L471" s="93"/>
      <c r="M471" s="93"/>
      <c r="N471" s="93"/>
      <c r="O471" s="93"/>
    </row>
    <row r="472" ht="15.75" customHeight="1">
      <c r="A472" s="7"/>
      <c r="C472" s="93"/>
      <c r="D472" s="93"/>
      <c r="E472" s="15"/>
      <c r="F472" s="1350"/>
      <c r="G472" s="93"/>
      <c r="H472" s="93"/>
      <c r="I472" s="93"/>
      <c r="J472" s="93"/>
      <c r="K472" s="93"/>
      <c r="L472" s="93"/>
      <c r="M472" s="93"/>
      <c r="N472" s="93"/>
      <c r="O472" s="93"/>
    </row>
    <row r="473" ht="15.75" customHeight="1">
      <c r="A473" s="7"/>
      <c r="C473" s="93"/>
      <c r="D473" s="93"/>
      <c r="E473" s="15"/>
      <c r="F473" s="1350"/>
      <c r="G473" s="93"/>
      <c r="H473" s="93"/>
      <c r="I473" s="93"/>
      <c r="J473" s="93"/>
      <c r="K473" s="93"/>
      <c r="L473" s="93"/>
      <c r="M473" s="93"/>
      <c r="N473" s="93"/>
      <c r="O473" s="93"/>
    </row>
    <row r="474" ht="15.75" customHeight="1">
      <c r="A474" s="7"/>
      <c r="C474" s="93"/>
      <c r="D474" s="93"/>
      <c r="E474" s="15"/>
      <c r="F474" s="1350"/>
      <c r="G474" s="93"/>
      <c r="H474" s="93"/>
      <c r="I474" s="93"/>
      <c r="J474" s="93"/>
      <c r="K474" s="93"/>
      <c r="L474" s="93"/>
      <c r="M474" s="93"/>
      <c r="N474" s="93"/>
      <c r="O474" s="93"/>
    </row>
    <row r="475" ht="15.75" customHeight="1">
      <c r="A475" s="7"/>
      <c r="C475" s="93"/>
      <c r="D475" s="93"/>
      <c r="E475" s="15"/>
      <c r="F475" s="1350"/>
      <c r="G475" s="93"/>
      <c r="H475" s="93"/>
      <c r="I475" s="93"/>
      <c r="J475" s="93"/>
      <c r="K475" s="93"/>
      <c r="L475" s="93"/>
      <c r="M475" s="93"/>
      <c r="N475" s="93"/>
      <c r="O475" s="93"/>
    </row>
    <row r="476" ht="15.75" customHeight="1">
      <c r="A476" s="7"/>
      <c r="C476" s="93"/>
      <c r="D476" s="93"/>
      <c r="E476" s="15"/>
      <c r="F476" s="1350"/>
      <c r="G476" s="93"/>
      <c r="H476" s="93"/>
      <c r="I476" s="93"/>
      <c r="J476" s="93"/>
      <c r="K476" s="93"/>
      <c r="L476" s="93"/>
      <c r="M476" s="93"/>
      <c r="N476" s="93"/>
      <c r="O476" s="93"/>
    </row>
    <row r="477" ht="15.75" customHeight="1">
      <c r="A477" s="7"/>
      <c r="C477" s="93"/>
      <c r="D477" s="93"/>
      <c r="E477" s="15"/>
      <c r="F477" s="1350"/>
      <c r="G477" s="93"/>
      <c r="H477" s="93"/>
      <c r="I477" s="93"/>
      <c r="J477" s="93"/>
      <c r="K477" s="93"/>
      <c r="L477" s="93"/>
      <c r="M477" s="93"/>
      <c r="N477" s="93"/>
      <c r="O477" s="93"/>
    </row>
    <row r="478" ht="15.75" customHeight="1">
      <c r="A478" s="7"/>
      <c r="C478" s="93"/>
      <c r="D478" s="93"/>
      <c r="E478" s="15"/>
      <c r="F478" s="1350"/>
      <c r="G478" s="93"/>
      <c r="H478" s="93"/>
      <c r="I478" s="93"/>
      <c r="J478" s="93"/>
      <c r="K478" s="93"/>
      <c r="L478" s="93"/>
      <c r="M478" s="93"/>
      <c r="N478" s="93"/>
      <c r="O478" s="93"/>
    </row>
    <row r="479" ht="15.75" customHeight="1">
      <c r="A479" s="7"/>
      <c r="C479" s="93"/>
      <c r="D479" s="93"/>
      <c r="E479" s="15"/>
      <c r="F479" s="1350"/>
      <c r="G479" s="93"/>
      <c r="H479" s="93"/>
      <c r="I479" s="93"/>
      <c r="J479" s="93"/>
      <c r="K479" s="93"/>
      <c r="L479" s="93"/>
      <c r="M479" s="93"/>
      <c r="N479" s="93"/>
      <c r="O479" s="93"/>
    </row>
    <row r="480" ht="15.75" customHeight="1">
      <c r="A480" s="7"/>
      <c r="C480" s="93"/>
      <c r="D480" s="93"/>
      <c r="E480" s="15"/>
      <c r="F480" s="1350"/>
      <c r="G480" s="93"/>
      <c r="H480" s="93"/>
      <c r="I480" s="93"/>
      <c r="J480" s="93"/>
      <c r="K480" s="93"/>
      <c r="L480" s="93"/>
      <c r="M480" s="93"/>
      <c r="N480" s="93"/>
      <c r="O480" s="93"/>
    </row>
    <row r="481" ht="15.75" customHeight="1">
      <c r="A481" s="7"/>
      <c r="C481" s="93"/>
      <c r="D481" s="93"/>
      <c r="E481" s="15"/>
      <c r="F481" s="1350"/>
      <c r="G481" s="93"/>
      <c r="H481" s="93"/>
      <c r="I481" s="93"/>
      <c r="J481" s="93"/>
      <c r="K481" s="93"/>
      <c r="L481" s="93"/>
      <c r="M481" s="93"/>
      <c r="N481" s="93"/>
      <c r="O481" s="93"/>
    </row>
    <row r="482" ht="15.75" customHeight="1">
      <c r="A482" s="7"/>
      <c r="C482" s="93"/>
      <c r="D482" s="93"/>
      <c r="E482" s="15"/>
      <c r="F482" s="1350"/>
      <c r="G482" s="93"/>
      <c r="H482" s="93"/>
      <c r="I482" s="93"/>
      <c r="J482" s="93"/>
      <c r="K482" s="93"/>
      <c r="L482" s="93"/>
      <c r="M482" s="93"/>
      <c r="N482" s="93"/>
      <c r="O482" s="93"/>
    </row>
    <row r="483" ht="15.75" customHeight="1">
      <c r="A483" s="7"/>
      <c r="C483" s="93"/>
      <c r="D483" s="93"/>
      <c r="E483" s="15"/>
      <c r="F483" s="1350"/>
      <c r="G483" s="93"/>
      <c r="H483" s="93"/>
      <c r="I483" s="93"/>
      <c r="J483" s="93"/>
      <c r="K483" s="93"/>
      <c r="L483" s="93"/>
      <c r="M483" s="93"/>
      <c r="N483" s="93"/>
      <c r="O483" s="93"/>
    </row>
    <row r="484" ht="15.75" customHeight="1">
      <c r="A484" s="7"/>
      <c r="C484" s="93"/>
      <c r="D484" s="93"/>
      <c r="E484" s="15"/>
      <c r="F484" s="1350"/>
      <c r="G484" s="93"/>
      <c r="H484" s="93"/>
      <c r="I484" s="93"/>
      <c r="J484" s="93"/>
      <c r="K484" s="93"/>
      <c r="L484" s="93"/>
      <c r="M484" s="93"/>
      <c r="N484" s="93"/>
      <c r="O484" s="93"/>
    </row>
    <row r="485" ht="15.75" customHeight="1">
      <c r="A485" s="7"/>
      <c r="C485" s="93"/>
      <c r="D485" s="93"/>
      <c r="E485" s="15"/>
      <c r="F485" s="1350"/>
      <c r="G485" s="93"/>
      <c r="H485" s="93"/>
      <c r="I485" s="93"/>
      <c r="J485" s="93"/>
      <c r="K485" s="93"/>
      <c r="L485" s="93"/>
      <c r="M485" s="93"/>
      <c r="N485" s="93"/>
      <c r="O485" s="93"/>
    </row>
    <row r="486" ht="15.75" customHeight="1">
      <c r="A486" s="7"/>
      <c r="C486" s="93"/>
      <c r="D486" s="93"/>
      <c r="E486" s="15"/>
      <c r="F486" s="1350"/>
      <c r="G486" s="93"/>
      <c r="H486" s="93"/>
      <c r="I486" s="93"/>
      <c r="J486" s="93"/>
      <c r="K486" s="93"/>
      <c r="L486" s="93"/>
      <c r="M486" s="93"/>
      <c r="N486" s="93"/>
      <c r="O486" s="93"/>
    </row>
    <row r="487" ht="15.75" customHeight="1">
      <c r="A487" s="7"/>
      <c r="C487" s="93"/>
      <c r="D487" s="93"/>
      <c r="E487" s="15"/>
      <c r="F487" s="1350"/>
      <c r="G487" s="93"/>
      <c r="H487" s="93"/>
      <c r="I487" s="93"/>
      <c r="J487" s="93"/>
      <c r="K487" s="93"/>
      <c r="L487" s="93"/>
      <c r="M487" s="93"/>
      <c r="N487" s="93"/>
      <c r="O487" s="93"/>
    </row>
    <row r="488" ht="15.75" customHeight="1">
      <c r="A488" s="7"/>
      <c r="C488" s="93"/>
      <c r="D488" s="93"/>
      <c r="E488" s="15"/>
      <c r="F488" s="1350"/>
      <c r="G488" s="93"/>
      <c r="H488" s="93"/>
      <c r="I488" s="93"/>
      <c r="J488" s="93"/>
      <c r="K488" s="93"/>
      <c r="L488" s="93"/>
      <c r="M488" s="93"/>
      <c r="N488" s="93"/>
      <c r="O488" s="93"/>
    </row>
    <row r="489" ht="15.75" customHeight="1">
      <c r="A489" s="7"/>
      <c r="C489" s="93"/>
      <c r="D489" s="93"/>
      <c r="E489" s="15"/>
      <c r="F489" s="1350"/>
      <c r="G489" s="93"/>
      <c r="H489" s="93"/>
      <c r="I489" s="93"/>
      <c r="J489" s="93"/>
      <c r="K489" s="93"/>
      <c r="L489" s="93"/>
      <c r="M489" s="93"/>
      <c r="N489" s="93"/>
      <c r="O489" s="93"/>
    </row>
    <row r="490" ht="15.75" customHeight="1">
      <c r="A490" s="7"/>
      <c r="C490" s="93"/>
      <c r="D490" s="93"/>
      <c r="E490" s="15"/>
      <c r="F490" s="1350"/>
      <c r="G490" s="93"/>
      <c r="H490" s="93"/>
      <c r="I490" s="93"/>
      <c r="J490" s="93"/>
      <c r="K490" s="93"/>
      <c r="L490" s="93"/>
      <c r="M490" s="93"/>
      <c r="N490" s="93"/>
      <c r="O490" s="93"/>
    </row>
    <row r="491" ht="15.75" customHeight="1">
      <c r="A491" s="7"/>
      <c r="C491" s="93"/>
      <c r="D491" s="93"/>
      <c r="E491" s="15"/>
      <c r="F491" s="1350"/>
      <c r="G491" s="93"/>
      <c r="H491" s="93"/>
      <c r="I491" s="93"/>
      <c r="J491" s="93"/>
      <c r="K491" s="93"/>
      <c r="L491" s="93"/>
      <c r="M491" s="93"/>
      <c r="N491" s="93"/>
      <c r="O491" s="93"/>
    </row>
    <row r="492" ht="15.75" customHeight="1">
      <c r="A492" s="7"/>
      <c r="C492" s="93"/>
      <c r="D492" s="93"/>
      <c r="E492" s="15"/>
      <c r="F492" s="1350"/>
      <c r="G492" s="93"/>
      <c r="H492" s="93"/>
      <c r="I492" s="93"/>
      <c r="J492" s="93"/>
      <c r="K492" s="93"/>
      <c r="L492" s="93"/>
      <c r="M492" s="93"/>
      <c r="N492" s="93"/>
      <c r="O492" s="93"/>
    </row>
    <row r="493" ht="15.75" customHeight="1">
      <c r="A493" s="7"/>
      <c r="C493" s="93"/>
      <c r="D493" s="93"/>
      <c r="E493" s="15"/>
      <c r="F493" s="1350"/>
      <c r="G493" s="93"/>
      <c r="H493" s="93"/>
      <c r="I493" s="93"/>
      <c r="J493" s="93"/>
      <c r="K493" s="93"/>
      <c r="L493" s="93"/>
      <c r="M493" s="93"/>
      <c r="N493" s="93"/>
      <c r="O493" s="93"/>
    </row>
    <row r="494" ht="15.75" customHeight="1">
      <c r="A494" s="7"/>
      <c r="C494" s="93"/>
      <c r="D494" s="93"/>
      <c r="E494" s="15"/>
      <c r="F494" s="1350"/>
      <c r="G494" s="93"/>
      <c r="H494" s="93"/>
      <c r="I494" s="93"/>
      <c r="J494" s="93"/>
      <c r="K494" s="93"/>
      <c r="L494" s="93"/>
      <c r="M494" s="93"/>
      <c r="N494" s="93"/>
      <c r="O494" s="93"/>
    </row>
    <row r="495" ht="15.75" customHeight="1">
      <c r="A495" s="7"/>
      <c r="C495" s="93"/>
      <c r="D495" s="93"/>
      <c r="E495" s="15"/>
      <c r="F495" s="1350"/>
      <c r="G495" s="93"/>
      <c r="H495" s="93"/>
      <c r="I495" s="93"/>
      <c r="J495" s="93"/>
      <c r="K495" s="93"/>
      <c r="L495" s="93"/>
      <c r="M495" s="93"/>
      <c r="N495" s="93"/>
      <c r="O495" s="93"/>
    </row>
    <row r="496" ht="15.75" customHeight="1">
      <c r="A496" s="4" t="str">
        <f>F496</f>
        <v/>
      </c>
      <c r="B496" s="5"/>
      <c r="C496" s="5"/>
      <c r="D496" s="1368"/>
      <c r="E496" s="15"/>
      <c r="F496" s="1350"/>
      <c r="G496" s="93"/>
      <c r="H496" s="93"/>
      <c r="I496" s="93"/>
      <c r="J496" s="93"/>
      <c r="K496" s="93"/>
      <c r="L496" s="93"/>
      <c r="M496" s="93"/>
      <c r="N496" s="93"/>
      <c r="O496" s="93"/>
    </row>
    <row r="497" ht="15.75" customHeight="1">
      <c r="A497" s="4">
        <v>1.0</v>
      </c>
      <c r="B497" s="1238"/>
      <c r="C497" s="11" t="s">
        <v>58</v>
      </c>
      <c r="D497" s="12" t="s">
        <v>24</v>
      </c>
      <c r="E497" s="13" t="s">
        <v>25</v>
      </c>
      <c r="F497" s="1347" t="s">
        <v>27</v>
      </c>
      <c r="G497" s="93"/>
      <c r="H497" s="93"/>
      <c r="I497" s="93"/>
      <c r="J497" s="93"/>
      <c r="K497" s="93"/>
      <c r="L497" s="93"/>
      <c r="M497" s="93"/>
      <c r="N497" s="93"/>
      <c r="O497" s="93"/>
    </row>
    <row r="498" ht="15.75" customHeight="1">
      <c r="A498" s="17">
        <f t="shared" ref="A498:A622" si="4">A497+1</f>
        <v>2</v>
      </c>
      <c r="B498" s="1248"/>
      <c r="C498" s="18" t="s">
        <v>58</v>
      </c>
      <c r="D498" s="19" t="s">
        <v>29</v>
      </c>
      <c r="E498" s="20" t="s">
        <v>25</v>
      </c>
      <c r="F498" s="1348" t="s">
        <v>30</v>
      </c>
      <c r="G498" s="93"/>
      <c r="H498" s="93"/>
      <c r="I498" s="93"/>
      <c r="J498" s="93"/>
      <c r="K498" s="93"/>
      <c r="L498" s="93"/>
      <c r="M498" s="93"/>
      <c r="N498" s="93"/>
      <c r="O498" s="93"/>
    </row>
    <row r="499" ht="15.75" customHeight="1">
      <c r="A499" s="17">
        <f t="shared" si="4"/>
        <v>3</v>
      </c>
      <c r="B499" s="1248"/>
      <c r="C499" s="18" t="s">
        <v>58</v>
      </c>
      <c r="D499" s="19" t="s">
        <v>32</v>
      </c>
      <c r="E499" s="20" t="s">
        <v>25</v>
      </c>
      <c r="F499" s="1348" t="s">
        <v>33</v>
      </c>
      <c r="G499" s="93"/>
      <c r="H499" s="93"/>
      <c r="I499" s="93"/>
      <c r="J499" s="93"/>
      <c r="K499" s="93"/>
      <c r="L499" s="93"/>
      <c r="M499" s="93"/>
      <c r="N499" s="93"/>
      <c r="O499" s="93"/>
    </row>
    <row r="500" ht="15.75" customHeight="1">
      <c r="A500" s="17">
        <f t="shared" si="4"/>
        <v>4</v>
      </c>
      <c r="B500" s="1248"/>
      <c r="C500" s="18" t="s">
        <v>58</v>
      </c>
      <c r="D500" s="22" t="s">
        <v>35</v>
      </c>
      <c r="E500" s="20" t="s">
        <v>25</v>
      </c>
      <c r="F500" s="1348" t="s">
        <v>30</v>
      </c>
      <c r="G500" s="93"/>
      <c r="H500" s="93"/>
      <c r="I500" s="93"/>
      <c r="J500" s="93"/>
      <c r="K500" s="93"/>
      <c r="L500" s="93"/>
      <c r="M500" s="93"/>
      <c r="N500" s="93"/>
      <c r="O500" s="93"/>
    </row>
    <row r="501" ht="15.75" customHeight="1">
      <c r="A501" s="17">
        <f t="shared" si="4"/>
        <v>5</v>
      </c>
      <c r="B501" s="1248"/>
      <c r="C501" s="18" t="s">
        <v>58</v>
      </c>
      <c r="D501" s="22" t="s">
        <v>37</v>
      </c>
      <c r="E501" s="20" t="s">
        <v>25</v>
      </c>
      <c r="F501" s="1348" t="s">
        <v>30</v>
      </c>
      <c r="G501" s="93"/>
      <c r="H501" s="93"/>
      <c r="I501" s="93"/>
      <c r="J501" s="93"/>
      <c r="K501" s="93"/>
      <c r="L501" s="93"/>
      <c r="M501" s="93"/>
      <c r="N501" s="93"/>
      <c r="O501" s="93"/>
    </row>
    <row r="502" ht="15.75" customHeight="1">
      <c r="A502" s="17">
        <f t="shared" si="4"/>
        <v>6</v>
      </c>
      <c r="B502" s="1248"/>
      <c r="C502" s="18" t="s">
        <v>58</v>
      </c>
      <c r="D502" s="19" t="s">
        <v>39</v>
      </c>
      <c r="E502" s="20" t="s">
        <v>25</v>
      </c>
      <c r="F502" s="1348" t="s">
        <v>27</v>
      </c>
      <c r="G502" s="93"/>
      <c r="H502" s="93"/>
      <c r="I502" s="93"/>
      <c r="J502" s="93"/>
      <c r="K502" s="93"/>
      <c r="L502" s="93"/>
      <c r="M502" s="93"/>
      <c r="N502" s="93"/>
      <c r="O502" s="93"/>
    </row>
    <row r="503" ht="15.75" customHeight="1">
      <c r="A503" s="17">
        <f t="shared" si="4"/>
        <v>7</v>
      </c>
      <c r="B503" s="1248"/>
      <c r="C503" s="18" t="s">
        <v>58</v>
      </c>
      <c r="D503" s="19" t="s">
        <v>41</v>
      </c>
      <c r="E503" s="20" t="s">
        <v>25</v>
      </c>
      <c r="F503" s="1348" t="s">
        <v>30</v>
      </c>
      <c r="G503" s="93"/>
      <c r="H503" s="93"/>
      <c r="I503" s="93"/>
      <c r="J503" s="93"/>
      <c r="K503" s="93"/>
      <c r="L503" s="93"/>
      <c r="M503" s="93"/>
      <c r="N503" s="93"/>
      <c r="O503" s="93"/>
    </row>
    <row r="504" ht="15.75" customHeight="1">
      <c r="A504" s="17">
        <f t="shared" si="4"/>
        <v>8</v>
      </c>
      <c r="B504" s="1248"/>
      <c r="C504" s="18" t="s">
        <v>58</v>
      </c>
      <c r="D504" s="19" t="s">
        <v>43</v>
      </c>
      <c r="E504" s="20" t="s">
        <v>25</v>
      </c>
      <c r="F504" s="1348" t="s">
        <v>30</v>
      </c>
      <c r="G504" s="93"/>
      <c r="H504" s="93"/>
      <c r="I504" s="93"/>
      <c r="J504" s="93"/>
      <c r="K504" s="93"/>
      <c r="L504" s="93"/>
      <c r="M504" s="93"/>
      <c r="N504" s="93"/>
      <c r="O504" s="93"/>
    </row>
    <row r="505" ht="15.75" customHeight="1">
      <c r="A505" s="17">
        <f t="shared" si="4"/>
        <v>9</v>
      </c>
      <c r="B505" s="1248"/>
      <c r="C505" s="18" t="s">
        <v>58</v>
      </c>
      <c r="D505" s="19" t="s">
        <v>45</v>
      </c>
      <c r="E505" s="20" t="s">
        <v>25</v>
      </c>
      <c r="F505" s="1348" t="s">
        <v>46</v>
      </c>
      <c r="G505" s="93"/>
      <c r="H505" s="93"/>
      <c r="I505" s="93"/>
      <c r="J505" s="93"/>
      <c r="K505" s="93"/>
      <c r="L505" s="93"/>
      <c r="M505" s="93"/>
      <c r="N505" s="93"/>
      <c r="O505" s="93"/>
    </row>
    <row r="506" ht="15.75" customHeight="1">
      <c r="A506" s="17">
        <f t="shared" si="4"/>
        <v>10</v>
      </c>
      <c r="B506" s="1248"/>
      <c r="C506" s="18" t="s">
        <v>58</v>
      </c>
      <c r="D506" s="19" t="s">
        <v>48</v>
      </c>
      <c r="E506" s="20" t="s">
        <v>25</v>
      </c>
      <c r="F506" s="1348" t="s">
        <v>46</v>
      </c>
      <c r="G506" s="93"/>
      <c r="H506" s="93"/>
      <c r="I506" s="93"/>
      <c r="J506" s="93"/>
      <c r="K506" s="93"/>
      <c r="L506" s="93"/>
      <c r="M506" s="93"/>
      <c r="N506" s="93"/>
      <c r="O506" s="93"/>
    </row>
    <row r="507" ht="15.75" customHeight="1">
      <c r="A507" s="17">
        <f t="shared" si="4"/>
        <v>11</v>
      </c>
      <c r="B507" s="1248"/>
      <c r="C507" s="18" t="s">
        <v>58</v>
      </c>
      <c r="D507" s="19" t="s">
        <v>50</v>
      </c>
      <c r="E507" s="20" t="s">
        <v>25</v>
      </c>
      <c r="F507" s="1348" t="s">
        <v>30</v>
      </c>
      <c r="G507" s="93"/>
      <c r="H507" s="93"/>
      <c r="I507" s="93"/>
      <c r="J507" s="93"/>
      <c r="K507" s="93"/>
      <c r="L507" s="93"/>
      <c r="M507" s="93"/>
      <c r="N507" s="93"/>
      <c r="O507" s="93"/>
    </row>
    <row r="508" ht="15.75" customHeight="1">
      <c r="A508" s="17">
        <f t="shared" si="4"/>
        <v>12</v>
      </c>
      <c r="B508" s="1248"/>
      <c r="C508" s="18" t="s">
        <v>58</v>
      </c>
      <c r="D508" s="19" t="s">
        <v>52</v>
      </c>
      <c r="E508" s="20" t="s">
        <v>25</v>
      </c>
      <c r="F508" s="1348" t="s">
        <v>30</v>
      </c>
      <c r="G508" s="93"/>
      <c r="H508" s="93"/>
      <c r="I508" s="93"/>
      <c r="J508" s="93"/>
      <c r="K508" s="93"/>
      <c r="L508" s="93"/>
      <c r="M508" s="93"/>
      <c r="N508" s="93"/>
      <c r="O508" s="93"/>
    </row>
    <row r="509" ht="15.75" customHeight="1">
      <c r="A509" s="17">
        <f t="shared" si="4"/>
        <v>13</v>
      </c>
      <c r="B509" s="1248"/>
      <c r="C509" s="18" t="s">
        <v>58</v>
      </c>
      <c r="D509" s="19" t="s">
        <v>54</v>
      </c>
      <c r="E509" s="20" t="s">
        <v>25</v>
      </c>
      <c r="F509" s="1348" t="s">
        <v>27</v>
      </c>
      <c r="G509" s="93"/>
      <c r="H509" s="93"/>
      <c r="I509" s="93"/>
      <c r="J509" s="93"/>
      <c r="K509" s="93"/>
      <c r="L509" s="93"/>
      <c r="M509" s="93"/>
      <c r="N509" s="93"/>
      <c r="O509" s="93"/>
    </row>
    <row r="510" ht="15.75" customHeight="1">
      <c r="A510" s="17">
        <f t="shared" si="4"/>
        <v>14</v>
      </c>
      <c r="B510" s="1248"/>
      <c r="C510" s="18" t="s">
        <v>58</v>
      </c>
      <c r="D510" s="19" t="s">
        <v>56</v>
      </c>
      <c r="E510" s="20" t="s">
        <v>25</v>
      </c>
      <c r="F510" s="1348" t="s">
        <v>30</v>
      </c>
      <c r="G510" s="93"/>
      <c r="H510" s="93"/>
      <c r="I510" s="93"/>
      <c r="J510" s="93"/>
      <c r="K510" s="93"/>
      <c r="L510" s="93"/>
      <c r="M510" s="93"/>
      <c r="N510" s="93"/>
      <c r="O510" s="93"/>
    </row>
    <row r="511" ht="15.75" customHeight="1">
      <c r="A511" s="17">
        <f t="shared" si="4"/>
        <v>15</v>
      </c>
      <c r="B511" s="1248"/>
      <c r="C511" s="18" t="s">
        <v>58</v>
      </c>
      <c r="D511" s="22" t="s">
        <v>59</v>
      </c>
      <c r="E511" s="20" t="s">
        <v>60</v>
      </c>
      <c r="F511" s="1348" t="s">
        <v>30</v>
      </c>
      <c r="G511" s="93"/>
      <c r="H511" s="93"/>
      <c r="I511" s="93"/>
      <c r="J511" s="93"/>
      <c r="K511" s="93"/>
      <c r="L511" s="93"/>
      <c r="M511" s="93"/>
      <c r="N511" s="93"/>
      <c r="O511" s="93"/>
    </row>
    <row r="512" ht="15.75" customHeight="1">
      <c r="A512" s="17">
        <f t="shared" si="4"/>
        <v>16</v>
      </c>
      <c r="B512" s="1248"/>
      <c r="C512" s="18" t="s">
        <v>58</v>
      </c>
      <c r="D512" s="22" t="s">
        <v>62</v>
      </c>
      <c r="E512" s="20" t="s">
        <v>60</v>
      </c>
      <c r="F512" s="1348" t="s">
        <v>30</v>
      </c>
      <c r="G512" s="93"/>
      <c r="H512" s="93"/>
      <c r="I512" s="93"/>
      <c r="J512" s="93"/>
      <c r="K512" s="93"/>
      <c r="L512" s="93"/>
      <c r="M512" s="93"/>
      <c r="N512" s="93"/>
      <c r="O512" s="93"/>
    </row>
    <row r="513" ht="15.75" customHeight="1">
      <c r="A513" s="17">
        <f t="shared" si="4"/>
        <v>17</v>
      </c>
      <c r="B513" s="1248"/>
      <c r="C513" s="18" t="s">
        <v>58</v>
      </c>
      <c r="D513" s="24" t="s">
        <v>64</v>
      </c>
      <c r="E513" s="20" t="s">
        <v>65</v>
      </c>
      <c r="F513" s="1348" t="s">
        <v>30</v>
      </c>
      <c r="G513" s="93"/>
      <c r="H513" s="93"/>
      <c r="I513" s="93"/>
      <c r="J513" s="93"/>
      <c r="K513" s="93"/>
      <c r="L513" s="93"/>
      <c r="M513" s="93"/>
      <c r="N513" s="93"/>
      <c r="O513" s="93"/>
    </row>
    <row r="514" ht="15.75" customHeight="1">
      <c r="A514" s="17">
        <f t="shared" si="4"/>
        <v>18</v>
      </c>
      <c r="B514" s="1248"/>
      <c r="C514" s="18" t="s">
        <v>58</v>
      </c>
      <c r="D514" s="25" t="s">
        <v>67</v>
      </c>
      <c r="E514" s="26" t="s">
        <v>68</v>
      </c>
      <c r="F514" s="1348" t="s">
        <v>30</v>
      </c>
      <c r="G514" s="93"/>
      <c r="H514" s="93"/>
      <c r="I514" s="93"/>
      <c r="J514" s="93"/>
      <c r="K514" s="93"/>
      <c r="L514" s="93"/>
      <c r="M514" s="93"/>
      <c r="N514" s="93"/>
      <c r="O514" s="93"/>
    </row>
    <row r="515" ht="15.75" customHeight="1">
      <c r="A515" s="17">
        <f t="shared" si="4"/>
        <v>19</v>
      </c>
      <c r="B515" s="1248"/>
      <c r="C515" s="18" t="s">
        <v>58</v>
      </c>
      <c r="D515" s="25" t="s">
        <v>70</v>
      </c>
      <c r="E515" s="26" t="s">
        <v>71</v>
      </c>
      <c r="F515" s="1348" t="s">
        <v>30</v>
      </c>
      <c r="G515" s="93"/>
      <c r="H515" s="93"/>
      <c r="I515" s="93"/>
      <c r="J515" s="93"/>
      <c r="K515" s="93"/>
      <c r="L515" s="93"/>
      <c r="M515" s="93"/>
      <c r="N515" s="93"/>
      <c r="O515" s="93"/>
    </row>
    <row r="516" ht="15.75" customHeight="1">
      <c r="A516" s="17">
        <f t="shared" si="4"/>
        <v>20</v>
      </c>
      <c r="B516" s="1248"/>
      <c r="C516" s="18" t="s">
        <v>58</v>
      </c>
      <c r="D516" s="25" t="s">
        <v>73</v>
      </c>
      <c r="E516" s="26" t="s">
        <v>71</v>
      </c>
      <c r="F516" s="1348" t="s">
        <v>30</v>
      </c>
      <c r="G516" s="93"/>
      <c r="H516" s="93"/>
      <c r="I516" s="93"/>
      <c r="J516" s="93"/>
      <c r="K516" s="93"/>
      <c r="L516" s="93"/>
      <c r="M516" s="93"/>
      <c r="N516" s="93"/>
      <c r="O516" s="93"/>
    </row>
    <row r="517" ht="15.75" customHeight="1">
      <c r="A517" s="17">
        <f t="shared" si="4"/>
        <v>21</v>
      </c>
      <c r="B517" s="1248"/>
      <c r="C517" s="18" t="s">
        <v>58</v>
      </c>
      <c r="D517" s="25" t="s">
        <v>75</v>
      </c>
      <c r="E517" s="26" t="s">
        <v>71</v>
      </c>
      <c r="F517" s="1348" t="s">
        <v>30</v>
      </c>
      <c r="G517" s="93"/>
      <c r="H517" s="93"/>
      <c r="I517" s="93"/>
      <c r="J517" s="93"/>
      <c r="K517" s="93"/>
      <c r="L517" s="93"/>
      <c r="M517" s="93"/>
      <c r="N517" s="93"/>
      <c r="O517" s="93"/>
    </row>
    <row r="518" ht="15.75" customHeight="1">
      <c r="A518" s="17">
        <f t="shared" si="4"/>
        <v>22</v>
      </c>
      <c r="B518" s="1248"/>
      <c r="C518" s="18" t="s">
        <v>58</v>
      </c>
      <c r="D518" s="25" t="s">
        <v>77</v>
      </c>
      <c r="E518" s="26" t="s">
        <v>60</v>
      </c>
      <c r="F518" s="1348" t="s">
        <v>27</v>
      </c>
      <c r="G518" s="93"/>
      <c r="H518" s="93"/>
      <c r="I518" s="93"/>
      <c r="J518" s="93"/>
      <c r="K518" s="93"/>
      <c r="L518" s="93"/>
      <c r="M518" s="93"/>
      <c r="N518" s="93"/>
      <c r="O518" s="93"/>
    </row>
    <row r="519" ht="15.75" customHeight="1">
      <c r="A519" s="17">
        <f t="shared" si="4"/>
        <v>23</v>
      </c>
      <c r="B519" s="1248"/>
      <c r="C519" s="18" t="s">
        <v>58</v>
      </c>
      <c r="D519" s="25" t="s">
        <v>79</v>
      </c>
      <c r="E519" s="26" t="s">
        <v>60</v>
      </c>
      <c r="F519" s="1348" t="s">
        <v>27</v>
      </c>
      <c r="G519" s="93"/>
      <c r="H519" s="93"/>
      <c r="I519" s="93"/>
      <c r="J519" s="93"/>
      <c r="K519" s="93"/>
      <c r="L519" s="93"/>
      <c r="M519" s="93"/>
      <c r="N519" s="93"/>
      <c r="O519" s="93"/>
    </row>
    <row r="520" ht="15.75" customHeight="1">
      <c r="A520" s="17">
        <f t="shared" si="4"/>
        <v>24</v>
      </c>
      <c r="B520" s="1248"/>
      <c r="C520" s="18" t="s">
        <v>58</v>
      </c>
      <c r="D520" s="25" t="s">
        <v>80</v>
      </c>
      <c r="E520" s="26" t="s">
        <v>60</v>
      </c>
      <c r="F520" s="1348" t="s">
        <v>27</v>
      </c>
      <c r="G520" s="93"/>
      <c r="H520" s="93"/>
      <c r="I520" s="93"/>
      <c r="J520" s="93"/>
      <c r="K520" s="93"/>
      <c r="L520" s="93"/>
      <c r="M520" s="93"/>
      <c r="N520" s="93"/>
      <c r="O520" s="93"/>
    </row>
    <row r="521" ht="15.75" customHeight="1">
      <c r="A521" s="17">
        <f t="shared" si="4"/>
        <v>25</v>
      </c>
      <c r="B521" s="1248"/>
      <c r="C521" s="18" t="s">
        <v>58</v>
      </c>
      <c r="D521" s="25" t="s">
        <v>82</v>
      </c>
      <c r="E521" s="26" t="s">
        <v>60</v>
      </c>
      <c r="F521" s="1348" t="s">
        <v>27</v>
      </c>
      <c r="G521" s="93"/>
      <c r="H521" s="93"/>
      <c r="I521" s="93"/>
      <c r="J521" s="93"/>
      <c r="K521" s="93"/>
      <c r="L521" s="93"/>
      <c r="M521" s="93"/>
      <c r="N521" s="93"/>
      <c r="O521" s="93"/>
    </row>
    <row r="522" ht="15.75" customHeight="1">
      <c r="A522" s="17">
        <f t="shared" si="4"/>
        <v>26</v>
      </c>
      <c r="B522" s="1248"/>
      <c r="C522" s="18" t="s">
        <v>58</v>
      </c>
      <c r="D522" s="25" t="s">
        <v>84</v>
      </c>
      <c r="E522" s="26" t="s">
        <v>60</v>
      </c>
      <c r="F522" s="1348" t="s">
        <v>27</v>
      </c>
      <c r="G522" s="93"/>
      <c r="H522" s="93"/>
      <c r="I522" s="93"/>
      <c r="J522" s="93"/>
      <c r="K522" s="93"/>
      <c r="L522" s="93"/>
      <c r="M522" s="93"/>
      <c r="N522" s="93"/>
      <c r="O522" s="93"/>
    </row>
    <row r="523" ht="15.75" customHeight="1">
      <c r="A523" s="17">
        <f t="shared" si="4"/>
        <v>27</v>
      </c>
      <c r="B523" s="1248"/>
      <c r="C523" s="18" t="s">
        <v>58</v>
      </c>
      <c r="D523" s="25" t="s">
        <v>86</v>
      </c>
      <c r="E523" s="26" t="s">
        <v>60</v>
      </c>
      <c r="F523" s="1348" t="s">
        <v>27</v>
      </c>
      <c r="G523" s="93"/>
      <c r="H523" s="93"/>
      <c r="I523" s="93"/>
      <c r="J523" s="93"/>
      <c r="K523" s="93"/>
      <c r="L523" s="93"/>
      <c r="M523" s="93"/>
      <c r="N523" s="93"/>
      <c r="O523" s="93"/>
    </row>
    <row r="524" ht="15.75" customHeight="1">
      <c r="A524" s="17">
        <f t="shared" si="4"/>
        <v>28</v>
      </c>
      <c r="B524" s="1248"/>
      <c r="C524" s="18" t="s">
        <v>58</v>
      </c>
      <c r="D524" s="25" t="s">
        <v>88</v>
      </c>
      <c r="E524" s="26" t="s">
        <v>60</v>
      </c>
      <c r="F524" s="1348" t="s">
        <v>27</v>
      </c>
      <c r="G524" s="93"/>
      <c r="H524" s="93"/>
      <c r="I524" s="93"/>
      <c r="J524" s="93"/>
      <c r="K524" s="93"/>
      <c r="L524" s="93"/>
      <c r="M524" s="93"/>
      <c r="N524" s="93"/>
      <c r="O524" s="93"/>
    </row>
    <row r="525" ht="15.75" customHeight="1">
      <c r="A525" s="17">
        <f t="shared" si="4"/>
        <v>29</v>
      </c>
      <c r="B525" s="1349"/>
      <c r="C525" s="27" t="s">
        <v>58</v>
      </c>
      <c r="D525" s="28" t="s">
        <v>90</v>
      </c>
      <c r="E525" s="29" t="s">
        <v>60</v>
      </c>
      <c r="F525" s="1350" t="s">
        <v>27</v>
      </c>
      <c r="G525" s="93"/>
      <c r="H525" s="93"/>
      <c r="I525" s="93"/>
      <c r="J525" s="93"/>
      <c r="K525" s="93"/>
      <c r="L525" s="93"/>
      <c r="M525" s="93"/>
      <c r="N525" s="93"/>
      <c r="O525" s="93"/>
    </row>
    <row r="526" ht="15.75" customHeight="1">
      <c r="A526" s="17">
        <f t="shared" si="4"/>
        <v>30</v>
      </c>
      <c r="B526" s="1349"/>
      <c r="C526" s="27" t="s">
        <v>58</v>
      </c>
      <c r="D526" s="28" t="s">
        <v>92</v>
      </c>
      <c r="E526" s="29" t="s">
        <v>60</v>
      </c>
      <c r="F526" s="1350" t="s">
        <v>30</v>
      </c>
      <c r="G526" s="93"/>
      <c r="H526" s="93"/>
      <c r="I526" s="93"/>
      <c r="J526" s="93"/>
      <c r="K526" s="93"/>
      <c r="L526" s="93"/>
      <c r="M526" s="93"/>
      <c r="N526" s="93"/>
      <c r="O526" s="93"/>
    </row>
    <row r="527" ht="15.75" customHeight="1">
      <c r="A527" s="17">
        <f t="shared" si="4"/>
        <v>31</v>
      </c>
      <c r="B527" s="1349"/>
      <c r="C527" s="27" t="s">
        <v>58</v>
      </c>
      <c r="D527" s="34" t="s">
        <v>94</v>
      </c>
      <c r="E527" s="35" t="s">
        <v>60</v>
      </c>
      <c r="F527" s="1350" t="s">
        <v>30</v>
      </c>
      <c r="G527" s="93"/>
      <c r="H527" s="93"/>
      <c r="I527" s="93"/>
      <c r="J527" s="93"/>
      <c r="K527" s="93"/>
      <c r="L527" s="93"/>
      <c r="M527" s="93"/>
      <c r="N527" s="93"/>
      <c r="O527" s="93"/>
    </row>
    <row r="528" ht="15.75" customHeight="1">
      <c r="A528" s="17">
        <f t="shared" si="4"/>
        <v>32</v>
      </c>
      <c r="B528" s="1351" t="s">
        <v>146</v>
      </c>
      <c r="C528" s="36" t="s">
        <v>99</v>
      </c>
      <c r="D528" s="37" t="s">
        <v>100</v>
      </c>
      <c r="E528" s="38" t="s">
        <v>101</v>
      </c>
      <c r="F528" s="1352" t="s">
        <v>30</v>
      </c>
      <c r="G528" s="93"/>
      <c r="H528" s="93"/>
      <c r="I528" s="93"/>
      <c r="J528" s="93"/>
      <c r="K528" s="93"/>
      <c r="L528" s="93"/>
      <c r="M528" s="93"/>
      <c r="N528" s="93"/>
      <c r="O528" s="93"/>
    </row>
    <row r="529" ht="15.75" customHeight="1">
      <c r="A529" s="17">
        <f t="shared" si="4"/>
        <v>33</v>
      </c>
      <c r="B529" s="44" t="s">
        <v>146</v>
      </c>
      <c r="C529" s="36" t="s">
        <v>99</v>
      </c>
      <c r="D529" s="41" t="s">
        <v>104</v>
      </c>
      <c r="E529" s="20" t="s">
        <v>101</v>
      </c>
      <c r="F529" s="1348" t="s">
        <v>27</v>
      </c>
      <c r="G529" s="93"/>
      <c r="H529" s="93"/>
      <c r="I529" s="93"/>
      <c r="J529" s="93"/>
      <c r="K529" s="93"/>
      <c r="L529" s="93"/>
      <c r="M529" s="93"/>
      <c r="N529" s="93"/>
      <c r="O529" s="93"/>
    </row>
    <row r="530" ht="15.75" customHeight="1">
      <c r="A530" s="17">
        <f t="shared" si="4"/>
        <v>34</v>
      </c>
      <c r="B530" s="44" t="s">
        <v>146</v>
      </c>
      <c r="C530" s="36" t="s">
        <v>99</v>
      </c>
      <c r="D530" s="41" t="s">
        <v>106</v>
      </c>
      <c r="E530" s="20" t="s">
        <v>101</v>
      </c>
      <c r="F530" s="1348" t="s">
        <v>27</v>
      </c>
      <c r="G530" s="93"/>
      <c r="H530" s="93"/>
      <c r="I530" s="93"/>
      <c r="J530" s="93"/>
      <c r="K530" s="93"/>
      <c r="L530" s="93"/>
      <c r="M530" s="93"/>
      <c r="N530" s="93"/>
      <c r="O530" s="93"/>
    </row>
    <row r="531" ht="15.75" customHeight="1">
      <c r="A531" s="17">
        <f t="shared" si="4"/>
        <v>35</v>
      </c>
      <c r="B531" s="44" t="s">
        <v>146</v>
      </c>
      <c r="C531" s="36" t="s">
        <v>99</v>
      </c>
      <c r="D531" s="41" t="s">
        <v>108</v>
      </c>
      <c r="E531" s="20" t="s">
        <v>101</v>
      </c>
      <c r="F531" s="1348" t="s">
        <v>30</v>
      </c>
      <c r="G531" s="93"/>
      <c r="H531" s="93"/>
      <c r="I531" s="93"/>
      <c r="J531" s="93"/>
      <c r="K531" s="93"/>
      <c r="L531" s="93"/>
      <c r="M531" s="93"/>
      <c r="N531" s="93"/>
      <c r="O531" s="93"/>
    </row>
    <row r="532" ht="15.75" customHeight="1">
      <c r="A532" s="17">
        <f t="shared" si="4"/>
        <v>36</v>
      </c>
      <c r="B532" s="44" t="s">
        <v>146</v>
      </c>
      <c r="C532" s="36" t="s">
        <v>99</v>
      </c>
      <c r="D532" s="41" t="s">
        <v>110</v>
      </c>
      <c r="E532" s="20" t="s">
        <v>101</v>
      </c>
      <c r="F532" s="1348" t="s">
        <v>30</v>
      </c>
      <c r="G532" s="93"/>
      <c r="H532" s="93"/>
      <c r="I532" s="93"/>
      <c r="J532" s="93"/>
      <c r="K532" s="93"/>
      <c r="L532" s="93"/>
      <c r="M532" s="93"/>
      <c r="N532" s="93"/>
      <c r="O532" s="93"/>
    </row>
    <row r="533" ht="15.75" customHeight="1">
      <c r="A533" s="17">
        <f t="shared" si="4"/>
        <v>37</v>
      </c>
      <c r="B533" s="44" t="s">
        <v>146</v>
      </c>
      <c r="C533" s="36" t="s">
        <v>99</v>
      </c>
      <c r="D533" s="41" t="s">
        <v>111</v>
      </c>
      <c r="E533" s="20" t="s">
        <v>101</v>
      </c>
      <c r="F533" s="1348" t="s">
        <v>30</v>
      </c>
      <c r="G533" s="93"/>
      <c r="H533" s="93"/>
      <c r="I533" s="93"/>
      <c r="J533" s="93"/>
      <c r="K533" s="93"/>
      <c r="L533" s="93"/>
      <c r="M533" s="93"/>
      <c r="N533" s="93"/>
      <c r="O533" s="93"/>
    </row>
    <row r="534" ht="15.75" customHeight="1">
      <c r="A534" s="17">
        <f t="shared" si="4"/>
        <v>38</v>
      </c>
      <c r="B534" s="44" t="s">
        <v>146</v>
      </c>
      <c r="C534" s="36" t="s">
        <v>99</v>
      </c>
      <c r="D534" s="41" t="s">
        <v>113</v>
      </c>
      <c r="E534" s="20" t="s">
        <v>101</v>
      </c>
      <c r="F534" s="1348" t="s">
        <v>30</v>
      </c>
      <c r="G534" s="93"/>
      <c r="H534" s="93"/>
      <c r="I534" s="93"/>
      <c r="J534" s="93"/>
      <c r="K534" s="93"/>
      <c r="L534" s="93"/>
      <c r="M534" s="93"/>
      <c r="N534" s="93"/>
      <c r="O534" s="93"/>
    </row>
    <row r="535" ht="15.75" customHeight="1">
      <c r="A535" s="17">
        <f t="shared" si="4"/>
        <v>39</v>
      </c>
      <c r="B535" s="44" t="s">
        <v>146</v>
      </c>
      <c r="C535" s="36" t="s">
        <v>99</v>
      </c>
      <c r="D535" s="41" t="s">
        <v>115</v>
      </c>
      <c r="E535" s="20" t="s">
        <v>101</v>
      </c>
      <c r="F535" s="1348" t="s">
        <v>27</v>
      </c>
      <c r="G535" s="93"/>
      <c r="H535" s="93"/>
      <c r="I535" s="93"/>
      <c r="J535" s="93"/>
      <c r="K535" s="93"/>
      <c r="L535" s="93"/>
      <c r="M535" s="93"/>
      <c r="N535" s="93"/>
      <c r="O535" s="93"/>
    </row>
    <row r="536" ht="15.75" customHeight="1">
      <c r="A536" s="17">
        <f t="shared" si="4"/>
        <v>40</v>
      </c>
      <c r="B536" s="44" t="s">
        <v>146</v>
      </c>
      <c r="C536" s="36" t="s">
        <v>99</v>
      </c>
      <c r="D536" s="41" t="s">
        <v>117</v>
      </c>
      <c r="E536" s="20" t="s">
        <v>101</v>
      </c>
      <c r="F536" s="1348" t="s">
        <v>27</v>
      </c>
      <c r="G536" s="93"/>
      <c r="H536" s="93"/>
      <c r="I536" s="93"/>
      <c r="J536" s="93"/>
      <c r="K536" s="93"/>
      <c r="L536" s="93"/>
      <c r="M536" s="93"/>
      <c r="N536" s="93"/>
      <c r="O536" s="93"/>
    </row>
    <row r="537" ht="15.75" customHeight="1">
      <c r="A537" s="17">
        <f t="shared" si="4"/>
        <v>41</v>
      </c>
      <c r="B537" s="44" t="s">
        <v>146</v>
      </c>
      <c r="C537" s="36" t="s">
        <v>99</v>
      </c>
      <c r="D537" s="41" t="s">
        <v>119</v>
      </c>
      <c r="E537" s="20" t="s">
        <v>101</v>
      </c>
      <c r="F537" s="1348" t="s">
        <v>27</v>
      </c>
      <c r="G537" s="93"/>
      <c r="H537" s="93"/>
      <c r="I537" s="93"/>
      <c r="J537" s="93"/>
      <c r="K537" s="93"/>
      <c r="L537" s="93"/>
      <c r="M537" s="93"/>
      <c r="N537" s="93"/>
      <c r="O537" s="93"/>
    </row>
    <row r="538" ht="15.75" customHeight="1">
      <c r="A538" s="17">
        <f t="shared" si="4"/>
        <v>42</v>
      </c>
      <c r="B538" s="44" t="s">
        <v>146</v>
      </c>
      <c r="C538" s="36" t="s">
        <v>99</v>
      </c>
      <c r="D538" s="41" t="s">
        <v>121</v>
      </c>
      <c r="E538" s="20" t="s">
        <v>101</v>
      </c>
      <c r="F538" s="1348" t="s">
        <v>27</v>
      </c>
      <c r="G538" s="93"/>
      <c r="H538" s="93"/>
      <c r="I538" s="93"/>
      <c r="J538" s="93"/>
      <c r="K538" s="93"/>
      <c r="L538" s="93"/>
      <c r="M538" s="93"/>
      <c r="N538" s="93"/>
      <c r="O538" s="93"/>
    </row>
    <row r="539" ht="15.75" customHeight="1">
      <c r="A539" s="17">
        <f t="shared" si="4"/>
        <v>43</v>
      </c>
      <c r="B539" s="44" t="s">
        <v>146</v>
      </c>
      <c r="C539" s="44" t="s">
        <v>146</v>
      </c>
      <c r="D539" s="45" t="s">
        <v>124</v>
      </c>
      <c r="E539" s="20" t="s">
        <v>125</v>
      </c>
      <c r="F539" s="1348" t="s">
        <v>27</v>
      </c>
      <c r="G539" s="93"/>
      <c r="H539" s="93"/>
      <c r="I539" s="93"/>
      <c r="J539" s="93"/>
      <c r="K539" s="93"/>
      <c r="L539" s="93"/>
      <c r="M539" s="93"/>
      <c r="N539" s="93"/>
      <c r="O539" s="93"/>
    </row>
    <row r="540" ht="15.75" customHeight="1">
      <c r="A540" s="17">
        <f t="shared" si="4"/>
        <v>44</v>
      </c>
      <c r="B540" s="44" t="s">
        <v>146</v>
      </c>
      <c r="C540" s="44" t="s">
        <v>146</v>
      </c>
      <c r="D540" s="47" t="s">
        <v>127</v>
      </c>
      <c r="E540" s="20" t="s">
        <v>125</v>
      </c>
      <c r="F540" s="1348" t="s">
        <v>30</v>
      </c>
      <c r="G540" s="93"/>
      <c r="H540" s="93"/>
      <c r="I540" s="93"/>
      <c r="J540" s="93"/>
      <c r="K540" s="93"/>
      <c r="L540" s="93"/>
      <c r="M540" s="93"/>
      <c r="N540" s="93"/>
      <c r="O540" s="93"/>
    </row>
    <row r="541" ht="15.75" customHeight="1">
      <c r="A541" s="17">
        <f t="shared" si="4"/>
        <v>45</v>
      </c>
      <c r="B541" s="44" t="s">
        <v>146</v>
      </c>
      <c r="C541" s="44" t="s">
        <v>146</v>
      </c>
      <c r="D541" s="47" t="s">
        <v>129</v>
      </c>
      <c r="E541" s="20" t="s">
        <v>125</v>
      </c>
      <c r="F541" s="1348" t="s">
        <v>30</v>
      </c>
      <c r="G541" s="93"/>
      <c r="H541" s="93"/>
      <c r="I541" s="93"/>
      <c r="J541" s="93"/>
      <c r="K541" s="93"/>
      <c r="L541" s="93"/>
      <c r="M541" s="93"/>
      <c r="N541" s="93"/>
      <c r="O541" s="93"/>
    </row>
    <row r="542" ht="15.75" customHeight="1">
      <c r="A542" s="17">
        <f t="shared" si="4"/>
        <v>46</v>
      </c>
      <c r="B542" s="44" t="s">
        <v>146</v>
      </c>
      <c r="C542" s="44" t="s">
        <v>146</v>
      </c>
      <c r="D542" s="47" t="s">
        <v>131</v>
      </c>
      <c r="E542" s="20" t="s">
        <v>125</v>
      </c>
      <c r="F542" s="1348" t="s">
        <v>27</v>
      </c>
      <c r="G542" s="93"/>
      <c r="H542" s="93"/>
      <c r="I542" s="93"/>
      <c r="J542" s="93"/>
      <c r="K542" s="93"/>
      <c r="L542" s="93"/>
      <c r="M542" s="93"/>
      <c r="N542" s="93"/>
      <c r="O542" s="93"/>
    </row>
    <row r="543" ht="15.75" customHeight="1">
      <c r="A543" s="17">
        <f t="shared" si="4"/>
        <v>47</v>
      </c>
      <c r="B543" s="44" t="s">
        <v>146</v>
      </c>
      <c r="C543" s="44" t="s">
        <v>146</v>
      </c>
      <c r="D543" s="47" t="s">
        <v>133</v>
      </c>
      <c r="E543" s="20" t="s">
        <v>125</v>
      </c>
      <c r="F543" s="1348" t="s">
        <v>27</v>
      </c>
      <c r="G543" s="93"/>
      <c r="H543" s="93"/>
      <c r="I543" s="93"/>
      <c r="J543" s="93"/>
      <c r="K543" s="93"/>
      <c r="L543" s="93"/>
      <c r="M543" s="93"/>
      <c r="N543" s="93"/>
      <c r="O543" s="93"/>
    </row>
    <row r="544" ht="15.75" customHeight="1">
      <c r="A544" s="17">
        <f t="shared" si="4"/>
        <v>48</v>
      </c>
      <c r="B544" s="44" t="s">
        <v>146</v>
      </c>
      <c r="C544" s="44" t="s">
        <v>146</v>
      </c>
      <c r="D544" s="47" t="s">
        <v>135</v>
      </c>
      <c r="E544" s="20" t="s">
        <v>136</v>
      </c>
      <c r="F544" s="1348" t="s">
        <v>27</v>
      </c>
      <c r="G544" s="93"/>
      <c r="H544" s="93"/>
      <c r="I544" s="93"/>
      <c r="J544" s="93"/>
      <c r="K544" s="93"/>
      <c r="L544" s="93"/>
      <c r="M544" s="93"/>
      <c r="N544" s="93"/>
      <c r="O544" s="93"/>
    </row>
    <row r="545" ht="15.75" customHeight="1">
      <c r="A545" s="17">
        <f t="shared" si="4"/>
        <v>49</v>
      </c>
      <c r="B545" s="44" t="s">
        <v>146</v>
      </c>
      <c r="C545" s="44" t="s">
        <v>146</v>
      </c>
      <c r="D545" s="47" t="s">
        <v>138</v>
      </c>
      <c r="E545" s="20" t="s">
        <v>136</v>
      </c>
      <c r="F545" s="1348" t="s">
        <v>27</v>
      </c>
      <c r="G545" s="93"/>
      <c r="H545" s="93"/>
      <c r="I545" s="93"/>
      <c r="J545" s="93"/>
      <c r="K545" s="93"/>
      <c r="L545" s="93"/>
      <c r="M545" s="93"/>
      <c r="N545" s="93"/>
      <c r="O545" s="93"/>
    </row>
    <row r="546" ht="15.75" customHeight="1">
      <c r="A546" s="17">
        <f t="shared" si="4"/>
        <v>50</v>
      </c>
      <c r="B546" s="44" t="s">
        <v>146</v>
      </c>
      <c r="C546" s="44" t="s">
        <v>146</v>
      </c>
      <c r="D546" s="47" t="s">
        <v>140</v>
      </c>
      <c r="E546" s="20" t="s">
        <v>141</v>
      </c>
      <c r="F546" s="1348" t="s">
        <v>30</v>
      </c>
      <c r="G546" s="93"/>
      <c r="H546" s="93"/>
      <c r="I546" s="93"/>
      <c r="J546" s="93"/>
      <c r="K546" s="93"/>
      <c r="L546" s="93"/>
      <c r="M546" s="93"/>
      <c r="N546" s="93"/>
      <c r="O546" s="93"/>
    </row>
    <row r="547" ht="15.75" customHeight="1">
      <c r="A547" s="17">
        <f t="shared" si="4"/>
        <v>51</v>
      </c>
      <c r="B547" s="44" t="s">
        <v>146</v>
      </c>
      <c r="C547" s="44" t="s">
        <v>146</v>
      </c>
      <c r="D547" s="52" t="s">
        <v>144</v>
      </c>
      <c r="E547" s="20" t="s">
        <v>141</v>
      </c>
      <c r="F547" s="1352" t="s">
        <v>33</v>
      </c>
      <c r="G547" s="93"/>
      <c r="H547" s="93"/>
      <c r="I547" s="93"/>
      <c r="J547" s="93"/>
      <c r="K547" s="93"/>
      <c r="L547" s="93"/>
      <c r="M547" s="93"/>
      <c r="N547" s="93"/>
      <c r="O547" s="93"/>
    </row>
    <row r="548" ht="15.75" customHeight="1">
      <c r="A548" s="17">
        <f t="shared" si="4"/>
        <v>52</v>
      </c>
      <c r="B548" s="44" t="s">
        <v>146</v>
      </c>
      <c r="C548" s="44" t="s">
        <v>146</v>
      </c>
      <c r="D548" s="54" t="s">
        <v>147</v>
      </c>
      <c r="E548" s="1353"/>
      <c r="F548" s="1347" t="s">
        <v>27</v>
      </c>
      <c r="G548" s="93"/>
      <c r="H548" s="93"/>
      <c r="I548" s="93"/>
      <c r="J548" s="93"/>
      <c r="K548" s="93"/>
      <c r="L548" s="93"/>
      <c r="M548" s="93"/>
      <c r="N548" s="93"/>
      <c r="O548" s="93"/>
    </row>
    <row r="549" ht="15.75" customHeight="1">
      <c r="A549" s="17">
        <f t="shared" si="4"/>
        <v>53</v>
      </c>
      <c r="B549" s="44" t="s">
        <v>146</v>
      </c>
      <c r="C549" s="44" t="s">
        <v>146</v>
      </c>
      <c r="D549" s="1262" t="s">
        <v>150</v>
      </c>
      <c r="E549" s="1354"/>
      <c r="F549" s="1348" t="s">
        <v>27</v>
      </c>
      <c r="G549" s="93"/>
      <c r="H549" s="93"/>
      <c r="I549" s="93"/>
      <c r="J549" s="93"/>
      <c r="K549" s="93"/>
      <c r="L549" s="93"/>
      <c r="M549" s="93"/>
      <c r="N549" s="93"/>
      <c r="O549" s="93"/>
    </row>
    <row r="550" ht="15.75" customHeight="1">
      <c r="A550" s="17">
        <f t="shared" si="4"/>
        <v>54</v>
      </c>
      <c r="B550" s="44" t="s">
        <v>146</v>
      </c>
      <c r="C550" s="44" t="s">
        <v>146</v>
      </c>
      <c r="D550" s="47" t="s">
        <v>152</v>
      </c>
      <c r="E550" s="1354"/>
      <c r="F550" s="1348" t="s">
        <v>30</v>
      </c>
      <c r="G550" s="93"/>
      <c r="H550" s="93"/>
      <c r="I550" s="93"/>
      <c r="J550" s="93"/>
      <c r="K550" s="93"/>
      <c r="L550" s="93"/>
      <c r="M550" s="93"/>
      <c r="N550" s="93"/>
      <c r="O550" s="93"/>
    </row>
    <row r="551" ht="15.75" customHeight="1">
      <c r="A551" s="17">
        <f t="shared" si="4"/>
        <v>55</v>
      </c>
      <c r="B551" s="44" t="s">
        <v>146</v>
      </c>
      <c r="C551" s="44" t="s">
        <v>146</v>
      </c>
      <c r="D551" s="47" t="s">
        <v>154</v>
      </c>
      <c r="E551" s="1354"/>
      <c r="F551" s="1348" t="s">
        <v>30</v>
      </c>
      <c r="G551" s="93"/>
      <c r="H551" s="93"/>
      <c r="I551" s="93"/>
      <c r="J551" s="93"/>
      <c r="K551" s="93"/>
      <c r="L551" s="93"/>
      <c r="M551" s="93"/>
      <c r="N551" s="93"/>
      <c r="O551" s="93"/>
    </row>
    <row r="552" ht="15.75" customHeight="1">
      <c r="A552" s="17">
        <f t="shared" si="4"/>
        <v>56</v>
      </c>
      <c r="B552" s="44" t="s">
        <v>146</v>
      </c>
      <c r="C552" s="57" t="s">
        <v>146</v>
      </c>
      <c r="D552" s="58" t="s">
        <v>156</v>
      </c>
      <c r="E552" s="1355"/>
      <c r="F552" s="1356" t="s">
        <v>30</v>
      </c>
      <c r="G552" s="93"/>
      <c r="H552" s="93"/>
      <c r="I552" s="93"/>
      <c r="J552" s="93"/>
      <c r="K552" s="93"/>
      <c r="L552" s="93"/>
      <c r="M552" s="93"/>
      <c r="N552" s="93"/>
      <c r="O552" s="93"/>
    </row>
    <row r="553" ht="15.75" customHeight="1">
      <c r="A553" s="17">
        <f t="shared" si="4"/>
        <v>57</v>
      </c>
      <c r="B553" s="44" t="s">
        <v>146</v>
      </c>
      <c r="C553" s="1357" t="s">
        <v>146</v>
      </c>
      <c r="D553" s="62" t="s">
        <v>157</v>
      </c>
      <c r="E553" s="9" t="s">
        <v>158</v>
      </c>
      <c r="F553" s="1358" t="s">
        <v>27</v>
      </c>
      <c r="G553" s="93"/>
      <c r="H553" s="93"/>
      <c r="I553" s="93"/>
      <c r="J553" s="93"/>
      <c r="K553" s="93"/>
      <c r="L553" s="93"/>
      <c r="M553" s="93"/>
      <c r="N553" s="93"/>
      <c r="O553" s="93"/>
    </row>
    <row r="554" ht="15.75" customHeight="1">
      <c r="A554" s="17">
        <f t="shared" si="4"/>
        <v>58</v>
      </c>
      <c r="B554" s="44" t="s">
        <v>146</v>
      </c>
      <c r="C554" s="461" t="s">
        <v>146</v>
      </c>
      <c r="D554" s="1359" t="s">
        <v>244</v>
      </c>
      <c r="E554" s="15" t="s">
        <v>158</v>
      </c>
      <c r="F554" s="1350" t="s">
        <v>30</v>
      </c>
      <c r="G554" s="93"/>
      <c r="H554" s="93"/>
      <c r="I554" s="93"/>
      <c r="J554" s="93"/>
      <c r="K554" s="93"/>
      <c r="L554" s="93"/>
      <c r="M554" s="93"/>
      <c r="N554" s="93"/>
      <c r="O554" s="93"/>
    </row>
    <row r="555" ht="15.75" customHeight="1">
      <c r="A555" s="17">
        <f t="shared" si="4"/>
        <v>59</v>
      </c>
      <c r="B555" s="44" t="s">
        <v>146</v>
      </c>
      <c r="C555" s="461" t="s">
        <v>146</v>
      </c>
      <c r="D555" s="1359" t="s">
        <v>246</v>
      </c>
      <c r="E555" s="15" t="s">
        <v>158</v>
      </c>
      <c r="F555" s="1350" t="s">
        <v>30</v>
      </c>
      <c r="G555" s="93"/>
      <c r="H555" s="93"/>
      <c r="I555" s="93"/>
      <c r="J555" s="93"/>
      <c r="K555" s="93"/>
      <c r="L555" s="93"/>
      <c r="M555" s="93"/>
      <c r="N555" s="93"/>
      <c r="O555" s="93"/>
    </row>
    <row r="556" ht="15.75" customHeight="1">
      <c r="A556" s="17">
        <f t="shared" si="4"/>
        <v>60</v>
      </c>
      <c r="B556" s="44" t="s">
        <v>146</v>
      </c>
      <c r="C556" s="461" t="s">
        <v>146</v>
      </c>
      <c r="D556" s="1359" t="s">
        <v>248</v>
      </c>
      <c r="E556" s="15" t="s">
        <v>158</v>
      </c>
      <c r="F556" s="1350" t="s">
        <v>30</v>
      </c>
      <c r="G556" s="93"/>
      <c r="H556" s="93"/>
      <c r="I556" s="93"/>
      <c r="J556" s="93"/>
      <c r="K556" s="93"/>
      <c r="L556" s="93"/>
      <c r="M556" s="93"/>
      <c r="N556" s="93"/>
      <c r="O556" s="93"/>
    </row>
    <row r="557" ht="15.75" customHeight="1">
      <c r="A557" s="17">
        <f t="shared" si="4"/>
        <v>61</v>
      </c>
      <c r="B557" s="44" t="s">
        <v>146</v>
      </c>
      <c r="C557" s="461" t="s">
        <v>146</v>
      </c>
      <c r="D557" s="64" t="s">
        <v>161</v>
      </c>
      <c r="E557" s="15" t="s">
        <v>158</v>
      </c>
      <c r="F557" s="1350" t="s">
        <v>30</v>
      </c>
      <c r="G557" s="93"/>
      <c r="H557" s="93"/>
      <c r="I557" s="93"/>
      <c r="J557" s="93"/>
      <c r="K557" s="93"/>
      <c r="L557" s="93"/>
      <c r="M557" s="93"/>
      <c r="N557" s="93"/>
      <c r="O557" s="93"/>
    </row>
    <row r="558" ht="15.75" customHeight="1">
      <c r="A558" s="17">
        <f t="shared" si="4"/>
        <v>62</v>
      </c>
      <c r="B558" s="44" t="s">
        <v>146</v>
      </c>
      <c r="C558" s="1360" t="s">
        <v>146</v>
      </c>
      <c r="D558" s="66" t="s">
        <v>163</v>
      </c>
      <c r="E558" s="67" t="s">
        <v>164</v>
      </c>
      <c r="F558" s="1361" t="s">
        <v>30</v>
      </c>
      <c r="G558" s="93"/>
      <c r="H558" s="93"/>
      <c r="I558" s="93"/>
      <c r="J558" s="93"/>
      <c r="K558" s="93"/>
      <c r="L558" s="93"/>
      <c r="M558" s="93"/>
      <c r="N558" s="93"/>
      <c r="O558" s="93"/>
    </row>
    <row r="559" ht="15.75" customHeight="1">
      <c r="A559" s="17">
        <f t="shared" si="4"/>
        <v>63</v>
      </c>
      <c r="B559" s="44" t="s">
        <v>146</v>
      </c>
      <c r="C559" s="69" t="s">
        <v>146</v>
      </c>
      <c r="D559" s="54" t="s">
        <v>165</v>
      </c>
      <c r="E559" s="13" t="s">
        <v>166</v>
      </c>
      <c r="F559" s="1347" t="s">
        <v>30</v>
      </c>
      <c r="G559" s="93"/>
      <c r="H559" s="93"/>
      <c r="I559" s="93"/>
      <c r="J559" s="93"/>
      <c r="K559" s="93"/>
      <c r="L559" s="93"/>
      <c r="M559" s="93"/>
      <c r="N559" s="93"/>
      <c r="O559" s="93"/>
    </row>
    <row r="560" ht="15.75" customHeight="1">
      <c r="A560" s="17">
        <f t="shared" si="4"/>
        <v>64</v>
      </c>
      <c r="B560" s="44" t="s">
        <v>146</v>
      </c>
      <c r="C560" s="44" t="s">
        <v>146</v>
      </c>
      <c r="D560" s="47" t="s">
        <v>169</v>
      </c>
      <c r="E560" s="20" t="s">
        <v>166</v>
      </c>
      <c r="F560" s="1348" t="s">
        <v>30</v>
      </c>
      <c r="G560" s="93"/>
      <c r="H560" s="93"/>
      <c r="I560" s="93"/>
      <c r="J560" s="93"/>
      <c r="K560" s="93"/>
      <c r="L560" s="93"/>
      <c r="M560" s="93"/>
      <c r="N560" s="93"/>
      <c r="O560" s="93"/>
    </row>
    <row r="561" ht="15.75" customHeight="1">
      <c r="A561" s="17">
        <f t="shared" si="4"/>
        <v>65</v>
      </c>
      <c r="B561" s="44" t="s">
        <v>146</v>
      </c>
      <c r="C561" s="44" t="s">
        <v>146</v>
      </c>
      <c r="D561" s="47" t="s">
        <v>171</v>
      </c>
      <c r="E561" s="20" t="s">
        <v>166</v>
      </c>
      <c r="F561" s="1348" t="s">
        <v>27</v>
      </c>
      <c r="G561" s="93"/>
      <c r="H561" s="93"/>
      <c r="I561" s="93"/>
      <c r="J561" s="93"/>
      <c r="K561" s="93"/>
      <c r="L561" s="93"/>
      <c r="M561" s="93"/>
      <c r="N561" s="93"/>
      <c r="O561" s="93"/>
    </row>
    <row r="562" ht="15.75" customHeight="1">
      <c r="A562" s="17">
        <f t="shared" si="4"/>
        <v>66</v>
      </c>
      <c r="B562" s="44" t="s">
        <v>146</v>
      </c>
      <c r="C562" s="44" t="s">
        <v>146</v>
      </c>
      <c r="D562" s="47" t="s">
        <v>173</v>
      </c>
      <c r="E562" s="20" t="s">
        <v>166</v>
      </c>
      <c r="F562" s="1348" t="s">
        <v>27</v>
      </c>
      <c r="G562" s="93"/>
      <c r="H562" s="93"/>
      <c r="I562" s="93"/>
      <c r="J562" s="93"/>
      <c r="K562" s="93"/>
      <c r="L562" s="93"/>
      <c r="M562" s="93"/>
      <c r="N562" s="93"/>
      <c r="O562" s="93"/>
    </row>
    <row r="563" ht="15.75" customHeight="1">
      <c r="A563" s="17">
        <f t="shared" si="4"/>
        <v>67</v>
      </c>
      <c r="B563" s="1362" t="s">
        <v>146</v>
      </c>
      <c r="C563" s="57" t="s">
        <v>146</v>
      </c>
      <c r="D563" s="58" t="s">
        <v>175</v>
      </c>
      <c r="E563" s="30" t="s">
        <v>166</v>
      </c>
      <c r="F563" s="1356" t="s">
        <v>30</v>
      </c>
      <c r="G563" s="93"/>
      <c r="H563" s="93"/>
      <c r="I563" s="93"/>
      <c r="J563" s="93"/>
      <c r="K563" s="93"/>
      <c r="L563" s="93"/>
      <c r="M563" s="93"/>
      <c r="N563" s="93"/>
      <c r="O563" s="93"/>
    </row>
    <row r="564" ht="15.75" customHeight="1">
      <c r="A564" s="17">
        <f t="shared" si="4"/>
        <v>68</v>
      </c>
      <c r="B564" s="1363"/>
      <c r="C564" s="11" t="s">
        <v>177</v>
      </c>
      <c r="D564" s="73" t="s">
        <v>178</v>
      </c>
      <c r="E564" s="74" t="s">
        <v>179</v>
      </c>
      <c r="F564" s="1347" t="s">
        <v>30</v>
      </c>
      <c r="G564" s="93"/>
      <c r="H564" s="93"/>
      <c r="I564" s="93"/>
      <c r="J564" s="93"/>
      <c r="K564" s="93"/>
      <c r="L564" s="93"/>
      <c r="M564" s="93"/>
      <c r="N564" s="93"/>
      <c r="O564" s="93"/>
    </row>
    <row r="565" ht="15.75" customHeight="1">
      <c r="A565" s="17">
        <f t="shared" si="4"/>
        <v>69</v>
      </c>
      <c r="B565" s="1364"/>
      <c r="C565" s="18" t="s">
        <v>177</v>
      </c>
      <c r="D565" s="76" t="s">
        <v>181</v>
      </c>
      <c r="E565" s="77" t="s">
        <v>179</v>
      </c>
      <c r="F565" s="1348" t="s">
        <v>33</v>
      </c>
      <c r="G565" s="93"/>
      <c r="H565" s="93"/>
      <c r="I565" s="93"/>
      <c r="J565" s="93"/>
      <c r="K565" s="93"/>
      <c r="L565" s="93"/>
      <c r="M565" s="93"/>
      <c r="N565" s="93"/>
      <c r="O565" s="93"/>
    </row>
    <row r="566" ht="15.75" customHeight="1">
      <c r="A566" s="17">
        <f t="shared" si="4"/>
        <v>70</v>
      </c>
      <c r="B566" s="1364"/>
      <c r="C566" s="18" t="s">
        <v>177</v>
      </c>
      <c r="D566" s="76" t="s">
        <v>183</v>
      </c>
      <c r="E566" s="77" t="s">
        <v>184</v>
      </c>
      <c r="F566" s="1348" t="s">
        <v>185</v>
      </c>
      <c r="G566" s="93"/>
      <c r="H566" s="93"/>
      <c r="I566" s="93"/>
      <c r="J566" s="93"/>
      <c r="K566" s="93"/>
      <c r="L566" s="93"/>
      <c r="M566" s="93"/>
      <c r="N566" s="93"/>
      <c r="O566" s="93"/>
    </row>
    <row r="567" ht="15.75" customHeight="1">
      <c r="A567" s="17">
        <f t="shared" si="4"/>
        <v>71</v>
      </c>
      <c r="B567" s="1364"/>
      <c r="C567" s="18" t="s">
        <v>177</v>
      </c>
      <c r="D567" s="76" t="s">
        <v>186</v>
      </c>
      <c r="E567" s="77" t="s">
        <v>184</v>
      </c>
      <c r="F567" s="1348" t="s">
        <v>185</v>
      </c>
      <c r="G567" s="93"/>
      <c r="H567" s="93"/>
      <c r="I567" s="93"/>
      <c r="J567" s="93"/>
      <c r="K567" s="93"/>
      <c r="L567" s="93"/>
      <c r="M567" s="93"/>
      <c r="N567" s="93"/>
      <c r="O567" s="93"/>
    </row>
    <row r="568" ht="15.75" customHeight="1">
      <c r="A568" s="17">
        <f t="shared" si="4"/>
        <v>72</v>
      </c>
      <c r="B568" s="1364"/>
      <c r="C568" s="18" t="s">
        <v>177</v>
      </c>
      <c r="D568" s="76" t="s">
        <v>188</v>
      </c>
      <c r="E568" s="77" t="s">
        <v>184</v>
      </c>
      <c r="F568" s="1348" t="s">
        <v>185</v>
      </c>
      <c r="G568" s="93"/>
      <c r="H568" s="93"/>
      <c r="I568" s="93"/>
      <c r="J568" s="93"/>
      <c r="K568" s="93"/>
      <c r="L568" s="93"/>
      <c r="M568" s="93"/>
      <c r="N568" s="93"/>
      <c r="O568" s="93"/>
    </row>
    <row r="569" ht="15.75" customHeight="1">
      <c r="A569" s="17">
        <f t="shared" si="4"/>
        <v>73</v>
      </c>
      <c r="B569" s="1365"/>
      <c r="C569" s="1366" t="s">
        <v>177</v>
      </c>
      <c r="D569" s="81" t="s">
        <v>191</v>
      </c>
      <c r="E569" s="82" t="s">
        <v>141</v>
      </c>
      <c r="F569" s="1356" t="s">
        <v>30</v>
      </c>
      <c r="G569" s="93"/>
      <c r="H569" s="93"/>
      <c r="I569" s="93"/>
      <c r="J569" s="93"/>
      <c r="K569" s="93"/>
      <c r="L569" s="93"/>
      <c r="M569" s="93"/>
      <c r="N569" s="93"/>
      <c r="O569" s="93"/>
    </row>
    <row r="570" ht="15.75" customHeight="1">
      <c r="A570" s="17">
        <f t="shared" si="4"/>
        <v>74</v>
      </c>
      <c r="B570" s="1364"/>
      <c r="C570" s="84"/>
      <c r="D570" s="85" t="s">
        <v>192</v>
      </c>
      <c r="E570" s="86" t="s">
        <v>193</v>
      </c>
      <c r="F570" s="1352" t="s">
        <v>30</v>
      </c>
      <c r="G570" s="93"/>
      <c r="H570" s="93"/>
      <c r="I570" s="93"/>
      <c r="J570" s="93"/>
      <c r="K570" s="93"/>
      <c r="L570" s="93"/>
      <c r="M570" s="93"/>
      <c r="N570" s="93"/>
      <c r="O570" s="93"/>
    </row>
    <row r="571" ht="15.75" customHeight="1">
      <c r="A571" s="17">
        <f t="shared" si="4"/>
        <v>75</v>
      </c>
      <c r="B571" s="1364"/>
      <c r="C571" s="18"/>
      <c r="D571" s="87" t="s">
        <v>195</v>
      </c>
      <c r="E571" s="77" t="s">
        <v>193</v>
      </c>
      <c r="F571" s="1348" t="s">
        <v>27</v>
      </c>
      <c r="G571" s="93"/>
      <c r="H571" s="93"/>
      <c r="I571" s="93"/>
      <c r="J571" s="93"/>
      <c r="K571" s="93"/>
      <c r="L571" s="93"/>
      <c r="M571" s="93"/>
      <c r="N571" s="93"/>
      <c r="O571" s="93"/>
    </row>
    <row r="572" ht="15.75" customHeight="1">
      <c r="A572" s="17">
        <f t="shared" si="4"/>
        <v>76</v>
      </c>
      <c r="B572" s="1364"/>
      <c r="C572" s="18"/>
      <c r="D572" s="87" t="s">
        <v>197</v>
      </c>
      <c r="E572" s="77" t="s">
        <v>193</v>
      </c>
      <c r="F572" s="1348" t="s">
        <v>27</v>
      </c>
      <c r="G572" s="93"/>
      <c r="H572" s="93"/>
      <c r="I572" s="93"/>
      <c r="J572" s="93"/>
      <c r="K572" s="93"/>
      <c r="L572" s="93"/>
      <c r="M572" s="93"/>
      <c r="N572" s="93"/>
      <c r="O572" s="93"/>
    </row>
    <row r="573" ht="15.75" customHeight="1">
      <c r="A573" s="17">
        <f t="shared" si="4"/>
        <v>77</v>
      </c>
      <c r="B573" s="1364"/>
      <c r="C573" s="18"/>
      <c r="D573" s="87" t="s">
        <v>199</v>
      </c>
      <c r="E573" s="77" t="s">
        <v>193</v>
      </c>
      <c r="F573" s="1348" t="s">
        <v>27</v>
      </c>
      <c r="G573" s="93"/>
      <c r="H573" s="93"/>
      <c r="I573" s="93"/>
      <c r="J573" s="93"/>
      <c r="K573" s="93"/>
      <c r="L573" s="93"/>
      <c r="M573" s="93"/>
      <c r="N573" s="93"/>
      <c r="O573" s="93"/>
    </row>
    <row r="574" ht="15.75" customHeight="1">
      <c r="A574" s="17">
        <f t="shared" si="4"/>
        <v>78</v>
      </c>
      <c r="B574" s="1364"/>
      <c r="C574" s="18"/>
      <c r="D574" s="87" t="s">
        <v>201</v>
      </c>
      <c r="E574" s="77" t="s">
        <v>193</v>
      </c>
      <c r="F574" s="1348" t="s">
        <v>30</v>
      </c>
      <c r="G574" s="93"/>
      <c r="H574" s="93"/>
      <c r="I574" s="93"/>
      <c r="J574" s="93"/>
      <c r="K574" s="93"/>
      <c r="L574" s="93"/>
      <c r="M574" s="93"/>
      <c r="N574" s="93"/>
      <c r="O574" s="93"/>
    </row>
    <row r="575" ht="15.75" customHeight="1">
      <c r="A575" s="17">
        <f t="shared" si="4"/>
        <v>79</v>
      </c>
      <c r="B575" s="1364"/>
      <c r="C575" s="18"/>
      <c r="D575" s="87" t="s">
        <v>203</v>
      </c>
      <c r="E575" s="77" t="s">
        <v>193</v>
      </c>
      <c r="F575" s="1348" t="s">
        <v>46</v>
      </c>
      <c r="G575" s="93"/>
      <c r="H575" s="93"/>
      <c r="I575" s="93"/>
      <c r="J575" s="93"/>
      <c r="K575" s="93"/>
      <c r="L575" s="93"/>
      <c r="M575" s="93"/>
      <c r="N575" s="93"/>
      <c r="O575" s="93"/>
    </row>
    <row r="576" ht="15.75" customHeight="1">
      <c r="A576" s="17">
        <f t="shared" si="4"/>
        <v>80</v>
      </c>
      <c r="B576" s="1364"/>
      <c r="C576" s="18"/>
      <c r="D576" s="87" t="s">
        <v>205</v>
      </c>
      <c r="E576" s="77" t="s">
        <v>193</v>
      </c>
      <c r="F576" s="1348" t="s">
        <v>30</v>
      </c>
      <c r="G576" s="93"/>
      <c r="H576" s="93"/>
      <c r="I576" s="93"/>
      <c r="J576" s="93"/>
      <c r="K576" s="93"/>
      <c r="L576" s="93"/>
      <c r="M576" s="93"/>
      <c r="N576" s="93"/>
      <c r="O576" s="93"/>
    </row>
    <row r="577" ht="15.75" customHeight="1">
      <c r="A577" s="17">
        <f t="shared" si="4"/>
        <v>81</v>
      </c>
      <c r="B577" s="1364"/>
      <c r="C577" s="18"/>
      <c r="D577" s="87" t="s">
        <v>207</v>
      </c>
      <c r="E577" s="77" t="s">
        <v>193</v>
      </c>
      <c r="F577" s="1348" t="s">
        <v>30</v>
      </c>
      <c r="G577" s="93"/>
      <c r="H577" s="93"/>
      <c r="I577" s="93"/>
      <c r="J577" s="93"/>
      <c r="K577" s="93"/>
      <c r="L577" s="93"/>
      <c r="M577" s="93"/>
      <c r="N577" s="93"/>
      <c r="O577" s="93"/>
    </row>
    <row r="578" ht="15.75" customHeight="1">
      <c r="A578" s="17">
        <f t="shared" si="4"/>
        <v>82</v>
      </c>
      <c r="B578" s="1364"/>
      <c r="C578" s="18"/>
      <c r="D578" s="87" t="s">
        <v>209</v>
      </c>
      <c r="E578" s="77" t="s">
        <v>193</v>
      </c>
      <c r="F578" s="1348" t="s">
        <v>27</v>
      </c>
      <c r="G578" s="93"/>
      <c r="H578" s="93"/>
      <c r="I578" s="93"/>
      <c r="J578" s="93"/>
      <c r="K578" s="93"/>
      <c r="L578" s="93"/>
      <c r="M578" s="93"/>
      <c r="N578" s="93"/>
      <c r="O578" s="93"/>
    </row>
    <row r="579" ht="15.75" customHeight="1">
      <c r="A579" s="17">
        <f t="shared" si="4"/>
        <v>83</v>
      </c>
      <c r="B579" s="1364"/>
      <c r="C579" s="18"/>
      <c r="D579" s="87" t="s">
        <v>211</v>
      </c>
      <c r="E579" s="77" t="s">
        <v>193</v>
      </c>
      <c r="F579" s="1348" t="s">
        <v>46</v>
      </c>
      <c r="G579" s="93"/>
      <c r="H579" s="93"/>
      <c r="I579" s="93"/>
      <c r="J579" s="93"/>
      <c r="K579" s="93"/>
      <c r="L579" s="93"/>
      <c r="M579" s="93"/>
      <c r="N579" s="93"/>
      <c r="O579" s="93"/>
    </row>
    <row r="580" ht="15.75" customHeight="1">
      <c r="A580" s="17">
        <f t="shared" si="4"/>
        <v>84</v>
      </c>
      <c r="B580" s="1364"/>
      <c r="C580" s="18"/>
      <c r="D580" s="88" t="s">
        <v>213</v>
      </c>
      <c r="E580" s="77" t="s">
        <v>193</v>
      </c>
      <c r="F580" s="1348" t="s">
        <v>30</v>
      </c>
      <c r="G580" s="93"/>
      <c r="H580" s="93"/>
      <c r="I580" s="93"/>
      <c r="J580" s="93"/>
      <c r="K580" s="93"/>
      <c r="L580" s="93"/>
      <c r="M580" s="93"/>
      <c r="N580" s="93"/>
      <c r="O580" s="93"/>
    </row>
    <row r="581" ht="15.75" customHeight="1">
      <c r="A581" s="17">
        <f t="shared" si="4"/>
        <v>85</v>
      </c>
      <c r="B581" s="1364"/>
      <c r="C581" s="18"/>
      <c r="D581" s="87" t="s">
        <v>214</v>
      </c>
      <c r="E581" s="77" t="s">
        <v>193</v>
      </c>
      <c r="F581" s="1348" t="s">
        <v>30</v>
      </c>
      <c r="G581" s="93"/>
      <c r="H581" s="93"/>
      <c r="I581" s="93"/>
      <c r="J581" s="93"/>
      <c r="K581" s="93"/>
      <c r="L581" s="93"/>
      <c r="M581" s="93"/>
      <c r="N581" s="93"/>
      <c r="O581" s="93"/>
    </row>
    <row r="582" ht="15.75" customHeight="1">
      <c r="A582" s="17">
        <f t="shared" si="4"/>
        <v>86</v>
      </c>
      <c r="B582" s="1364"/>
      <c r="C582" s="18"/>
      <c r="D582" s="87" t="s">
        <v>216</v>
      </c>
      <c r="E582" s="77" t="s">
        <v>193</v>
      </c>
      <c r="F582" s="1348" t="s">
        <v>30</v>
      </c>
      <c r="G582" s="93"/>
      <c r="H582" s="93"/>
      <c r="I582" s="93"/>
      <c r="J582" s="93"/>
      <c r="K582" s="93"/>
      <c r="L582" s="93"/>
      <c r="M582" s="93"/>
      <c r="N582" s="93"/>
      <c r="O582" s="93"/>
    </row>
    <row r="583" ht="15.75" customHeight="1">
      <c r="A583" s="17">
        <f t="shared" si="4"/>
        <v>87</v>
      </c>
      <c r="B583" s="1364"/>
      <c r="C583" s="18"/>
      <c r="D583" s="87" t="s">
        <v>218</v>
      </c>
      <c r="E583" s="77" t="s">
        <v>193</v>
      </c>
      <c r="F583" s="1348" t="s">
        <v>27</v>
      </c>
      <c r="G583" s="93"/>
      <c r="H583" s="93"/>
      <c r="I583" s="93"/>
      <c r="J583" s="93"/>
      <c r="K583" s="93"/>
      <c r="L583" s="93"/>
      <c r="M583" s="93"/>
      <c r="N583" s="93"/>
      <c r="O583" s="93"/>
    </row>
    <row r="584" ht="15.75" customHeight="1">
      <c r="A584" s="17">
        <f t="shared" si="4"/>
        <v>88</v>
      </c>
      <c r="B584" s="1364"/>
      <c r="C584" s="18"/>
      <c r="D584" s="87" t="s">
        <v>220</v>
      </c>
      <c r="E584" s="77" t="s">
        <v>193</v>
      </c>
      <c r="F584" s="1348" t="s">
        <v>221</v>
      </c>
      <c r="G584" s="93"/>
      <c r="H584" s="93"/>
      <c r="I584" s="93"/>
      <c r="J584" s="93"/>
      <c r="K584" s="93"/>
      <c r="L584" s="93"/>
      <c r="M584" s="93"/>
      <c r="N584" s="93"/>
      <c r="O584" s="93"/>
    </row>
    <row r="585" ht="15.75" customHeight="1">
      <c r="A585" s="17">
        <f t="shared" si="4"/>
        <v>89</v>
      </c>
      <c r="B585" s="1364"/>
      <c r="C585" s="18"/>
      <c r="D585" s="87" t="s">
        <v>223</v>
      </c>
      <c r="E585" s="77" t="s">
        <v>193</v>
      </c>
      <c r="F585" s="1348" t="s">
        <v>224</v>
      </c>
      <c r="G585" s="93"/>
      <c r="H585" s="93"/>
      <c r="I585" s="93"/>
      <c r="J585" s="93"/>
      <c r="K585" s="93"/>
      <c r="L585" s="93"/>
      <c r="M585" s="93"/>
      <c r="N585" s="93"/>
      <c r="O585" s="93"/>
    </row>
    <row r="586" ht="15.75" customHeight="1">
      <c r="A586" s="17">
        <f t="shared" si="4"/>
        <v>90</v>
      </c>
      <c r="B586" s="1364"/>
      <c r="C586" s="18"/>
      <c r="D586" s="87" t="s">
        <v>226</v>
      </c>
      <c r="E586" s="77" t="s">
        <v>193</v>
      </c>
      <c r="F586" s="1348" t="s">
        <v>224</v>
      </c>
      <c r="G586" s="93"/>
      <c r="H586" s="93"/>
      <c r="I586" s="93"/>
      <c r="J586" s="93"/>
      <c r="K586" s="93"/>
      <c r="L586" s="93"/>
      <c r="M586" s="93"/>
      <c r="N586" s="93"/>
      <c r="O586" s="93"/>
    </row>
    <row r="587" ht="15.75" customHeight="1">
      <c r="A587" s="17">
        <f t="shared" si="4"/>
        <v>91</v>
      </c>
      <c r="B587" s="1364"/>
      <c r="C587" s="18"/>
      <c r="D587" s="87" t="s">
        <v>227</v>
      </c>
      <c r="E587" s="77" t="s">
        <v>193</v>
      </c>
      <c r="F587" s="1348" t="s">
        <v>224</v>
      </c>
      <c r="G587" s="93"/>
      <c r="H587" s="93"/>
      <c r="I587" s="93"/>
      <c r="J587" s="93"/>
      <c r="K587" s="93"/>
      <c r="L587" s="93"/>
      <c r="M587" s="93"/>
      <c r="N587" s="93"/>
      <c r="O587" s="93"/>
    </row>
    <row r="588" ht="15.75" customHeight="1">
      <c r="A588" s="17">
        <f t="shared" si="4"/>
        <v>92</v>
      </c>
      <c r="B588" s="1364"/>
      <c r="C588" s="18"/>
      <c r="D588" s="87" t="s">
        <v>229</v>
      </c>
      <c r="E588" s="77" t="s">
        <v>193</v>
      </c>
      <c r="F588" s="1348" t="s">
        <v>27</v>
      </c>
      <c r="G588" s="93"/>
      <c r="H588" s="93"/>
      <c r="I588" s="93"/>
      <c r="J588" s="93"/>
      <c r="K588" s="93"/>
      <c r="L588" s="93"/>
      <c r="M588" s="93"/>
      <c r="N588" s="93"/>
      <c r="O588" s="93"/>
    </row>
    <row r="589" ht="15.75" customHeight="1">
      <c r="A589" s="17">
        <f t="shared" si="4"/>
        <v>93</v>
      </c>
      <c r="B589" s="1364"/>
      <c r="C589" s="18"/>
      <c r="D589" s="87" t="s">
        <v>231</v>
      </c>
      <c r="E589" s="77" t="s">
        <v>193</v>
      </c>
      <c r="F589" s="1348" t="s">
        <v>27</v>
      </c>
      <c r="G589" s="93"/>
      <c r="H589" s="93"/>
      <c r="I589" s="93"/>
      <c r="J589" s="93"/>
      <c r="K589" s="93"/>
      <c r="L589" s="93"/>
      <c r="M589" s="93"/>
      <c r="N589" s="93"/>
      <c r="O589" s="93"/>
    </row>
    <row r="590" ht="15.75" customHeight="1">
      <c r="A590" s="17">
        <f t="shared" si="4"/>
        <v>94</v>
      </c>
      <c r="B590" s="1364"/>
      <c r="C590" s="18"/>
      <c r="D590" s="87" t="s">
        <v>232</v>
      </c>
      <c r="E590" s="77" t="s">
        <v>193</v>
      </c>
      <c r="F590" s="1348" t="s">
        <v>27</v>
      </c>
      <c r="G590" s="93"/>
      <c r="H590" s="93"/>
      <c r="I590" s="93"/>
      <c r="J590" s="93"/>
      <c r="K590" s="93"/>
      <c r="L590" s="93"/>
      <c r="M590" s="93"/>
      <c r="N590" s="93"/>
      <c r="O590" s="93"/>
    </row>
    <row r="591" ht="15.75" customHeight="1">
      <c r="A591" s="17">
        <f t="shared" si="4"/>
        <v>95</v>
      </c>
      <c r="B591" s="1364"/>
      <c r="C591" s="18"/>
      <c r="D591" s="87" t="s">
        <v>233</v>
      </c>
      <c r="E591" s="77" t="s">
        <v>193</v>
      </c>
      <c r="F591" s="1348" t="s">
        <v>30</v>
      </c>
      <c r="G591" s="93"/>
      <c r="H591" s="93"/>
      <c r="I591" s="93"/>
      <c r="J591" s="93"/>
      <c r="K591" s="93"/>
      <c r="L591" s="93"/>
      <c r="M591" s="93"/>
      <c r="N591" s="93"/>
      <c r="O591" s="93"/>
    </row>
    <row r="592" ht="15.75" customHeight="1">
      <c r="A592" s="17">
        <f t="shared" si="4"/>
        <v>96</v>
      </c>
      <c r="B592" s="1364"/>
      <c r="C592" s="18"/>
      <c r="D592" s="103" t="s">
        <v>250</v>
      </c>
      <c r="E592" s="77" t="s">
        <v>236</v>
      </c>
      <c r="F592" s="1348" t="s">
        <v>33</v>
      </c>
      <c r="G592" s="93"/>
      <c r="H592" s="93"/>
      <c r="I592" s="93"/>
      <c r="J592" s="93"/>
      <c r="K592" s="93"/>
      <c r="L592" s="93"/>
      <c r="M592" s="93"/>
      <c r="N592" s="93"/>
      <c r="O592" s="93"/>
    </row>
    <row r="593" ht="15.75" customHeight="1">
      <c r="A593" s="17">
        <f t="shared" si="4"/>
        <v>97</v>
      </c>
      <c r="B593" s="1364"/>
      <c r="C593" s="18"/>
      <c r="D593" s="103" t="s">
        <v>238</v>
      </c>
      <c r="E593" s="77" t="s">
        <v>236</v>
      </c>
      <c r="F593" s="1348" t="s">
        <v>27</v>
      </c>
      <c r="G593" s="93"/>
      <c r="H593" s="93"/>
      <c r="I593" s="93"/>
      <c r="J593" s="93"/>
      <c r="K593" s="93"/>
      <c r="L593" s="93"/>
      <c r="M593" s="93"/>
      <c r="N593" s="93"/>
      <c r="O593" s="93"/>
    </row>
    <row r="594" ht="15.75" customHeight="1">
      <c r="A594" s="17">
        <f t="shared" si="4"/>
        <v>98</v>
      </c>
      <c r="B594" s="1364"/>
      <c r="C594" s="18"/>
      <c r="D594" s="103" t="s">
        <v>252</v>
      </c>
      <c r="E594" s="77" t="s">
        <v>236</v>
      </c>
      <c r="F594" s="1348" t="s">
        <v>30</v>
      </c>
      <c r="G594" s="93"/>
      <c r="H594" s="93"/>
      <c r="I594" s="93"/>
      <c r="J594" s="93"/>
      <c r="K594" s="93"/>
      <c r="L594" s="93"/>
      <c r="M594" s="93"/>
      <c r="N594" s="93"/>
      <c r="O594" s="93"/>
    </row>
    <row r="595" ht="15.75" customHeight="1">
      <c r="A595" s="17">
        <f t="shared" si="4"/>
        <v>99</v>
      </c>
      <c r="B595" s="1364"/>
      <c r="C595" s="18"/>
      <c r="D595" s="103" t="s">
        <v>254</v>
      </c>
      <c r="E595" s="77" t="s">
        <v>236</v>
      </c>
      <c r="F595" s="1348" t="s">
        <v>27</v>
      </c>
      <c r="G595" s="93"/>
      <c r="H595" s="93"/>
      <c r="I595" s="93"/>
      <c r="J595" s="93"/>
      <c r="K595" s="93"/>
      <c r="L595" s="93"/>
      <c r="M595" s="93"/>
      <c r="N595" s="93"/>
      <c r="O595" s="93"/>
    </row>
    <row r="596" ht="15.75" customHeight="1">
      <c r="A596" s="17">
        <f t="shared" si="4"/>
        <v>100</v>
      </c>
      <c r="B596" s="1364"/>
      <c r="C596" s="18"/>
      <c r="D596" s="103" t="s">
        <v>256</v>
      </c>
      <c r="E596" s="77" t="s">
        <v>236</v>
      </c>
      <c r="F596" s="1348" t="s">
        <v>30</v>
      </c>
      <c r="G596" s="93"/>
      <c r="H596" s="93"/>
      <c r="I596" s="93"/>
      <c r="J596" s="93"/>
      <c r="K596" s="93"/>
      <c r="L596" s="93"/>
      <c r="M596" s="93"/>
      <c r="N596" s="93"/>
      <c r="O596" s="93"/>
    </row>
    <row r="597" ht="15.75" customHeight="1">
      <c r="A597" s="17">
        <f t="shared" si="4"/>
        <v>101</v>
      </c>
      <c r="B597" s="1364"/>
      <c r="C597" s="18"/>
      <c r="D597" s="103" t="s">
        <v>258</v>
      </c>
      <c r="E597" s="77" t="s">
        <v>236</v>
      </c>
      <c r="F597" s="1348" t="s">
        <v>30</v>
      </c>
      <c r="G597" s="93"/>
      <c r="H597" s="93"/>
      <c r="I597" s="93"/>
      <c r="J597" s="93"/>
      <c r="K597" s="93"/>
      <c r="L597" s="93"/>
      <c r="M597" s="93"/>
      <c r="N597" s="93"/>
      <c r="O597" s="93"/>
    </row>
    <row r="598" ht="15.75" customHeight="1">
      <c r="A598" s="17">
        <f t="shared" si="4"/>
        <v>102</v>
      </c>
      <c r="B598" s="1364"/>
      <c r="C598" s="18"/>
      <c r="D598" s="103" t="s">
        <v>260</v>
      </c>
      <c r="E598" s="77" t="s">
        <v>236</v>
      </c>
      <c r="F598" s="1348" t="s">
        <v>27</v>
      </c>
      <c r="G598" s="93"/>
      <c r="H598" s="93"/>
      <c r="I598" s="93"/>
      <c r="J598" s="93"/>
      <c r="K598" s="93"/>
      <c r="L598" s="93"/>
      <c r="M598" s="93"/>
      <c r="N598" s="93"/>
      <c r="O598" s="93"/>
    </row>
    <row r="599" ht="15.75" customHeight="1">
      <c r="A599" s="17">
        <f t="shared" si="4"/>
        <v>103</v>
      </c>
      <c r="B599" s="1364"/>
      <c r="C599" s="18"/>
      <c r="D599" s="103" t="s">
        <v>262</v>
      </c>
      <c r="E599" s="77" t="s">
        <v>236</v>
      </c>
      <c r="F599" s="1348" t="s">
        <v>30</v>
      </c>
      <c r="G599" s="93"/>
      <c r="H599" s="93"/>
      <c r="I599" s="93"/>
      <c r="J599" s="93"/>
      <c r="K599" s="93"/>
      <c r="L599" s="93"/>
      <c r="M599" s="93"/>
      <c r="N599" s="93"/>
      <c r="O599" s="93"/>
    </row>
    <row r="600" ht="15.75" customHeight="1">
      <c r="A600" s="17">
        <f t="shared" si="4"/>
        <v>104</v>
      </c>
      <c r="B600" s="1364"/>
      <c r="C600" s="18"/>
      <c r="D600" s="103" t="s">
        <v>240</v>
      </c>
      <c r="E600" s="77" t="s">
        <v>236</v>
      </c>
      <c r="F600" s="1348" t="s">
        <v>27</v>
      </c>
      <c r="G600" s="93"/>
      <c r="H600" s="93"/>
      <c r="I600" s="93"/>
      <c r="J600" s="93"/>
      <c r="K600" s="93"/>
      <c r="L600" s="93"/>
      <c r="M600" s="93"/>
      <c r="N600" s="93"/>
      <c r="O600" s="93"/>
    </row>
    <row r="601" ht="15.75" customHeight="1">
      <c r="A601" s="17">
        <f t="shared" si="4"/>
        <v>105</v>
      </c>
      <c r="B601" s="1364"/>
      <c r="C601" s="18"/>
      <c r="D601" s="103" t="s">
        <v>264</v>
      </c>
      <c r="E601" s="77" t="s">
        <v>236</v>
      </c>
      <c r="F601" s="1348" t="s">
        <v>33</v>
      </c>
      <c r="G601" s="93"/>
      <c r="H601" s="93"/>
      <c r="I601" s="93"/>
      <c r="J601" s="93"/>
      <c r="K601" s="93"/>
      <c r="L601" s="93"/>
      <c r="M601" s="93"/>
      <c r="N601" s="93"/>
      <c r="O601" s="93"/>
    </row>
    <row r="602" ht="15.75" customHeight="1">
      <c r="A602" s="17">
        <f t="shared" si="4"/>
        <v>106</v>
      </c>
      <c r="B602" s="1364"/>
      <c r="C602" s="18"/>
      <c r="D602" s="103" t="s">
        <v>266</v>
      </c>
      <c r="E602" s="77" t="s">
        <v>236</v>
      </c>
      <c r="F602" s="1348" t="s">
        <v>27</v>
      </c>
      <c r="G602" s="93"/>
      <c r="H602" s="93"/>
      <c r="I602" s="93"/>
      <c r="J602" s="93"/>
      <c r="K602" s="93"/>
      <c r="L602" s="93"/>
      <c r="M602" s="93"/>
      <c r="N602" s="93"/>
      <c r="O602" s="93"/>
    </row>
    <row r="603" ht="15.75" customHeight="1">
      <c r="A603" s="17">
        <f t="shared" si="4"/>
        <v>107</v>
      </c>
      <c r="B603" s="1364"/>
      <c r="C603" s="18"/>
      <c r="D603" s="103" t="s">
        <v>268</v>
      </c>
      <c r="E603" s="77" t="s">
        <v>236</v>
      </c>
      <c r="F603" s="1348" t="s">
        <v>30</v>
      </c>
      <c r="G603" s="93"/>
      <c r="H603" s="93"/>
      <c r="I603" s="93"/>
      <c r="J603" s="93"/>
      <c r="K603" s="93"/>
      <c r="L603" s="93"/>
      <c r="M603" s="93"/>
      <c r="N603" s="93"/>
      <c r="O603" s="93"/>
    </row>
    <row r="604" ht="15.75" customHeight="1">
      <c r="A604" s="17">
        <f t="shared" si="4"/>
        <v>108</v>
      </c>
      <c r="B604" s="1364"/>
      <c r="C604" s="18"/>
      <c r="D604" s="103" t="s">
        <v>242</v>
      </c>
      <c r="E604" s="77" t="s">
        <v>236</v>
      </c>
      <c r="F604" s="1348" t="s">
        <v>30</v>
      </c>
      <c r="G604" s="93"/>
      <c r="H604" s="93"/>
      <c r="I604" s="93"/>
      <c r="J604" s="93"/>
      <c r="K604" s="93"/>
      <c r="L604" s="93"/>
      <c r="M604" s="93"/>
      <c r="N604" s="93"/>
      <c r="O604" s="93"/>
    </row>
    <row r="605" ht="15.75" customHeight="1">
      <c r="A605" s="17">
        <f t="shared" si="4"/>
        <v>109</v>
      </c>
      <c r="B605" s="1364"/>
      <c r="C605" s="18"/>
      <c r="D605" s="103" t="s">
        <v>270</v>
      </c>
      <c r="E605" s="77" t="s">
        <v>236</v>
      </c>
      <c r="F605" s="1348" t="s">
        <v>30</v>
      </c>
      <c r="G605" s="93"/>
      <c r="H605" s="93"/>
      <c r="I605" s="93"/>
      <c r="J605" s="93"/>
      <c r="K605" s="93"/>
      <c r="L605" s="93"/>
      <c r="M605" s="93"/>
      <c r="N605" s="93"/>
      <c r="O605" s="93"/>
    </row>
    <row r="606" ht="15.75" customHeight="1">
      <c r="A606" s="17">
        <f t="shared" si="4"/>
        <v>110</v>
      </c>
      <c r="B606" s="1364"/>
      <c r="C606" s="18"/>
      <c r="D606" s="103" t="s">
        <v>272</v>
      </c>
      <c r="E606" s="77" t="s">
        <v>236</v>
      </c>
      <c r="F606" s="1348" t="s">
        <v>27</v>
      </c>
      <c r="G606" s="93"/>
      <c r="H606" s="93"/>
      <c r="I606" s="93"/>
      <c r="J606" s="93"/>
      <c r="K606" s="93"/>
      <c r="L606" s="93"/>
      <c r="M606" s="93"/>
      <c r="N606" s="93"/>
      <c r="O606" s="93"/>
    </row>
    <row r="607" ht="15.75" customHeight="1">
      <c r="A607" s="17">
        <f t="shared" si="4"/>
        <v>111</v>
      </c>
      <c r="B607" s="1364"/>
      <c r="C607" s="18"/>
      <c r="D607" s="103" t="s">
        <v>274</v>
      </c>
      <c r="E607" s="77" t="s">
        <v>236</v>
      </c>
      <c r="F607" s="1348" t="s">
        <v>27</v>
      </c>
      <c r="G607" s="93"/>
      <c r="H607" s="93"/>
      <c r="I607" s="93"/>
      <c r="J607" s="93"/>
      <c r="K607" s="93"/>
      <c r="L607" s="93"/>
      <c r="M607" s="93"/>
      <c r="N607" s="93"/>
      <c r="O607" s="93"/>
    </row>
    <row r="608" ht="15.75" customHeight="1">
      <c r="A608" s="17">
        <f t="shared" si="4"/>
        <v>112</v>
      </c>
      <c r="B608" s="1364"/>
      <c r="C608" s="18"/>
      <c r="D608" s="103" t="s">
        <v>276</v>
      </c>
      <c r="E608" s="77" t="s">
        <v>236</v>
      </c>
      <c r="F608" s="1348" t="s">
        <v>27</v>
      </c>
      <c r="G608" s="93"/>
      <c r="H608" s="93"/>
      <c r="I608" s="93"/>
      <c r="J608" s="93"/>
      <c r="K608" s="93"/>
      <c r="L608" s="93"/>
      <c r="M608" s="93"/>
      <c r="N608" s="93"/>
      <c r="O608" s="93"/>
    </row>
    <row r="609" ht="15.75" customHeight="1">
      <c r="A609" s="17">
        <f t="shared" si="4"/>
        <v>113</v>
      </c>
      <c r="B609" s="1364"/>
      <c r="C609" s="18"/>
      <c r="D609" s="103" t="s">
        <v>278</v>
      </c>
      <c r="E609" s="77" t="s">
        <v>236</v>
      </c>
      <c r="F609" s="1348" t="s">
        <v>27</v>
      </c>
      <c r="G609" s="93"/>
      <c r="H609" s="93"/>
      <c r="I609" s="93"/>
      <c r="J609" s="93"/>
      <c r="K609" s="93"/>
      <c r="L609" s="93"/>
      <c r="M609" s="93"/>
      <c r="N609" s="93"/>
      <c r="O609" s="93"/>
    </row>
    <row r="610" ht="15.75" customHeight="1">
      <c r="A610" s="17">
        <f t="shared" si="4"/>
        <v>114</v>
      </c>
      <c r="B610" s="1364"/>
      <c r="C610" s="18"/>
      <c r="D610" s="103" t="s">
        <v>280</v>
      </c>
      <c r="E610" s="77" t="s">
        <v>236</v>
      </c>
      <c r="F610" s="1348" t="s">
        <v>281</v>
      </c>
      <c r="G610" s="93"/>
      <c r="H610" s="93"/>
      <c r="I610" s="93"/>
      <c r="J610" s="93"/>
      <c r="K610" s="93"/>
      <c r="L610" s="93"/>
      <c r="M610" s="93"/>
      <c r="N610" s="93"/>
      <c r="O610" s="93"/>
    </row>
    <row r="611" ht="15.75" customHeight="1">
      <c r="A611" s="17">
        <f t="shared" si="4"/>
        <v>115</v>
      </c>
      <c r="B611" s="1364"/>
      <c r="C611" s="18"/>
      <c r="D611" s="103" t="s">
        <v>283</v>
      </c>
      <c r="E611" s="77" t="s">
        <v>236</v>
      </c>
      <c r="F611" s="1348" t="s">
        <v>284</v>
      </c>
      <c r="G611" s="93"/>
      <c r="H611" s="93"/>
      <c r="I611" s="93"/>
      <c r="J611" s="93"/>
      <c r="K611" s="93"/>
      <c r="L611" s="93"/>
      <c r="M611" s="93"/>
      <c r="N611" s="93"/>
      <c r="O611" s="93"/>
    </row>
    <row r="612" ht="15.75" customHeight="1">
      <c r="A612" s="17">
        <f t="shared" si="4"/>
        <v>116</v>
      </c>
      <c r="B612" s="1364"/>
      <c r="C612" s="18"/>
      <c r="D612" s="103" t="s">
        <v>286</v>
      </c>
      <c r="E612" s="77" t="s">
        <v>236</v>
      </c>
      <c r="F612" s="1348" t="s">
        <v>221</v>
      </c>
      <c r="G612" s="93"/>
      <c r="H612" s="93"/>
      <c r="I612" s="93"/>
      <c r="J612" s="93"/>
      <c r="K612" s="93"/>
      <c r="L612" s="93"/>
      <c r="M612" s="93"/>
      <c r="N612" s="93"/>
      <c r="O612" s="93"/>
    </row>
    <row r="613" ht="15.75" customHeight="1">
      <c r="A613" s="17">
        <f t="shared" si="4"/>
        <v>117</v>
      </c>
      <c r="B613" s="1364"/>
      <c r="C613" s="18"/>
      <c r="D613" s="103" t="s">
        <v>235</v>
      </c>
      <c r="E613" s="77" t="s">
        <v>236</v>
      </c>
      <c r="F613" s="1348" t="s">
        <v>27</v>
      </c>
      <c r="G613" s="93"/>
      <c r="H613" s="93"/>
      <c r="I613" s="93"/>
      <c r="J613" s="93"/>
      <c r="K613" s="93"/>
      <c r="L613" s="93"/>
      <c r="M613" s="93"/>
      <c r="N613" s="93"/>
      <c r="O613" s="93"/>
    </row>
    <row r="614" ht="15.75" customHeight="1">
      <c r="A614" s="17">
        <f t="shared" si="4"/>
        <v>118</v>
      </c>
      <c r="B614" s="1365"/>
      <c r="C614" s="1366"/>
      <c r="D614" s="81" t="s">
        <v>189</v>
      </c>
      <c r="E614" s="82" t="s">
        <v>184</v>
      </c>
      <c r="F614" s="1356" t="s">
        <v>185</v>
      </c>
      <c r="G614" s="93"/>
      <c r="H614" s="93"/>
      <c r="I614" s="93"/>
      <c r="J614" s="93"/>
      <c r="K614" s="93"/>
      <c r="L614" s="93"/>
      <c r="M614" s="93"/>
      <c r="N614" s="93"/>
      <c r="O614" s="93"/>
    </row>
    <row r="615" ht="15.75" customHeight="1">
      <c r="A615" s="17">
        <f t="shared" si="4"/>
        <v>119</v>
      </c>
      <c r="B615" s="1367"/>
      <c r="C615" s="93"/>
      <c r="D615" s="93"/>
      <c r="E615" s="93"/>
      <c r="F615" s="1350"/>
      <c r="G615" s="93"/>
      <c r="H615" s="93"/>
      <c r="I615" s="93"/>
      <c r="J615" s="93"/>
      <c r="K615" s="93"/>
      <c r="L615" s="93"/>
      <c r="M615" s="93"/>
      <c r="N615" s="93"/>
      <c r="O615" s="93"/>
    </row>
    <row r="616" ht="15.75" customHeight="1">
      <c r="A616" s="17">
        <f t="shared" si="4"/>
        <v>120</v>
      </c>
      <c r="B616" s="94"/>
      <c r="C616" s="93"/>
      <c r="D616" s="93"/>
      <c r="E616" s="93"/>
      <c r="F616" s="1350"/>
      <c r="G616" s="93"/>
      <c r="H616" s="93"/>
      <c r="I616" s="93"/>
      <c r="J616" s="93"/>
      <c r="K616" s="93"/>
      <c r="L616" s="93"/>
      <c r="M616" s="93"/>
      <c r="N616" s="93"/>
      <c r="O616" s="93"/>
    </row>
    <row r="617" ht="15.75" customHeight="1">
      <c r="A617" s="17">
        <f t="shared" si="4"/>
        <v>121</v>
      </c>
      <c r="B617" s="94"/>
      <c r="C617" s="93"/>
      <c r="D617" s="93"/>
      <c r="E617" s="93"/>
      <c r="F617" s="1350"/>
      <c r="G617" s="93"/>
      <c r="H617" s="93"/>
      <c r="I617" s="93"/>
      <c r="J617" s="93"/>
      <c r="K617" s="93"/>
      <c r="L617" s="93"/>
      <c r="M617" s="93"/>
      <c r="N617" s="93"/>
      <c r="O617" s="93"/>
    </row>
    <row r="618" ht="15.75" customHeight="1">
      <c r="A618" s="17">
        <f t="shared" si="4"/>
        <v>122</v>
      </c>
      <c r="B618" s="94"/>
      <c r="C618" s="93"/>
      <c r="D618" s="93"/>
      <c r="E618" s="93"/>
      <c r="F618" s="1350"/>
      <c r="G618" s="93"/>
      <c r="H618" s="93"/>
      <c r="I618" s="93"/>
      <c r="J618" s="93"/>
      <c r="K618" s="93"/>
      <c r="L618" s="93"/>
      <c r="M618" s="93"/>
      <c r="N618" s="93"/>
      <c r="O618" s="93"/>
    </row>
    <row r="619" ht="15.75" customHeight="1">
      <c r="A619" s="17">
        <f t="shared" si="4"/>
        <v>123</v>
      </c>
      <c r="B619" s="94"/>
      <c r="C619" s="93"/>
      <c r="D619" s="93"/>
      <c r="E619" s="93"/>
      <c r="F619" s="1350"/>
      <c r="G619" s="93"/>
      <c r="H619" s="93"/>
      <c r="I619" s="93"/>
      <c r="J619" s="93"/>
      <c r="K619" s="93"/>
      <c r="L619" s="93"/>
      <c r="M619" s="93"/>
      <c r="N619" s="93"/>
      <c r="O619" s="93"/>
    </row>
    <row r="620" ht="15.75" customHeight="1">
      <c r="A620" s="17">
        <f t="shared" si="4"/>
        <v>124</v>
      </c>
      <c r="B620" s="94"/>
      <c r="C620" s="93"/>
      <c r="D620" s="93"/>
      <c r="E620" s="93"/>
      <c r="F620" s="1350"/>
      <c r="G620" s="93"/>
      <c r="H620" s="93"/>
      <c r="I620" s="93"/>
      <c r="J620" s="93"/>
      <c r="K620" s="93"/>
      <c r="L620" s="93"/>
      <c r="M620" s="93"/>
      <c r="N620" s="93"/>
      <c r="O620" s="93"/>
    </row>
    <row r="621" ht="15.75" customHeight="1">
      <c r="A621" s="17">
        <f t="shared" si="4"/>
        <v>125</v>
      </c>
      <c r="B621" s="94"/>
      <c r="C621" s="93"/>
      <c r="D621" s="93"/>
      <c r="E621" s="93"/>
      <c r="F621" s="1350"/>
      <c r="G621" s="93"/>
      <c r="H621" s="93"/>
      <c r="I621" s="93"/>
      <c r="J621" s="93"/>
      <c r="K621" s="93"/>
      <c r="L621" s="93"/>
      <c r="M621" s="93"/>
      <c r="N621" s="93"/>
      <c r="O621" s="93"/>
    </row>
    <row r="622" ht="15.75" customHeight="1">
      <c r="A622" s="17">
        <f t="shared" si="4"/>
        <v>126</v>
      </c>
      <c r="B622" s="94"/>
      <c r="C622" s="93"/>
      <c r="D622" s="93"/>
      <c r="E622" s="93"/>
      <c r="F622" s="1350"/>
      <c r="G622" s="93"/>
      <c r="H622" s="93"/>
      <c r="I622" s="93"/>
      <c r="J622" s="93"/>
      <c r="K622" s="93"/>
      <c r="L622" s="93"/>
      <c r="M622" s="93"/>
      <c r="N622" s="93"/>
      <c r="O622" s="93"/>
    </row>
    <row r="623" ht="15.75" customHeight="1">
      <c r="A623" s="7"/>
      <c r="B623" s="94"/>
      <c r="C623" s="93"/>
      <c r="D623" s="93"/>
      <c r="E623" s="93"/>
      <c r="F623" s="1350"/>
      <c r="G623" s="93"/>
      <c r="H623" s="93"/>
      <c r="I623" s="93"/>
      <c r="J623" s="93"/>
      <c r="K623" s="93"/>
      <c r="L623" s="93"/>
      <c r="M623" s="93"/>
      <c r="N623" s="93"/>
      <c r="O623" s="93"/>
    </row>
    <row r="624" ht="15.75" customHeight="1">
      <c r="A624" s="7"/>
      <c r="B624" s="94"/>
      <c r="C624" s="93"/>
      <c r="D624" s="93"/>
      <c r="E624" s="93"/>
      <c r="F624" s="1350"/>
      <c r="G624" s="93"/>
      <c r="H624" s="93"/>
      <c r="I624" s="93"/>
      <c r="J624" s="93"/>
      <c r="K624" s="93"/>
      <c r="L624" s="93"/>
      <c r="M624" s="93"/>
      <c r="N624" s="93"/>
      <c r="O624" s="93"/>
    </row>
    <row r="625" ht="15.75" customHeight="1">
      <c r="A625" s="7"/>
      <c r="B625" s="94"/>
      <c r="C625" s="93"/>
      <c r="D625" s="93"/>
      <c r="E625" s="93"/>
      <c r="F625" s="1350"/>
      <c r="G625" s="93"/>
      <c r="H625" s="93"/>
      <c r="I625" s="93"/>
      <c r="J625" s="93"/>
      <c r="K625" s="93"/>
      <c r="L625" s="93"/>
      <c r="M625" s="93"/>
      <c r="N625" s="93"/>
      <c r="O625" s="93"/>
    </row>
    <row r="626" ht="15.75" customHeight="1">
      <c r="A626" s="7"/>
      <c r="B626" s="94"/>
      <c r="C626" s="93"/>
      <c r="D626" s="93"/>
      <c r="E626" s="93"/>
      <c r="F626" s="1350"/>
      <c r="G626" s="93"/>
      <c r="H626" s="93"/>
      <c r="I626" s="93"/>
      <c r="J626" s="93"/>
      <c r="K626" s="93"/>
      <c r="L626" s="93"/>
      <c r="M626" s="93"/>
      <c r="N626" s="93"/>
      <c r="O626" s="93"/>
    </row>
    <row r="627" ht="15.75" customHeight="1">
      <c r="A627" s="7"/>
      <c r="B627" s="94"/>
      <c r="C627" s="93"/>
      <c r="D627" s="93"/>
      <c r="E627" s="93"/>
      <c r="F627" s="1350"/>
      <c r="G627" s="93"/>
      <c r="H627" s="93"/>
      <c r="I627" s="93"/>
      <c r="J627" s="93"/>
      <c r="K627" s="93"/>
      <c r="L627" s="93"/>
      <c r="M627" s="93"/>
      <c r="N627" s="93"/>
      <c r="O627" s="93"/>
    </row>
    <row r="628" ht="15.75" customHeight="1">
      <c r="A628" s="7"/>
      <c r="B628" s="94"/>
      <c r="C628" s="93"/>
      <c r="D628" s="93"/>
      <c r="E628" s="93"/>
      <c r="F628" s="1350"/>
      <c r="G628" s="93"/>
      <c r="H628" s="93"/>
      <c r="I628" s="93"/>
      <c r="J628" s="93"/>
      <c r="K628" s="93"/>
      <c r="L628" s="93"/>
      <c r="M628" s="93"/>
      <c r="N628" s="93"/>
      <c r="O628" s="93"/>
    </row>
    <row r="629" ht="15.75" customHeight="1">
      <c r="A629" s="7"/>
      <c r="B629" s="94"/>
      <c r="C629" s="93"/>
      <c r="D629" s="93"/>
      <c r="E629" s="93"/>
      <c r="F629" s="1350"/>
      <c r="G629" s="93"/>
      <c r="H629" s="93"/>
      <c r="I629" s="93"/>
      <c r="J629" s="93"/>
      <c r="K629" s="93"/>
      <c r="L629" s="93"/>
      <c r="M629" s="93"/>
      <c r="N629" s="93"/>
      <c r="O629" s="93"/>
    </row>
    <row r="630" ht="15.75" customHeight="1">
      <c r="A630" s="7"/>
      <c r="B630" s="94"/>
      <c r="C630" s="93"/>
      <c r="D630" s="93"/>
      <c r="E630" s="93"/>
      <c r="F630" s="1350"/>
      <c r="G630" s="93"/>
      <c r="H630" s="93"/>
      <c r="I630" s="93"/>
      <c r="J630" s="93"/>
      <c r="K630" s="93"/>
      <c r="L630" s="93"/>
      <c r="M630" s="93"/>
      <c r="N630" s="93"/>
      <c r="O630" s="93"/>
    </row>
    <row r="631" ht="15.75" customHeight="1">
      <c r="A631" s="7"/>
      <c r="C631" s="93"/>
      <c r="D631" s="93"/>
      <c r="E631" s="93"/>
      <c r="F631" s="1350"/>
      <c r="G631" s="93"/>
      <c r="H631" s="93"/>
      <c r="I631" s="93"/>
      <c r="J631" s="93"/>
      <c r="K631" s="93"/>
      <c r="L631" s="93"/>
      <c r="M631" s="93"/>
      <c r="N631" s="93"/>
      <c r="O631" s="93"/>
    </row>
    <row r="632" ht="15.75" customHeight="1">
      <c r="A632" s="7"/>
      <c r="B632" s="94"/>
      <c r="C632" s="93"/>
      <c r="D632" s="93"/>
      <c r="E632" s="93"/>
      <c r="F632" s="1350"/>
      <c r="G632" s="93"/>
      <c r="H632" s="93"/>
      <c r="I632" s="93"/>
      <c r="J632" s="93"/>
      <c r="K632" s="93"/>
      <c r="L632" s="93"/>
      <c r="M632" s="93"/>
      <c r="N632" s="93"/>
      <c r="O632" s="93"/>
    </row>
    <row r="633" ht="15.75" customHeight="1">
      <c r="A633" s="7"/>
      <c r="B633" s="94"/>
      <c r="C633" s="93"/>
      <c r="D633" s="93"/>
      <c r="E633" s="93"/>
      <c r="F633" s="1350"/>
      <c r="G633" s="93"/>
      <c r="H633" s="93"/>
      <c r="I633" s="93"/>
      <c r="J633" s="93"/>
      <c r="K633" s="93"/>
      <c r="L633" s="93"/>
      <c r="M633" s="93"/>
      <c r="N633" s="93"/>
      <c r="O633" s="93"/>
    </row>
    <row r="634" ht="15.75" customHeight="1">
      <c r="A634" s="7"/>
      <c r="B634" s="94"/>
      <c r="C634" s="93"/>
      <c r="D634" s="93"/>
      <c r="E634" s="93"/>
      <c r="F634" s="1350"/>
      <c r="G634" s="93"/>
      <c r="H634" s="93"/>
      <c r="I634" s="93"/>
      <c r="J634" s="93"/>
      <c r="K634" s="93"/>
      <c r="L634" s="93"/>
      <c r="M634" s="93"/>
      <c r="N634" s="93"/>
      <c r="O634" s="93"/>
    </row>
    <row r="635" ht="15.75" customHeight="1">
      <c r="A635" s="7"/>
      <c r="C635" s="93"/>
      <c r="D635" s="93"/>
      <c r="E635" s="93"/>
      <c r="F635" s="1350"/>
      <c r="G635" s="93"/>
      <c r="H635" s="93"/>
      <c r="I635" s="93"/>
      <c r="J635" s="93"/>
      <c r="K635" s="93"/>
      <c r="L635" s="93"/>
      <c r="M635" s="93"/>
      <c r="N635" s="93"/>
      <c r="O635" s="93"/>
    </row>
    <row r="636" ht="15.75" customHeight="1">
      <c r="A636" s="7"/>
      <c r="C636" s="93"/>
      <c r="D636" s="93"/>
      <c r="E636" s="15"/>
      <c r="F636" s="1350"/>
      <c r="G636" s="93"/>
      <c r="H636" s="93"/>
      <c r="I636" s="93"/>
      <c r="J636" s="93"/>
      <c r="K636" s="93"/>
      <c r="L636" s="93"/>
      <c r="M636" s="93"/>
      <c r="N636" s="93"/>
      <c r="O636" s="93"/>
    </row>
    <row r="637" ht="15.75" customHeight="1">
      <c r="A637" s="7"/>
      <c r="C637" s="93"/>
      <c r="D637" s="93"/>
      <c r="E637" s="15"/>
      <c r="F637" s="1350"/>
      <c r="G637" s="93"/>
      <c r="H637" s="93"/>
      <c r="I637" s="93"/>
      <c r="J637" s="93"/>
      <c r="K637" s="93"/>
      <c r="L637" s="93"/>
      <c r="M637" s="93"/>
      <c r="N637" s="93"/>
      <c r="O637" s="93"/>
    </row>
    <row r="638" ht="15.75" customHeight="1">
      <c r="A638" s="7"/>
      <c r="C638" s="93"/>
      <c r="D638" s="93"/>
      <c r="E638" s="15"/>
      <c r="F638" s="1350"/>
      <c r="G638" s="93"/>
      <c r="H638" s="93"/>
      <c r="I638" s="93"/>
      <c r="J638" s="93"/>
      <c r="K638" s="93"/>
      <c r="L638" s="93"/>
      <c r="M638" s="93"/>
      <c r="N638" s="93"/>
      <c r="O638" s="93"/>
    </row>
    <row r="639" ht="15.75" customHeight="1">
      <c r="A639" s="7"/>
      <c r="C639" s="93"/>
      <c r="D639" s="93"/>
      <c r="E639" s="15"/>
      <c r="F639" s="1350"/>
      <c r="G639" s="93"/>
      <c r="H639" s="93"/>
      <c r="I639" s="93"/>
      <c r="J639" s="93"/>
      <c r="K639" s="93"/>
      <c r="L639" s="93"/>
      <c r="M639" s="93"/>
      <c r="N639" s="93"/>
      <c r="O639" s="93"/>
    </row>
    <row r="640" ht="15.75" customHeight="1">
      <c r="A640" s="7"/>
      <c r="C640" s="93"/>
      <c r="D640" s="93"/>
      <c r="E640" s="15"/>
      <c r="F640" s="1350"/>
      <c r="G640" s="93"/>
      <c r="H640" s="93"/>
      <c r="I640" s="93"/>
      <c r="J640" s="93"/>
      <c r="K640" s="93"/>
      <c r="L640" s="93"/>
      <c r="M640" s="93"/>
      <c r="N640" s="93"/>
      <c r="O640" s="93"/>
    </row>
    <row r="641" ht="15.75" customHeight="1">
      <c r="A641" s="7"/>
      <c r="C641" s="93"/>
      <c r="D641" s="93"/>
      <c r="E641" s="15"/>
      <c r="F641" s="1350"/>
      <c r="G641" s="93"/>
      <c r="H641" s="93"/>
      <c r="I641" s="93"/>
      <c r="J641" s="93"/>
      <c r="K641" s="93"/>
      <c r="L641" s="93"/>
      <c r="M641" s="93"/>
      <c r="N641" s="93"/>
      <c r="O641" s="93"/>
    </row>
    <row r="642" ht="15.75" customHeight="1">
      <c r="A642" s="7"/>
      <c r="C642" s="93"/>
      <c r="D642" s="93"/>
      <c r="E642" s="15"/>
      <c r="F642" s="1350"/>
      <c r="G642" s="93"/>
      <c r="H642" s="93"/>
      <c r="I642" s="93"/>
      <c r="J642" s="93"/>
      <c r="K642" s="93"/>
      <c r="L642" s="93"/>
      <c r="M642" s="93"/>
      <c r="N642" s="93"/>
      <c r="O642" s="93"/>
    </row>
    <row r="643" ht="15.75" customHeight="1">
      <c r="A643" s="7"/>
      <c r="C643" s="93"/>
      <c r="D643" s="93"/>
      <c r="E643" s="15"/>
      <c r="F643" s="1350"/>
      <c r="G643" s="93"/>
      <c r="H643" s="93"/>
      <c r="I643" s="93"/>
      <c r="J643" s="93"/>
      <c r="K643" s="93"/>
      <c r="L643" s="93"/>
      <c r="M643" s="93"/>
      <c r="N643" s="93"/>
      <c r="O643" s="93"/>
    </row>
    <row r="644" ht="15.75" customHeight="1">
      <c r="A644" s="7"/>
      <c r="C644" s="93"/>
      <c r="D644" s="93"/>
      <c r="E644" s="15"/>
      <c r="F644" s="1350"/>
      <c r="G644" s="93"/>
      <c r="H644" s="93"/>
      <c r="I644" s="93"/>
      <c r="J644" s="93"/>
      <c r="K644" s="93"/>
      <c r="L644" s="93"/>
      <c r="M644" s="93"/>
      <c r="N644" s="93"/>
      <c r="O644" s="93"/>
    </row>
    <row r="645" ht="15.75" customHeight="1">
      <c r="A645" s="7"/>
      <c r="C645" s="93"/>
      <c r="D645" s="93"/>
      <c r="E645" s="15"/>
      <c r="F645" s="1350"/>
      <c r="G645" s="93"/>
      <c r="H645" s="93"/>
      <c r="I645" s="93"/>
      <c r="J645" s="93"/>
      <c r="K645" s="93"/>
      <c r="L645" s="93"/>
      <c r="M645" s="93"/>
      <c r="N645" s="93"/>
      <c r="O645" s="93"/>
    </row>
    <row r="646" ht="15.75" customHeight="1">
      <c r="A646" s="7"/>
      <c r="C646" s="93"/>
      <c r="D646" s="93"/>
      <c r="E646" s="15"/>
      <c r="F646" s="1350"/>
      <c r="G646" s="93"/>
      <c r="H646" s="93"/>
      <c r="I646" s="93"/>
      <c r="J646" s="93"/>
      <c r="K646" s="93"/>
      <c r="L646" s="93"/>
      <c r="M646" s="93"/>
      <c r="N646" s="93"/>
      <c r="O646" s="93"/>
    </row>
    <row r="647" ht="15.75" customHeight="1">
      <c r="A647" s="7"/>
      <c r="C647" s="93"/>
      <c r="D647" s="93"/>
      <c r="E647" s="15"/>
      <c r="F647" s="1350"/>
      <c r="G647" s="93"/>
      <c r="H647" s="93"/>
      <c r="I647" s="93"/>
      <c r="J647" s="93"/>
      <c r="K647" s="93"/>
      <c r="L647" s="93"/>
      <c r="M647" s="93"/>
      <c r="N647" s="93"/>
      <c r="O647" s="93"/>
    </row>
    <row r="648" ht="15.75" customHeight="1">
      <c r="A648" s="7"/>
      <c r="C648" s="93"/>
      <c r="D648" s="93"/>
      <c r="E648" s="15"/>
      <c r="F648" s="1350"/>
      <c r="G648" s="93"/>
      <c r="H648" s="93"/>
      <c r="I648" s="93"/>
      <c r="J648" s="93"/>
      <c r="K648" s="93"/>
      <c r="L648" s="93"/>
      <c r="M648" s="93"/>
      <c r="N648" s="93"/>
      <c r="O648" s="93"/>
    </row>
    <row r="649" ht="15.75" customHeight="1">
      <c r="A649" s="7"/>
      <c r="C649" s="93"/>
      <c r="D649" s="93"/>
      <c r="E649" s="15"/>
      <c r="F649" s="1350"/>
      <c r="G649" s="93"/>
      <c r="H649" s="93"/>
      <c r="I649" s="93"/>
      <c r="J649" s="93"/>
      <c r="K649" s="93"/>
      <c r="L649" s="93"/>
      <c r="M649" s="93"/>
      <c r="N649" s="93"/>
      <c r="O649" s="93"/>
    </row>
    <row r="650" ht="15.75" customHeight="1">
      <c r="A650" s="7"/>
      <c r="C650" s="93"/>
      <c r="D650" s="93"/>
      <c r="E650" s="15"/>
      <c r="F650" s="1350"/>
      <c r="G650" s="93"/>
      <c r="H650" s="93"/>
      <c r="I650" s="93"/>
      <c r="J650" s="93"/>
      <c r="K650" s="93"/>
      <c r="L650" s="93"/>
      <c r="M650" s="93"/>
      <c r="N650" s="93"/>
      <c r="O650" s="93"/>
    </row>
    <row r="651" ht="15.75" customHeight="1">
      <c r="A651" s="7"/>
      <c r="C651" s="93"/>
      <c r="D651" s="93"/>
      <c r="E651" s="15"/>
      <c r="F651" s="1350"/>
      <c r="G651" s="93"/>
      <c r="H651" s="93"/>
      <c r="I651" s="93"/>
      <c r="J651" s="93"/>
      <c r="K651" s="93"/>
      <c r="L651" s="93"/>
      <c r="M651" s="93"/>
      <c r="N651" s="93"/>
      <c r="O651" s="93"/>
    </row>
    <row r="652" ht="15.75" customHeight="1">
      <c r="A652" s="7"/>
      <c r="C652" s="93"/>
      <c r="D652" s="93"/>
      <c r="E652" s="15"/>
      <c r="F652" s="1350"/>
      <c r="G652" s="93"/>
      <c r="H652" s="93"/>
      <c r="I652" s="93"/>
      <c r="J652" s="93"/>
      <c r="K652" s="93"/>
      <c r="L652" s="93"/>
      <c r="M652" s="93"/>
      <c r="N652" s="93"/>
      <c r="O652" s="93"/>
    </row>
    <row r="653" ht="15.75" customHeight="1">
      <c r="A653" s="7"/>
      <c r="C653" s="93"/>
      <c r="D653" s="93"/>
      <c r="E653" s="15"/>
      <c r="F653" s="1350"/>
      <c r="G653" s="93"/>
      <c r="H653" s="93"/>
      <c r="I653" s="93"/>
      <c r="J653" s="93"/>
      <c r="K653" s="93"/>
      <c r="L653" s="93"/>
      <c r="M653" s="93"/>
      <c r="N653" s="93"/>
      <c r="O653" s="93"/>
    </row>
    <row r="654" ht="15.75" customHeight="1">
      <c r="A654" s="7"/>
      <c r="C654" s="93"/>
      <c r="D654" s="93"/>
      <c r="E654" s="15"/>
      <c r="F654" s="1350"/>
      <c r="G654" s="93"/>
      <c r="H654" s="93"/>
      <c r="I654" s="93"/>
      <c r="J654" s="93"/>
      <c r="K654" s="93"/>
      <c r="L654" s="93"/>
      <c r="M654" s="93"/>
      <c r="N654" s="93"/>
      <c r="O654" s="93"/>
    </row>
    <row r="655" ht="15.75" customHeight="1">
      <c r="A655" s="7"/>
      <c r="C655" s="93"/>
      <c r="D655" s="93"/>
      <c r="E655" s="15"/>
      <c r="F655" s="1350"/>
      <c r="G655" s="93"/>
      <c r="H655" s="93"/>
      <c r="I655" s="93"/>
      <c r="J655" s="93"/>
      <c r="K655" s="93"/>
      <c r="L655" s="93"/>
      <c r="M655" s="93"/>
      <c r="N655" s="93"/>
      <c r="O655" s="93"/>
    </row>
    <row r="656" ht="15.75" customHeight="1">
      <c r="A656" s="7"/>
      <c r="C656" s="93"/>
      <c r="D656" s="93"/>
      <c r="E656" s="15"/>
      <c r="F656" s="1350"/>
      <c r="G656" s="93"/>
      <c r="H656" s="93"/>
      <c r="I656" s="93"/>
      <c r="J656" s="93"/>
      <c r="K656" s="93"/>
      <c r="L656" s="93"/>
      <c r="M656" s="93"/>
      <c r="N656" s="93"/>
      <c r="O656" s="93"/>
    </row>
    <row r="657" ht="15.75" customHeight="1">
      <c r="A657" s="7"/>
      <c r="C657" s="93"/>
      <c r="D657" s="93"/>
      <c r="E657" s="15"/>
      <c r="F657" s="1350"/>
      <c r="G657" s="93"/>
      <c r="H657" s="93"/>
      <c r="I657" s="93"/>
      <c r="J657" s="93"/>
      <c r="K657" s="93"/>
      <c r="L657" s="93"/>
      <c r="M657" s="93"/>
      <c r="N657" s="93"/>
      <c r="O657" s="93"/>
    </row>
    <row r="658" ht="15.75" customHeight="1">
      <c r="A658" s="7"/>
      <c r="C658" s="93"/>
      <c r="D658" s="93"/>
      <c r="E658" s="15"/>
      <c r="F658" s="1350"/>
      <c r="G658" s="93"/>
      <c r="H658" s="93"/>
      <c r="I658" s="93"/>
      <c r="J658" s="93"/>
      <c r="K658" s="93"/>
      <c r="L658" s="93"/>
      <c r="M658" s="93"/>
      <c r="N658" s="93"/>
      <c r="O658" s="93"/>
    </row>
    <row r="659" ht="15.75" customHeight="1">
      <c r="A659" s="7"/>
      <c r="C659" s="93"/>
      <c r="D659" s="93"/>
      <c r="E659" s="15"/>
      <c r="F659" s="1350"/>
      <c r="G659" s="93"/>
      <c r="H659" s="93"/>
      <c r="I659" s="93"/>
      <c r="J659" s="93"/>
      <c r="K659" s="93"/>
      <c r="L659" s="93"/>
      <c r="M659" s="93"/>
      <c r="N659" s="93"/>
      <c r="O659" s="93"/>
    </row>
    <row r="660" ht="15.75" customHeight="1">
      <c r="A660" s="7"/>
      <c r="C660" s="93"/>
      <c r="D660" s="93"/>
      <c r="E660" s="15"/>
      <c r="F660" s="1350"/>
      <c r="G660" s="93"/>
      <c r="H660" s="93"/>
      <c r="I660" s="93"/>
      <c r="J660" s="93"/>
      <c r="K660" s="93"/>
      <c r="L660" s="93"/>
      <c r="M660" s="93"/>
      <c r="N660" s="93"/>
      <c r="O660" s="93"/>
    </row>
    <row r="661" ht="15.75" customHeight="1">
      <c r="A661" s="4" t="str">
        <f>F661</f>
        <v/>
      </c>
      <c r="B661" s="5"/>
      <c r="C661" s="5"/>
      <c r="D661" s="1368"/>
      <c r="E661" s="15"/>
      <c r="F661" s="1350"/>
      <c r="G661" s="93"/>
      <c r="H661" s="93"/>
      <c r="I661" s="93"/>
      <c r="J661" s="93"/>
      <c r="K661" s="93"/>
      <c r="L661" s="93"/>
      <c r="M661" s="93"/>
      <c r="N661" s="93"/>
      <c r="O661" s="93"/>
    </row>
    <row r="662" ht="15.75" customHeight="1">
      <c r="A662" s="4">
        <v>1.0</v>
      </c>
      <c r="B662" s="1238"/>
      <c r="C662" s="11" t="s">
        <v>58</v>
      </c>
      <c r="D662" s="12" t="s">
        <v>24</v>
      </c>
      <c r="E662" s="13" t="s">
        <v>25</v>
      </c>
      <c r="F662" s="1347" t="s">
        <v>27</v>
      </c>
      <c r="G662" s="93"/>
      <c r="H662" s="93"/>
      <c r="I662" s="93"/>
      <c r="J662" s="93"/>
      <c r="K662" s="93"/>
      <c r="L662" s="93"/>
      <c r="M662" s="93"/>
      <c r="N662" s="93"/>
      <c r="O662" s="93"/>
    </row>
    <row r="663" ht="15.75" customHeight="1">
      <c r="A663" s="17">
        <f t="shared" ref="A663:A787" si="5">A662+1</f>
        <v>2</v>
      </c>
      <c r="B663" s="1248"/>
      <c r="C663" s="18" t="s">
        <v>58</v>
      </c>
      <c r="D663" s="19" t="s">
        <v>29</v>
      </c>
      <c r="E663" s="20" t="s">
        <v>25</v>
      </c>
      <c r="F663" s="1348" t="s">
        <v>30</v>
      </c>
      <c r="G663" s="93"/>
      <c r="H663" s="93"/>
      <c r="I663" s="93"/>
      <c r="J663" s="93"/>
      <c r="K663" s="93"/>
      <c r="L663" s="93"/>
      <c r="M663" s="93"/>
      <c r="N663" s="93"/>
      <c r="O663" s="93"/>
    </row>
    <row r="664" ht="15.75" customHeight="1">
      <c r="A664" s="17">
        <f t="shared" si="5"/>
        <v>3</v>
      </c>
      <c r="B664" s="1248"/>
      <c r="C664" s="18" t="s">
        <v>58</v>
      </c>
      <c r="D664" s="19" t="s">
        <v>32</v>
      </c>
      <c r="E664" s="20" t="s">
        <v>25</v>
      </c>
      <c r="F664" s="1348" t="s">
        <v>33</v>
      </c>
      <c r="G664" s="93"/>
      <c r="H664" s="93"/>
      <c r="I664" s="93"/>
      <c r="J664" s="93"/>
      <c r="K664" s="93"/>
      <c r="L664" s="93"/>
      <c r="M664" s="93"/>
      <c r="N664" s="93"/>
      <c r="O664" s="93"/>
    </row>
    <row r="665" ht="15.75" customHeight="1">
      <c r="A665" s="17">
        <f t="shared" si="5"/>
        <v>4</v>
      </c>
      <c r="B665" s="1248"/>
      <c r="C665" s="18" t="s">
        <v>58</v>
      </c>
      <c r="D665" s="22" t="s">
        <v>35</v>
      </c>
      <c r="E665" s="20" t="s">
        <v>25</v>
      </c>
      <c r="F665" s="1348" t="s">
        <v>30</v>
      </c>
      <c r="G665" s="93"/>
      <c r="H665" s="93"/>
      <c r="I665" s="93"/>
      <c r="J665" s="93"/>
      <c r="K665" s="93"/>
      <c r="L665" s="93"/>
      <c r="M665" s="93"/>
      <c r="N665" s="93"/>
      <c r="O665" s="93"/>
    </row>
    <row r="666" ht="15.75" customHeight="1">
      <c r="A666" s="17">
        <f t="shared" si="5"/>
        <v>5</v>
      </c>
      <c r="B666" s="1248"/>
      <c r="C666" s="18" t="s">
        <v>58</v>
      </c>
      <c r="D666" s="22" t="s">
        <v>37</v>
      </c>
      <c r="E666" s="20" t="s">
        <v>25</v>
      </c>
      <c r="F666" s="1348" t="s">
        <v>30</v>
      </c>
      <c r="G666" s="93"/>
      <c r="H666" s="93"/>
      <c r="I666" s="93"/>
      <c r="J666" s="93"/>
      <c r="K666" s="93"/>
      <c r="L666" s="93"/>
      <c r="M666" s="93"/>
      <c r="N666" s="93"/>
      <c r="O666" s="93"/>
    </row>
    <row r="667" ht="15.75" customHeight="1">
      <c r="A667" s="17">
        <f t="shared" si="5"/>
        <v>6</v>
      </c>
      <c r="B667" s="1248"/>
      <c r="C667" s="18" t="s">
        <v>58</v>
      </c>
      <c r="D667" s="19" t="s">
        <v>39</v>
      </c>
      <c r="E667" s="20" t="s">
        <v>25</v>
      </c>
      <c r="F667" s="1348" t="s">
        <v>27</v>
      </c>
      <c r="G667" s="93"/>
      <c r="H667" s="93"/>
      <c r="I667" s="93"/>
      <c r="J667" s="93"/>
      <c r="K667" s="93"/>
      <c r="L667" s="93"/>
      <c r="M667" s="93"/>
      <c r="N667" s="93"/>
      <c r="O667" s="93"/>
    </row>
    <row r="668" ht="15.75" customHeight="1">
      <c r="A668" s="17">
        <f t="shared" si="5"/>
        <v>7</v>
      </c>
      <c r="B668" s="1248"/>
      <c r="C668" s="18" t="s">
        <v>58</v>
      </c>
      <c r="D668" s="19" t="s">
        <v>41</v>
      </c>
      <c r="E668" s="20" t="s">
        <v>25</v>
      </c>
      <c r="F668" s="1348" t="s">
        <v>30</v>
      </c>
      <c r="G668" s="93"/>
      <c r="H668" s="93"/>
      <c r="I668" s="93"/>
      <c r="J668" s="93"/>
      <c r="K668" s="93"/>
      <c r="L668" s="93"/>
      <c r="M668" s="93"/>
      <c r="N668" s="93"/>
      <c r="O668" s="93"/>
    </row>
    <row r="669" ht="15.75" customHeight="1">
      <c r="A669" s="17">
        <f t="shared" si="5"/>
        <v>8</v>
      </c>
      <c r="B669" s="1248"/>
      <c r="C669" s="18" t="s">
        <v>58</v>
      </c>
      <c r="D669" s="19" t="s">
        <v>43</v>
      </c>
      <c r="E669" s="20" t="s">
        <v>25</v>
      </c>
      <c r="F669" s="1348" t="s">
        <v>30</v>
      </c>
      <c r="G669" s="93"/>
      <c r="H669" s="93"/>
      <c r="I669" s="93"/>
      <c r="J669" s="93"/>
      <c r="K669" s="93"/>
      <c r="L669" s="93"/>
      <c r="M669" s="93"/>
      <c r="N669" s="93"/>
      <c r="O669" s="93"/>
    </row>
    <row r="670" ht="15.75" customHeight="1">
      <c r="A670" s="17">
        <f t="shared" si="5"/>
        <v>9</v>
      </c>
      <c r="B670" s="1248"/>
      <c r="C670" s="18" t="s">
        <v>58</v>
      </c>
      <c r="D670" s="19" t="s">
        <v>45</v>
      </c>
      <c r="E670" s="20" t="s">
        <v>25</v>
      </c>
      <c r="F670" s="1348" t="s">
        <v>46</v>
      </c>
      <c r="G670" s="93"/>
      <c r="H670" s="93"/>
      <c r="I670" s="93"/>
      <c r="J670" s="93"/>
      <c r="K670" s="93"/>
      <c r="L670" s="93"/>
      <c r="M670" s="93"/>
      <c r="N670" s="93"/>
      <c r="O670" s="93"/>
    </row>
    <row r="671" ht="15.75" customHeight="1">
      <c r="A671" s="17">
        <f t="shared" si="5"/>
        <v>10</v>
      </c>
      <c r="B671" s="1248"/>
      <c r="C671" s="18" t="s">
        <v>58</v>
      </c>
      <c r="D671" s="19" t="s">
        <v>48</v>
      </c>
      <c r="E671" s="20" t="s">
        <v>25</v>
      </c>
      <c r="F671" s="1348" t="s">
        <v>46</v>
      </c>
      <c r="G671" s="93"/>
      <c r="H671" s="93"/>
      <c r="I671" s="93"/>
      <c r="J671" s="93"/>
      <c r="K671" s="93"/>
      <c r="L671" s="93"/>
      <c r="M671" s="93"/>
      <c r="N671" s="93"/>
      <c r="O671" s="93"/>
    </row>
    <row r="672" ht="15.75" customHeight="1">
      <c r="A672" s="17">
        <f t="shared" si="5"/>
        <v>11</v>
      </c>
      <c r="B672" s="1248"/>
      <c r="C672" s="18" t="s">
        <v>58</v>
      </c>
      <c r="D672" s="19" t="s">
        <v>50</v>
      </c>
      <c r="E672" s="20" t="s">
        <v>25</v>
      </c>
      <c r="F672" s="1348" t="s">
        <v>30</v>
      </c>
      <c r="G672" s="93"/>
      <c r="H672" s="93"/>
      <c r="I672" s="93"/>
      <c r="J672" s="93"/>
      <c r="K672" s="93"/>
      <c r="L672" s="93"/>
      <c r="M672" s="93"/>
      <c r="N672" s="93"/>
      <c r="O672" s="93"/>
    </row>
    <row r="673" ht="15.75" customHeight="1">
      <c r="A673" s="17">
        <f t="shared" si="5"/>
        <v>12</v>
      </c>
      <c r="B673" s="1248"/>
      <c r="C673" s="18" t="s">
        <v>58</v>
      </c>
      <c r="D673" s="19" t="s">
        <v>52</v>
      </c>
      <c r="E673" s="20" t="s">
        <v>25</v>
      </c>
      <c r="F673" s="1348" t="s">
        <v>30</v>
      </c>
      <c r="G673" s="93"/>
      <c r="H673" s="93"/>
      <c r="I673" s="93"/>
      <c r="J673" s="93"/>
      <c r="K673" s="93"/>
      <c r="L673" s="93"/>
      <c r="M673" s="93"/>
      <c r="N673" s="93"/>
      <c r="O673" s="93"/>
    </row>
    <row r="674" ht="15.75" customHeight="1">
      <c r="A674" s="17">
        <f t="shared" si="5"/>
        <v>13</v>
      </c>
      <c r="B674" s="1248"/>
      <c r="C674" s="18" t="s">
        <v>58</v>
      </c>
      <c r="D674" s="19" t="s">
        <v>54</v>
      </c>
      <c r="E674" s="20" t="s">
        <v>25</v>
      </c>
      <c r="F674" s="1348" t="s">
        <v>27</v>
      </c>
      <c r="G674" s="93"/>
      <c r="H674" s="93"/>
      <c r="I674" s="93"/>
      <c r="J674" s="93"/>
      <c r="K674" s="93"/>
      <c r="L674" s="93"/>
      <c r="M674" s="93"/>
      <c r="N674" s="93"/>
      <c r="O674" s="93"/>
    </row>
    <row r="675" ht="15.75" customHeight="1">
      <c r="A675" s="17">
        <f t="shared" si="5"/>
        <v>14</v>
      </c>
      <c r="B675" s="1248"/>
      <c r="C675" s="18" t="s">
        <v>58</v>
      </c>
      <c r="D675" s="19" t="s">
        <v>56</v>
      </c>
      <c r="E675" s="20" t="s">
        <v>25</v>
      </c>
      <c r="F675" s="1348" t="s">
        <v>30</v>
      </c>
      <c r="G675" s="93"/>
      <c r="H675" s="93"/>
      <c r="I675" s="93"/>
      <c r="J675" s="93"/>
      <c r="K675" s="93"/>
      <c r="L675" s="93"/>
      <c r="M675" s="93"/>
      <c r="N675" s="93"/>
      <c r="O675" s="93"/>
    </row>
    <row r="676" ht="15.75" customHeight="1">
      <c r="A676" s="17">
        <f t="shared" si="5"/>
        <v>15</v>
      </c>
      <c r="B676" s="1248"/>
      <c r="C676" s="18" t="s">
        <v>58</v>
      </c>
      <c r="D676" s="22" t="s">
        <v>59</v>
      </c>
      <c r="E676" s="20" t="s">
        <v>60</v>
      </c>
      <c r="F676" s="1348" t="s">
        <v>30</v>
      </c>
      <c r="G676" s="93"/>
      <c r="H676" s="93"/>
      <c r="I676" s="93"/>
      <c r="J676" s="93"/>
      <c r="K676" s="93"/>
      <c r="L676" s="93"/>
      <c r="M676" s="93"/>
      <c r="N676" s="93"/>
      <c r="O676" s="93"/>
    </row>
    <row r="677" ht="15.75" customHeight="1">
      <c r="A677" s="17">
        <f t="shared" si="5"/>
        <v>16</v>
      </c>
      <c r="B677" s="1248"/>
      <c r="C677" s="18" t="s">
        <v>58</v>
      </c>
      <c r="D677" s="22" t="s">
        <v>62</v>
      </c>
      <c r="E677" s="20" t="s">
        <v>60</v>
      </c>
      <c r="F677" s="1348" t="s">
        <v>30</v>
      </c>
      <c r="G677" s="93"/>
      <c r="H677" s="93"/>
      <c r="I677" s="93"/>
      <c r="J677" s="93"/>
      <c r="K677" s="93"/>
      <c r="L677" s="93"/>
      <c r="M677" s="93"/>
      <c r="N677" s="93"/>
      <c r="O677" s="93"/>
    </row>
    <row r="678" ht="15.75" customHeight="1">
      <c r="A678" s="17">
        <f t="shared" si="5"/>
        <v>17</v>
      </c>
      <c r="B678" s="1248"/>
      <c r="C678" s="18" t="s">
        <v>58</v>
      </c>
      <c r="D678" s="24" t="s">
        <v>64</v>
      </c>
      <c r="E678" s="20" t="s">
        <v>65</v>
      </c>
      <c r="F678" s="1348" t="s">
        <v>30</v>
      </c>
      <c r="G678" s="93"/>
      <c r="H678" s="93"/>
      <c r="I678" s="93"/>
      <c r="J678" s="93"/>
      <c r="K678" s="93"/>
      <c r="L678" s="93"/>
      <c r="M678" s="93"/>
      <c r="N678" s="93"/>
      <c r="O678" s="93"/>
    </row>
    <row r="679" ht="15.75" customHeight="1">
      <c r="A679" s="17">
        <f t="shared" si="5"/>
        <v>18</v>
      </c>
      <c r="B679" s="1248"/>
      <c r="C679" s="18" t="s">
        <v>58</v>
      </c>
      <c r="D679" s="25" t="s">
        <v>67</v>
      </c>
      <c r="E679" s="26" t="s">
        <v>68</v>
      </c>
      <c r="F679" s="1348" t="s">
        <v>30</v>
      </c>
      <c r="G679" s="93"/>
      <c r="H679" s="93"/>
      <c r="I679" s="93"/>
      <c r="J679" s="93"/>
      <c r="K679" s="93"/>
      <c r="L679" s="93"/>
      <c r="M679" s="93"/>
      <c r="N679" s="93"/>
      <c r="O679" s="93"/>
    </row>
    <row r="680" ht="15.75" customHeight="1">
      <c r="A680" s="17">
        <f t="shared" si="5"/>
        <v>19</v>
      </c>
      <c r="B680" s="1248"/>
      <c r="C680" s="18" t="s">
        <v>58</v>
      </c>
      <c r="D680" s="25" t="s">
        <v>70</v>
      </c>
      <c r="E680" s="26" t="s">
        <v>71</v>
      </c>
      <c r="F680" s="1348" t="s">
        <v>30</v>
      </c>
      <c r="G680" s="93"/>
      <c r="H680" s="93"/>
      <c r="I680" s="93"/>
      <c r="J680" s="93"/>
      <c r="K680" s="93"/>
      <c r="L680" s="93"/>
      <c r="M680" s="93"/>
      <c r="N680" s="93"/>
      <c r="O680" s="93"/>
    </row>
    <row r="681" ht="15.75" customHeight="1">
      <c r="A681" s="17">
        <f t="shared" si="5"/>
        <v>20</v>
      </c>
      <c r="B681" s="1248"/>
      <c r="C681" s="18" t="s">
        <v>58</v>
      </c>
      <c r="D681" s="25" t="s">
        <v>73</v>
      </c>
      <c r="E681" s="26" t="s">
        <v>71</v>
      </c>
      <c r="F681" s="1348" t="s">
        <v>30</v>
      </c>
      <c r="G681" s="93"/>
      <c r="H681" s="93"/>
      <c r="I681" s="93"/>
      <c r="J681" s="93"/>
      <c r="K681" s="93"/>
      <c r="L681" s="93"/>
      <c r="M681" s="93"/>
      <c r="N681" s="93"/>
      <c r="O681" s="93"/>
    </row>
    <row r="682" ht="15.75" customHeight="1">
      <c r="A682" s="17">
        <f t="shared" si="5"/>
        <v>21</v>
      </c>
      <c r="B682" s="1248"/>
      <c r="C682" s="18" t="s">
        <v>58</v>
      </c>
      <c r="D682" s="25" t="s">
        <v>75</v>
      </c>
      <c r="E682" s="26" t="s">
        <v>71</v>
      </c>
      <c r="F682" s="1348" t="s">
        <v>30</v>
      </c>
      <c r="G682" s="93"/>
      <c r="H682" s="93"/>
      <c r="I682" s="93"/>
      <c r="J682" s="93"/>
      <c r="K682" s="93"/>
      <c r="L682" s="93"/>
      <c r="M682" s="93"/>
      <c r="N682" s="93"/>
      <c r="O682" s="93"/>
    </row>
    <row r="683" ht="15.75" customHeight="1">
      <c r="A683" s="17">
        <f t="shared" si="5"/>
        <v>22</v>
      </c>
      <c r="B683" s="1248"/>
      <c r="C683" s="18" t="s">
        <v>58</v>
      </c>
      <c r="D683" s="25" t="s">
        <v>77</v>
      </c>
      <c r="E683" s="26" t="s">
        <v>60</v>
      </c>
      <c r="F683" s="1348" t="s">
        <v>27</v>
      </c>
      <c r="G683" s="93"/>
      <c r="H683" s="93"/>
      <c r="I683" s="93"/>
      <c r="J683" s="93"/>
      <c r="K683" s="93"/>
      <c r="L683" s="93"/>
      <c r="M683" s="93"/>
      <c r="N683" s="93"/>
      <c r="O683" s="93"/>
    </row>
    <row r="684" ht="15.75" customHeight="1">
      <c r="A684" s="17">
        <f t="shared" si="5"/>
        <v>23</v>
      </c>
      <c r="B684" s="1248"/>
      <c r="C684" s="18" t="s">
        <v>58</v>
      </c>
      <c r="D684" s="25" t="s">
        <v>79</v>
      </c>
      <c r="E684" s="26" t="s">
        <v>60</v>
      </c>
      <c r="F684" s="1348" t="s">
        <v>27</v>
      </c>
      <c r="G684" s="93"/>
      <c r="H684" s="93"/>
      <c r="I684" s="93"/>
      <c r="J684" s="93"/>
      <c r="K684" s="93"/>
      <c r="L684" s="93"/>
      <c r="M684" s="93"/>
      <c r="N684" s="93"/>
      <c r="O684" s="93"/>
    </row>
    <row r="685" ht="15.75" customHeight="1">
      <c r="A685" s="17">
        <f t="shared" si="5"/>
        <v>24</v>
      </c>
      <c r="B685" s="1248"/>
      <c r="C685" s="18" t="s">
        <v>58</v>
      </c>
      <c r="D685" s="25" t="s">
        <v>80</v>
      </c>
      <c r="E685" s="26" t="s">
        <v>60</v>
      </c>
      <c r="F685" s="1348" t="s">
        <v>27</v>
      </c>
      <c r="G685" s="93"/>
      <c r="H685" s="93"/>
      <c r="I685" s="93"/>
      <c r="J685" s="93"/>
      <c r="K685" s="93"/>
      <c r="L685" s="93"/>
      <c r="M685" s="93"/>
      <c r="N685" s="93"/>
      <c r="O685" s="93"/>
    </row>
    <row r="686" ht="15.75" customHeight="1">
      <c r="A686" s="17">
        <f t="shared" si="5"/>
        <v>25</v>
      </c>
      <c r="B686" s="1248"/>
      <c r="C686" s="18" t="s">
        <v>58</v>
      </c>
      <c r="D686" s="25" t="s">
        <v>82</v>
      </c>
      <c r="E686" s="26" t="s">
        <v>60</v>
      </c>
      <c r="F686" s="1348" t="s">
        <v>27</v>
      </c>
      <c r="G686" s="93"/>
      <c r="H686" s="93"/>
      <c r="I686" s="93"/>
      <c r="J686" s="93"/>
      <c r="K686" s="93"/>
      <c r="L686" s="93"/>
      <c r="M686" s="93"/>
      <c r="N686" s="93"/>
      <c r="O686" s="93"/>
    </row>
    <row r="687" ht="15.75" customHeight="1">
      <c r="A687" s="17">
        <f t="shared" si="5"/>
        <v>26</v>
      </c>
      <c r="B687" s="1248"/>
      <c r="C687" s="18" t="s">
        <v>58</v>
      </c>
      <c r="D687" s="25" t="s">
        <v>84</v>
      </c>
      <c r="E687" s="26" t="s">
        <v>60</v>
      </c>
      <c r="F687" s="1348" t="s">
        <v>27</v>
      </c>
      <c r="G687" s="93"/>
      <c r="H687" s="93"/>
      <c r="I687" s="93"/>
      <c r="J687" s="93"/>
      <c r="K687" s="93"/>
      <c r="L687" s="93"/>
      <c r="M687" s="93"/>
      <c r="N687" s="93"/>
      <c r="O687" s="93"/>
    </row>
    <row r="688" ht="15.75" customHeight="1">
      <c r="A688" s="17">
        <f t="shared" si="5"/>
        <v>27</v>
      </c>
      <c r="B688" s="1248"/>
      <c r="C688" s="18" t="s">
        <v>58</v>
      </c>
      <c r="D688" s="25" t="s">
        <v>86</v>
      </c>
      <c r="E688" s="26" t="s">
        <v>60</v>
      </c>
      <c r="F688" s="1348" t="s">
        <v>27</v>
      </c>
      <c r="G688" s="93"/>
      <c r="H688" s="93"/>
      <c r="I688" s="93"/>
      <c r="J688" s="93"/>
      <c r="K688" s="93"/>
      <c r="L688" s="93"/>
      <c r="M688" s="93"/>
      <c r="N688" s="93"/>
      <c r="O688" s="93"/>
    </row>
    <row r="689" ht="15.75" customHeight="1">
      <c r="A689" s="17">
        <f t="shared" si="5"/>
        <v>28</v>
      </c>
      <c r="B689" s="1248"/>
      <c r="C689" s="18" t="s">
        <v>58</v>
      </c>
      <c r="D689" s="25" t="s">
        <v>88</v>
      </c>
      <c r="E689" s="26" t="s">
        <v>60</v>
      </c>
      <c r="F689" s="1348" t="s">
        <v>27</v>
      </c>
      <c r="G689" s="93"/>
      <c r="H689" s="93"/>
      <c r="I689" s="93"/>
      <c r="J689" s="93"/>
      <c r="K689" s="93"/>
      <c r="L689" s="93"/>
      <c r="M689" s="93"/>
      <c r="N689" s="93"/>
      <c r="O689" s="93"/>
    </row>
    <row r="690" ht="15.75" customHeight="1">
      <c r="A690" s="17">
        <f t="shared" si="5"/>
        <v>29</v>
      </c>
      <c r="B690" s="1349"/>
      <c r="C690" s="27" t="s">
        <v>58</v>
      </c>
      <c r="D690" s="28" t="s">
        <v>90</v>
      </c>
      <c r="E690" s="29" t="s">
        <v>60</v>
      </c>
      <c r="F690" s="1350" t="s">
        <v>27</v>
      </c>
      <c r="G690" s="93"/>
      <c r="H690" s="93"/>
      <c r="I690" s="93"/>
      <c r="J690" s="93"/>
      <c r="K690" s="93"/>
      <c r="L690" s="93"/>
      <c r="M690" s="93"/>
      <c r="N690" s="93"/>
      <c r="O690" s="93"/>
    </row>
    <row r="691" ht="15.75" customHeight="1">
      <c r="A691" s="17">
        <f t="shared" si="5"/>
        <v>30</v>
      </c>
      <c r="B691" s="1349"/>
      <c r="C691" s="27" t="s">
        <v>58</v>
      </c>
      <c r="D691" s="28" t="s">
        <v>92</v>
      </c>
      <c r="E691" s="29" t="s">
        <v>60</v>
      </c>
      <c r="F691" s="1350" t="s">
        <v>30</v>
      </c>
      <c r="G691" s="93"/>
      <c r="H691" s="93"/>
      <c r="I691" s="93"/>
      <c r="J691" s="93"/>
      <c r="K691" s="93"/>
      <c r="L691" s="93"/>
      <c r="M691" s="93"/>
      <c r="N691" s="93"/>
      <c r="O691" s="93"/>
    </row>
    <row r="692" ht="15.75" customHeight="1">
      <c r="A692" s="17">
        <f t="shared" si="5"/>
        <v>31</v>
      </c>
      <c r="B692" s="1349"/>
      <c r="C692" s="27" t="s">
        <v>58</v>
      </c>
      <c r="D692" s="34" t="s">
        <v>94</v>
      </c>
      <c r="E692" s="35" t="s">
        <v>60</v>
      </c>
      <c r="F692" s="1350" t="s">
        <v>30</v>
      </c>
      <c r="G692" s="93"/>
      <c r="H692" s="93"/>
      <c r="I692" s="93"/>
      <c r="J692" s="93"/>
      <c r="K692" s="93"/>
      <c r="L692" s="93"/>
      <c r="M692" s="93"/>
      <c r="N692" s="93"/>
      <c r="O692" s="93"/>
    </row>
    <row r="693" ht="15.75" customHeight="1">
      <c r="A693" s="17">
        <f t="shared" si="5"/>
        <v>32</v>
      </c>
      <c r="B693" s="1351" t="s">
        <v>146</v>
      </c>
      <c r="C693" s="36" t="s">
        <v>99</v>
      </c>
      <c r="D693" s="37" t="s">
        <v>100</v>
      </c>
      <c r="E693" s="38" t="s">
        <v>101</v>
      </c>
      <c r="F693" s="1352" t="s">
        <v>30</v>
      </c>
      <c r="G693" s="93"/>
      <c r="H693" s="93"/>
      <c r="I693" s="93"/>
      <c r="J693" s="93"/>
      <c r="K693" s="93"/>
      <c r="L693" s="93"/>
      <c r="M693" s="93"/>
      <c r="N693" s="93"/>
      <c r="O693" s="93"/>
    </row>
    <row r="694" ht="15.75" customHeight="1">
      <c r="A694" s="17">
        <f t="shared" si="5"/>
        <v>33</v>
      </c>
      <c r="B694" s="44" t="s">
        <v>146</v>
      </c>
      <c r="C694" s="36" t="s">
        <v>99</v>
      </c>
      <c r="D694" s="41" t="s">
        <v>104</v>
      </c>
      <c r="E694" s="20" t="s">
        <v>101</v>
      </c>
      <c r="F694" s="1348" t="s">
        <v>27</v>
      </c>
      <c r="G694" s="93"/>
      <c r="H694" s="93"/>
      <c r="I694" s="93"/>
      <c r="J694" s="93"/>
      <c r="K694" s="93"/>
      <c r="L694" s="93"/>
      <c r="M694" s="93"/>
      <c r="N694" s="93"/>
      <c r="O694" s="93"/>
    </row>
    <row r="695" ht="15.75" customHeight="1">
      <c r="A695" s="17">
        <f t="shared" si="5"/>
        <v>34</v>
      </c>
      <c r="B695" s="44" t="s">
        <v>146</v>
      </c>
      <c r="C695" s="36" t="s">
        <v>99</v>
      </c>
      <c r="D695" s="41" t="s">
        <v>106</v>
      </c>
      <c r="E695" s="20" t="s">
        <v>101</v>
      </c>
      <c r="F695" s="1348" t="s">
        <v>27</v>
      </c>
      <c r="G695" s="93"/>
      <c r="H695" s="93"/>
      <c r="I695" s="93"/>
      <c r="J695" s="93"/>
      <c r="K695" s="93"/>
      <c r="L695" s="93"/>
      <c r="M695" s="93"/>
      <c r="N695" s="93"/>
      <c r="O695" s="93"/>
    </row>
    <row r="696" ht="15.75" customHeight="1">
      <c r="A696" s="17">
        <f t="shared" si="5"/>
        <v>35</v>
      </c>
      <c r="B696" s="44" t="s">
        <v>146</v>
      </c>
      <c r="C696" s="36" t="s">
        <v>99</v>
      </c>
      <c r="D696" s="41" t="s">
        <v>108</v>
      </c>
      <c r="E696" s="20" t="s">
        <v>101</v>
      </c>
      <c r="F696" s="1348" t="s">
        <v>30</v>
      </c>
      <c r="G696" s="93"/>
      <c r="H696" s="93"/>
      <c r="I696" s="93"/>
      <c r="J696" s="93"/>
      <c r="K696" s="93"/>
      <c r="L696" s="93"/>
      <c r="M696" s="93"/>
      <c r="N696" s="93"/>
      <c r="O696" s="93"/>
    </row>
    <row r="697" ht="15.75" customHeight="1">
      <c r="A697" s="17">
        <f t="shared" si="5"/>
        <v>36</v>
      </c>
      <c r="B697" s="44" t="s">
        <v>146</v>
      </c>
      <c r="C697" s="36" t="s">
        <v>99</v>
      </c>
      <c r="D697" s="41" t="s">
        <v>110</v>
      </c>
      <c r="E697" s="20" t="s">
        <v>101</v>
      </c>
      <c r="F697" s="1348" t="s">
        <v>30</v>
      </c>
      <c r="G697" s="93"/>
      <c r="H697" s="93"/>
      <c r="I697" s="93"/>
      <c r="J697" s="93"/>
      <c r="K697" s="93"/>
      <c r="L697" s="93"/>
      <c r="M697" s="93"/>
      <c r="N697" s="93"/>
      <c r="O697" s="93"/>
    </row>
    <row r="698" ht="15.75" customHeight="1">
      <c r="A698" s="17">
        <f t="shared" si="5"/>
        <v>37</v>
      </c>
      <c r="B698" s="44" t="s">
        <v>146</v>
      </c>
      <c r="C698" s="36" t="s">
        <v>99</v>
      </c>
      <c r="D698" s="41" t="s">
        <v>111</v>
      </c>
      <c r="E698" s="20" t="s">
        <v>101</v>
      </c>
      <c r="F698" s="1348" t="s">
        <v>30</v>
      </c>
      <c r="G698" s="93"/>
      <c r="H698" s="93"/>
      <c r="I698" s="93"/>
      <c r="J698" s="93"/>
      <c r="K698" s="93"/>
      <c r="L698" s="93"/>
      <c r="M698" s="93"/>
      <c r="N698" s="93"/>
      <c r="O698" s="93"/>
    </row>
    <row r="699" ht="15.75" customHeight="1">
      <c r="A699" s="17">
        <f t="shared" si="5"/>
        <v>38</v>
      </c>
      <c r="B699" s="44" t="s">
        <v>146</v>
      </c>
      <c r="C699" s="36" t="s">
        <v>99</v>
      </c>
      <c r="D699" s="41" t="s">
        <v>113</v>
      </c>
      <c r="E699" s="20" t="s">
        <v>101</v>
      </c>
      <c r="F699" s="1348" t="s">
        <v>30</v>
      </c>
      <c r="G699" s="93"/>
      <c r="H699" s="93"/>
      <c r="I699" s="93"/>
      <c r="J699" s="93"/>
      <c r="K699" s="93"/>
      <c r="L699" s="93"/>
      <c r="M699" s="93"/>
      <c r="N699" s="93"/>
      <c r="O699" s="93"/>
    </row>
    <row r="700" ht="15.75" customHeight="1">
      <c r="A700" s="17">
        <f t="shared" si="5"/>
        <v>39</v>
      </c>
      <c r="B700" s="44" t="s">
        <v>146</v>
      </c>
      <c r="C700" s="36" t="s">
        <v>99</v>
      </c>
      <c r="D700" s="41" t="s">
        <v>115</v>
      </c>
      <c r="E700" s="20" t="s">
        <v>101</v>
      </c>
      <c r="F700" s="1348" t="s">
        <v>27</v>
      </c>
      <c r="G700" s="93"/>
      <c r="H700" s="93"/>
      <c r="I700" s="93"/>
      <c r="J700" s="93"/>
      <c r="K700" s="93"/>
      <c r="L700" s="93"/>
      <c r="M700" s="93"/>
      <c r="N700" s="93"/>
      <c r="O700" s="93"/>
    </row>
    <row r="701" ht="15.75" customHeight="1">
      <c r="A701" s="17">
        <f t="shared" si="5"/>
        <v>40</v>
      </c>
      <c r="B701" s="44" t="s">
        <v>146</v>
      </c>
      <c r="C701" s="36" t="s">
        <v>99</v>
      </c>
      <c r="D701" s="41" t="s">
        <v>117</v>
      </c>
      <c r="E701" s="20" t="s">
        <v>101</v>
      </c>
      <c r="F701" s="1348" t="s">
        <v>27</v>
      </c>
      <c r="G701" s="93"/>
      <c r="H701" s="93"/>
      <c r="I701" s="93"/>
      <c r="J701" s="93"/>
      <c r="K701" s="93"/>
      <c r="L701" s="93"/>
      <c r="M701" s="93"/>
      <c r="N701" s="93"/>
      <c r="O701" s="93"/>
    </row>
    <row r="702" ht="15.75" customHeight="1">
      <c r="A702" s="17">
        <f t="shared" si="5"/>
        <v>41</v>
      </c>
      <c r="B702" s="44" t="s">
        <v>146</v>
      </c>
      <c r="C702" s="36" t="s">
        <v>99</v>
      </c>
      <c r="D702" s="41" t="s">
        <v>119</v>
      </c>
      <c r="E702" s="20" t="s">
        <v>101</v>
      </c>
      <c r="F702" s="1348" t="s">
        <v>27</v>
      </c>
      <c r="G702" s="93"/>
      <c r="H702" s="93"/>
      <c r="I702" s="93"/>
      <c r="J702" s="93"/>
      <c r="K702" s="93"/>
      <c r="L702" s="93"/>
      <c r="M702" s="93"/>
      <c r="N702" s="93"/>
      <c r="O702" s="93"/>
    </row>
    <row r="703" ht="15.75" customHeight="1">
      <c r="A703" s="17">
        <f t="shared" si="5"/>
        <v>42</v>
      </c>
      <c r="B703" s="44" t="s">
        <v>146</v>
      </c>
      <c r="C703" s="36" t="s">
        <v>99</v>
      </c>
      <c r="D703" s="41" t="s">
        <v>121</v>
      </c>
      <c r="E703" s="20" t="s">
        <v>101</v>
      </c>
      <c r="F703" s="1348" t="s">
        <v>27</v>
      </c>
      <c r="G703" s="93"/>
      <c r="H703" s="93"/>
      <c r="I703" s="93"/>
      <c r="J703" s="93"/>
      <c r="K703" s="93"/>
      <c r="L703" s="93"/>
      <c r="M703" s="93"/>
      <c r="N703" s="93"/>
      <c r="O703" s="93"/>
    </row>
    <row r="704" ht="15.75" customHeight="1">
      <c r="A704" s="17">
        <f t="shared" si="5"/>
        <v>43</v>
      </c>
      <c r="B704" s="44" t="s">
        <v>146</v>
      </c>
      <c r="C704" s="44" t="s">
        <v>146</v>
      </c>
      <c r="D704" s="45" t="s">
        <v>124</v>
      </c>
      <c r="E704" s="20" t="s">
        <v>125</v>
      </c>
      <c r="F704" s="1348" t="s">
        <v>27</v>
      </c>
      <c r="G704" s="93"/>
      <c r="H704" s="93"/>
      <c r="I704" s="93"/>
      <c r="J704" s="93"/>
      <c r="K704" s="93"/>
      <c r="L704" s="93"/>
      <c r="M704" s="93"/>
      <c r="N704" s="93"/>
      <c r="O704" s="93"/>
    </row>
    <row r="705" ht="15.75" customHeight="1">
      <c r="A705" s="17">
        <f t="shared" si="5"/>
        <v>44</v>
      </c>
      <c r="B705" s="44" t="s">
        <v>146</v>
      </c>
      <c r="C705" s="44" t="s">
        <v>146</v>
      </c>
      <c r="D705" s="47" t="s">
        <v>127</v>
      </c>
      <c r="E705" s="20" t="s">
        <v>125</v>
      </c>
      <c r="F705" s="1348" t="s">
        <v>30</v>
      </c>
      <c r="G705" s="93"/>
      <c r="H705" s="93"/>
      <c r="I705" s="93"/>
      <c r="J705" s="93"/>
      <c r="K705" s="93"/>
      <c r="L705" s="93"/>
      <c r="M705" s="93"/>
      <c r="N705" s="93"/>
      <c r="O705" s="93"/>
    </row>
    <row r="706" ht="15.75" customHeight="1">
      <c r="A706" s="17">
        <f t="shared" si="5"/>
        <v>45</v>
      </c>
      <c r="B706" s="44" t="s">
        <v>146</v>
      </c>
      <c r="C706" s="44" t="s">
        <v>146</v>
      </c>
      <c r="D706" s="47" t="s">
        <v>129</v>
      </c>
      <c r="E706" s="20" t="s">
        <v>125</v>
      </c>
      <c r="F706" s="1348" t="s">
        <v>30</v>
      </c>
      <c r="G706" s="93"/>
      <c r="H706" s="93"/>
      <c r="I706" s="93"/>
      <c r="J706" s="93"/>
      <c r="K706" s="93"/>
      <c r="L706" s="93"/>
      <c r="M706" s="93"/>
      <c r="N706" s="93"/>
      <c r="O706" s="93"/>
    </row>
    <row r="707" ht="15.75" customHeight="1">
      <c r="A707" s="17">
        <f t="shared" si="5"/>
        <v>46</v>
      </c>
      <c r="B707" s="44" t="s">
        <v>146</v>
      </c>
      <c r="C707" s="44" t="s">
        <v>146</v>
      </c>
      <c r="D707" s="47" t="s">
        <v>131</v>
      </c>
      <c r="E707" s="20" t="s">
        <v>125</v>
      </c>
      <c r="F707" s="1348" t="s">
        <v>27</v>
      </c>
      <c r="G707" s="93"/>
      <c r="H707" s="93"/>
      <c r="I707" s="93"/>
      <c r="J707" s="93"/>
      <c r="K707" s="93"/>
      <c r="L707" s="93"/>
      <c r="M707" s="93"/>
      <c r="N707" s="93"/>
      <c r="O707" s="93"/>
    </row>
    <row r="708" ht="15.75" customHeight="1">
      <c r="A708" s="17">
        <f t="shared" si="5"/>
        <v>47</v>
      </c>
      <c r="B708" s="44" t="s">
        <v>146</v>
      </c>
      <c r="C708" s="44" t="s">
        <v>146</v>
      </c>
      <c r="D708" s="47" t="s">
        <v>133</v>
      </c>
      <c r="E708" s="20" t="s">
        <v>125</v>
      </c>
      <c r="F708" s="1348" t="s">
        <v>27</v>
      </c>
      <c r="G708" s="93"/>
      <c r="H708" s="93"/>
      <c r="I708" s="93"/>
      <c r="J708" s="93"/>
      <c r="K708" s="93"/>
      <c r="L708" s="93"/>
      <c r="M708" s="93"/>
      <c r="N708" s="93"/>
      <c r="O708" s="93"/>
    </row>
    <row r="709" ht="15.75" customHeight="1">
      <c r="A709" s="17">
        <f t="shared" si="5"/>
        <v>48</v>
      </c>
      <c r="B709" s="44" t="s">
        <v>146</v>
      </c>
      <c r="C709" s="44" t="s">
        <v>146</v>
      </c>
      <c r="D709" s="47" t="s">
        <v>135</v>
      </c>
      <c r="E709" s="20" t="s">
        <v>136</v>
      </c>
      <c r="F709" s="1348" t="s">
        <v>27</v>
      </c>
      <c r="G709" s="93"/>
      <c r="H709" s="93"/>
      <c r="I709" s="93"/>
      <c r="J709" s="93"/>
      <c r="K709" s="93"/>
      <c r="L709" s="93"/>
      <c r="M709" s="93"/>
      <c r="N709" s="93"/>
      <c r="O709" s="93"/>
    </row>
    <row r="710" ht="15.75" customHeight="1">
      <c r="A710" s="17">
        <f t="shared" si="5"/>
        <v>49</v>
      </c>
      <c r="B710" s="44" t="s">
        <v>146</v>
      </c>
      <c r="C710" s="44" t="s">
        <v>146</v>
      </c>
      <c r="D710" s="47" t="s">
        <v>138</v>
      </c>
      <c r="E710" s="20" t="s">
        <v>136</v>
      </c>
      <c r="F710" s="1348" t="s">
        <v>27</v>
      </c>
      <c r="G710" s="93"/>
      <c r="H710" s="93"/>
      <c r="I710" s="93"/>
      <c r="J710" s="93"/>
      <c r="K710" s="93"/>
      <c r="L710" s="93"/>
      <c r="M710" s="93"/>
      <c r="N710" s="93"/>
      <c r="O710" s="93"/>
    </row>
    <row r="711" ht="15.75" customHeight="1">
      <c r="A711" s="17">
        <f t="shared" si="5"/>
        <v>50</v>
      </c>
      <c r="B711" s="44" t="s">
        <v>146</v>
      </c>
      <c r="C711" s="44" t="s">
        <v>146</v>
      </c>
      <c r="D711" s="47" t="s">
        <v>140</v>
      </c>
      <c r="E711" s="20" t="s">
        <v>141</v>
      </c>
      <c r="F711" s="1348" t="s">
        <v>30</v>
      </c>
      <c r="G711" s="93"/>
      <c r="H711" s="93"/>
      <c r="I711" s="93"/>
      <c r="J711" s="93"/>
      <c r="K711" s="93"/>
      <c r="L711" s="93"/>
      <c r="M711" s="93"/>
      <c r="N711" s="93"/>
      <c r="O711" s="93"/>
    </row>
    <row r="712" ht="15.75" customHeight="1">
      <c r="A712" s="17">
        <f t="shared" si="5"/>
        <v>51</v>
      </c>
      <c r="B712" s="44" t="s">
        <v>146</v>
      </c>
      <c r="C712" s="44" t="s">
        <v>146</v>
      </c>
      <c r="D712" s="52" t="s">
        <v>144</v>
      </c>
      <c r="E712" s="20" t="s">
        <v>141</v>
      </c>
      <c r="F712" s="1352" t="s">
        <v>33</v>
      </c>
      <c r="G712" s="93"/>
      <c r="H712" s="93"/>
      <c r="I712" s="93"/>
      <c r="J712" s="93"/>
      <c r="K712" s="93"/>
      <c r="L712" s="93"/>
      <c r="M712" s="93"/>
      <c r="N712" s="93"/>
      <c r="O712" s="93"/>
    </row>
    <row r="713" ht="15.75" customHeight="1">
      <c r="A713" s="17">
        <f t="shared" si="5"/>
        <v>52</v>
      </c>
      <c r="B713" s="44" t="s">
        <v>146</v>
      </c>
      <c r="C713" s="44" t="s">
        <v>146</v>
      </c>
      <c r="D713" s="54" t="s">
        <v>147</v>
      </c>
      <c r="E713" s="1353"/>
      <c r="F713" s="1347" t="s">
        <v>27</v>
      </c>
      <c r="G713" s="93"/>
      <c r="H713" s="93"/>
      <c r="I713" s="93"/>
      <c r="J713" s="93"/>
      <c r="K713" s="93"/>
      <c r="L713" s="93"/>
      <c r="M713" s="93"/>
      <c r="N713" s="93"/>
      <c r="O713" s="93"/>
    </row>
    <row r="714" ht="15.75" customHeight="1">
      <c r="A714" s="17">
        <f t="shared" si="5"/>
        <v>53</v>
      </c>
      <c r="B714" s="44" t="s">
        <v>146</v>
      </c>
      <c r="C714" s="44" t="s">
        <v>146</v>
      </c>
      <c r="D714" s="1262" t="s">
        <v>150</v>
      </c>
      <c r="E714" s="1354"/>
      <c r="F714" s="1348" t="s">
        <v>27</v>
      </c>
      <c r="G714" s="93"/>
      <c r="H714" s="93"/>
      <c r="I714" s="93"/>
      <c r="J714" s="93"/>
      <c r="K714" s="93"/>
      <c r="L714" s="93"/>
      <c r="M714" s="93"/>
      <c r="N714" s="93"/>
      <c r="O714" s="93"/>
    </row>
    <row r="715" ht="15.75" customHeight="1">
      <c r="A715" s="17">
        <f t="shared" si="5"/>
        <v>54</v>
      </c>
      <c r="B715" s="44" t="s">
        <v>146</v>
      </c>
      <c r="C715" s="44" t="s">
        <v>146</v>
      </c>
      <c r="D715" s="47" t="s">
        <v>152</v>
      </c>
      <c r="E715" s="1354"/>
      <c r="F715" s="1348" t="s">
        <v>30</v>
      </c>
      <c r="G715" s="93"/>
      <c r="H715" s="93"/>
      <c r="I715" s="93"/>
      <c r="J715" s="93"/>
      <c r="K715" s="93"/>
      <c r="L715" s="93"/>
      <c r="M715" s="93"/>
      <c r="N715" s="93"/>
      <c r="O715" s="93"/>
    </row>
    <row r="716" ht="15.75" customHeight="1">
      <c r="A716" s="17">
        <f t="shared" si="5"/>
        <v>55</v>
      </c>
      <c r="B716" s="44" t="s">
        <v>146</v>
      </c>
      <c r="C716" s="44" t="s">
        <v>146</v>
      </c>
      <c r="D716" s="47" t="s">
        <v>154</v>
      </c>
      <c r="E716" s="1354"/>
      <c r="F716" s="1348" t="s">
        <v>30</v>
      </c>
      <c r="G716" s="93"/>
      <c r="H716" s="93"/>
      <c r="I716" s="93"/>
      <c r="J716" s="93"/>
      <c r="K716" s="93"/>
      <c r="L716" s="93"/>
      <c r="M716" s="93"/>
      <c r="N716" s="93"/>
      <c r="O716" s="93"/>
    </row>
    <row r="717" ht="15.75" customHeight="1">
      <c r="A717" s="17">
        <f t="shared" si="5"/>
        <v>56</v>
      </c>
      <c r="B717" s="44" t="s">
        <v>146</v>
      </c>
      <c r="C717" s="57" t="s">
        <v>146</v>
      </c>
      <c r="D717" s="58" t="s">
        <v>156</v>
      </c>
      <c r="E717" s="1355"/>
      <c r="F717" s="1356" t="s">
        <v>30</v>
      </c>
      <c r="G717" s="93"/>
      <c r="H717" s="93"/>
      <c r="I717" s="93"/>
      <c r="J717" s="93"/>
      <c r="K717" s="93"/>
      <c r="L717" s="93"/>
      <c r="M717" s="93"/>
      <c r="N717" s="93"/>
      <c r="O717" s="93"/>
    </row>
    <row r="718" ht="15.75" customHeight="1">
      <c r="A718" s="17">
        <f t="shared" si="5"/>
        <v>57</v>
      </c>
      <c r="B718" s="44" t="s">
        <v>146</v>
      </c>
      <c r="C718" s="1357" t="s">
        <v>146</v>
      </c>
      <c r="D718" s="62" t="s">
        <v>157</v>
      </c>
      <c r="E718" s="9" t="s">
        <v>158</v>
      </c>
      <c r="F718" s="1358" t="s">
        <v>27</v>
      </c>
      <c r="G718" s="93"/>
      <c r="H718" s="93"/>
      <c r="I718" s="93"/>
      <c r="J718" s="93"/>
      <c r="K718" s="93"/>
      <c r="L718" s="93"/>
      <c r="M718" s="93"/>
      <c r="N718" s="93"/>
      <c r="O718" s="93"/>
    </row>
    <row r="719" ht="15.75" customHeight="1">
      <c r="A719" s="17">
        <f t="shared" si="5"/>
        <v>58</v>
      </c>
      <c r="B719" s="44" t="s">
        <v>146</v>
      </c>
      <c r="C719" s="461" t="s">
        <v>146</v>
      </c>
      <c r="D719" s="1359" t="s">
        <v>244</v>
      </c>
      <c r="E719" s="15" t="s">
        <v>158</v>
      </c>
      <c r="F719" s="1350" t="s">
        <v>30</v>
      </c>
      <c r="G719" s="93"/>
      <c r="H719" s="93"/>
      <c r="I719" s="93"/>
      <c r="J719" s="93"/>
      <c r="K719" s="93"/>
      <c r="L719" s="93"/>
      <c r="M719" s="93"/>
      <c r="N719" s="93"/>
      <c r="O719" s="93"/>
    </row>
    <row r="720" ht="15.75" customHeight="1">
      <c r="A720" s="17">
        <f t="shared" si="5"/>
        <v>59</v>
      </c>
      <c r="B720" s="44" t="s">
        <v>146</v>
      </c>
      <c r="C720" s="461" t="s">
        <v>146</v>
      </c>
      <c r="D720" s="1359" t="s">
        <v>246</v>
      </c>
      <c r="E720" s="15" t="s">
        <v>158</v>
      </c>
      <c r="F720" s="1350" t="s">
        <v>30</v>
      </c>
      <c r="G720" s="93"/>
      <c r="H720" s="93"/>
      <c r="I720" s="93"/>
      <c r="J720" s="93"/>
      <c r="K720" s="93"/>
      <c r="L720" s="93"/>
      <c r="M720" s="93"/>
      <c r="N720" s="93"/>
      <c r="O720" s="93"/>
    </row>
    <row r="721" ht="15.75" customHeight="1">
      <c r="A721" s="17">
        <f t="shared" si="5"/>
        <v>60</v>
      </c>
      <c r="B721" s="44" t="s">
        <v>146</v>
      </c>
      <c r="C721" s="461" t="s">
        <v>146</v>
      </c>
      <c r="D721" s="1359" t="s">
        <v>248</v>
      </c>
      <c r="E721" s="15" t="s">
        <v>158</v>
      </c>
      <c r="F721" s="1350" t="s">
        <v>30</v>
      </c>
      <c r="G721" s="93"/>
      <c r="H721" s="93"/>
      <c r="I721" s="93"/>
      <c r="J721" s="93"/>
      <c r="K721" s="93"/>
      <c r="L721" s="93"/>
      <c r="M721" s="93"/>
      <c r="N721" s="93"/>
      <c r="O721" s="93"/>
    </row>
    <row r="722" ht="15.75" customHeight="1">
      <c r="A722" s="17">
        <f t="shared" si="5"/>
        <v>61</v>
      </c>
      <c r="B722" s="44" t="s">
        <v>146</v>
      </c>
      <c r="C722" s="461" t="s">
        <v>146</v>
      </c>
      <c r="D722" s="64" t="s">
        <v>161</v>
      </c>
      <c r="E722" s="15" t="s">
        <v>158</v>
      </c>
      <c r="F722" s="1350" t="s">
        <v>30</v>
      </c>
      <c r="G722" s="93"/>
      <c r="H722" s="93"/>
      <c r="I722" s="93"/>
      <c r="J722" s="93"/>
      <c r="K722" s="93"/>
      <c r="L722" s="93"/>
      <c r="M722" s="93"/>
      <c r="N722" s="93"/>
      <c r="O722" s="93"/>
    </row>
    <row r="723" ht="15.75" customHeight="1">
      <c r="A723" s="17">
        <f t="shared" si="5"/>
        <v>62</v>
      </c>
      <c r="B723" s="44" t="s">
        <v>146</v>
      </c>
      <c r="C723" s="1360" t="s">
        <v>146</v>
      </c>
      <c r="D723" s="66" t="s">
        <v>163</v>
      </c>
      <c r="E723" s="67" t="s">
        <v>164</v>
      </c>
      <c r="F723" s="1361" t="s">
        <v>30</v>
      </c>
      <c r="G723" s="93"/>
      <c r="H723" s="93"/>
      <c r="I723" s="93"/>
      <c r="J723" s="93"/>
      <c r="K723" s="93"/>
      <c r="L723" s="93"/>
      <c r="M723" s="93"/>
      <c r="N723" s="93"/>
      <c r="O723" s="93"/>
    </row>
    <row r="724" ht="15.75" customHeight="1">
      <c r="A724" s="17">
        <f t="shared" si="5"/>
        <v>63</v>
      </c>
      <c r="B724" s="44" t="s">
        <v>146</v>
      </c>
      <c r="C724" s="69" t="s">
        <v>146</v>
      </c>
      <c r="D724" s="54" t="s">
        <v>165</v>
      </c>
      <c r="E724" s="13" t="s">
        <v>166</v>
      </c>
      <c r="F724" s="1347" t="s">
        <v>30</v>
      </c>
      <c r="G724" s="93"/>
      <c r="H724" s="93"/>
      <c r="I724" s="93"/>
      <c r="J724" s="93"/>
      <c r="K724" s="93"/>
      <c r="L724" s="93"/>
      <c r="M724" s="93"/>
      <c r="N724" s="93"/>
      <c r="O724" s="93"/>
    </row>
    <row r="725" ht="15.75" customHeight="1">
      <c r="A725" s="17">
        <f t="shared" si="5"/>
        <v>64</v>
      </c>
      <c r="B725" s="44" t="s">
        <v>146</v>
      </c>
      <c r="C725" s="44" t="s">
        <v>146</v>
      </c>
      <c r="D725" s="47" t="s">
        <v>169</v>
      </c>
      <c r="E725" s="20" t="s">
        <v>166</v>
      </c>
      <c r="F725" s="1348" t="s">
        <v>30</v>
      </c>
      <c r="G725" s="93"/>
      <c r="H725" s="93"/>
      <c r="I725" s="93"/>
      <c r="J725" s="93"/>
      <c r="K725" s="93"/>
      <c r="L725" s="93"/>
      <c r="M725" s="93"/>
      <c r="N725" s="93"/>
      <c r="O725" s="93"/>
    </row>
    <row r="726" ht="15.75" customHeight="1">
      <c r="A726" s="17">
        <f t="shared" si="5"/>
        <v>65</v>
      </c>
      <c r="B726" s="44" t="s">
        <v>146</v>
      </c>
      <c r="C726" s="44" t="s">
        <v>146</v>
      </c>
      <c r="D726" s="47" t="s">
        <v>171</v>
      </c>
      <c r="E726" s="20" t="s">
        <v>166</v>
      </c>
      <c r="F726" s="1348" t="s">
        <v>27</v>
      </c>
      <c r="G726" s="93"/>
      <c r="H726" s="93"/>
      <c r="I726" s="93"/>
      <c r="J726" s="93"/>
      <c r="K726" s="93"/>
      <c r="L726" s="93"/>
      <c r="M726" s="93"/>
      <c r="N726" s="93"/>
      <c r="O726" s="93"/>
    </row>
    <row r="727" ht="15.75" customHeight="1">
      <c r="A727" s="17">
        <f t="shared" si="5"/>
        <v>66</v>
      </c>
      <c r="B727" s="44" t="s">
        <v>146</v>
      </c>
      <c r="C727" s="44" t="s">
        <v>146</v>
      </c>
      <c r="D727" s="47" t="s">
        <v>173</v>
      </c>
      <c r="E727" s="20" t="s">
        <v>166</v>
      </c>
      <c r="F727" s="1348" t="s">
        <v>27</v>
      </c>
      <c r="G727" s="93"/>
      <c r="H727" s="93"/>
      <c r="I727" s="93"/>
      <c r="J727" s="93"/>
      <c r="K727" s="93"/>
      <c r="L727" s="93"/>
      <c r="M727" s="93"/>
      <c r="N727" s="93"/>
      <c r="O727" s="93"/>
    </row>
    <row r="728" ht="15.75" customHeight="1">
      <c r="A728" s="17">
        <f t="shared" si="5"/>
        <v>67</v>
      </c>
      <c r="B728" s="1362" t="s">
        <v>146</v>
      </c>
      <c r="C728" s="57" t="s">
        <v>146</v>
      </c>
      <c r="D728" s="58" t="s">
        <v>175</v>
      </c>
      <c r="E728" s="30" t="s">
        <v>166</v>
      </c>
      <c r="F728" s="1356" t="s">
        <v>30</v>
      </c>
      <c r="G728" s="93"/>
      <c r="H728" s="93"/>
      <c r="I728" s="93"/>
      <c r="J728" s="93"/>
      <c r="K728" s="93"/>
      <c r="L728" s="93"/>
      <c r="M728" s="93"/>
      <c r="N728" s="93"/>
      <c r="O728" s="93"/>
    </row>
    <row r="729" ht="15.75" customHeight="1">
      <c r="A729" s="17">
        <f t="shared" si="5"/>
        <v>68</v>
      </c>
      <c r="B729" s="1363"/>
      <c r="C729" s="11" t="s">
        <v>177</v>
      </c>
      <c r="D729" s="73" t="s">
        <v>178</v>
      </c>
      <c r="E729" s="74" t="s">
        <v>179</v>
      </c>
      <c r="F729" s="1347" t="s">
        <v>30</v>
      </c>
      <c r="G729" s="93"/>
      <c r="H729" s="93"/>
      <c r="I729" s="93"/>
      <c r="J729" s="93"/>
      <c r="K729" s="93"/>
      <c r="L729" s="93"/>
      <c r="M729" s="93"/>
      <c r="N729" s="93"/>
      <c r="O729" s="93"/>
    </row>
    <row r="730" ht="15.75" customHeight="1">
      <c r="A730" s="17">
        <f t="shared" si="5"/>
        <v>69</v>
      </c>
      <c r="B730" s="1364"/>
      <c r="C730" s="18" t="s">
        <v>177</v>
      </c>
      <c r="D730" s="76" t="s">
        <v>181</v>
      </c>
      <c r="E730" s="77" t="s">
        <v>179</v>
      </c>
      <c r="F730" s="1348" t="s">
        <v>33</v>
      </c>
      <c r="G730" s="93"/>
      <c r="H730" s="93"/>
      <c r="I730" s="93"/>
      <c r="J730" s="93"/>
      <c r="K730" s="93"/>
      <c r="L730" s="93"/>
      <c r="M730" s="93"/>
      <c r="N730" s="93"/>
      <c r="O730" s="93"/>
    </row>
    <row r="731" ht="15.75" customHeight="1">
      <c r="A731" s="17">
        <f t="shared" si="5"/>
        <v>70</v>
      </c>
      <c r="B731" s="1364"/>
      <c r="C731" s="18" t="s">
        <v>177</v>
      </c>
      <c r="D731" s="76" t="s">
        <v>183</v>
      </c>
      <c r="E731" s="77" t="s">
        <v>184</v>
      </c>
      <c r="F731" s="1348" t="s">
        <v>185</v>
      </c>
      <c r="G731" s="93"/>
      <c r="H731" s="93"/>
      <c r="I731" s="93"/>
      <c r="J731" s="93"/>
      <c r="K731" s="93"/>
      <c r="L731" s="93"/>
      <c r="M731" s="93"/>
      <c r="N731" s="93"/>
      <c r="O731" s="93"/>
    </row>
    <row r="732" ht="15.75" customHeight="1">
      <c r="A732" s="17">
        <f t="shared" si="5"/>
        <v>71</v>
      </c>
      <c r="B732" s="1364"/>
      <c r="C732" s="18" t="s">
        <v>177</v>
      </c>
      <c r="D732" s="76" t="s">
        <v>186</v>
      </c>
      <c r="E732" s="77" t="s">
        <v>184</v>
      </c>
      <c r="F732" s="1348" t="s">
        <v>185</v>
      </c>
      <c r="G732" s="93"/>
      <c r="H732" s="93"/>
      <c r="I732" s="93"/>
      <c r="J732" s="93"/>
      <c r="K732" s="93"/>
      <c r="L732" s="93"/>
      <c r="M732" s="93"/>
      <c r="N732" s="93"/>
      <c r="O732" s="93"/>
    </row>
    <row r="733" ht="15.75" customHeight="1">
      <c r="A733" s="17">
        <f t="shared" si="5"/>
        <v>72</v>
      </c>
      <c r="B733" s="1364"/>
      <c r="C733" s="18" t="s">
        <v>177</v>
      </c>
      <c r="D733" s="76" t="s">
        <v>188</v>
      </c>
      <c r="E733" s="77" t="s">
        <v>184</v>
      </c>
      <c r="F733" s="1348" t="s">
        <v>185</v>
      </c>
      <c r="G733" s="93"/>
      <c r="H733" s="93"/>
      <c r="I733" s="93"/>
      <c r="J733" s="93"/>
      <c r="K733" s="93"/>
      <c r="L733" s="93"/>
      <c r="M733" s="93"/>
      <c r="N733" s="93"/>
      <c r="O733" s="93"/>
    </row>
    <row r="734" ht="15.75" customHeight="1">
      <c r="A734" s="17">
        <f t="shared" si="5"/>
        <v>73</v>
      </c>
      <c r="B734" s="1365"/>
      <c r="C734" s="1366" t="s">
        <v>177</v>
      </c>
      <c r="D734" s="81" t="s">
        <v>191</v>
      </c>
      <c r="E734" s="82" t="s">
        <v>141</v>
      </c>
      <c r="F734" s="1356" t="s">
        <v>30</v>
      </c>
      <c r="G734" s="93"/>
      <c r="H734" s="93"/>
      <c r="I734" s="93"/>
      <c r="J734" s="93"/>
      <c r="K734" s="93"/>
      <c r="L734" s="93"/>
      <c r="M734" s="93"/>
      <c r="N734" s="93"/>
      <c r="O734" s="93"/>
    </row>
    <row r="735" ht="15.75" customHeight="1">
      <c r="A735" s="17">
        <f t="shared" si="5"/>
        <v>74</v>
      </c>
      <c r="B735" s="1364"/>
      <c r="C735" s="84"/>
      <c r="D735" s="85" t="s">
        <v>192</v>
      </c>
      <c r="E735" s="86" t="s">
        <v>193</v>
      </c>
      <c r="F735" s="1352" t="s">
        <v>30</v>
      </c>
      <c r="G735" s="93"/>
      <c r="H735" s="93"/>
      <c r="I735" s="93"/>
      <c r="J735" s="93"/>
      <c r="K735" s="93"/>
      <c r="L735" s="93"/>
      <c r="M735" s="93"/>
      <c r="N735" s="93"/>
      <c r="O735" s="93"/>
    </row>
    <row r="736" ht="15.75" customHeight="1">
      <c r="A736" s="17">
        <f t="shared" si="5"/>
        <v>75</v>
      </c>
      <c r="B736" s="1364"/>
      <c r="C736" s="18"/>
      <c r="D736" s="87" t="s">
        <v>195</v>
      </c>
      <c r="E736" s="77" t="s">
        <v>193</v>
      </c>
      <c r="F736" s="1348" t="s">
        <v>27</v>
      </c>
      <c r="G736" s="93"/>
      <c r="H736" s="93"/>
      <c r="I736" s="93"/>
      <c r="J736" s="93"/>
      <c r="K736" s="93"/>
      <c r="L736" s="93"/>
      <c r="M736" s="93"/>
      <c r="N736" s="93"/>
      <c r="O736" s="93"/>
    </row>
    <row r="737" ht="15.75" customHeight="1">
      <c r="A737" s="17">
        <f t="shared" si="5"/>
        <v>76</v>
      </c>
      <c r="B737" s="1364"/>
      <c r="C737" s="18"/>
      <c r="D737" s="87" t="s">
        <v>197</v>
      </c>
      <c r="E737" s="77" t="s">
        <v>193</v>
      </c>
      <c r="F737" s="1348" t="s">
        <v>27</v>
      </c>
      <c r="G737" s="93"/>
      <c r="H737" s="93"/>
      <c r="I737" s="93"/>
      <c r="J737" s="93"/>
      <c r="K737" s="93"/>
      <c r="L737" s="93"/>
      <c r="M737" s="93"/>
      <c r="N737" s="93"/>
      <c r="O737" s="93"/>
    </row>
    <row r="738" ht="15.75" customHeight="1">
      <c r="A738" s="17">
        <f t="shared" si="5"/>
        <v>77</v>
      </c>
      <c r="B738" s="1364"/>
      <c r="C738" s="18"/>
      <c r="D738" s="87" t="s">
        <v>199</v>
      </c>
      <c r="E738" s="77" t="s">
        <v>193</v>
      </c>
      <c r="F738" s="1348" t="s">
        <v>27</v>
      </c>
      <c r="G738" s="93"/>
      <c r="H738" s="93"/>
      <c r="I738" s="93"/>
      <c r="J738" s="93"/>
      <c r="K738" s="93"/>
      <c r="L738" s="93"/>
      <c r="M738" s="93"/>
      <c r="N738" s="93"/>
      <c r="O738" s="93"/>
    </row>
    <row r="739" ht="15.75" customHeight="1">
      <c r="A739" s="17">
        <f t="shared" si="5"/>
        <v>78</v>
      </c>
      <c r="B739" s="1364"/>
      <c r="C739" s="18"/>
      <c r="D739" s="87" t="s">
        <v>201</v>
      </c>
      <c r="E739" s="77" t="s">
        <v>193</v>
      </c>
      <c r="F739" s="1348" t="s">
        <v>30</v>
      </c>
      <c r="G739" s="93"/>
      <c r="H739" s="93"/>
      <c r="I739" s="93"/>
      <c r="J739" s="93"/>
      <c r="K739" s="93"/>
      <c r="L739" s="93"/>
      <c r="M739" s="93"/>
      <c r="N739" s="93"/>
      <c r="O739" s="93"/>
    </row>
    <row r="740" ht="15.75" customHeight="1">
      <c r="A740" s="17">
        <f t="shared" si="5"/>
        <v>79</v>
      </c>
      <c r="B740" s="1364"/>
      <c r="C740" s="18"/>
      <c r="D740" s="87" t="s">
        <v>203</v>
      </c>
      <c r="E740" s="77" t="s">
        <v>193</v>
      </c>
      <c r="F740" s="1348" t="s">
        <v>46</v>
      </c>
      <c r="G740" s="93"/>
      <c r="H740" s="93"/>
      <c r="I740" s="93"/>
      <c r="J740" s="93"/>
      <c r="K740" s="93"/>
      <c r="L740" s="93"/>
      <c r="M740" s="93"/>
      <c r="N740" s="93"/>
      <c r="O740" s="93"/>
    </row>
    <row r="741" ht="15.75" customHeight="1">
      <c r="A741" s="17">
        <f t="shared" si="5"/>
        <v>80</v>
      </c>
      <c r="B741" s="1364"/>
      <c r="C741" s="18"/>
      <c r="D741" s="87" t="s">
        <v>205</v>
      </c>
      <c r="E741" s="77" t="s">
        <v>193</v>
      </c>
      <c r="F741" s="1348" t="s">
        <v>30</v>
      </c>
      <c r="G741" s="93"/>
      <c r="H741" s="93"/>
      <c r="I741" s="93"/>
      <c r="J741" s="93"/>
      <c r="K741" s="93"/>
      <c r="L741" s="93"/>
      <c r="M741" s="93"/>
      <c r="N741" s="93"/>
      <c r="O741" s="93"/>
    </row>
    <row r="742" ht="15.75" customHeight="1">
      <c r="A742" s="17">
        <f t="shared" si="5"/>
        <v>81</v>
      </c>
      <c r="B742" s="1364"/>
      <c r="C742" s="18"/>
      <c r="D742" s="87" t="s">
        <v>207</v>
      </c>
      <c r="E742" s="77" t="s">
        <v>193</v>
      </c>
      <c r="F742" s="1348" t="s">
        <v>30</v>
      </c>
      <c r="G742" s="93"/>
      <c r="H742" s="93"/>
      <c r="I742" s="93"/>
      <c r="J742" s="93"/>
      <c r="K742" s="93"/>
      <c r="L742" s="93"/>
      <c r="M742" s="93"/>
      <c r="N742" s="93"/>
      <c r="O742" s="93"/>
    </row>
    <row r="743" ht="15.75" customHeight="1">
      <c r="A743" s="17">
        <f t="shared" si="5"/>
        <v>82</v>
      </c>
      <c r="B743" s="1364"/>
      <c r="C743" s="18"/>
      <c r="D743" s="87" t="s">
        <v>209</v>
      </c>
      <c r="E743" s="77" t="s">
        <v>193</v>
      </c>
      <c r="F743" s="1348" t="s">
        <v>27</v>
      </c>
      <c r="G743" s="93"/>
      <c r="H743" s="93"/>
      <c r="I743" s="93"/>
      <c r="J743" s="93"/>
      <c r="K743" s="93"/>
      <c r="L743" s="93"/>
      <c r="M743" s="93"/>
      <c r="N743" s="93"/>
      <c r="O743" s="93"/>
    </row>
    <row r="744" ht="15.75" customHeight="1">
      <c r="A744" s="17">
        <f t="shared" si="5"/>
        <v>83</v>
      </c>
      <c r="B744" s="1364"/>
      <c r="C744" s="18"/>
      <c r="D744" s="87" t="s">
        <v>211</v>
      </c>
      <c r="E744" s="77" t="s">
        <v>193</v>
      </c>
      <c r="F744" s="1348" t="s">
        <v>46</v>
      </c>
      <c r="G744" s="93"/>
      <c r="H744" s="93"/>
      <c r="I744" s="93"/>
      <c r="J744" s="93"/>
      <c r="K744" s="93"/>
      <c r="L744" s="93"/>
      <c r="M744" s="93"/>
      <c r="N744" s="93"/>
      <c r="O744" s="93"/>
    </row>
    <row r="745" ht="15.75" customHeight="1">
      <c r="A745" s="17">
        <f t="shared" si="5"/>
        <v>84</v>
      </c>
      <c r="B745" s="1364"/>
      <c r="C745" s="18"/>
      <c r="D745" s="88" t="s">
        <v>213</v>
      </c>
      <c r="E745" s="77" t="s">
        <v>193</v>
      </c>
      <c r="F745" s="1348" t="s">
        <v>30</v>
      </c>
      <c r="G745" s="93"/>
      <c r="H745" s="93"/>
      <c r="I745" s="93"/>
      <c r="J745" s="93"/>
      <c r="K745" s="93"/>
      <c r="L745" s="93"/>
      <c r="M745" s="93"/>
      <c r="N745" s="93"/>
      <c r="O745" s="93"/>
    </row>
    <row r="746" ht="15.75" customHeight="1">
      <c r="A746" s="17">
        <f t="shared" si="5"/>
        <v>85</v>
      </c>
      <c r="B746" s="1364"/>
      <c r="C746" s="18"/>
      <c r="D746" s="87" t="s">
        <v>214</v>
      </c>
      <c r="E746" s="77" t="s">
        <v>193</v>
      </c>
      <c r="F746" s="1348" t="s">
        <v>30</v>
      </c>
      <c r="G746" s="93"/>
      <c r="H746" s="93"/>
      <c r="I746" s="93"/>
      <c r="J746" s="93"/>
      <c r="K746" s="93"/>
      <c r="L746" s="93"/>
      <c r="M746" s="93"/>
      <c r="N746" s="93"/>
      <c r="O746" s="93"/>
    </row>
    <row r="747" ht="15.75" customHeight="1">
      <c r="A747" s="17">
        <f t="shared" si="5"/>
        <v>86</v>
      </c>
      <c r="B747" s="1364"/>
      <c r="C747" s="18"/>
      <c r="D747" s="87" t="s">
        <v>216</v>
      </c>
      <c r="E747" s="77" t="s">
        <v>193</v>
      </c>
      <c r="F747" s="1348" t="s">
        <v>30</v>
      </c>
      <c r="G747" s="93"/>
      <c r="H747" s="93"/>
      <c r="I747" s="93"/>
      <c r="J747" s="93"/>
      <c r="K747" s="93"/>
      <c r="L747" s="93"/>
      <c r="M747" s="93"/>
      <c r="N747" s="93"/>
      <c r="O747" s="93"/>
    </row>
    <row r="748" ht="15.75" customHeight="1">
      <c r="A748" s="17">
        <f t="shared" si="5"/>
        <v>87</v>
      </c>
      <c r="B748" s="1364"/>
      <c r="C748" s="18"/>
      <c r="D748" s="87" t="s">
        <v>218</v>
      </c>
      <c r="E748" s="77" t="s">
        <v>193</v>
      </c>
      <c r="F748" s="1348" t="s">
        <v>27</v>
      </c>
      <c r="G748" s="93"/>
      <c r="H748" s="93"/>
      <c r="I748" s="93"/>
      <c r="J748" s="93"/>
      <c r="K748" s="93"/>
      <c r="L748" s="93"/>
      <c r="M748" s="93"/>
      <c r="N748" s="93"/>
      <c r="O748" s="93"/>
    </row>
    <row r="749" ht="15.75" customHeight="1">
      <c r="A749" s="17">
        <f t="shared" si="5"/>
        <v>88</v>
      </c>
      <c r="B749" s="1364"/>
      <c r="C749" s="18"/>
      <c r="D749" s="87" t="s">
        <v>220</v>
      </c>
      <c r="E749" s="77" t="s">
        <v>193</v>
      </c>
      <c r="F749" s="1348" t="s">
        <v>221</v>
      </c>
      <c r="G749" s="93"/>
      <c r="H749" s="93"/>
      <c r="I749" s="93"/>
      <c r="J749" s="93"/>
      <c r="K749" s="93"/>
      <c r="L749" s="93"/>
      <c r="M749" s="93"/>
      <c r="N749" s="93"/>
      <c r="O749" s="93"/>
    </row>
    <row r="750" ht="15.75" customHeight="1">
      <c r="A750" s="17">
        <f t="shared" si="5"/>
        <v>89</v>
      </c>
      <c r="B750" s="1364"/>
      <c r="C750" s="18"/>
      <c r="D750" s="87" t="s">
        <v>223</v>
      </c>
      <c r="E750" s="77" t="s">
        <v>193</v>
      </c>
      <c r="F750" s="1348" t="s">
        <v>224</v>
      </c>
      <c r="G750" s="93"/>
      <c r="H750" s="93"/>
      <c r="I750" s="93"/>
      <c r="J750" s="93"/>
      <c r="K750" s="93"/>
      <c r="L750" s="93"/>
      <c r="M750" s="93"/>
      <c r="N750" s="93"/>
      <c r="O750" s="93"/>
    </row>
    <row r="751" ht="15.75" customHeight="1">
      <c r="A751" s="17">
        <f t="shared" si="5"/>
        <v>90</v>
      </c>
      <c r="B751" s="1364"/>
      <c r="C751" s="18"/>
      <c r="D751" s="87" t="s">
        <v>226</v>
      </c>
      <c r="E751" s="77" t="s">
        <v>193</v>
      </c>
      <c r="F751" s="1348" t="s">
        <v>224</v>
      </c>
      <c r="G751" s="93"/>
      <c r="H751" s="93"/>
      <c r="I751" s="93"/>
      <c r="J751" s="93"/>
      <c r="K751" s="93"/>
      <c r="L751" s="93"/>
      <c r="M751" s="93"/>
      <c r="N751" s="93"/>
      <c r="O751" s="93"/>
    </row>
    <row r="752" ht="15.75" customHeight="1">
      <c r="A752" s="17">
        <f t="shared" si="5"/>
        <v>91</v>
      </c>
      <c r="B752" s="1364"/>
      <c r="C752" s="18"/>
      <c r="D752" s="87" t="s">
        <v>227</v>
      </c>
      <c r="E752" s="77" t="s">
        <v>193</v>
      </c>
      <c r="F752" s="1348" t="s">
        <v>224</v>
      </c>
      <c r="G752" s="93"/>
      <c r="H752" s="93"/>
      <c r="I752" s="93"/>
      <c r="J752" s="93"/>
      <c r="K752" s="93"/>
      <c r="L752" s="93"/>
      <c r="M752" s="93"/>
      <c r="N752" s="93"/>
      <c r="O752" s="93"/>
    </row>
    <row r="753" ht="15.75" customHeight="1">
      <c r="A753" s="17">
        <f t="shared" si="5"/>
        <v>92</v>
      </c>
      <c r="B753" s="1364"/>
      <c r="C753" s="18"/>
      <c r="D753" s="87" t="s">
        <v>229</v>
      </c>
      <c r="E753" s="77" t="s">
        <v>193</v>
      </c>
      <c r="F753" s="1348" t="s">
        <v>27</v>
      </c>
      <c r="G753" s="93"/>
      <c r="H753" s="93"/>
      <c r="I753" s="93"/>
      <c r="J753" s="93"/>
      <c r="K753" s="93"/>
      <c r="L753" s="93"/>
      <c r="M753" s="93"/>
      <c r="N753" s="93"/>
      <c r="O753" s="93"/>
    </row>
    <row r="754" ht="15.75" customHeight="1">
      <c r="A754" s="17">
        <f t="shared" si="5"/>
        <v>93</v>
      </c>
      <c r="B754" s="1364"/>
      <c r="C754" s="18"/>
      <c r="D754" s="87" t="s">
        <v>231</v>
      </c>
      <c r="E754" s="77" t="s">
        <v>193</v>
      </c>
      <c r="F754" s="1348" t="s">
        <v>27</v>
      </c>
      <c r="G754" s="93"/>
      <c r="H754" s="93"/>
      <c r="I754" s="93"/>
      <c r="J754" s="93"/>
      <c r="K754" s="93"/>
      <c r="L754" s="93"/>
      <c r="M754" s="93"/>
      <c r="N754" s="93"/>
      <c r="O754" s="93"/>
    </row>
    <row r="755" ht="15.75" customHeight="1">
      <c r="A755" s="17">
        <f t="shared" si="5"/>
        <v>94</v>
      </c>
      <c r="B755" s="1364"/>
      <c r="C755" s="18"/>
      <c r="D755" s="87" t="s">
        <v>232</v>
      </c>
      <c r="E755" s="77" t="s">
        <v>193</v>
      </c>
      <c r="F755" s="1348" t="s">
        <v>27</v>
      </c>
      <c r="G755" s="93"/>
      <c r="H755" s="93"/>
      <c r="I755" s="93"/>
      <c r="J755" s="93"/>
      <c r="K755" s="93"/>
      <c r="L755" s="93"/>
      <c r="M755" s="93"/>
      <c r="N755" s="93"/>
      <c r="O755" s="93"/>
    </row>
    <row r="756" ht="15.75" customHeight="1">
      <c r="A756" s="17">
        <f t="shared" si="5"/>
        <v>95</v>
      </c>
      <c r="B756" s="1364"/>
      <c r="C756" s="18"/>
      <c r="D756" s="87" t="s">
        <v>233</v>
      </c>
      <c r="E756" s="77" t="s">
        <v>193</v>
      </c>
      <c r="F756" s="1348" t="s">
        <v>30</v>
      </c>
      <c r="G756" s="93"/>
      <c r="H756" s="93"/>
      <c r="I756" s="93"/>
      <c r="J756" s="93"/>
      <c r="K756" s="93"/>
      <c r="L756" s="93"/>
      <c r="M756" s="93"/>
      <c r="N756" s="93"/>
      <c r="O756" s="93"/>
    </row>
    <row r="757" ht="15.75" customHeight="1">
      <c r="A757" s="17">
        <f t="shared" si="5"/>
        <v>96</v>
      </c>
      <c r="B757" s="1364"/>
      <c r="C757" s="18"/>
      <c r="D757" s="103" t="s">
        <v>250</v>
      </c>
      <c r="E757" s="77" t="s">
        <v>236</v>
      </c>
      <c r="F757" s="1348" t="s">
        <v>33</v>
      </c>
      <c r="G757" s="93"/>
      <c r="H757" s="93"/>
      <c r="I757" s="93"/>
      <c r="J757" s="93"/>
      <c r="K757" s="93"/>
      <c r="L757" s="93"/>
      <c r="M757" s="93"/>
      <c r="N757" s="93"/>
      <c r="O757" s="93"/>
    </row>
    <row r="758" ht="15.75" customHeight="1">
      <c r="A758" s="17">
        <f t="shared" si="5"/>
        <v>97</v>
      </c>
      <c r="B758" s="1364"/>
      <c r="C758" s="18"/>
      <c r="D758" s="103" t="s">
        <v>238</v>
      </c>
      <c r="E758" s="77" t="s">
        <v>236</v>
      </c>
      <c r="F758" s="1348" t="s">
        <v>27</v>
      </c>
      <c r="G758" s="93"/>
      <c r="H758" s="93"/>
      <c r="I758" s="93"/>
      <c r="J758" s="93"/>
      <c r="K758" s="93"/>
      <c r="L758" s="93"/>
      <c r="M758" s="93"/>
      <c r="N758" s="93"/>
      <c r="O758" s="93"/>
    </row>
    <row r="759" ht="15.75" customHeight="1">
      <c r="A759" s="17">
        <f t="shared" si="5"/>
        <v>98</v>
      </c>
      <c r="B759" s="1364"/>
      <c r="C759" s="18"/>
      <c r="D759" s="103" t="s">
        <v>252</v>
      </c>
      <c r="E759" s="77" t="s">
        <v>236</v>
      </c>
      <c r="F759" s="1348" t="s">
        <v>30</v>
      </c>
      <c r="G759" s="93"/>
      <c r="H759" s="93"/>
      <c r="I759" s="93"/>
      <c r="J759" s="93"/>
      <c r="K759" s="93"/>
      <c r="L759" s="93"/>
      <c r="M759" s="93"/>
      <c r="N759" s="93"/>
      <c r="O759" s="93"/>
    </row>
    <row r="760" ht="15.75" customHeight="1">
      <c r="A760" s="17">
        <f t="shared" si="5"/>
        <v>99</v>
      </c>
      <c r="B760" s="1364"/>
      <c r="C760" s="18"/>
      <c r="D760" s="103" t="s">
        <v>254</v>
      </c>
      <c r="E760" s="77" t="s">
        <v>236</v>
      </c>
      <c r="F760" s="1348" t="s">
        <v>27</v>
      </c>
      <c r="G760" s="93"/>
      <c r="H760" s="93"/>
      <c r="I760" s="93"/>
      <c r="J760" s="93"/>
      <c r="K760" s="93"/>
      <c r="L760" s="93"/>
      <c r="M760" s="93"/>
      <c r="N760" s="93"/>
      <c r="O760" s="93"/>
    </row>
    <row r="761" ht="15.75" customHeight="1">
      <c r="A761" s="17">
        <f t="shared" si="5"/>
        <v>100</v>
      </c>
      <c r="B761" s="1364"/>
      <c r="C761" s="18"/>
      <c r="D761" s="103" t="s">
        <v>256</v>
      </c>
      <c r="E761" s="77" t="s">
        <v>236</v>
      </c>
      <c r="F761" s="1348" t="s">
        <v>30</v>
      </c>
      <c r="G761" s="93"/>
      <c r="H761" s="93"/>
      <c r="I761" s="93"/>
      <c r="J761" s="93"/>
      <c r="K761" s="93"/>
      <c r="L761" s="93"/>
      <c r="M761" s="93"/>
      <c r="N761" s="93"/>
      <c r="O761" s="93"/>
    </row>
    <row r="762" ht="15.75" customHeight="1">
      <c r="A762" s="17">
        <f t="shared" si="5"/>
        <v>101</v>
      </c>
      <c r="B762" s="1364"/>
      <c r="C762" s="18"/>
      <c r="D762" s="103" t="s">
        <v>258</v>
      </c>
      <c r="E762" s="77" t="s">
        <v>236</v>
      </c>
      <c r="F762" s="1348" t="s">
        <v>30</v>
      </c>
      <c r="G762" s="93"/>
      <c r="H762" s="93"/>
      <c r="I762" s="93"/>
      <c r="J762" s="93"/>
      <c r="K762" s="93"/>
      <c r="L762" s="93"/>
      <c r="M762" s="93"/>
      <c r="N762" s="93"/>
      <c r="O762" s="93"/>
    </row>
    <row r="763" ht="15.75" customHeight="1">
      <c r="A763" s="17">
        <f t="shared" si="5"/>
        <v>102</v>
      </c>
      <c r="B763" s="1364"/>
      <c r="C763" s="18"/>
      <c r="D763" s="103" t="s">
        <v>260</v>
      </c>
      <c r="E763" s="77" t="s">
        <v>236</v>
      </c>
      <c r="F763" s="1348" t="s">
        <v>27</v>
      </c>
      <c r="G763" s="93"/>
      <c r="H763" s="93"/>
      <c r="I763" s="93"/>
      <c r="J763" s="93"/>
      <c r="K763" s="93"/>
      <c r="L763" s="93"/>
      <c r="M763" s="93"/>
      <c r="N763" s="93"/>
      <c r="O763" s="93"/>
    </row>
    <row r="764" ht="15.75" customHeight="1">
      <c r="A764" s="17">
        <f t="shared" si="5"/>
        <v>103</v>
      </c>
      <c r="B764" s="1364"/>
      <c r="C764" s="18"/>
      <c r="D764" s="103" t="s">
        <v>262</v>
      </c>
      <c r="E764" s="77" t="s">
        <v>236</v>
      </c>
      <c r="F764" s="1348" t="s">
        <v>30</v>
      </c>
      <c r="G764" s="93"/>
      <c r="H764" s="93"/>
      <c r="I764" s="93"/>
      <c r="J764" s="93"/>
      <c r="K764" s="93"/>
      <c r="L764" s="93"/>
      <c r="M764" s="93"/>
      <c r="N764" s="93"/>
      <c r="O764" s="93"/>
    </row>
    <row r="765" ht="15.75" customHeight="1">
      <c r="A765" s="17">
        <f t="shared" si="5"/>
        <v>104</v>
      </c>
      <c r="B765" s="1364"/>
      <c r="C765" s="18"/>
      <c r="D765" s="103" t="s">
        <v>240</v>
      </c>
      <c r="E765" s="77" t="s">
        <v>236</v>
      </c>
      <c r="F765" s="1348" t="s">
        <v>27</v>
      </c>
      <c r="G765" s="93"/>
      <c r="H765" s="93"/>
      <c r="I765" s="93"/>
      <c r="J765" s="93"/>
      <c r="K765" s="93"/>
      <c r="L765" s="93"/>
      <c r="M765" s="93"/>
      <c r="N765" s="93"/>
      <c r="O765" s="93"/>
    </row>
    <row r="766" ht="15.75" customHeight="1">
      <c r="A766" s="17">
        <f t="shared" si="5"/>
        <v>105</v>
      </c>
      <c r="B766" s="1364"/>
      <c r="C766" s="18"/>
      <c r="D766" s="103" t="s">
        <v>264</v>
      </c>
      <c r="E766" s="77" t="s">
        <v>236</v>
      </c>
      <c r="F766" s="1348" t="s">
        <v>33</v>
      </c>
      <c r="G766" s="93"/>
      <c r="H766" s="93"/>
      <c r="I766" s="93"/>
      <c r="J766" s="93"/>
      <c r="K766" s="93"/>
      <c r="L766" s="93"/>
      <c r="M766" s="93"/>
      <c r="N766" s="93"/>
      <c r="O766" s="93"/>
    </row>
    <row r="767" ht="15.75" customHeight="1">
      <c r="A767" s="17">
        <f t="shared" si="5"/>
        <v>106</v>
      </c>
      <c r="B767" s="1364"/>
      <c r="C767" s="18"/>
      <c r="D767" s="103" t="s">
        <v>266</v>
      </c>
      <c r="E767" s="77" t="s">
        <v>236</v>
      </c>
      <c r="F767" s="1348" t="s">
        <v>27</v>
      </c>
      <c r="G767" s="93"/>
      <c r="H767" s="93"/>
      <c r="I767" s="93"/>
      <c r="J767" s="93"/>
      <c r="K767" s="93"/>
      <c r="L767" s="93"/>
      <c r="M767" s="93"/>
      <c r="N767" s="93"/>
      <c r="O767" s="93"/>
    </row>
    <row r="768" ht="15.75" customHeight="1">
      <c r="A768" s="17">
        <f t="shared" si="5"/>
        <v>107</v>
      </c>
      <c r="B768" s="1364"/>
      <c r="C768" s="18"/>
      <c r="D768" s="103" t="s">
        <v>268</v>
      </c>
      <c r="E768" s="77" t="s">
        <v>236</v>
      </c>
      <c r="F768" s="1348" t="s">
        <v>30</v>
      </c>
      <c r="G768" s="93"/>
      <c r="H768" s="93"/>
      <c r="I768" s="93"/>
      <c r="J768" s="93"/>
      <c r="K768" s="93"/>
      <c r="L768" s="93"/>
      <c r="M768" s="93"/>
      <c r="N768" s="93"/>
      <c r="O768" s="93"/>
    </row>
    <row r="769" ht="15.75" customHeight="1">
      <c r="A769" s="17">
        <f t="shared" si="5"/>
        <v>108</v>
      </c>
      <c r="B769" s="1364"/>
      <c r="C769" s="18"/>
      <c r="D769" s="103" t="s">
        <v>242</v>
      </c>
      <c r="E769" s="77" t="s">
        <v>236</v>
      </c>
      <c r="F769" s="1348" t="s">
        <v>30</v>
      </c>
      <c r="G769" s="93"/>
      <c r="H769" s="93"/>
      <c r="I769" s="93"/>
      <c r="J769" s="93"/>
      <c r="K769" s="93"/>
      <c r="L769" s="93"/>
      <c r="M769" s="93"/>
      <c r="N769" s="93"/>
      <c r="O769" s="93"/>
    </row>
    <row r="770" ht="15.75" customHeight="1">
      <c r="A770" s="17">
        <f t="shared" si="5"/>
        <v>109</v>
      </c>
      <c r="B770" s="1364"/>
      <c r="C770" s="18"/>
      <c r="D770" s="103" t="s">
        <v>270</v>
      </c>
      <c r="E770" s="77" t="s">
        <v>236</v>
      </c>
      <c r="F770" s="1348" t="s">
        <v>30</v>
      </c>
      <c r="G770" s="93"/>
      <c r="H770" s="93"/>
      <c r="I770" s="93"/>
      <c r="J770" s="93"/>
      <c r="K770" s="93"/>
      <c r="L770" s="93"/>
      <c r="M770" s="93"/>
      <c r="N770" s="93"/>
      <c r="O770" s="93"/>
    </row>
    <row r="771" ht="15.75" customHeight="1">
      <c r="A771" s="17">
        <f t="shared" si="5"/>
        <v>110</v>
      </c>
      <c r="B771" s="1364"/>
      <c r="C771" s="18"/>
      <c r="D771" s="103" t="s">
        <v>272</v>
      </c>
      <c r="E771" s="77" t="s">
        <v>236</v>
      </c>
      <c r="F771" s="1348" t="s">
        <v>27</v>
      </c>
      <c r="G771" s="93"/>
      <c r="H771" s="93"/>
      <c r="I771" s="93"/>
      <c r="J771" s="93"/>
      <c r="K771" s="93"/>
      <c r="L771" s="93"/>
      <c r="M771" s="93"/>
      <c r="N771" s="93"/>
      <c r="O771" s="93"/>
    </row>
    <row r="772" ht="15.75" customHeight="1">
      <c r="A772" s="17">
        <f t="shared" si="5"/>
        <v>111</v>
      </c>
      <c r="B772" s="1364"/>
      <c r="C772" s="18"/>
      <c r="D772" s="103" t="s">
        <v>274</v>
      </c>
      <c r="E772" s="77" t="s">
        <v>236</v>
      </c>
      <c r="F772" s="1348" t="s">
        <v>27</v>
      </c>
      <c r="G772" s="93"/>
      <c r="H772" s="93"/>
      <c r="I772" s="93"/>
      <c r="J772" s="93"/>
      <c r="K772" s="93"/>
      <c r="L772" s="93"/>
      <c r="M772" s="93"/>
      <c r="N772" s="93"/>
      <c r="O772" s="93"/>
    </row>
    <row r="773" ht="15.75" customHeight="1">
      <c r="A773" s="17">
        <f t="shared" si="5"/>
        <v>112</v>
      </c>
      <c r="B773" s="1364"/>
      <c r="C773" s="18"/>
      <c r="D773" s="103" t="s">
        <v>276</v>
      </c>
      <c r="E773" s="77" t="s">
        <v>236</v>
      </c>
      <c r="F773" s="1348" t="s">
        <v>27</v>
      </c>
      <c r="G773" s="93"/>
      <c r="H773" s="93"/>
      <c r="I773" s="93"/>
      <c r="J773" s="93"/>
      <c r="K773" s="93"/>
      <c r="L773" s="93"/>
      <c r="M773" s="93"/>
      <c r="N773" s="93"/>
      <c r="O773" s="93"/>
    </row>
    <row r="774" ht="15.75" customHeight="1">
      <c r="A774" s="17">
        <f t="shared" si="5"/>
        <v>113</v>
      </c>
      <c r="B774" s="1364"/>
      <c r="C774" s="18"/>
      <c r="D774" s="103" t="s">
        <v>278</v>
      </c>
      <c r="E774" s="77" t="s">
        <v>236</v>
      </c>
      <c r="F774" s="1348" t="s">
        <v>27</v>
      </c>
      <c r="G774" s="93"/>
      <c r="H774" s="93"/>
      <c r="I774" s="93"/>
      <c r="J774" s="93"/>
      <c r="K774" s="93"/>
      <c r="L774" s="93"/>
      <c r="M774" s="93"/>
      <c r="N774" s="93"/>
      <c r="O774" s="93"/>
    </row>
    <row r="775" ht="15.75" customHeight="1">
      <c r="A775" s="17">
        <f t="shared" si="5"/>
        <v>114</v>
      </c>
      <c r="B775" s="1364"/>
      <c r="C775" s="18"/>
      <c r="D775" s="103" t="s">
        <v>280</v>
      </c>
      <c r="E775" s="77" t="s">
        <v>236</v>
      </c>
      <c r="F775" s="1348" t="s">
        <v>281</v>
      </c>
      <c r="G775" s="93"/>
      <c r="H775" s="93"/>
      <c r="I775" s="93"/>
      <c r="J775" s="93"/>
      <c r="K775" s="93"/>
      <c r="L775" s="93"/>
      <c r="M775" s="93"/>
      <c r="N775" s="93"/>
      <c r="O775" s="93"/>
    </row>
    <row r="776" ht="15.75" customHeight="1">
      <c r="A776" s="17">
        <f t="shared" si="5"/>
        <v>115</v>
      </c>
      <c r="B776" s="1364"/>
      <c r="C776" s="18"/>
      <c r="D776" s="103" t="s">
        <v>283</v>
      </c>
      <c r="E776" s="77" t="s">
        <v>236</v>
      </c>
      <c r="F776" s="1348" t="s">
        <v>284</v>
      </c>
      <c r="G776" s="93"/>
      <c r="H776" s="93"/>
      <c r="I776" s="93"/>
      <c r="J776" s="93"/>
      <c r="K776" s="93"/>
      <c r="L776" s="93"/>
      <c r="M776" s="93"/>
      <c r="N776" s="93"/>
      <c r="O776" s="93"/>
    </row>
    <row r="777" ht="15.75" customHeight="1">
      <c r="A777" s="17">
        <f t="shared" si="5"/>
        <v>116</v>
      </c>
      <c r="B777" s="1364"/>
      <c r="C777" s="18"/>
      <c r="D777" s="103" t="s">
        <v>286</v>
      </c>
      <c r="E777" s="77" t="s">
        <v>236</v>
      </c>
      <c r="F777" s="1348" t="s">
        <v>221</v>
      </c>
      <c r="G777" s="93"/>
      <c r="H777" s="93"/>
      <c r="I777" s="93"/>
      <c r="J777" s="93"/>
      <c r="K777" s="93"/>
      <c r="L777" s="93"/>
      <c r="M777" s="93"/>
      <c r="N777" s="93"/>
      <c r="O777" s="93"/>
    </row>
    <row r="778" ht="15.75" customHeight="1">
      <c r="A778" s="17">
        <f t="shared" si="5"/>
        <v>117</v>
      </c>
      <c r="B778" s="1364"/>
      <c r="C778" s="18"/>
      <c r="D778" s="103" t="s">
        <v>235</v>
      </c>
      <c r="E778" s="77" t="s">
        <v>236</v>
      </c>
      <c r="F778" s="1348" t="s">
        <v>27</v>
      </c>
      <c r="G778" s="93"/>
      <c r="H778" s="93"/>
      <c r="I778" s="93"/>
      <c r="J778" s="93"/>
      <c r="K778" s="93"/>
      <c r="L778" s="93"/>
      <c r="M778" s="93"/>
      <c r="N778" s="93"/>
      <c r="O778" s="93"/>
    </row>
    <row r="779" ht="15.75" customHeight="1">
      <c r="A779" s="17">
        <f t="shared" si="5"/>
        <v>118</v>
      </c>
      <c r="B779" s="1365"/>
      <c r="C779" s="1366"/>
      <c r="D779" s="81" t="s">
        <v>189</v>
      </c>
      <c r="E779" s="82" t="s">
        <v>184</v>
      </c>
      <c r="F779" s="1356" t="s">
        <v>185</v>
      </c>
      <c r="G779" s="93"/>
      <c r="H779" s="93"/>
      <c r="I779" s="93"/>
      <c r="J779" s="93"/>
      <c r="K779" s="93"/>
      <c r="L779" s="93"/>
      <c r="M779" s="93"/>
      <c r="N779" s="93"/>
      <c r="O779" s="93"/>
    </row>
    <row r="780" ht="15.75" customHeight="1">
      <c r="A780" s="17">
        <f t="shared" si="5"/>
        <v>119</v>
      </c>
      <c r="B780" s="1367"/>
      <c r="C780" s="93"/>
      <c r="D780" s="93"/>
      <c r="E780" s="93"/>
      <c r="F780" s="1350"/>
      <c r="G780" s="93"/>
      <c r="H780" s="93"/>
      <c r="I780" s="93"/>
      <c r="J780" s="93"/>
      <c r="K780" s="93"/>
      <c r="L780" s="93"/>
      <c r="M780" s="93"/>
      <c r="N780" s="93"/>
      <c r="O780" s="93"/>
    </row>
    <row r="781" ht="15.75" customHeight="1">
      <c r="A781" s="17">
        <f t="shared" si="5"/>
        <v>120</v>
      </c>
      <c r="B781" s="94"/>
      <c r="C781" s="93"/>
      <c r="D781" s="93"/>
      <c r="E781" s="93"/>
      <c r="F781" s="1350"/>
      <c r="G781" s="93"/>
      <c r="H781" s="93"/>
      <c r="I781" s="93"/>
      <c r="J781" s="93"/>
      <c r="K781" s="93"/>
      <c r="L781" s="93"/>
      <c r="M781" s="93"/>
      <c r="N781" s="93"/>
      <c r="O781" s="93"/>
    </row>
    <row r="782" ht="15.75" customHeight="1">
      <c r="A782" s="17">
        <f t="shared" si="5"/>
        <v>121</v>
      </c>
      <c r="B782" s="94"/>
      <c r="C782" s="93"/>
      <c r="D782" s="93"/>
      <c r="E782" s="93"/>
      <c r="F782" s="1350"/>
      <c r="G782" s="93"/>
      <c r="H782" s="93"/>
      <c r="I782" s="93"/>
      <c r="J782" s="93"/>
      <c r="K782" s="93"/>
      <c r="L782" s="93"/>
      <c r="M782" s="93"/>
      <c r="N782" s="93"/>
      <c r="O782" s="93"/>
    </row>
    <row r="783" ht="15.75" customHeight="1">
      <c r="A783" s="17">
        <f t="shared" si="5"/>
        <v>122</v>
      </c>
      <c r="B783" s="94"/>
      <c r="C783" s="93"/>
      <c r="D783" s="93"/>
      <c r="E783" s="93"/>
      <c r="F783" s="1350"/>
      <c r="G783" s="93"/>
      <c r="H783" s="93"/>
      <c r="I783" s="93"/>
      <c r="J783" s="93"/>
      <c r="K783" s="93"/>
      <c r="L783" s="93"/>
      <c r="M783" s="93"/>
      <c r="N783" s="93"/>
      <c r="O783" s="93"/>
    </row>
    <row r="784" ht="15.75" customHeight="1">
      <c r="A784" s="17">
        <f t="shared" si="5"/>
        <v>123</v>
      </c>
      <c r="B784" s="94"/>
      <c r="C784" s="93"/>
      <c r="D784" s="93"/>
      <c r="E784" s="93"/>
      <c r="F784" s="1350"/>
      <c r="G784" s="93"/>
      <c r="H784" s="93"/>
      <c r="I784" s="93"/>
      <c r="J784" s="93"/>
      <c r="K784" s="93"/>
      <c r="L784" s="93"/>
      <c r="M784" s="93"/>
      <c r="N784" s="93"/>
      <c r="O784" s="93"/>
    </row>
    <row r="785" ht="15.75" customHeight="1">
      <c r="A785" s="17">
        <f t="shared" si="5"/>
        <v>124</v>
      </c>
      <c r="B785" s="94"/>
      <c r="C785" s="93"/>
      <c r="D785" s="93"/>
      <c r="E785" s="93"/>
      <c r="F785" s="1350"/>
      <c r="G785" s="93"/>
      <c r="H785" s="93"/>
      <c r="I785" s="93"/>
      <c r="J785" s="93"/>
      <c r="K785" s="93"/>
      <c r="L785" s="93"/>
      <c r="M785" s="93"/>
      <c r="N785" s="93"/>
      <c r="O785" s="93"/>
    </row>
    <row r="786" ht="15.75" customHeight="1">
      <c r="A786" s="17">
        <f t="shared" si="5"/>
        <v>125</v>
      </c>
      <c r="B786" s="94"/>
      <c r="C786" s="93"/>
      <c r="D786" s="93"/>
      <c r="E786" s="93"/>
      <c r="F786" s="1350"/>
      <c r="G786" s="93"/>
      <c r="H786" s="93"/>
      <c r="I786" s="93"/>
      <c r="J786" s="93"/>
      <c r="K786" s="93"/>
      <c r="L786" s="93"/>
      <c r="M786" s="93"/>
      <c r="N786" s="93"/>
      <c r="O786" s="93"/>
    </row>
    <row r="787" ht="15.75" customHeight="1">
      <c r="A787" s="17">
        <f t="shared" si="5"/>
        <v>126</v>
      </c>
      <c r="B787" s="94"/>
      <c r="C787" s="93"/>
      <c r="D787" s="93"/>
      <c r="E787" s="93"/>
      <c r="F787" s="1350"/>
      <c r="G787" s="93"/>
      <c r="H787" s="93"/>
      <c r="I787" s="93"/>
      <c r="J787" s="93"/>
      <c r="K787" s="93"/>
      <c r="L787" s="93"/>
      <c r="M787" s="93"/>
      <c r="N787" s="93"/>
      <c r="O787" s="93"/>
    </row>
    <row r="788" ht="15.75" customHeight="1">
      <c r="A788" s="7"/>
      <c r="B788" s="94"/>
      <c r="C788" s="93"/>
      <c r="D788" s="93"/>
      <c r="E788" s="93"/>
      <c r="F788" s="1350"/>
      <c r="G788" s="93"/>
      <c r="H788" s="93"/>
      <c r="I788" s="93"/>
      <c r="J788" s="93"/>
      <c r="K788" s="93"/>
      <c r="L788" s="93"/>
      <c r="M788" s="93"/>
      <c r="N788" s="93"/>
      <c r="O788" s="93"/>
    </row>
    <row r="789" ht="15.75" customHeight="1">
      <c r="A789" s="7"/>
      <c r="B789" s="94"/>
      <c r="C789" s="93"/>
      <c r="D789" s="93"/>
      <c r="E789" s="93"/>
      <c r="F789" s="1350"/>
      <c r="G789" s="93"/>
      <c r="H789" s="93"/>
      <c r="I789" s="93"/>
      <c r="J789" s="93"/>
      <c r="K789" s="93"/>
      <c r="L789" s="93"/>
      <c r="M789" s="93"/>
      <c r="N789" s="93"/>
      <c r="O789" s="93"/>
    </row>
    <row r="790" ht="15.75" customHeight="1">
      <c r="A790" s="7"/>
      <c r="B790" s="94"/>
      <c r="C790" s="93"/>
      <c r="D790" s="93"/>
      <c r="E790" s="93"/>
      <c r="F790" s="1350"/>
      <c r="G790" s="93"/>
      <c r="H790" s="93"/>
      <c r="I790" s="93"/>
      <c r="J790" s="93"/>
      <c r="K790" s="93"/>
      <c r="L790" s="93"/>
      <c r="M790" s="93"/>
      <c r="N790" s="93"/>
      <c r="O790" s="93"/>
    </row>
    <row r="791" ht="15.75" customHeight="1">
      <c r="A791" s="7"/>
      <c r="B791" s="94"/>
      <c r="C791" s="93"/>
      <c r="D791" s="93"/>
      <c r="E791" s="93"/>
      <c r="F791" s="1350"/>
      <c r="G791" s="93"/>
      <c r="H791" s="93"/>
      <c r="I791" s="93"/>
      <c r="J791" s="93"/>
      <c r="K791" s="93"/>
      <c r="L791" s="93"/>
      <c r="M791" s="93"/>
      <c r="N791" s="93"/>
      <c r="O791" s="93"/>
    </row>
    <row r="792" ht="15.75" customHeight="1">
      <c r="A792" s="7"/>
      <c r="B792" s="94"/>
      <c r="C792" s="93"/>
      <c r="D792" s="93"/>
      <c r="E792" s="93"/>
      <c r="F792" s="1350"/>
      <c r="G792" s="93"/>
      <c r="H792" s="93"/>
      <c r="I792" s="93"/>
      <c r="J792" s="93"/>
      <c r="K792" s="93"/>
      <c r="L792" s="93"/>
      <c r="M792" s="93"/>
      <c r="N792" s="93"/>
      <c r="O792" s="93"/>
    </row>
    <row r="793" ht="15.75" customHeight="1">
      <c r="A793" s="7"/>
      <c r="B793" s="94"/>
      <c r="C793" s="93"/>
      <c r="D793" s="93"/>
      <c r="E793" s="93"/>
      <c r="F793" s="1350"/>
      <c r="G793" s="93"/>
      <c r="H793" s="93"/>
      <c r="I793" s="93"/>
      <c r="J793" s="93"/>
      <c r="K793" s="93"/>
      <c r="L793" s="93"/>
      <c r="M793" s="93"/>
      <c r="N793" s="93"/>
      <c r="O793" s="93"/>
    </row>
    <row r="794" ht="15.75" customHeight="1">
      <c r="A794" s="7"/>
      <c r="B794" s="94"/>
      <c r="C794" s="93"/>
      <c r="D794" s="93"/>
      <c r="E794" s="93"/>
      <c r="F794" s="1350"/>
      <c r="G794" s="93"/>
      <c r="H794" s="93"/>
      <c r="I794" s="93"/>
      <c r="J794" s="93"/>
      <c r="K794" s="93"/>
      <c r="L794" s="93"/>
      <c r="M794" s="93"/>
      <c r="N794" s="93"/>
      <c r="O794" s="93"/>
    </row>
    <row r="795" ht="15.75" customHeight="1">
      <c r="A795" s="7"/>
      <c r="B795" s="94"/>
      <c r="C795" s="93"/>
      <c r="D795" s="93"/>
      <c r="E795" s="93"/>
      <c r="F795" s="1350"/>
      <c r="G795" s="93"/>
      <c r="H795" s="93"/>
      <c r="I795" s="93"/>
      <c r="J795" s="93"/>
      <c r="K795" s="93"/>
      <c r="L795" s="93"/>
      <c r="M795" s="93"/>
      <c r="N795" s="93"/>
      <c r="O795" s="93"/>
    </row>
    <row r="796" ht="15.75" customHeight="1">
      <c r="A796" s="7"/>
      <c r="C796" s="93"/>
      <c r="D796" s="93"/>
      <c r="E796" s="93"/>
      <c r="F796" s="1350"/>
      <c r="G796" s="93"/>
      <c r="H796" s="93"/>
      <c r="I796" s="93"/>
      <c r="J796" s="93"/>
      <c r="K796" s="93"/>
      <c r="L796" s="93"/>
      <c r="M796" s="93"/>
      <c r="N796" s="93"/>
      <c r="O796" s="93"/>
    </row>
    <row r="797" ht="15.75" customHeight="1">
      <c r="A797" s="7"/>
      <c r="B797" s="94"/>
      <c r="C797" s="93"/>
      <c r="D797" s="93"/>
      <c r="E797" s="93"/>
      <c r="F797" s="1350"/>
      <c r="G797" s="93"/>
      <c r="H797" s="93"/>
      <c r="I797" s="93"/>
      <c r="J797" s="93"/>
      <c r="K797" s="93"/>
      <c r="L797" s="93"/>
      <c r="M797" s="93"/>
      <c r="N797" s="93"/>
      <c r="O797" s="93"/>
    </row>
    <row r="798" ht="15.75" customHeight="1">
      <c r="A798" s="7"/>
      <c r="B798" s="94"/>
      <c r="C798" s="93"/>
      <c r="D798" s="93"/>
      <c r="E798" s="93"/>
      <c r="F798" s="1350"/>
      <c r="G798" s="93"/>
      <c r="H798" s="93"/>
      <c r="I798" s="93"/>
      <c r="J798" s="93"/>
      <c r="K798" s="93"/>
      <c r="L798" s="93"/>
      <c r="M798" s="93"/>
      <c r="N798" s="93"/>
      <c r="O798" s="93"/>
    </row>
    <row r="799" ht="15.75" customHeight="1">
      <c r="A799" s="7"/>
      <c r="B799" s="94"/>
      <c r="C799" s="93"/>
      <c r="D799" s="93"/>
      <c r="E799" s="93"/>
      <c r="F799" s="1350"/>
      <c r="G799" s="93"/>
      <c r="H799" s="93"/>
      <c r="I799" s="93"/>
      <c r="J799" s="93"/>
      <c r="K799" s="93"/>
      <c r="L799" s="93"/>
      <c r="M799" s="93"/>
      <c r="N799" s="93"/>
      <c r="O799" s="93"/>
    </row>
    <row r="800" ht="15.75" customHeight="1">
      <c r="A800" s="7"/>
      <c r="C800" s="93"/>
      <c r="D800" s="93"/>
      <c r="E800" s="93"/>
      <c r="F800" s="1350"/>
      <c r="G800" s="93"/>
      <c r="H800" s="93"/>
      <c r="I800" s="93"/>
      <c r="J800" s="93"/>
      <c r="K800" s="93"/>
      <c r="L800" s="93"/>
      <c r="M800" s="93"/>
      <c r="N800" s="93"/>
      <c r="O800" s="93"/>
    </row>
    <row r="801" ht="15.75" customHeight="1">
      <c r="A801" s="7"/>
      <c r="C801" s="93"/>
      <c r="D801" s="93"/>
      <c r="E801" s="15"/>
      <c r="F801" s="1350"/>
      <c r="G801" s="93"/>
      <c r="H801" s="93"/>
      <c r="I801" s="93"/>
      <c r="J801" s="93"/>
      <c r="K801" s="93"/>
      <c r="L801" s="93"/>
      <c r="M801" s="93"/>
      <c r="N801" s="93"/>
      <c r="O801" s="93"/>
    </row>
    <row r="802" ht="15.75" customHeight="1">
      <c r="A802" s="7"/>
      <c r="C802" s="93"/>
      <c r="D802" s="93"/>
      <c r="E802" s="15"/>
      <c r="F802" s="1350"/>
      <c r="G802" s="93"/>
      <c r="H802" s="93"/>
      <c r="I802" s="93"/>
      <c r="J802" s="93"/>
      <c r="K802" s="93"/>
      <c r="L802" s="93"/>
      <c r="M802" s="93"/>
      <c r="N802" s="93"/>
      <c r="O802" s="93"/>
    </row>
    <row r="803" ht="15.75" customHeight="1">
      <c r="A803" s="7"/>
      <c r="C803" s="93"/>
      <c r="D803" s="93"/>
      <c r="E803" s="15"/>
      <c r="F803" s="1350"/>
      <c r="G803" s="93"/>
      <c r="H803" s="93"/>
      <c r="I803" s="93"/>
      <c r="J803" s="93"/>
      <c r="K803" s="93"/>
      <c r="L803" s="93"/>
      <c r="M803" s="93"/>
      <c r="N803" s="93"/>
      <c r="O803" s="93"/>
    </row>
    <row r="804" ht="15.75" customHeight="1">
      <c r="A804" s="7"/>
      <c r="C804" s="93"/>
      <c r="D804" s="93"/>
      <c r="E804" s="15"/>
      <c r="F804" s="1350"/>
      <c r="G804" s="93"/>
      <c r="H804" s="93"/>
      <c r="I804" s="93"/>
      <c r="J804" s="93"/>
      <c r="K804" s="93"/>
      <c r="L804" s="93"/>
      <c r="M804" s="93"/>
      <c r="N804" s="93"/>
      <c r="O804" s="93"/>
    </row>
    <row r="805" ht="15.75" customHeight="1">
      <c r="A805" s="7"/>
      <c r="C805" s="93"/>
      <c r="D805" s="93"/>
      <c r="E805" s="15"/>
      <c r="F805" s="1350"/>
      <c r="G805" s="93"/>
      <c r="H805" s="93"/>
      <c r="I805" s="93"/>
      <c r="J805" s="93"/>
      <c r="K805" s="93"/>
      <c r="L805" s="93"/>
      <c r="M805" s="93"/>
      <c r="N805" s="93"/>
      <c r="O805" s="93"/>
    </row>
    <row r="806" ht="15.75" customHeight="1">
      <c r="A806" s="7"/>
      <c r="C806" s="93"/>
      <c r="D806" s="93"/>
      <c r="E806" s="15"/>
      <c r="F806" s="1350"/>
      <c r="G806" s="93"/>
      <c r="H806" s="93"/>
      <c r="I806" s="93"/>
      <c r="J806" s="93"/>
      <c r="K806" s="93"/>
      <c r="L806" s="93"/>
      <c r="M806" s="93"/>
      <c r="N806" s="93"/>
      <c r="O806" s="93"/>
    </row>
    <row r="807" ht="15.75" customHeight="1">
      <c r="A807" s="7"/>
      <c r="C807" s="93"/>
      <c r="D807" s="93"/>
      <c r="E807" s="15"/>
      <c r="F807" s="1350"/>
      <c r="G807" s="93"/>
      <c r="H807" s="93"/>
      <c r="I807" s="93"/>
      <c r="J807" s="93"/>
      <c r="K807" s="93"/>
      <c r="L807" s="93"/>
      <c r="M807" s="93"/>
      <c r="N807" s="93"/>
      <c r="O807" s="93"/>
    </row>
    <row r="808" ht="15.75" customHeight="1">
      <c r="A808" s="7"/>
      <c r="C808" s="93"/>
      <c r="D808" s="93"/>
      <c r="E808" s="15"/>
      <c r="F808" s="1350"/>
      <c r="G808" s="93"/>
      <c r="H808" s="93"/>
      <c r="I808" s="93"/>
      <c r="J808" s="93"/>
      <c r="K808" s="93"/>
      <c r="L808" s="93"/>
      <c r="M808" s="93"/>
      <c r="N808" s="93"/>
      <c r="O808" s="93"/>
    </row>
    <row r="809" ht="15.75" customHeight="1">
      <c r="A809" s="7"/>
      <c r="C809" s="93"/>
      <c r="D809" s="93"/>
      <c r="E809" s="15"/>
      <c r="F809" s="1350"/>
      <c r="G809" s="93"/>
      <c r="H809" s="93"/>
      <c r="I809" s="93"/>
      <c r="J809" s="93"/>
      <c r="K809" s="93"/>
      <c r="L809" s="93"/>
      <c r="M809" s="93"/>
      <c r="N809" s="93"/>
      <c r="O809" s="93"/>
    </row>
    <row r="810" ht="15.75" customHeight="1">
      <c r="A810" s="7"/>
      <c r="C810" s="93"/>
      <c r="D810" s="93"/>
      <c r="E810" s="15"/>
      <c r="F810" s="1350"/>
      <c r="G810" s="93"/>
      <c r="H810" s="93"/>
      <c r="I810" s="93"/>
      <c r="J810" s="93"/>
      <c r="K810" s="93"/>
      <c r="L810" s="93"/>
      <c r="M810" s="93"/>
      <c r="N810" s="93"/>
      <c r="O810" s="93"/>
    </row>
    <row r="811" ht="15.75" customHeight="1">
      <c r="A811" s="7"/>
      <c r="C811" s="93"/>
      <c r="D811" s="93"/>
      <c r="E811" s="15"/>
      <c r="F811" s="1350"/>
      <c r="G811" s="93"/>
      <c r="H811" s="93"/>
      <c r="I811" s="93"/>
      <c r="J811" s="93"/>
      <c r="K811" s="93"/>
      <c r="L811" s="93"/>
      <c r="M811" s="93"/>
      <c r="N811" s="93"/>
      <c r="O811" s="93"/>
    </row>
    <row r="812" ht="15.75" customHeight="1">
      <c r="A812" s="7"/>
      <c r="C812" s="93"/>
      <c r="D812" s="93"/>
      <c r="E812" s="15"/>
      <c r="F812" s="1350"/>
      <c r="G812" s="93"/>
      <c r="H812" s="93"/>
      <c r="I812" s="93"/>
      <c r="J812" s="93"/>
      <c r="K812" s="93"/>
      <c r="L812" s="93"/>
      <c r="M812" s="93"/>
      <c r="N812" s="93"/>
      <c r="O812" s="93"/>
    </row>
    <row r="813" ht="15.75" customHeight="1">
      <c r="A813" s="7"/>
      <c r="C813" s="93"/>
      <c r="D813" s="93"/>
      <c r="E813" s="15"/>
      <c r="F813" s="1350"/>
      <c r="G813" s="93"/>
      <c r="H813" s="93"/>
      <c r="I813" s="93"/>
      <c r="J813" s="93"/>
      <c r="K813" s="93"/>
      <c r="L813" s="93"/>
      <c r="M813" s="93"/>
      <c r="N813" s="93"/>
      <c r="O813" s="93"/>
    </row>
    <row r="814" ht="15.75" customHeight="1">
      <c r="A814" s="7"/>
      <c r="C814" s="93"/>
      <c r="D814" s="93"/>
      <c r="E814" s="15"/>
      <c r="F814" s="1350"/>
      <c r="G814" s="93"/>
      <c r="H814" s="93"/>
      <c r="I814" s="93"/>
      <c r="J814" s="93"/>
      <c r="K814" s="93"/>
      <c r="L814" s="93"/>
      <c r="M814" s="93"/>
      <c r="N814" s="93"/>
      <c r="O814" s="93"/>
    </row>
    <row r="815" ht="15.75" customHeight="1">
      <c r="A815" s="7"/>
      <c r="C815" s="93"/>
      <c r="D815" s="93"/>
      <c r="E815" s="15"/>
      <c r="F815" s="1350"/>
      <c r="G815" s="93"/>
      <c r="H815" s="93"/>
      <c r="I815" s="93"/>
      <c r="J815" s="93"/>
      <c r="K815" s="93"/>
      <c r="L815" s="93"/>
      <c r="M815" s="93"/>
      <c r="N815" s="93"/>
      <c r="O815" s="93"/>
    </row>
    <row r="816" ht="15.75" customHeight="1">
      <c r="A816" s="7"/>
      <c r="C816" s="93"/>
      <c r="D816" s="93"/>
      <c r="E816" s="15"/>
      <c r="F816" s="1350"/>
      <c r="G816" s="93"/>
      <c r="H816" s="93"/>
      <c r="I816" s="93"/>
      <c r="J816" s="93"/>
      <c r="K816" s="93"/>
      <c r="L816" s="93"/>
      <c r="M816" s="93"/>
      <c r="N816" s="93"/>
      <c r="O816" s="93"/>
    </row>
    <row r="817" ht="15.75" customHeight="1">
      <c r="A817" s="7"/>
      <c r="C817" s="93"/>
      <c r="D817" s="93"/>
      <c r="E817" s="15"/>
      <c r="F817" s="1350"/>
      <c r="G817" s="93"/>
      <c r="H817" s="93"/>
      <c r="I817" s="93"/>
      <c r="J817" s="93"/>
      <c r="K817" s="93"/>
      <c r="L817" s="93"/>
      <c r="M817" s="93"/>
      <c r="N817" s="93"/>
      <c r="O817" s="93"/>
    </row>
    <row r="818" ht="15.75" customHeight="1">
      <c r="A818" s="7"/>
      <c r="C818" s="93"/>
      <c r="D818" s="93"/>
      <c r="E818" s="15"/>
      <c r="F818" s="1350"/>
      <c r="G818" s="93"/>
      <c r="H818" s="93"/>
      <c r="I818" s="93"/>
      <c r="J818" s="93"/>
      <c r="K818" s="93"/>
      <c r="L818" s="93"/>
      <c r="M818" s="93"/>
      <c r="N818" s="93"/>
      <c r="O818" s="93"/>
    </row>
    <row r="819" ht="15.75" customHeight="1">
      <c r="A819" s="7"/>
      <c r="C819" s="93"/>
      <c r="D819" s="93"/>
      <c r="E819" s="15"/>
      <c r="F819" s="1350"/>
      <c r="G819" s="93"/>
      <c r="H819" s="93"/>
      <c r="I819" s="93"/>
      <c r="J819" s="93"/>
      <c r="K819" s="93"/>
      <c r="L819" s="93"/>
      <c r="M819" s="93"/>
      <c r="N819" s="93"/>
      <c r="O819" s="93"/>
    </row>
    <row r="820" ht="15.75" customHeight="1">
      <c r="A820" s="7"/>
      <c r="C820" s="93"/>
      <c r="D820" s="93"/>
      <c r="E820" s="15"/>
      <c r="F820" s="1350"/>
      <c r="G820" s="93"/>
      <c r="H820" s="93"/>
      <c r="I820" s="93"/>
      <c r="J820" s="93"/>
      <c r="K820" s="93"/>
      <c r="L820" s="93"/>
      <c r="M820" s="93"/>
      <c r="N820" s="93"/>
      <c r="O820" s="93"/>
    </row>
    <row r="821" ht="15.75" customHeight="1">
      <c r="A821" s="7"/>
      <c r="C821" s="93"/>
      <c r="D821" s="93"/>
      <c r="E821" s="15"/>
      <c r="F821" s="1350"/>
      <c r="G821" s="93"/>
      <c r="H821" s="93"/>
      <c r="I821" s="93"/>
      <c r="J821" s="93"/>
      <c r="K821" s="93"/>
      <c r="L821" s="93"/>
      <c r="M821" s="93"/>
      <c r="N821" s="93"/>
      <c r="O821" s="93"/>
    </row>
    <row r="822" ht="15.75" customHeight="1">
      <c r="A822" s="7"/>
      <c r="C822" s="93"/>
      <c r="D822" s="93"/>
      <c r="E822" s="15"/>
      <c r="F822" s="1350"/>
      <c r="G822" s="93"/>
      <c r="H822" s="93"/>
      <c r="I822" s="93"/>
      <c r="J822" s="93"/>
      <c r="K822" s="93"/>
      <c r="L822" s="93"/>
      <c r="M822" s="93"/>
      <c r="N822" s="93"/>
      <c r="O822" s="93"/>
    </row>
    <row r="823" ht="15.75" customHeight="1">
      <c r="A823" s="7"/>
      <c r="C823" s="93"/>
      <c r="D823" s="93"/>
      <c r="E823" s="15"/>
      <c r="F823" s="1350"/>
      <c r="G823" s="93"/>
      <c r="H823" s="93"/>
      <c r="I823" s="93"/>
      <c r="J823" s="93"/>
      <c r="K823" s="93"/>
      <c r="L823" s="93"/>
      <c r="M823" s="93"/>
      <c r="N823" s="93"/>
      <c r="O823" s="93"/>
    </row>
    <row r="824" ht="15.75" customHeight="1">
      <c r="A824" s="7"/>
      <c r="C824" s="93"/>
      <c r="D824" s="93"/>
      <c r="E824" s="15"/>
      <c r="F824" s="1350"/>
      <c r="G824" s="93"/>
      <c r="H824" s="93"/>
      <c r="I824" s="93"/>
      <c r="J824" s="93"/>
      <c r="K824" s="93"/>
      <c r="L824" s="93"/>
      <c r="M824" s="93"/>
      <c r="N824" s="93"/>
      <c r="O824" s="93"/>
    </row>
    <row r="825" ht="15.75" customHeight="1">
      <c r="A825" s="7"/>
      <c r="C825" s="93"/>
      <c r="D825" s="93"/>
      <c r="E825" s="15"/>
      <c r="F825" s="1350"/>
      <c r="G825" s="93"/>
      <c r="H825" s="93"/>
      <c r="I825" s="93"/>
      <c r="J825" s="93"/>
      <c r="K825" s="93"/>
      <c r="L825" s="93"/>
      <c r="M825" s="93"/>
      <c r="N825" s="93"/>
      <c r="O825" s="93"/>
    </row>
    <row r="826" ht="15.75" customHeight="1">
      <c r="A826" s="4" t="str">
        <f>F826</f>
        <v/>
      </c>
      <c r="B826" s="5"/>
      <c r="C826" s="5"/>
      <c r="D826" s="1368"/>
      <c r="E826" s="15"/>
      <c r="F826" s="1350"/>
      <c r="G826" s="93"/>
      <c r="H826" s="93"/>
      <c r="I826" s="93"/>
      <c r="J826" s="93"/>
      <c r="K826" s="93"/>
      <c r="L826" s="93"/>
      <c r="M826" s="93"/>
      <c r="N826" s="93"/>
      <c r="O826" s="93"/>
    </row>
    <row r="827" ht="15.75" customHeight="1">
      <c r="A827" s="4">
        <v>1.0</v>
      </c>
      <c r="B827" s="1238"/>
      <c r="C827" s="11" t="s">
        <v>58</v>
      </c>
      <c r="D827" s="12" t="s">
        <v>24</v>
      </c>
      <c r="E827" s="13" t="s">
        <v>25</v>
      </c>
      <c r="F827" s="1347" t="s">
        <v>27</v>
      </c>
      <c r="G827" s="93"/>
      <c r="H827" s="93"/>
      <c r="I827" s="93"/>
      <c r="J827" s="93"/>
      <c r="K827" s="93"/>
      <c r="L827" s="93"/>
      <c r="M827" s="93"/>
      <c r="N827" s="93"/>
      <c r="O827" s="93"/>
    </row>
    <row r="828" ht="15.75" customHeight="1">
      <c r="A828" s="17">
        <f t="shared" ref="A828:A952" si="6">A827+1</f>
        <v>2</v>
      </c>
      <c r="B828" s="1248"/>
      <c r="C828" s="18" t="s">
        <v>58</v>
      </c>
      <c r="D828" s="19" t="s">
        <v>29</v>
      </c>
      <c r="E828" s="20" t="s">
        <v>25</v>
      </c>
      <c r="F828" s="1348" t="s">
        <v>30</v>
      </c>
      <c r="G828" s="93"/>
      <c r="H828" s="93"/>
      <c r="I828" s="93"/>
      <c r="J828" s="93"/>
      <c r="K828" s="93"/>
      <c r="L828" s="93"/>
      <c r="M828" s="93"/>
      <c r="N828" s="93"/>
      <c r="O828" s="93"/>
    </row>
    <row r="829" ht="15.75" customHeight="1">
      <c r="A829" s="17">
        <f t="shared" si="6"/>
        <v>3</v>
      </c>
      <c r="B829" s="1248"/>
      <c r="C829" s="18" t="s">
        <v>58</v>
      </c>
      <c r="D829" s="19" t="s">
        <v>32</v>
      </c>
      <c r="E829" s="20" t="s">
        <v>25</v>
      </c>
      <c r="F829" s="1348" t="s">
        <v>33</v>
      </c>
      <c r="G829" s="93"/>
      <c r="H829" s="93"/>
      <c r="I829" s="93"/>
      <c r="J829" s="93"/>
      <c r="K829" s="93"/>
      <c r="L829" s="93"/>
      <c r="M829" s="93"/>
      <c r="N829" s="93"/>
      <c r="O829" s="93"/>
    </row>
    <row r="830" ht="15.75" customHeight="1">
      <c r="A830" s="17">
        <f t="shared" si="6"/>
        <v>4</v>
      </c>
      <c r="B830" s="1248"/>
      <c r="C830" s="18" t="s">
        <v>58</v>
      </c>
      <c r="D830" s="22" t="s">
        <v>35</v>
      </c>
      <c r="E830" s="20" t="s">
        <v>25</v>
      </c>
      <c r="F830" s="1348" t="s">
        <v>30</v>
      </c>
      <c r="G830" s="93"/>
      <c r="H830" s="93"/>
      <c r="I830" s="93"/>
      <c r="J830" s="93"/>
      <c r="K830" s="93"/>
      <c r="L830" s="93"/>
      <c r="M830" s="93"/>
      <c r="N830" s="93"/>
      <c r="O830" s="93"/>
    </row>
    <row r="831" ht="15.75" customHeight="1">
      <c r="A831" s="17">
        <f t="shared" si="6"/>
        <v>5</v>
      </c>
      <c r="B831" s="1248"/>
      <c r="C831" s="18" t="s">
        <v>58</v>
      </c>
      <c r="D831" s="22" t="s">
        <v>37</v>
      </c>
      <c r="E831" s="20" t="s">
        <v>25</v>
      </c>
      <c r="F831" s="1348" t="s">
        <v>30</v>
      </c>
      <c r="G831" s="93"/>
      <c r="H831" s="93"/>
      <c r="I831" s="93"/>
      <c r="J831" s="93"/>
      <c r="K831" s="93"/>
      <c r="L831" s="93"/>
      <c r="M831" s="93"/>
      <c r="N831" s="93"/>
      <c r="O831" s="93"/>
    </row>
    <row r="832" ht="15.75" customHeight="1">
      <c r="A832" s="17">
        <f t="shared" si="6"/>
        <v>6</v>
      </c>
      <c r="B832" s="1248"/>
      <c r="C832" s="18" t="s">
        <v>58</v>
      </c>
      <c r="D832" s="19" t="s">
        <v>39</v>
      </c>
      <c r="E832" s="20" t="s">
        <v>25</v>
      </c>
      <c r="F832" s="1348" t="s">
        <v>27</v>
      </c>
      <c r="G832" s="93"/>
      <c r="H832" s="93"/>
      <c r="I832" s="93"/>
      <c r="J832" s="93"/>
      <c r="K832" s="93"/>
      <c r="L832" s="93"/>
      <c r="M832" s="93"/>
      <c r="N832" s="93"/>
      <c r="O832" s="93"/>
    </row>
    <row r="833" ht="15.75" customHeight="1">
      <c r="A833" s="17">
        <f t="shared" si="6"/>
        <v>7</v>
      </c>
      <c r="B833" s="1248"/>
      <c r="C833" s="18" t="s">
        <v>58</v>
      </c>
      <c r="D833" s="19" t="s">
        <v>41</v>
      </c>
      <c r="E833" s="20" t="s">
        <v>25</v>
      </c>
      <c r="F833" s="1348" t="s">
        <v>30</v>
      </c>
      <c r="G833" s="93"/>
      <c r="H833" s="93"/>
      <c r="I833" s="93"/>
      <c r="J833" s="93"/>
      <c r="K833" s="93"/>
      <c r="L833" s="93"/>
      <c r="M833" s="93"/>
      <c r="N833" s="93"/>
      <c r="O833" s="93"/>
    </row>
    <row r="834" ht="15.75" customHeight="1">
      <c r="A834" s="17">
        <f t="shared" si="6"/>
        <v>8</v>
      </c>
      <c r="B834" s="1248"/>
      <c r="C834" s="18" t="s">
        <v>58</v>
      </c>
      <c r="D834" s="19" t="s">
        <v>43</v>
      </c>
      <c r="E834" s="20" t="s">
        <v>25</v>
      </c>
      <c r="F834" s="1348" t="s">
        <v>30</v>
      </c>
      <c r="G834" s="93"/>
      <c r="H834" s="93"/>
      <c r="I834" s="93"/>
      <c r="J834" s="93"/>
      <c r="K834" s="93"/>
      <c r="L834" s="93"/>
      <c r="M834" s="93"/>
      <c r="N834" s="93"/>
      <c r="O834" s="93"/>
    </row>
    <row r="835" ht="15.75" customHeight="1">
      <c r="A835" s="17">
        <f t="shared" si="6"/>
        <v>9</v>
      </c>
      <c r="B835" s="1248"/>
      <c r="C835" s="18" t="s">
        <v>58</v>
      </c>
      <c r="D835" s="19" t="s">
        <v>45</v>
      </c>
      <c r="E835" s="20" t="s">
        <v>25</v>
      </c>
      <c r="F835" s="1348" t="s">
        <v>46</v>
      </c>
      <c r="G835" s="93"/>
      <c r="H835" s="93"/>
      <c r="I835" s="93"/>
      <c r="J835" s="93"/>
      <c r="K835" s="93"/>
      <c r="L835" s="93"/>
      <c r="M835" s="93"/>
      <c r="N835" s="93"/>
      <c r="O835" s="93"/>
    </row>
    <row r="836" ht="15.75" customHeight="1">
      <c r="A836" s="17">
        <f t="shared" si="6"/>
        <v>10</v>
      </c>
      <c r="B836" s="1248"/>
      <c r="C836" s="18" t="s">
        <v>58</v>
      </c>
      <c r="D836" s="19" t="s">
        <v>48</v>
      </c>
      <c r="E836" s="20" t="s">
        <v>25</v>
      </c>
      <c r="F836" s="1348" t="s">
        <v>46</v>
      </c>
      <c r="G836" s="93"/>
      <c r="H836" s="93"/>
      <c r="I836" s="93"/>
      <c r="J836" s="93"/>
      <c r="K836" s="93"/>
      <c r="L836" s="93"/>
      <c r="M836" s="93"/>
      <c r="N836" s="93"/>
      <c r="O836" s="93"/>
    </row>
    <row r="837" ht="15.75" customHeight="1">
      <c r="A837" s="17">
        <f t="shared" si="6"/>
        <v>11</v>
      </c>
      <c r="B837" s="1248"/>
      <c r="C837" s="18" t="s">
        <v>58</v>
      </c>
      <c r="D837" s="19" t="s">
        <v>50</v>
      </c>
      <c r="E837" s="20" t="s">
        <v>25</v>
      </c>
      <c r="F837" s="1348" t="s">
        <v>30</v>
      </c>
      <c r="G837" s="93"/>
      <c r="H837" s="93"/>
      <c r="I837" s="93"/>
      <c r="J837" s="93"/>
      <c r="K837" s="93"/>
      <c r="L837" s="93"/>
      <c r="M837" s="93"/>
      <c r="N837" s="93"/>
      <c r="O837" s="93"/>
    </row>
    <row r="838" ht="15.75" customHeight="1">
      <c r="A838" s="17">
        <f t="shared" si="6"/>
        <v>12</v>
      </c>
      <c r="B838" s="1248"/>
      <c r="C838" s="18" t="s">
        <v>58</v>
      </c>
      <c r="D838" s="19" t="s">
        <v>52</v>
      </c>
      <c r="E838" s="20" t="s">
        <v>25</v>
      </c>
      <c r="F838" s="1348" t="s">
        <v>30</v>
      </c>
      <c r="G838" s="93"/>
      <c r="H838" s="93"/>
      <c r="I838" s="93"/>
      <c r="J838" s="93"/>
      <c r="K838" s="93"/>
      <c r="L838" s="93"/>
      <c r="M838" s="93"/>
      <c r="N838" s="93"/>
      <c r="O838" s="93"/>
    </row>
    <row r="839" ht="15.75" customHeight="1">
      <c r="A839" s="17">
        <f t="shared" si="6"/>
        <v>13</v>
      </c>
      <c r="B839" s="1248"/>
      <c r="C839" s="18" t="s">
        <v>58</v>
      </c>
      <c r="D839" s="19" t="s">
        <v>54</v>
      </c>
      <c r="E839" s="20" t="s">
        <v>25</v>
      </c>
      <c r="F839" s="1348" t="s">
        <v>27</v>
      </c>
      <c r="G839" s="93"/>
      <c r="H839" s="93"/>
      <c r="I839" s="93"/>
      <c r="J839" s="93"/>
      <c r="K839" s="93"/>
      <c r="L839" s="93"/>
      <c r="M839" s="93"/>
      <c r="N839" s="93"/>
      <c r="O839" s="93"/>
    </row>
    <row r="840" ht="15.75" customHeight="1">
      <c r="A840" s="17">
        <f t="shared" si="6"/>
        <v>14</v>
      </c>
      <c r="B840" s="1248"/>
      <c r="C840" s="18" t="s">
        <v>58</v>
      </c>
      <c r="D840" s="19" t="s">
        <v>56</v>
      </c>
      <c r="E840" s="20" t="s">
        <v>25</v>
      </c>
      <c r="F840" s="1348" t="s">
        <v>30</v>
      </c>
      <c r="G840" s="93"/>
      <c r="H840" s="93"/>
      <c r="I840" s="93"/>
      <c r="J840" s="93"/>
      <c r="K840" s="93"/>
      <c r="L840" s="93"/>
      <c r="M840" s="93"/>
      <c r="N840" s="93"/>
      <c r="O840" s="93"/>
    </row>
    <row r="841" ht="15.75" customHeight="1">
      <c r="A841" s="17">
        <f t="shared" si="6"/>
        <v>15</v>
      </c>
      <c r="B841" s="1248"/>
      <c r="C841" s="18" t="s">
        <v>58</v>
      </c>
      <c r="D841" s="22" t="s">
        <v>59</v>
      </c>
      <c r="E841" s="20" t="s">
        <v>60</v>
      </c>
      <c r="F841" s="1348" t="s">
        <v>30</v>
      </c>
      <c r="G841" s="93"/>
      <c r="H841" s="93"/>
      <c r="I841" s="93"/>
      <c r="J841" s="93"/>
      <c r="K841" s="93"/>
      <c r="L841" s="93"/>
      <c r="M841" s="93"/>
      <c r="N841" s="93"/>
      <c r="O841" s="93"/>
    </row>
    <row r="842" ht="15.75" customHeight="1">
      <c r="A842" s="17">
        <f t="shared" si="6"/>
        <v>16</v>
      </c>
      <c r="B842" s="1248"/>
      <c r="C842" s="18" t="s">
        <v>58</v>
      </c>
      <c r="D842" s="22" t="s">
        <v>62</v>
      </c>
      <c r="E842" s="20" t="s">
        <v>60</v>
      </c>
      <c r="F842" s="1348" t="s">
        <v>30</v>
      </c>
      <c r="G842" s="93"/>
      <c r="H842" s="93"/>
      <c r="I842" s="93"/>
      <c r="J842" s="93"/>
      <c r="K842" s="93"/>
      <c r="L842" s="93"/>
      <c r="M842" s="93"/>
      <c r="N842" s="93"/>
      <c r="O842" s="93"/>
    </row>
    <row r="843" ht="15.75" customHeight="1">
      <c r="A843" s="17">
        <f t="shared" si="6"/>
        <v>17</v>
      </c>
      <c r="B843" s="1248"/>
      <c r="C843" s="18" t="s">
        <v>58</v>
      </c>
      <c r="D843" s="24" t="s">
        <v>64</v>
      </c>
      <c r="E843" s="20" t="s">
        <v>65</v>
      </c>
      <c r="F843" s="1348" t="s">
        <v>30</v>
      </c>
      <c r="G843" s="93"/>
      <c r="H843" s="93"/>
      <c r="I843" s="93"/>
      <c r="J843" s="93"/>
      <c r="K843" s="93"/>
      <c r="L843" s="93"/>
      <c r="M843" s="93"/>
      <c r="N843" s="93"/>
      <c r="O843" s="93"/>
    </row>
    <row r="844" ht="15.75" customHeight="1">
      <c r="A844" s="17">
        <f t="shared" si="6"/>
        <v>18</v>
      </c>
      <c r="B844" s="1248"/>
      <c r="C844" s="18" t="s">
        <v>58</v>
      </c>
      <c r="D844" s="25" t="s">
        <v>67</v>
      </c>
      <c r="E844" s="26" t="s">
        <v>68</v>
      </c>
      <c r="F844" s="1348" t="s">
        <v>30</v>
      </c>
      <c r="G844" s="93"/>
      <c r="H844" s="93"/>
      <c r="I844" s="93"/>
      <c r="J844" s="93"/>
      <c r="K844" s="93"/>
      <c r="L844" s="93"/>
      <c r="M844" s="93"/>
      <c r="N844" s="93"/>
      <c r="O844" s="93"/>
    </row>
    <row r="845" ht="15.75" customHeight="1">
      <c r="A845" s="17">
        <f t="shared" si="6"/>
        <v>19</v>
      </c>
      <c r="B845" s="1248"/>
      <c r="C845" s="18" t="s">
        <v>58</v>
      </c>
      <c r="D845" s="25" t="s">
        <v>70</v>
      </c>
      <c r="E845" s="26" t="s">
        <v>71</v>
      </c>
      <c r="F845" s="1348" t="s">
        <v>30</v>
      </c>
      <c r="G845" s="93"/>
      <c r="H845" s="93"/>
      <c r="I845" s="93"/>
      <c r="J845" s="93"/>
      <c r="K845" s="93"/>
      <c r="L845" s="93"/>
      <c r="M845" s="93"/>
      <c r="N845" s="93"/>
      <c r="O845" s="93"/>
    </row>
    <row r="846" ht="15.75" customHeight="1">
      <c r="A846" s="17">
        <f t="shared" si="6"/>
        <v>20</v>
      </c>
      <c r="B846" s="1248"/>
      <c r="C846" s="18" t="s">
        <v>58</v>
      </c>
      <c r="D846" s="25" t="s">
        <v>73</v>
      </c>
      <c r="E846" s="26" t="s">
        <v>71</v>
      </c>
      <c r="F846" s="1348" t="s">
        <v>30</v>
      </c>
      <c r="G846" s="93"/>
      <c r="H846" s="93"/>
      <c r="I846" s="93"/>
      <c r="J846" s="93"/>
      <c r="K846" s="93"/>
      <c r="L846" s="93"/>
      <c r="M846" s="93"/>
      <c r="N846" s="93"/>
      <c r="O846" s="93"/>
    </row>
    <row r="847" ht="15.75" customHeight="1">
      <c r="A847" s="17">
        <f t="shared" si="6"/>
        <v>21</v>
      </c>
      <c r="B847" s="1248"/>
      <c r="C847" s="18" t="s">
        <v>58</v>
      </c>
      <c r="D847" s="25" t="s">
        <v>75</v>
      </c>
      <c r="E847" s="26" t="s">
        <v>71</v>
      </c>
      <c r="F847" s="1348" t="s">
        <v>30</v>
      </c>
      <c r="G847" s="93"/>
      <c r="H847" s="93"/>
      <c r="I847" s="93"/>
      <c r="J847" s="93"/>
      <c r="K847" s="93"/>
      <c r="L847" s="93"/>
      <c r="M847" s="93"/>
      <c r="N847" s="93"/>
      <c r="O847" s="93"/>
    </row>
    <row r="848" ht="15.75" customHeight="1">
      <c r="A848" s="17">
        <f t="shared" si="6"/>
        <v>22</v>
      </c>
      <c r="B848" s="1248"/>
      <c r="C848" s="18" t="s">
        <v>58</v>
      </c>
      <c r="D848" s="25" t="s">
        <v>77</v>
      </c>
      <c r="E848" s="26" t="s">
        <v>60</v>
      </c>
      <c r="F848" s="1348" t="s">
        <v>27</v>
      </c>
      <c r="G848" s="93"/>
      <c r="H848" s="93"/>
      <c r="I848" s="93"/>
      <c r="J848" s="93"/>
      <c r="K848" s="93"/>
      <c r="L848" s="93"/>
      <c r="M848" s="93"/>
      <c r="N848" s="93"/>
      <c r="O848" s="93"/>
    </row>
    <row r="849" ht="15.75" customHeight="1">
      <c r="A849" s="17">
        <f t="shared" si="6"/>
        <v>23</v>
      </c>
      <c r="B849" s="1248"/>
      <c r="C849" s="18" t="s">
        <v>58</v>
      </c>
      <c r="D849" s="25" t="s">
        <v>79</v>
      </c>
      <c r="E849" s="26" t="s">
        <v>60</v>
      </c>
      <c r="F849" s="1348" t="s">
        <v>27</v>
      </c>
      <c r="G849" s="93"/>
      <c r="H849" s="93"/>
      <c r="I849" s="93"/>
      <c r="J849" s="93"/>
      <c r="K849" s="93"/>
      <c r="L849" s="93"/>
      <c r="M849" s="93"/>
      <c r="N849" s="93"/>
      <c r="O849" s="93"/>
    </row>
    <row r="850" ht="15.75" customHeight="1">
      <c r="A850" s="17">
        <f t="shared" si="6"/>
        <v>24</v>
      </c>
      <c r="B850" s="1248"/>
      <c r="C850" s="18" t="s">
        <v>58</v>
      </c>
      <c r="D850" s="25" t="s">
        <v>80</v>
      </c>
      <c r="E850" s="26" t="s">
        <v>60</v>
      </c>
      <c r="F850" s="1348" t="s">
        <v>27</v>
      </c>
      <c r="G850" s="93"/>
      <c r="H850" s="93"/>
      <c r="I850" s="93"/>
      <c r="J850" s="93"/>
      <c r="K850" s="93"/>
      <c r="L850" s="93"/>
      <c r="M850" s="93"/>
      <c r="N850" s="93"/>
      <c r="O850" s="93"/>
    </row>
    <row r="851" ht="15.75" customHeight="1">
      <c r="A851" s="17">
        <f t="shared" si="6"/>
        <v>25</v>
      </c>
      <c r="B851" s="1248"/>
      <c r="C851" s="18" t="s">
        <v>58</v>
      </c>
      <c r="D851" s="25" t="s">
        <v>82</v>
      </c>
      <c r="E851" s="26" t="s">
        <v>60</v>
      </c>
      <c r="F851" s="1348" t="s">
        <v>27</v>
      </c>
      <c r="G851" s="93"/>
      <c r="H851" s="93"/>
      <c r="I851" s="93"/>
      <c r="J851" s="93"/>
      <c r="K851" s="93"/>
      <c r="L851" s="93"/>
      <c r="M851" s="93"/>
      <c r="N851" s="93"/>
      <c r="O851" s="93"/>
    </row>
    <row r="852" ht="15.75" customHeight="1">
      <c r="A852" s="17">
        <f t="shared" si="6"/>
        <v>26</v>
      </c>
      <c r="B852" s="1248"/>
      <c r="C852" s="18" t="s">
        <v>58</v>
      </c>
      <c r="D852" s="25" t="s">
        <v>84</v>
      </c>
      <c r="E852" s="26" t="s">
        <v>60</v>
      </c>
      <c r="F852" s="1348" t="s">
        <v>27</v>
      </c>
      <c r="G852" s="93"/>
      <c r="H852" s="93"/>
      <c r="I852" s="93"/>
      <c r="J852" s="93"/>
      <c r="K852" s="93"/>
      <c r="L852" s="93"/>
      <c r="M852" s="93"/>
      <c r="N852" s="93"/>
      <c r="O852" s="93"/>
    </row>
    <row r="853" ht="15.75" customHeight="1">
      <c r="A853" s="17">
        <f t="shared" si="6"/>
        <v>27</v>
      </c>
      <c r="B853" s="1248"/>
      <c r="C853" s="18" t="s">
        <v>58</v>
      </c>
      <c r="D853" s="25" t="s">
        <v>86</v>
      </c>
      <c r="E853" s="26" t="s">
        <v>60</v>
      </c>
      <c r="F853" s="1348" t="s">
        <v>27</v>
      </c>
      <c r="G853" s="93"/>
      <c r="H853" s="93"/>
      <c r="I853" s="93"/>
      <c r="J853" s="93"/>
      <c r="K853" s="93"/>
      <c r="L853" s="93"/>
      <c r="M853" s="93"/>
      <c r="N853" s="93"/>
      <c r="O853" s="93"/>
    </row>
    <row r="854" ht="15.75" customHeight="1">
      <c r="A854" s="17">
        <f t="shared" si="6"/>
        <v>28</v>
      </c>
      <c r="B854" s="1248"/>
      <c r="C854" s="18" t="s">
        <v>58</v>
      </c>
      <c r="D854" s="25" t="s">
        <v>88</v>
      </c>
      <c r="E854" s="26" t="s">
        <v>60</v>
      </c>
      <c r="F854" s="1348" t="s">
        <v>27</v>
      </c>
      <c r="G854" s="93"/>
      <c r="H854" s="93"/>
      <c r="I854" s="93"/>
      <c r="J854" s="93"/>
      <c r="K854" s="93"/>
      <c r="L854" s="93"/>
      <c r="M854" s="93"/>
      <c r="N854" s="93"/>
      <c r="O854" s="93"/>
    </row>
    <row r="855" ht="15.75" customHeight="1">
      <c r="A855" s="17">
        <f t="shared" si="6"/>
        <v>29</v>
      </c>
      <c r="B855" s="1349"/>
      <c r="C855" s="27" t="s">
        <v>58</v>
      </c>
      <c r="D855" s="28" t="s">
        <v>90</v>
      </c>
      <c r="E855" s="29" t="s">
        <v>60</v>
      </c>
      <c r="F855" s="1350" t="s">
        <v>27</v>
      </c>
      <c r="G855" s="93"/>
      <c r="H855" s="93"/>
      <c r="I855" s="93"/>
      <c r="J855" s="93"/>
      <c r="K855" s="93"/>
      <c r="L855" s="93"/>
      <c r="M855" s="93"/>
      <c r="N855" s="93"/>
      <c r="O855" s="93"/>
    </row>
    <row r="856" ht="15.75" customHeight="1">
      <c r="A856" s="17">
        <f t="shared" si="6"/>
        <v>30</v>
      </c>
      <c r="B856" s="1349"/>
      <c r="C856" s="27" t="s">
        <v>58</v>
      </c>
      <c r="D856" s="28" t="s">
        <v>92</v>
      </c>
      <c r="E856" s="29" t="s">
        <v>60</v>
      </c>
      <c r="F856" s="1350" t="s">
        <v>30</v>
      </c>
      <c r="G856" s="93"/>
      <c r="H856" s="93"/>
      <c r="I856" s="93"/>
      <c r="J856" s="93"/>
      <c r="K856" s="93"/>
      <c r="L856" s="93"/>
      <c r="M856" s="93"/>
      <c r="N856" s="93"/>
      <c r="O856" s="93"/>
    </row>
    <row r="857" ht="15.75" customHeight="1">
      <c r="A857" s="17">
        <f t="shared" si="6"/>
        <v>31</v>
      </c>
      <c r="B857" s="1349"/>
      <c r="C857" s="27" t="s">
        <v>58</v>
      </c>
      <c r="D857" s="34" t="s">
        <v>94</v>
      </c>
      <c r="E857" s="35" t="s">
        <v>60</v>
      </c>
      <c r="F857" s="1350" t="s">
        <v>30</v>
      </c>
      <c r="G857" s="93"/>
      <c r="H857" s="93"/>
      <c r="I857" s="93"/>
      <c r="J857" s="93"/>
      <c r="K857" s="93"/>
      <c r="L857" s="93"/>
      <c r="M857" s="93"/>
      <c r="N857" s="93"/>
      <c r="O857" s="93"/>
    </row>
    <row r="858" ht="15.75" customHeight="1">
      <c r="A858" s="17">
        <f t="shared" si="6"/>
        <v>32</v>
      </c>
      <c r="B858" s="1351" t="s">
        <v>146</v>
      </c>
      <c r="C858" s="36" t="s">
        <v>99</v>
      </c>
      <c r="D858" s="37" t="s">
        <v>100</v>
      </c>
      <c r="E858" s="38" t="s">
        <v>101</v>
      </c>
      <c r="F858" s="1352" t="s">
        <v>30</v>
      </c>
      <c r="G858" s="93"/>
      <c r="H858" s="93"/>
      <c r="I858" s="93"/>
      <c r="J858" s="93"/>
      <c r="K858" s="93"/>
      <c r="L858" s="93"/>
      <c r="M858" s="93"/>
      <c r="N858" s="93"/>
      <c r="O858" s="93"/>
    </row>
    <row r="859" ht="15.75" customHeight="1">
      <c r="A859" s="17">
        <f t="shared" si="6"/>
        <v>33</v>
      </c>
      <c r="B859" s="44" t="s">
        <v>146</v>
      </c>
      <c r="C859" s="36" t="s">
        <v>99</v>
      </c>
      <c r="D859" s="41" t="s">
        <v>104</v>
      </c>
      <c r="E859" s="20" t="s">
        <v>101</v>
      </c>
      <c r="F859" s="1348" t="s">
        <v>27</v>
      </c>
      <c r="G859" s="93"/>
      <c r="H859" s="93"/>
      <c r="I859" s="93"/>
      <c r="J859" s="93"/>
      <c r="K859" s="93"/>
      <c r="L859" s="93"/>
      <c r="M859" s="93"/>
      <c r="N859" s="93"/>
      <c r="O859" s="93"/>
    </row>
    <row r="860" ht="15.75" customHeight="1">
      <c r="A860" s="17">
        <f t="shared" si="6"/>
        <v>34</v>
      </c>
      <c r="B860" s="44" t="s">
        <v>146</v>
      </c>
      <c r="C860" s="36" t="s">
        <v>99</v>
      </c>
      <c r="D860" s="41" t="s">
        <v>106</v>
      </c>
      <c r="E860" s="20" t="s">
        <v>101</v>
      </c>
      <c r="F860" s="1348" t="s">
        <v>27</v>
      </c>
      <c r="G860" s="93"/>
      <c r="H860" s="93"/>
      <c r="I860" s="93"/>
      <c r="J860" s="93"/>
      <c r="K860" s="93"/>
      <c r="L860" s="93"/>
      <c r="M860" s="93"/>
      <c r="N860" s="93"/>
      <c r="O860" s="93"/>
    </row>
    <row r="861" ht="15.75" customHeight="1">
      <c r="A861" s="17">
        <f t="shared" si="6"/>
        <v>35</v>
      </c>
      <c r="B861" s="44" t="s">
        <v>146</v>
      </c>
      <c r="C861" s="36" t="s">
        <v>99</v>
      </c>
      <c r="D861" s="41" t="s">
        <v>108</v>
      </c>
      <c r="E861" s="20" t="s">
        <v>101</v>
      </c>
      <c r="F861" s="1348" t="s">
        <v>30</v>
      </c>
      <c r="G861" s="93"/>
      <c r="H861" s="93"/>
      <c r="I861" s="93"/>
      <c r="J861" s="93"/>
      <c r="K861" s="93"/>
      <c r="L861" s="93"/>
      <c r="M861" s="93"/>
      <c r="N861" s="93"/>
      <c r="O861" s="93"/>
    </row>
    <row r="862" ht="15.75" customHeight="1">
      <c r="A862" s="17">
        <f t="shared" si="6"/>
        <v>36</v>
      </c>
      <c r="B862" s="44" t="s">
        <v>146</v>
      </c>
      <c r="C862" s="36" t="s">
        <v>99</v>
      </c>
      <c r="D862" s="41" t="s">
        <v>110</v>
      </c>
      <c r="E862" s="20" t="s">
        <v>101</v>
      </c>
      <c r="F862" s="1348" t="s">
        <v>30</v>
      </c>
      <c r="G862" s="93"/>
      <c r="H862" s="93"/>
      <c r="I862" s="93"/>
      <c r="J862" s="93"/>
      <c r="K862" s="93"/>
      <c r="L862" s="93"/>
      <c r="M862" s="93"/>
      <c r="N862" s="93"/>
      <c r="O862" s="93"/>
    </row>
    <row r="863" ht="15.75" customHeight="1">
      <c r="A863" s="17">
        <f t="shared" si="6"/>
        <v>37</v>
      </c>
      <c r="B863" s="44" t="s">
        <v>146</v>
      </c>
      <c r="C863" s="36" t="s">
        <v>99</v>
      </c>
      <c r="D863" s="41" t="s">
        <v>111</v>
      </c>
      <c r="E863" s="20" t="s">
        <v>101</v>
      </c>
      <c r="F863" s="1348" t="s">
        <v>30</v>
      </c>
      <c r="G863" s="93"/>
      <c r="H863" s="93"/>
      <c r="I863" s="93"/>
      <c r="J863" s="93"/>
      <c r="K863" s="93"/>
      <c r="L863" s="93"/>
      <c r="M863" s="93"/>
      <c r="N863" s="93"/>
      <c r="O863" s="93"/>
    </row>
    <row r="864" ht="15.75" customHeight="1">
      <c r="A864" s="17">
        <f t="shared" si="6"/>
        <v>38</v>
      </c>
      <c r="B864" s="44" t="s">
        <v>146</v>
      </c>
      <c r="C864" s="36" t="s">
        <v>99</v>
      </c>
      <c r="D864" s="41" t="s">
        <v>113</v>
      </c>
      <c r="E864" s="20" t="s">
        <v>101</v>
      </c>
      <c r="F864" s="1348" t="s">
        <v>30</v>
      </c>
      <c r="G864" s="93"/>
      <c r="H864" s="93"/>
      <c r="I864" s="93"/>
      <c r="J864" s="93"/>
      <c r="K864" s="93"/>
      <c r="L864" s="93"/>
      <c r="M864" s="93"/>
      <c r="N864" s="93"/>
      <c r="O864" s="93"/>
    </row>
    <row r="865" ht="15.75" customHeight="1">
      <c r="A865" s="17">
        <f t="shared" si="6"/>
        <v>39</v>
      </c>
      <c r="B865" s="44" t="s">
        <v>146</v>
      </c>
      <c r="C865" s="36" t="s">
        <v>99</v>
      </c>
      <c r="D865" s="41" t="s">
        <v>115</v>
      </c>
      <c r="E865" s="20" t="s">
        <v>101</v>
      </c>
      <c r="F865" s="1348" t="s">
        <v>27</v>
      </c>
      <c r="G865" s="93"/>
      <c r="H865" s="93"/>
      <c r="I865" s="93"/>
      <c r="J865" s="93"/>
      <c r="K865" s="93"/>
      <c r="L865" s="93"/>
      <c r="M865" s="93"/>
      <c r="N865" s="93"/>
      <c r="O865" s="93"/>
    </row>
    <row r="866" ht="15.75" customHeight="1">
      <c r="A866" s="17">
        <f t="shared" si="6"/>
        <v>40</v>
      </c>
      <c r="B866" s="44" t="s">
        <v>146</v>
      </c>
      <c r="C866" s="36" t="s">
        <v>99</v>
      </c>
      <c r="D866" s="41" t="s">
        <v>117</v>
      </c>
      <c r="E866" s="20" t="s">
        <v>101</v>
      </c>
      <c r="F866" s="1348" t="s">
        <v>27</v>
      </c>
      <c r="G866" s="93"/>
      <c r="H866" s="93"/>
      <c r="I866" s="93"/>
      <c r="J866" s="93"/>
      <c r="K866" s="93"/>
      <c r="L866" s="93"/>
      <c r="M866" s="93"/>
      <c r="N866" s="93"/>
      <c r="O866" s="93"/>
    </row>
    <row r="867" ht="15.75" customHeight="1">
      <c r="A867" s="17">
        <f t="shared" si="6"/>
        <v>41</v>
      </c>
      <c r="B867" s="44" t="s">
        <v>146</v>
      </c>
      <c r="C867" s="36" t="s">
        <v>99</v>
      </c>
      <c r="D867" s="41" t="s">
        <v>119</v>
      </c>
      <c r="E867" s="20" t="s">
        <v>101</v>
      </c>
      <c r="F867" s="1348" t="s">
        <v>27</v>
      </c>
      <c r="G867" s="93"/>
      <c r="H867" s="93"/>
      <c r="I867" s="93"/>
      <c r="J867" s="93"/>
      <c r="K867" s="93"/>
      <c r="L867" s="93"/>
      <c r="M867" s="93"/>
      <c r="N867" s="93"/>
      <c r="O867" s="93"/>
    </row>
    <row r="868" ht="15.75" customHeight="1">
      <c r="A868" s="17">
        <f t="shared" si="6"/>
        <v>42</v>
      </c>
      <c r="B868" s="44" t="s">
        <v>146</v>
      </c>
      <c r="C868" s="36" t="s">
        <v>99</v>
      </c>
      <c r="D868" s="41" t="s">
        <v>121</v>
      </c>
      <c r="E868" s="20" t="s">
        <v>101</v>
      </c>
      <c r="F868" s="1348" t="s">
        <v>27</v>
      </c>
      <c r="G868" s="93"/>
      <c r="H868" s="93"/>
      <c r="I868" s="93"/>
      <c r="J868" s="93"/>
      <c r="K868" s="93"/>
      <c r="L868" s="93"/>
      <c r="M868" s="93"/>
      <c r="N868" s="93"/>
      <c r="O868" s="93"/>
    </row>
    <row r="869" ht="15.75" customHeight="1">
      <c r="A869" s="17">
        <f t="shared" si="6"/>
        <v>43</v>
      </c>
      <c r="B869" s="44" t="s">
        <v>146</v>
      </c>
      <c r="C869" s="44" t="s">
        <v>146</v>
      </c>
      <c r="D869" s="45" t="s">
        <v>124</v>
      </c>
      <c r="E869" s="20" t="s">
        <v>125</v>
      </c>
      <c r="F869" s="1348" t="s">
        <v>27</v>
      </c>
      <c r="G869" s="93"/>
      <c r="H869" s="93"/>
      <c r="I869" s="93"/>
      <c r="J869" s="93"/>
      <c r="K869" s="93"/>
      <c r="L869" s="93"/>
      <c r="M869" s="93"/>
      <c r="N869" s="93"/>
      <c r="O869" s="93"/>
    </row>
    <row r="870" ht="15.75" customHeight="1">
      <c r="A870" s="17">
        <f t="shared" si="6"/>
        <v>44</v>
      </c>
      <c r="B870" s="44" t="s">
        <v>146</v>
      </c>
      <c r="C870" s="44" t="s">
        <v>146</v>
      </c>
      <c r="D870" s="47" t="s">
        <v>127</v>
      </c>
      <c r="E870" s="20" t="s">
        <v>125</v>
      </c>
      <c r="F870" s="1348" t="s">
        <v>30</v>
      </c>
      <c r="G870" s="93"/>
      <c r="H870" s="93"/>
      <c r="I870" s="93"/>
      <c r="J870" s="93"/>
      <c r="K870" s="93"/>
      <c r="L870" s="93"/>
      <c r="M870" s="93"/>
      <c r="N870" s="93"/>
      <c r="O870" s="93"/>
    </row>
    <row r="871" ht="15.75" customHeight="1">
      <c r="A871" s="17">
        <f t="shared" si="6"/>
        <v>45</v>
      </c>
      <c r="B871" s="44" t="s">
        <v>146</v>
      </c>
      <c r="C871" s="44" t="s">
        <v>146</v>
      </c>
      <c r="D871" s="47" t="s">
        <v>129</v>
      </c>
      <c r="E871" s="20" t="s">
        <v>125</v>
      </c>
      <c r="F871" s="1348" t="s">
        <v>30</v>
      </c>
      <c r="G871" s="93"/>
      <c r="H871" s="93"/>
      <c r="I871" s="93"/>
      <c r="J871" s="93"/>
      <c r="K871" s="93"/>
      <c r="L871" s="93"/>
      <c r="M871" s="93"/>
      <c r="N871" s="93"/>
      <c r="O871" s="93"/>
    </row>
    <row r="872" ht="15.75" customHeight="1">
      <c r="A872" s="17">
        <f t="shared" si="6"/>
        <v>46</v>
      </c>
      <c r="B872" s="44" t="s">
        <v>146</v>
      </c>
      <c r="C872" s="44" t="s">
        <v>146</v>
      </c>
      <c r="D872" s="47" t="s">
        <v>131</v>
      </c>
      <c r="E872" s="20" t="s">
        <v>125</v>
      </c>
      <c r="F872" s="1348" t="s">
        <v>27</v>
      </c>
      <c r="G872" s="93"/>
      <c r="H872" s="93"/>
      <c r="I872" s="93"/>
      <c r="J872" s="93"/>
      <c r="K872" s="93"/>
      <c r="L872" s="93"/>
      <c r="M872" s="93"/>
      <c r="N872" s="93"/>
      <c r="O872" s="93"/>
    </row>
    <row r="873" ht="15.75" customHeight="1">
      <c r="A873" s="17">
        <f t="shared" si="6"/>
        <v>47</v>
      </c>
      <c r="B873" s="44" t="s">
        <v>146</v>
      </c>
      <c r="C873" s="44" t="s">
        <v>146</v>
      </c>
      <c r="D873" s="47" t="s">
        <v>133</v>
      </c>
      <c r="E873" s="20" t="s">
        <v>125</v>
      </c>
      <c r="F873" s="1348" t="s">
        <v>27</v>
      </c>
      <c r="G873" s="93"/>
      <c r="H873" s="93"/>
      <c r="I873" s="93"/>
      <c r="J873" s="93"/>
      <c r="K873" s="93"/>
      <c r="L873" s="93"/>
      <c r="M873" s="93"/>
      <c r="N873" s="93"/>
      <c r="O873" s="93"/>
    </row>
    <row r="874" ht="15.75" customHeight="1">
      <c r="A874" s="17">
        <f t="shared" si="6"/>
        <v>48</v>
      </c>
      <c r="B874" s="44" t="s">
        <v>146</v>
      </c>
      <c r="C874" s="44" t="s">
        <v>146</v>
      </c>
      <c r="D874" s="47" t="s">
        <v>135</v>
      </c>
      <c r="E874" s="20" t="s">
        <v>136</v>
      </c>
      <c r="F874" s="1348" t="s">
        <v>27</v>
      </c>
      <c r="G874" s="93"/>
      <c r="H874" s="93"/>
      <c r="I874" s="93"/>
      <c r="J874" s="93"/>
      <c r="K874" s="93"/>
      <c r="L874" s="93"/>
      <c r="M874" s="93"/>
      <c r="N874" s="93"/>
      <c r="O874" s="93"/>
    </row>
    <row r="875" ht="15.75" customHeight="1">
      <c r="A875" s="17">
        <f t="shared" si="6"/>
        <v>49</v>
      </c>
      <c r="B875" s="44" t="s">
        <v>146</v>
      </c>
      <c r="C875" s="44" t="s">
        <v>146</v>
      </c>
      <c r="D875" s="47" t="s">
        <v>138</v>
      </c>
      <c r="E875" s="20" t="s">
        <v>136</v>
      </c>
      <c r="F875" s="1348" t="s">
        <v>27</v>
      </c>
      <c r="G875" s="93"/>
      <c r="H875" s="93"/>
      <c r="I875" s="93"/>
      <c r="J875" s="93"/>
      <c r="K875" s="93"/>
      <c r="L875" s="93"/>
      <c r="M875" s="93"/>
      <c r="N875" s="93"/>
      <c r="O875" s="93"/>
    </row>
    <row r="876" ht="15.75" customHeight="1">
      <c r="A876" s="17">
        <f t="shared" si="6"/>
        <v>50</v>
      </c>
      <c r="B876" s="44" t="s">
        <v>146</v>
      </c>
      <c r="C876" s="44" t="s">
        <v>146</v>
      </c>
      <c r="D876" s="47" t="s">
        <v>140</v>
      </c>
      <c r="E876" s="20" t="s">
        <v>141</v>
      </c>
      <c r="F876" s="1348" t="s">
        <v>30</v>
      </c>
      <c r="G876" s="93"/>
      <c r="H876" s="93"/>
      <c r="I876" s="93"/>
      <c r="J876" s="93"/>
      <c r="K876" s="93"/>
      <c r="L876" s="93"/>
      <c r="M876" s="93"/>
      <c r="N876" s="93"/>
      <c r="O876" s="93"/>
    </row>
    <row r="877" ht="15.75" customHeight="1">
      <c r="A877" s="17">
        <f t="shared" si="6"/>
        <v>51</v>
      </c>
      <c r="B877" s="44" t="s">
        <v>146</v>
      </c>
      <c r="C877" s="44" t="s">
        <v>146</v>
      </c>
      <c r="D877" s="52" t="s">
        <v>144</v>
      </c>
      <c r="E877" s="20" t="s">
        <v>141</v>
      </c>
      <c r="F877" s="1352" t="s">
        <v>33</v>
      </c>
      <c r="G877" s="93"/>
      <c r="H877" s="93"/>
      <c r="I877" s="93"/>
      <c r="J877" s="93"/>
      <c r="K877" s="93"/>
      <c r="L877" s="93"/>
      <c r="M877" s="93"/>
      <c r="N877" s="93"/>
      <c r="O877" s="93"/>
    </row>
    <row r="878" ht="15.75" customHeight="1">
      <c r="A878" s="17">
        <f t="shared" si="6"/>
        <v>52</v>
      </c>
      <c r="B878" s="44" t="s">
        <v>146</v>
      </c>
      <c r="C878" s="44" t="s">
        <v>146</v>
      </c>
      <c r="D878" s="54" t="s">
        <v>147</v>
      </c>
      <c r="E878" s="1353"/>
      <c r="F878" s="1347" t="s">
        <v>27</v>
      </c>
      <c r="G878" s="93"/>
      <c r="H878" s="93"/>
      <c r="I878" s="93"/>
      <c r="J878" s="93"/>
      <c r="K878" s="93"/>
      <c r="L878" s="93"/>
      <c r="M878" s="93"/>
      <c r="N878" s="93"/>
      <c r="O878" s="93"/>
    </row>
    <row r="879" ht="15.75" customHeight="1">
      <c r="A879" s="17">
        <f t="shared" si="6"/>
        <v>53</v>
      </c>
      <c r="B879" s="44" t="s">
        <v>146</v>
      </c>
      <c r="C879" s="44" t="s">
        <v>146</v>
      </c>
      <c r="D879" s="1262" t="s">
        <v>150</v>
      </c>
      <c r="E879" s="1354"/>
      <c r="F879" s="1348" t="s">
        <v>27</v>
      </c>
      <c r="G879" s="93"/>
      <c r="H879" s="93"/>
      <c r="I879" s="93"/>
      <c r="J879" s="93"/>
      <c r="K879" s="93"/>
      <c r="L879" s="93"/>
      <c r="M879" s="93"/>
      <c r="N879" s="93"/>
      <c r="O879" s="93"/>
    </row>
    <row r="880" ht="15.75" customHeight="1">
      <c r="A880" s="17">
        <f t="shared" si="6"/>
        <v>54</v>
      </c>
      <c r="B880" s="44" t="s">
        <v>146</v>
      </c>
      <c r="C880" s="44" t="s">
        <v>146</v>
      </c>
      <c r="D880" s="47" t="s">
        <v>152</v>
      </c>
      <c r="E880" s="1354"/>
      <c r="F880" s="1348" t="s">
        <v>30</v>
      </c>
      <c r="G880" s="93"/>
      <c r="H880" s="93"/>
      <c r="I880" s="93"/>
      <c r="J880" s="93"/>
      <c r="K880" s="93"/>
      <c r="L880" s="93"/>
      <c r="M880" s="93"/>
      <c r="N880" s="93"/>
      <c r="O880" s="93"/>
    </row>
    <row r="881" ht="15.75" customHeight="1">
      <c r="A881" s="17">
        <f t="shared" si="6"/>
        <v>55</v>
      </c>
      <c r="B881" s="44" t="s">
        <v>146</v>
      </c>
      <c r="C881" s="44" t="s">
        <v>146</v>
      </c>
      <c r="D881" s="47" t="s">
        <v>154</v>
      </c>
      <c r="E881" s="1354"/>
      <c r="F881" s="1348" t="s">
        <v>30</v>
      </c>
      <c r="G881" s="93"/>
      <c r="H881" s="93"/>
      <c r="I881" s="93"/>
      <c r="J881" s="93"/>
      <c r="K881" s="93"/>
      <c r="L881" s="93"/>
      <c r="M881" s="93"/>
      <c r="N881" s="93"/>
      <c r="O881" s="93"/>
    </row>
    <row r="882" ht="15.75" customHeight="1">
      <c r="A882" s="17">
        <f t="shared" si="6"/>
        <v>56</v>
      </c>
      <c r="B882" s="44" t="s">
        <v>146</v>
      </c>
      <c r="C882" s="57" t="s">
        <v>146</v>
      </c>
      <c r="D882" s="58" t="s">
        <v>156</v>
      </c>
      <c r="E882" s="1355"/>
      <c r="F882" s="1356" t="s">
        <v>30</v>
      </c>
      <c r="G882" s="93"/>
      <c r="H882" s="93"/>
      <c r="I882" s="93"/>
      <c r="J882" s="93"/>
      <c r="K882" s="93"/>
      <c r="L882" s="93"/>
      <c r="M882" s="93"/>
      <c r="N882" s="93"/>
      <c r="O882" s="93"/>
    </row>
    <row r="883" ht="15.75" customHeight="1">
      <c r="A883" s="17">
        <f t="shared" si="6"/>
        <v>57</v>
      </c>
      <c r="B883" s="44" t="s">
        <v>146</v>
      </c>
      <c r="C883" s="1357" t="s">
        <v>146</v>
      </c>
      <c r="D883" s="62" t="s">
        <v>157</v>
      </c>
      <c r="E883" s="9" t="s">
        <v>158</v>
      </c>
      <c r="F883" s="1358" t="s">
        <v>27</v>
      </c>
      <c r="G883" s="93"/>
      <c r="H883" s="93"/>
      <c r="I883" s="93"/>
      <c r="J883" s="93"/>
      <c r="K883" s="93"/>
      <c r="L883" s="93"/>
      <c r="M883" s="93"/>
      <c r="N883" s="93"/>
      <c r="O883" s="93"/>
    </row>
    <row r="884" ht="15.75" customHeight="1">
      <c r="A884" s="17">
        <f t="shared" si="6"/>
        <v>58</v>
      </c>
      <c r="B884" s="44" t="s">
        <v>146</v>
      </c>
      <c r="C884" s="461" t="s">
        <v>146</v>
      </c>
      <c r="D884" s="1359" t="s">
        <v>244</v>
      </c>
      <c r="E884" s="15" t="s">
        <v>158</v>
      </c>
      <c r="F884" s="1350" t="s">
        <v>30</v>
      </c>
      <c r="G884" s="93"/>
      <c r="H884" s="93"/>
      <c r="I884" s="93"/>
      <c r="J884" s="93"/>
      <c r="K884" s="93"/>
      <c r="L884" s="93"/>
      <c r="M884" s="93"/>
      <c r="N884" s="93"/>
      <c r="O884" s="93"/>
    </row>
    <row r="885" ht="15.75" customHeight="1">
      <c r="A885" s="17">
        <f t="shared" si="6"/>
        <v>59</v>
      </c>
      <c r="B885" s="44" t="s">
        <v>146</v>
      </c>
      <c r="C885" s="461" t="s">
        <v>146</v>
      </c>
      <c r="D885" s="1359" t="s">
        <v>246</v>
      </c>
      <c r="E885" s="15" t="s">
        <v>158</v>
      </c>
      <c r="F885" s="1350" t="s">
        <v>30</v>
      </c>
      <c r="G885" s="93"/>
      <c r="H885" s="93"/>
      <c r="I885" s="93"/>
      <c r="J885" s="93"/>
      <c r="K885" s="93"/>
      <c r="L885" s="93"/>
      <c r="M885" s="93"/>
      <c r="N885" s="93"/>
      <c r="O885" s="93"/>
    </row>
    <row r="886" ht="15.75" customHeight="1">
      <c r="A886" s="17">
        <f t="shared" si="6"/>
        <v>60</v>
      </c>
      <c r="B886" s="44" t="s">
        <v>146</v>
      </c>
      <c r="C886" s="461" t="s">
        <v>146</v>
      </c>
      <c r="D886" s="1359" t="s">
        <v>248</v>
      </c>
      <c r="E886" s="15" t="s">
        <v>158</v>
      </c>
      <c r="F886" s="1350" t="s">
        <v>30</v>
      </c>
      <c r="G886" s="93"/>
      <c r="H886" s="93"/>
      <c r="I886" s="93"/>
      <c r="J886" s="93"/>
      <c r="K886" s="93"/>
      <c r="L886" s="93"/>
      <c r="M886" s="93"/>
      <c r="N886" s="93"/>
      <c r="O886" s="93"/>
    </row>
    <row r="887" ht="15.75" customHeight="1">
      <c r="A887" s="17">
        <f t="shared" si="6"/>
        <v>61</v>
      </c>
      <c r="B887" s="44" t="s">
        <v>146</v>
      </c>
      <c r="C887" s="461" t="s">
        <v>146</v>
      </c>
      <c r="D887" s="64" t="s">
        <v>161</v>
      </c>
      <c r="E887" s="15" t="s">
        <v>158</v>
      </c>
      <c r="F887" s="1350" t="s">
        <v>30</v>
      </c>
      <c r="G887" s="93"/>
      <c r="H887" s="93"/>
      <c r="I887" s="93"/>
      <c r="J887" s="93"/>
      <c r="K887" s="93"/>
      <c r="L887" s="93"/>
      <c r="M887" s="93"/>
      <c r="N887" s="93"/>
      <c r="O887" s="93"/>
    </row>
    <row r="888" ht="15.75" customHeight="1">
      <c r="A888" s="17">
        <f t="shared" si="6"/>
        <v>62</v>
      </c>
      <c r="B888" s="44" t="s">
        <v>146</v>
      </c>
      <c r="C888" s="1360" t="s">
        <v>146</v>
      </c>
      <c r="D888" s="66" t="s">
        <v>163</v>
      </c>
      <c r="E888" s="67" t="s">
        <v>164</v>
      </c>
      <c r="F888" s="1361" t="s">
        <v>30</v>
      </c>
      <c r="G888" s="93"/>
      <c r="H888" s="93"/>
      <c r="I888" s="93"/>
      <c r="J888" s="93"/>
      <c r="K888" s="93"/>
      <c r="L888" s="93"/>
      <c r="M888" s="93"/>
      <c r="N888" s="93"/>
      <c r="O888" s="93"/>
    </row>
    <row r="889" ht="15.75" customHeight="1">
      <c r="A889" s="17">
        <f t="shared" si="6"/>
        <v>63</v>
      </c>
      <c r="B889" s="44" t="s">
        <v>146</v>
      </c>
      <c r="C889" s="69" t="s">
        <v>146</v>
      </c>
      <c r="D889" s="54" t="s">
        <v>165</v>
      </c>
      <c r="E889" s="13" t="s">
        <v>166</v>
      </c>
      <c r="F889" s="1347" t="s">
        <v>30</v>
      </c>
      <c r="G889" s="93"/>
      <c r="H889" s="93"/>
      <c r="I889" s="93"/>
      <c r="J889" s="93"/>
      <c r="K889" s="93"/>
      <c r="L889" s="93"/>
      <c r="M889" s="93"/>
      <c r="N889" s="93"/>
      <c r="O889" s="93"/>
    </row>
    <row r="890" ht="15.75" customHeight="1">
      <c r="A890" s="17">
        <f t="shared" si="6"/>
        <v>64</v>
      </c>
      <c r="B890" s="44" t="s">
        <v>146</v>
      </c>
      <c r="C890" s="44" t="s">
        <v>146</v>
      </c>
      <c r="D890" s="47" t="s">
        <v>169</v>
      </c>
      <c r="E890" s="20" t="s">
        <v>166</v>
      </c>
      <c r="F890" s="1348" t="s">
        <v>30</v>
      </c>
      <c r="G890" s="93"/>
      <c r="H890" s="93"/>
      <c r="I890" s="93"/>
      <c r="J890" s="93"/>
      <c r="K890" s="93"/>
      <c r="L890" s="93"/>
      <c r="M890" s="93"/>
      <c r="N890" s="93"/>
      <c r="O890" s="93"/>
    </row>
    <row r="891" ht="15.75" customHeight="1">
      <c r="A891" s="17">
        <f t="shared" si="6"/>
        <v>65</v>
      </c>
      <c r="B891" s="44" t="s">
        <v>146</v>
      </c>
      <c r="C891" s="44" t="s">
        <v>146</v>
      </c>
      <c r="D891" s="47" t="s">
        <v>171</v>
      </c>
      <c r="E891" s="20" t="s">
        <v>166</v>
      </c>
      <c r="F891" s="1348" t="s">
        <v>27</v>
      </c>
      <c r="G891" s="93"/>
      <c r="H891" s="93"/>
      <c r="I891" s="93"/>
      <c r="J891" s="93"/>
      <c r="K891" s="93"/>
      <c r="L891" s="93"/>
      <c r="M891" s="93"/>
      <c r="N891" s="93"/>
      <c r="O891" s="93"/>
    </row>
    <row r="892" ht="15.75" customHeight="1">
      <c r="A892" s="17">
        <f t="shared" si="6"/>
        <v>66</v>
      </c>
      <c r="B892" s="44" t="s">
        <v>146</v>
      </c>
      <c r="C892" s="44" t="s">
        <v>146</v>
      </c>
      <c r="D892" s="47" t="s">
        <v>173</v>
      </c>
      <c r="E892" s="20" t="s">
        <v>166</v>
      </c>
      <c r="F892" s="1348" t="s">
        <v>27</v>
      </c>
      <c r="G892" s="93"/>
      <c r="H892" s="93"/>
      <c r="I892" s="93"/>
      <c r="J892" s="93"/>
      <c r="K892" s="93"/>
      <c r="L892" s="93"/>
      <c r="M892" s="93"/>
      <c r="N892" s="93"/>
      <c r="O892" s="93"/>
    </row>
    <row r="893" ht="15.75" customHeight="1">
      <c r="A893" s="17">
        <f t="shared" si="6"/>
        <v>67</v>
      </c>
      <c r="B893" s="1362" t="s">
        <v>146</v>
      </c>
      <c r="C893" s="57" t="s">
        <v>146</v>
      </c>
      <c r="D893" s="58" t="s">
        <v>175</v>
      </c>
      <c r="E893" s="30" t="s">
        <v>166</v>
      </c>
      <c r="F893" s="1356" t="s">
        <v>30</v>
      </c>
      <c r="G893" s="93"/>
      <c r="H893" s="93"/>
      <c r="I893" s="93"/>
      <c r="J893" s="93"/>
      <c r="K893" s="93"/>
      <c r="L893" s="93"/>
      <c r="M893" s="93"/>
      <c r="N893" s="93"/>
      <c r="O893" s="93"/>
    </row>
    <row r="894" ht="15.75" customHeight="1">
      <c r="A894" s="17">
        <f t="shared" si="6"/>
        <v>68</v>
      </c>
      <c r="B894" s="1363"/>
      <c r="C894" s="11" t="s">
        <v>177</v>
      </c>
      <c r="D894" s="73" t="s">
        <v>178</v>
      </c>
      <c r="E894" s="74" t="s">
        <v>179</v>
      </c>
      <c r="F894" s="1347" t="s">
        <v>30</v>
      </c>
      <c r="G894" s="93"/>
      <c r="H894" s="93"/>
      <c r="I894" s="93"/>
      <c r="J894" s="93"/>
      <c r="K894" s="93"/>
      <c r="L894" s="93"/>
      <c r="M894" s="93"/>
      <c r="N894" s="93"/>
      <c r="O894" s="93"/>
    </row>
    <row r="895" ht="15.75" customHeight="1">
      <c r="A895" s="17">
        <f t="shared" si="6"/>
        <v>69</v>
      </c>
      <c r="B895" s="1364"/>
      <c r="C895" s="18" t="s">
        <v>177</v>
      </c>
      <c r="D895" s="76" t="s">
        <v>181</v>
      </c>
      <c r="E895" s="77" t="s">
        <v>179</v>
      </c>
      <c r="F895" s="1348" t="s">
        <v>33</v>
      </c>
      <c r="G895" s="93"/>
      <c r="H895" s="93"/>
      <c r="I895" s="93"/>
      <c r="J895" s="93"/>
      <c r="K895" s="93"/>
      <c r="L895" s="93"/>
      <c r="M895" s="93"/>
      <c r="N895" s="93"/>
      <c r="O895" s="93"/>
    </row>
    <row r="896" ht="15.75" customHeight="1">
      <c r="A896" s="17">
        <f t="shared" si="6"/>
        <v>70</v>
      </c>
      <c r="B896" s="1364"/>
      <c r="C896" s="18" t="s">
        <v>177</v>
      </c>
      <c r="D896" s="76" t="s">
        <v>183</v>
      </c>
      <c r="E896" s="77" t="s">
        <v>184</v>
      </c>
      <c r="F896" s="1348" t="s">
        <v>185</v>
      </c>
      <c r="G896" s="93"/>
      <c r="H896" s="93"/>
      <c r="I896" s="93"/>
      <c r="J896" s="93"/>
      <c r="K896" s="93"/>
      <c r="L896" s="93"/>
      <c r="M896" s="93"/>
      <c r="N896" s="93"/>
      <c r="O896" s="93"/>
    </row>
    <row r="897" ht="15.75" customHeight="1">
      <c r="A897" s="17">
        <f t="shared" si="6"/>
        <v>71</v>
      </c>
      <c r="B897" s="1364"/>
      <c r="C897" s="18" t="s">
        <v>177</v>
      </c>
      <c r="D897" s="76" t="s">
        <v>186</v>
      </c>
      <c r="E897" s="77" t="s">
        <v>184</v>
      </c>
      <c r="F897" s="1348" t="s">
        <v>185</v>
      </c>
      <c r="G897" s="93"/>
      <c r="H897" s="93"/>
      <c r="I897" s="93"/>
      <c r="J897" s="93"/>
      <c r="K897" s="93"/>
      <c r="L897" s="93"/>
      <c r="M897" s="93"/>
      <c r="N897" s="93"/>
      <c r="O897" s="93"/>
    </row>
    <row r="898" ht="15.75" customHeight="1">
      <c r="A898" s="17">
        <f t="shared" si="6"/>
        <v>72</v>
      </c>
      <c r="B898" s="1364"/>
      <c r="C898" s="18" t="s">
        <v>177</v>
      </c>
      <c r="D898" s="76" t="s">
        <v>188</v>
      </c>
      <c r="E898" s="77" t="s">
        <v>184</v>
      </c>
      <c r="F898" s="1348" t="s">
        <v>185</v>
      </c>
      <c r="G898" s="93"/>
      <c r="H898" s="93"/>
      <c r="I898" s="93"/>
      <c r="J898" s="93"/>
      <c r="K898" s="93"/>
      <c r="L898" s="93"/>
      <c r="M898" s="93"/>
      <c r="N898" s="93"/>
      <c r="O898" s="93"/>
    </row>
    <row r="899" ht="15.75" customHeight="1">
      <c r="A899" s="17">
        <f t="shared" si="6"/>
        <v>73</v>
      </c>
      <c r="B899" s="1365"/>
      <c r="C899" s="1366" t="s">
        <v>177</v>
      </c>
      <c r="D899" s="81" t="s">
        <v>191</v>
      </c>
      <c r="E899" s="82" t="s">
        <v>141</v>
      </c>
      <c r="F899" s="1356" t="s">
        <v>30</v>
      </c>
      <c r="G899" s="93"/>
      <c r="H899" s="93"/>
      <c r="I899" s="93"/>
      <c r="J899" s="93"/>
      <c r="K899" s="93"/>
      <c r="L899" s="93"/>
      <c r="M899" s="93"/>
      <c r="N899" s="93"/>
      <c r="O899" s="93"/>
    </row>
    <row r="900" ht="15.75" customHeight="1">
      <c r="A900" s="17">
        <f t="shared" si="6"/>
        <v>74</v>
      </c>
      <c r="B900" s="1364"/>
      <c r="C900" s="84"/>
      <c r="D900" s="85" t="s">
        <v>192</v>
      </c>
      <c r="E900" s="86" t="s">
        <v>193</v>
      </c>
      <c r="F900" s="1352" t="s">
        <v>30</v>
      </c>
      <c r="G900" s="93"/>
      <c r="H900" s="93"/>
      <c r="I900" s="93"/>
      <c r="J900" s="93"/>
      <c r="K900" s="93"/>
      <c r="L900" s="93"/>
      <c r="M900" s="93"/>
      <c r="N900" s="93"/>
      <c r="O900" s="93"/>
    </row>
    <row r="901" ht="15.75" customHeight="1">
      <c r="A901" s="17">
        <f t="shared" si="6"/>
        <v>75</v>
      </c>
      <c r="B901" s="1364"/>
      <c r="C901" s="18"/>
      <c r="D901" s="87" t="s">
        <v>195</v>
      </c>
      <c r="E901" s="77" t="s">
        <v>193</v>
      </c>
      <c r="F901" s="1348" t="s">
        <v>27</v>
      </c>
      <c r="G901" s="93"/>
      <c r="H901" s="93"/>
      <c r="I901" s="93"/>
      <c r="J901" s="93"/>
      <c r="K901" s="93"/>
      <c r="L901" s="93"/>
      <c r="M901" s="93"/>
      <c r="N901" s="93"/>
      <c r="O901" s="93"/>
    </row>
    <row r="902" ht="15.75" customHeight="1">
      <c r="A902" s="17">
        <f t="shared" si="6"/>
        <v>76</v>
      </c>
      <c r="B902" s="1364"/>
      <c r="C902" s="18"/>
      <c r="D902" s="87" t="s">
        <v>197</v>
      </c>
      <c r="E902" s="77" t="s">
        <v>193</v>
      </c>
      <c r="F902" s="1348" t="s">
        <v>27</v>
      </c>
      <c r="G902" s="93"/>
      <c r="H902" s="93"/>
      <c r="I902" s="93"/>
      <c r="J902" s="93"/>
      <c r="K902" s="93"/>
      <c r="L902" s="93"/>
      <c r="M902" s="93"/>
      <c r="N902" s="93"/>
      <c r="O902" s="93"/>
    </row>
    <row r="903" ht="15.75" customHeight="1">
      <c r="A903" s="17">
        <f t="shared" si="6"/>
        <v>77</v>
      </c>
      <c r="B903" s="1364"/>
      <c r="C903" s="18"/>
      <c r="D903" s="87" t="s">
        <v>199</v>
      </c>
      <c r="E903" s="77" t="s">
        <v>193</v>
      </c>
      <c r="F903" s="1348" t="s">
        <v>27</v>
      </c>
      <c r="G903" s="93"/>
      <c r="H903" s="93"/>
      <c r="I903" s="93"/>
      <c r="J903" s="93"/>
      <c r="K903" s="93"/>
      <c r="L903" s="93"/>
      <c r="M903" s="93"/>
      <c r="N903" s="93"/>
      <c r="O903" s="93"/>
    </row>
    <row r="904" ht="15.75" customHeight="1">
      <c r="A904" s="17">
        <f t="shared" si="6"/>
        <v>78</v>
      </c>
      <c r="B904" s="1364"/>
      <c r="C904" s="18"/>
      <c r="D904" s="87" t="s">
        <v>201</v>
      </c>
      <c r="E904" s="77" t="s">
        <v>193</v>
      </c>
      <c r="F904" s="1348" t="s">
        <v>30</v>
      </c>
      <c r="G904" s="93"/>
      <c r="H904" s="93"/>
      <c r="I904" s="93"/>
      <c r="J904" s="93"/>
      <c r="K904" s="93"/>
      <c r="L904" s="93"/>
      <c r="M904" s="93"/>
      <c r="N904" s="93"/>
      <c r="O904" s="93"/>
    </row>
    <row r="905" ht="15.75" customHeight="1">
      <c r="A905" s="17">
        <f t="shared" si="6"/>
        <v>79</v>
      </c>
      <c r="B905" s="1364"/>
      <c r="C905" s="18"/>
      <c r="D905" s="87" t="s">
        <v>203</v>
      </c>
      <c r="E905" s="77" t="s">
        <v>193</v>
      </c>
      <c r="F905" s="1348" t="s">
        <v>46</v>
      </c>
      <c r="G905" s="93"/>
      <c r="H905" s="93"/>
      <c r="I905" s="93"/>
      <c r="J905" s="93"/>
      <c r="K905" s="93"/>
      <c r="L905" s="93"/>
      <c r="M905" s="93"/>
      <c r="N905" s="93"/>
      <c r="O905" s="93"/>
    </row>
    <row r="906" ht="15.75" customHeight="1">
      <c r="A906" s="17">
        <f t="shared" si="6"/>
        <v>80</v>
      </c>
      <c r="B906" s="1364"/>
      <c r="C906" s="18"/>
      <c r="D906" s="87" t="s">
        <v>205</v>
      </c>
      <c r="E906" s="77" t="s">
        <v>193</v>
      </c>
      <c r="F906" s="1348" t="s">
        <v>30</v>
      </c>
      <c r="G906" s="93"/>
      <c r="H906" s="93"/>
      <c r="I906" s="93"/>
      <c r="J906" s="93"/>
      <c r="K906" s="93"/>
      <c r="L906" s="93"/>
      <c r="M906" s="93"/>
      <c r="N906" s="93"/>
      <c r="O906" s="93"/>
    </row>
    <row r="907" ht="15.75" customHeight="1">
      <c r="A907" s="17">
        <f t="shared" si="6"/>
        <v>81</v>
      </c>
      <c r="B907" s="1364"/>
      <c r="C907" s="18"/>
      <c r="D907" s="87" t="s">
        <v>207</v>
      </c>
      <c r="E907" s="77" t="s">
        <v>193</v>
      </c>
      <c r="F907" s="1348" t="s">
        <v>30</v>
      </c>
      <c r="G907" s="93"/>
      <c r="H907" s="93"/>
      <c r="I907" s="93"/>
      <c r="J907" s="93"/>
      <c r="K907" s="93"/>
      <c r="L907" s="93"/>
      <c r="M907" s="93"/>
      <c r="N907" s="93"/>
      <c r="O907" s="93"/>
    </row>
    <row r="908" ht="15.75" customHeight="1">
      <c r="A908" s="17">
        <f t="shared" si="6"/>
        <v>82</v>
      </c>
      <c r="B908" s="1364"/>
      <c r="C908" s="18"/>
      <c r="D908" s="87" t="s">
        <v>209</v>
      </c>
      <c r="E908" s="77" t="s">
        <v>193</v>
      </c>
      <c r="F908" s="1348" t="s">
        <v>27</v>
      </c>
      <c r="G908" s="93"/>
      <c r="H908" s="93"/>
      <c r="I908" s="93"/>
      <c r="J908" s="93"/>
      <c r="K908" s="93"/>
      <c r="L908" s="93"/>
      <c r="M908" s="93"/>
      <c r="N908" s="93"/>
      <c r="O908" s="93"/>
    </row>
    <row r="909" ht="15.75" customHeight="1">
      <c r="A909" s="17">
        <f t="shared" si="6"/>
        <v>83</v>
      </c>
      <c r="B909" s="1364"/>
      <c r="C909" s="18"/>
      <c r="D909" s="87" t="s">
        <v>211</v>
      </c>
      <c r="E909" s="77" t="s">
        <v>193</v>
      </c>
      <c r="F909" s="1348" t="s">
        <v>46</v>
      </c>
      <c r="G909" s="93"/>
      <c r="H909" s="93"/>
      <c r="I909" s="93"/>
      <c r="J909" s="93"/>
      <c r="K909" s="93"/>
      <c r="L909" s="93"/>
      <c r="M909" s="93"/>
      <c r="N909" s="93"/>
      <c r="O909" s="93"/>
    </row>
    <row r="910" ht="15.75" customHeight="1">
      <c r="A910" s="17">
        <f t="shared" si="6"/>
        <v>84</v>
      </c>
      <c r="B910" s="1364"/>
      <c r="C910" s="18"/>
      <c r="D910" s="88" t="s">
        <v>213</v>
      </c>
      <c r="E910" s="77" t="s">
        <v>193</v>
      </c>
      <c r="F910" s="1348" t="s">
        <v>30</v>
      </c>
      <c r="G910" s="93"/>
      <c r="H910" s="93"/>
      <c r="I910" s="93"/>
      <c r="J910" s="93"/>
      <c r="K910" s="93"/>
      <c r="L910" s="93"/>
      <c r="M910" s="93"/>
      <c r="N910" s="93"/>
      <c r="O910" s="93"/>
    </row>
    <row r="911" ht="15.75" customHeight="1">
      <c r="A911" s="17">
        <f t="shared" si="6"/>
        <v>85</v>
      </c>
      <c r="B911" s="1364"/>
      <c r="C911" s="18"/>
      <c r="D911" s="87" t="s">
        <v>214</v>
      </c>
      <c r="E911" s="77" t="s">
        <v>193</v>
      </c>
      <c r="F911" s="1348" t="s">
        <v>30</v>
      </c>
      <c r="G911" s="93"/>
      <c r="H911" s="93"/>
      <c r="I911" s="93"/>
      <c r="J911" s="93"/>
      <c r="K911" s="93"/>
      <c r="L911" s="93"/>
      <c r="M911" s="93"/>
      <c r="N911" s="93"/>
      <c r="O911" s="93"/>
    </row>
    <row r="912" ht="15.75" customHeight="1">
      <c r="A912" s="17">
        <f t="shared" si="6"/>
        <v>86</v>
      </c>
      <c r="B912" s="1364"/>
      <c r="C912" s="18"/>
      <c r="D912" s="87" t="s">
        <v>216</v>
      </c>
      <c r="E912" s="77" t="s">
        <v>193</v>
      </c>
      <c r="F912" s="1348" t="s">
        <v>30</v>
      </c>
      <c r="G912" s="93"/>
      <c r="H912" s="93"/>
      <c r="I912" s="93"/>
      <c r="J912" s="93"/>
      <c r="K912" s="93"/>
      <c r="L912" s="93"/>
      <c r="M912" s="93"/>
      <c r="N912" s="93"/>
      <c r="O912" s="93"/>
    </row>
    <row r="913" ht="15.75" customHeight="1">
      <c r="A913" s="17">
        <f t="shared" si="6"/>
        <v>87</v>
      </c>
      <c r="B913" s="1364"/>
      <c r="C913" s="18"/>
      <c r="D913" s="87" t="s">
        <v>218</v>
      </c>
      <c r="E913" s="77" t="s">
        <v>193</v>
      </c>
      <c r="F913" s="1348" t="s">
        <v>27</v>
      </c>
      <c r="G913" s="93"/>
      <c r="H913" s="93"/>
      <c r="I913" s="93"/>
      <c r="J913" s="93"/>
      <c r="K913" s="93"/>
      <c r="L913" s="93"/>
      <c r="M913" s="93"/>
      <c r="N913" s="93"/>
      <c r="O913" s="93"/>
    </row>
    <row r="914" ht="15.75" customHeight="1">
      <c r="A914" s="17">
        <f t="shared" si="6"/>
        <v>88</v>
      </c>
      <c r="B914" s="1364"/>
      <c r="C914" s="18"/>
      <c r="D914" s="87" t="s">
        <v>220</v>
      </c>
      <c r="E914" s="77" t="s">
        <v>193</v>
      </c>
      <c r="F914" s="1348" t="s">
        <v>221</v>
      </c>
      <c r="G914" s="93"/>
      <c r="H914" s="93"/>
      <c r="I914" s="93"/>
      <c r="J914" s="93"/>
      <c r="K914" s="93"/>
      <c r="L914" s="93"/>
      <c r="M914" s="93"/>
      <c r="N914" s="93"/>
      <c r="O914" s="93"/>
    </row>
    <row r="915" ht="15.75" customHeight="1">
      <c r="A915" s="17">
        <f t="shared" si="6"/>
        <v>89</v>
      </c>
      <c r="B915" s="1364"/>
      <c r="C915" s="18"/>
      <c r="D915" s="87" t="s">
        <v>223</v>
      </c>
      <c r="E915" s="77" t="s">
        <v>193</v>
      </c>
      <c r="F915" s="1348" t="s">
        <v>224</v>
      </c>
      <c r="G915" s="93"/>
      <c r="H915" s="93"/>
      <c r="I915" s="93"/>
      <c r="J915" s="93"/>
      <c r="K915" s="93"/>
      <c r="L915" s="93"/>
      <c r="M915" s="93"/>
      <c r="N915" s="93"/>
      <c r="O915" s="93"/>
    </row>
    <row r="916" ht="15.75" customHeight="1">
      <c r="A916" s="17">
        <f t="shared" si="6"/>
        <v>90</v>
      </c>
      <c r="B916" s="1364"/>
      <c r="C916" s="18"/>
      <c r="D916" s="87" t="s">
        <v>226</v>
      </c>
      <c r="E916" s="77" t="s">
        <v>193</v>
      </c>
      <c r="F916" s="1348" t="s">
        <v>224</v>
      </c>
      <c r="G916" s="93"/>
      <c r="H916" s="93"/>
      <c r="I916" s="93"/>
      <c r="J916" s="93"/>
      <c r="K916" s="93"/>
      <c r="L916" s="93"/>
      <c r="M916" s="93"/>
      <c r="N916" s="93"/>
      <c r="O916" s="93"/>
    </row>
    <row r="917" ht="15.75" customHeight="1">
      <c r="A917" s="17">
        <f t="shared" si="6"/>
        <v>91</v>
      </c>
      <c r="B917" s="1364"/>
      <c r="C917" s="18"/>
      <c r="D917" s="87" t="s">
        <v>227</v>
      </c>
      <c r="E917" s="77" t="s">
        <v>193</v>
      </c>
      <c r="F917" s="1348" t="s">
        <v>224</v>
      </c>
      <c r="G917" s="93"/>
      <c r="H917" s="93"/>
      <c r="I917" s="93"/>
      <c r="J917" s="93"/>
      <c r="K917" s="93"/>
      <c r="L917" s="93"/>
      <c r="M917" s="93"/>
      <c r="N917" s="93"/>
      <c r="O917" s="93"/>
    </row>
    <row r="918" ht="15.75" customHeight="1">
      <c r="A918" s="17">
        <f t="shared" si="6"/>
        <v>92</v>
      </c>
      <c r="B918" s="1364"/>
      <c r="C918" s="18"/>
      <c r="D918" s="87" t="s">
        <v>229</v>
      </c>
      <c r="E918" s="77" t="s">
        <v>193</v>
      </c>
      <c r="F918" s="1348" t="s">
        <v>27</v>
      </c>
      <c r="G918" s="93"/>
      <c r="H918" s="93"/>
      <c r="I918" s="93"/>
      <c r="J918" s="93"/>
      <c r="K918" s="93"/>
      <c r="L918" s="93"/>
      <c r="M918" s="93"/>
      <c r="N918" s="93"/>
      <c r="O918" s="93"/>
    </row>
    <row r="919" ht="15.75" customHeight="1">
      <c r="A919" s="17">
        <f t="shared" si="6"/>
        <v>93</v>
      </c>
      <c r="B919" s="1364"/>
      <c r="C919" s="18"/>
      <c r="D919" s="87" t="s">
        <v>231</v>
      </c>
      <c r="E919" s="77" t="s">
        <v>193</v>
      </c>
      <c r="F919" s="1348" t="s">
        <v>27</v>
      </c>
      <c r="G919" s="93"/>
      <c r="H919" s="93"/>
      <c r="I919" s="93"/>
      <c r="J919" s="93"/>
      <c r="K919" s="93"/>
      <c r="L919" s="93"/>
      <c r="M919" s="93"/>
      <c r="N919" s="93"/>
      <c r="O919" s="93"/>
    </row>
    <row r="920" ht="15.75" customHeight="1">
      <c r="A920" s="17">
        <f t="shared" si="6"/>
        <v>94</v>
      </c>
      <c r="B920" s="1364"/>
      <c r="C920" s="18"/>
      <c r="D920" s="87" t="s">
        <v>232</v>
      </c>
      <c r="E920" s="77" t="s">
        <v>193</v>
      </c>
      <c r="F920" s="1348" t="s">
        <v>27</v>
      </c>
      <c r="G920" s="93"/>
      <c r="H920" s="93"/>
      <c r="I920" s="93"/>
      <c r="J920" s="93"/>
      <c r="K920" s="93"/>
      <c r="L920" s="93"/>
      <c r="M920" s="93"/>
      <c r="N920" s="93"/>
      <c r="O920" s="93"/>
    </row>
    <row r="921" ht="15.75" customHeight="1">
      <c r="A921" s="17">
        <f t="shared" si="6"/>
        <v>95</v>
      </c>
      <c r="B921" s="1364"/>
      <c r="C921" s="18"/>
      <c r="D921" s="87" t="s">
        <v>233</v>
      </c>
      <c r="E921" s="77" t="s">
        <v>193</v>
      </c>
      <c r="F921" s="1348" t="s">
        <v>30</v>
      </c>
      <c r="G921" s="93"/>
      <c r="H921" s="93"/>
      <c r="I921" s="93"/>
      <c r="J921" s="93"/>
      <c r="K921" s="93"/>
      <c r="L921" s="93"/>
      <c r="M921" s="93"/>
      <c r="N921" s="93"/>
      <c r="O921" s="93"/>
    </row>
    <row r="922" ht="15.75" customHeight="1">
      <c r="A922" s="17">
        <f t="shared" si="6"/>
        <v>96</v>
      </c>
      <c r="B922" s="1364"/>
      <c r="C922" s="18"/>
      <c r="D922" s="103" t="s">
        <v>250</v>
      </c>
      <c r="E922" s="77" t="s">
        <v>236</v>
      </c>
      <c r="F922" s="1348" t="s">
        <v>33</v>
      </c>
      <c r="G922" s="93"/>
      <c r="H922" s="93"/>
      <c r="I922" s="93"/>
      <c r="J922" s="93"/>
      <c r="K922" s="93"/>
      <c r="L922" s="93"/>
      <c r="M922" s="93"/>
      <c r="N922" s="93"/>
      <c r="O922" s="93"/>
    </row>
    <row r="923" ht="15.75" customHeight="1">
      <c r="A923" s="17">
        <f t="shared" si="6"/>
        <v>97</v>
      </c>
      <c r="B923" s="1364"/>
      <c r="C923" s="18"/>
      <c r="D923" s="103" t="s">
        <v>238</v>
      </c>
      <c r="E923" s="77" t="s">
        <v>236</v>
      </c>
      <c r="F923" s="1348" t="s">
        <v>27</v>
      </c>
      <c r="G923" s="93"/>
      <c r="H923" s="93"/>
      <c r="I923" s="93"/>
      <c r="J923" s="93"/>
      <c r="K923" s="93"/>
      <c r="L923" s="93"/>
      <c r="M923" s="93"/>
      <c r="N923" s="93"/>
      <c r="O923" s="93"/>
    </row>
    <row r="924" ht="15.75" customHeight="1">
      <c r="A924" s="17">
        <f t="shared" si="6"/>
        <v>98</v>
      </c>
      <c r="B924" s="1364"/>
      <c r="C924" s="18"/>
      <c r="D924" s="103" t="s">
        <v>252</v>
      </c>
      <c r="E924" s="77" t="s">
        <v>236</v>
      </c>
      <c r="F924" s="1348" t="s">
        <v>30</v>
      </c>
      <c r="G924" s="93"/>
      <c r="H924" s="93"/>
      <c r="I924" s="93"/>
      <c r="J924" s="93"/>
      <c r="K924" s="93"/>
      <c r="L924" s="93"/>
      <c r="M924" s="93"/>
      <c r="N924" s="93"/>
      <c r="O924" s="93"/>
    </row>
    <row r="925" ht="15.75" customHeight="1">
      <c r="A925" s="17">
        <f t="shared" si="6"/>
        <v>99</v>
      </c>
      <c r="B925" s="1364"/>
      <c r="C925" s="18"/>
      <c r="D925" s="103" t="s">
        <v>254</v>
      </c>
      <c r="E925" s="77" t="s">
        <v>236</v>
      </c>
      <c r="F925" s="1348" t="s">
        <v>27</v>
      </c>
      <c r="G925" s="93"/>
      <c r="H925" s="93"/>
      <c r="I925" s="93"/>
      <c r="J925" s="93"/>
      <c r="K925" s="93"/>
      <c r="L925" s="93"/>
      <c r="M925" s="93"/>
      <c r="N925" s="93"/>
      <c r="O925" s="93"/>
    </row>
    <row r="926" ht="15.75" customHeight="1">
      <c r="A926" s="17">
        <f t="shared" si="6"/>
        <v>100</v>
      </c>
      <c r="B926" s="1364"/>
      <c r="C926" s="18"/>
      <c r="D926" s="103" t="s">
        <v>256</v>
      </c>
      <c r="E926" s="77" t="s">
        <v>236</v>
      </c>
      <c r="F926" s="1348" t="s">
        <v>30</v>
      </c>
      <c r="G926" s="93"/>
      <c r="H926" s="93"/>
      <c r="I926" s="93"/>
      <c r="J926" s="93"/>
      <c r="K926" s="93"/>
      <c r="L926" s="93"/>
      <c r="M926" s="93"/>
      <c r="N926" s="93"/>
      <c r="O926" s="93"/>
    </row>
    <row r="927" ht="15.75" customHeight="1">
      <c r="A927" s="17">
        <f t="shared" si="6"/>
        <v>101</v>
      </c>
      <c r="B927" s="1364"/>
      <c r="C927" s="18"/>
      <c r="D927" s="103" t="s">
        <v>258</v>
      </c>
      <c r="E927" s="77" t="s">
        <v>236</v>
      </c>
      <c r="F927" s="1348" t="s">
        <v>30</v>
      </c>
      <c r="G927" s="93"/>
      <c r="H927" s="93"/>
      <c r="I927" s="93"/>
      <c r="J927" s="93"/>
      <c r="K927" s="93"/>
      <c r="L927" s="93"/>
      <c r="M927" s="93"/>
      <c r="N927" s="93"/>
      <c r="O927" s="93"/>
    </row>
    <row r="928" ht="15.75" customHeight="1">
      <c r="A928" s="17">
        <f t="shared" si="6"/>
        <v>102</v>
      </c>
      <c r="B928" s="1364"/>
      <c r="C928" s="18"/>
      <c r="D928" s="103" t="s">
        <v>260</v>
      </c>
      <c r="E928" s="77" t="s">
        <v>236</v>
      </c>
      <c r="F928" s="1348" t="s">
        <v>27</v>
      </c>
      <c r="G928" s="93"/>
      <c r="H928" s="93"/>
      <c r="I928" s="93"/>
      <c r="J928" s="93"/>
      <c r="K928" s="93"/>
      <c r="L928" s="93"/>
      <c r="M928" s="93"/>
      <c r="N928" s="93"/>
      <c r="O928" s="93"/>
    </row>
    <row r="929" ht="15.75" customHeight="1">
      <c r="A929" s="17">
        <f t="shared" si="6"/>
        <v>103</v>
      </c>
      <c r="B929" s="1364"/>
      <c r="C929" s="18"/>
      <c r="D929" s="103" t="s">
        <v>262</v>
      </c>
      <c r="E929" s="77" t="s">
        <v>236</v>
      </c>
      <c r="F929" s="1348" t="s">
        <v>30</v>
      </c>
      <c r="G929" s="93"/>
      <c r="H929" s="93"/>
      <c r="I929" s="93"/>
      <c r="J929" s="93"/>
      <c r="K929" s="93"/>
      <c r="L929" s="93"/>
      <c r="M929" s="93"/>
      <c r="N929" s="93"/>
      <c r="O929" s="93"/>
    </row>
    <row r="930" ht="15.75" customHeight="1">
      <c r="A930" s="17">
        <f t="shared" si="6"/>
        <v>104</v>
      </c>
      <c r="B930" s="1364"/>
      <c r="C930" s="18"/>
      <c r="D930" s="103" t="s">
        <v>240</v>
      </c>
      <c r="E930" s="77" t="s">
        <v>236</v>
      </c>
      <c r="F930" s="1348" t="s">
        <v>27</v>
      </c>
      <c r="G930" s="93"/>
      <c r="H930" s="93"/>
      <c r="I930" s="93"/>
      <c r="J930" s="93"/>
      <c r="K930" s="93"/>
      <c r="L930" s="93"/>
      <c r="M930" s="93"/>
      <c r="N930" s="93"/>
      <c r="O930" s="93"/>
    </row>
    <row r="931" ht="15.75" customHeight="1">
      <c r="A931" s="17">
        <f t="shared" si="6"/>
        <v>105</v>
      </c>
      <c r="B931" s="1364"/>
      <c r="C931" s="18"/>
      <c r="D931" s="103" t="s">
        <v>264</v>
      </c>
      <c r="E931" s="77" t="s">
        <v>236</v>
      </c>
      <c r="F931" s="1348" t="s">
        <v>33</v>
      </c>
      <c r="G931" s="93"/>
      <c r="H931" s="93"/>
      <c r="I931" s="93"/>
      <c r="J931" s="93"/>
      <c r="K931" s="93"/>
      <c r="L931" s="93"/>
      <c r="M931" s="93"/>
      <c r="N931" s="93"/>
      <c r="O931" s="93"/>
    </row>
    <row r="932" ht="15.75" customHeight="1">
      <c r="A932" s="17">
        <f t="shared" si="6"/>
        <v>106</v>
      </c>
      <c r="B932" s="1364"/>
      <c r="C932" s="18"/>
      <c r="D932" s="103" t="s">
        <v>266</v>
      </c>
      <c r="E932" s="77" t="s">
        <v>236</v>
      </c>
      <c r="F932" s="1348" t="s">
        <v>27</v>
      </c>
      <c r="G932" s="93"/>
      <c r="H932" s="93"/>
      <c r="I932" s="93"/>
      <c r="J932" s="93"/>
      <c r="K932" s="93"/>
      <c r="L932" s="93"/>
      <c r="M932" s="93"/>
      <c r="N932" s="93"/>
      <c r="O932" s="93"/>
    </row>
    <row r="933" ht="15.75" customHeight="1">
      <c r="A933" s="17">
        <f t="shared" si="6"/>
        <v>107</v>
      </c>
      <c r="B933" s="1364"/>
      <c r="C933" s="18"/>
      <c r="D933" s="103" t="s">
        <v>268</v>
      </c>
      <c r="E933" s="77" t="s">
        <v>236</v>
      </c>
      <c r="F933" s="1348" t="s">
        <v>30</v>
      </c>
      <c r="G933" s="93"/>
      <c r="H933" s="93"/>
      <c r="I933" s="93"/>
      <c r="J933" s="93"/>
      <c r="K933" s="93"/>
      <c r="L933" s="93"/>
      <c r="M933" s="93"/>
      <c r="N933" s="93"/>
      <c r="O933" s="93"/>
    </row>
    <row r="934" ht="15.75" customHeight="1">
      <c r="A934" s="17">
        <f t="shared" si="6"/>
        <v>108</v>
      </c>
      <c r="B934" s="1364"/>
      <c r="C934" s="18"/>
      <c r="D934" s="103" t="s">
        <v>242</v>
      </c>
      <c r="E934" s="77" t="s">
        <v>236</v>
      </c>
      <c r="F934" s="1348" t="s">
        <v>30</v>
      </c>
      <c r="G934" s="93"/>
      <c r="H934" s="93"/>
      <c r="I934" s="93"/>
      <c r="J934" s="93"/>
      <c r="K934" s="93"/>
      <c r="L934" s="93"/>
      <c r="M934" s="93"/>
      <c r="N934" s="93"/>
      <c r="O934" s="93"/>
    </row>
    <row r="935" ht="15.75" customHeight="1">
      <c r="A935" s="17">
        <f t="shared" si="6"/>
        <v>109</v>
      </c>
      <c r="B935" s="1364"/>
      <c r="C935" s="18"/>
      <c r="D935" s="103" t="s">
        <v>270</v>
      </c>
      <c r="E935" s="77" t="s">
        <v>236</v>
      </c>
      <c r="F935" s="1348" t="s">
        <v>30</v>
      </c>
      <c r="G935" s="93"/>
      <c r="H935" s="93"/>
      <c r="I935" s="93"/>
      <c r="J935" s="93"/>
      <c r="K935" s="93"/>
      <c r="L935" s="93"/>
      <c r="M935" s="93"/>
      <c r="N935" s="93"/>
      <c r="O935" s="93"/>
    </row>
    <row r="936" ht="15.75" customHeight="1">
      <c r="A936" s="17">
        <f t="shared" si="6"/>
        <v>110</v>
      </c>
      <c r="B936" s="1364"/>
      <c r="C936" s="18"/>
      <c r="D936" s="103" t="s">
        <v>272</v>
      </c>
      <c r="E936" s="77" t="s">
        <v>236</v>
      </c>
      <c r="F936" s="1348" t="s">
        <v>27</v>
      </c>
      <c r="G936" s="93"/>
      <c r="H936" s="93"/>
      <c r="I936" s="93"/>
      <c r="J936" s="93"/>
      <c r="K936" s="93"/>
      <c r="L936" s="93"/>
      <c r="M936" s="93"/>
      <c r="N936" s="93"/>
      <c r="O936" s="93"/>
    </row>
    <row r="937" ht="15.75" customHeight="1">
      <c r="A937" s="17">
        <f t="shared" si="6"/>
        <v>111</v>
      </c>
      <c r="B937" s="1364"/>
      <c r="C937" s="18"/>
      <c r="D937" s="103" t="s">
        <v>274</v>
      </c>
      <c r="E937" s="77" t="s">
        <v>236</v>
      </c>
      <c r="F937" s="1348" t="s">
        <v>27</v>
      </c>
      <c r="G937" s="93"/>
      <c r="H937" s="93"/>
      <c r="I937" s="93"/>
      <c r="J937" s="93"/>
      <c r="K937" s="93"/>
      <c r="L937" s="93"/>
      <c r="M937" s="93"/>
      <c r="N937" s="93"/>
      <c r="O937" s="93"/>
    </row>
    <row r="938" ht="15.75" customHeight="1">
      <c r="A938" s="17">
        <f t="shared" si="6"/>
        <v>112</v>
      </c>
      <c r="B938" s="1364"/>
      <c r="C938" s="18"/>
      <c r="D938" s="103" t="s">
        <v>276</v>
      </c>
      <c r="E938" s="77" t="s">
        <v>236</v>
      </c>
      <c r="F938" s="1348" t="s">
        <v>27</v>
      </c>
      <c r="G938" s="93"/>
      <c r="H938" s="93"/>
      <c r="I938" s="93"/>
      <c r="J938" s="93"/>
      <c r="K938" s="93"/>
      <c r="L938" s="93"/>
      <c r="M938" s="93"/>
      <c r="N938" s="93"/>
      <c r="O938" s="93"/>
    </row>
    <row r="939" ht="15.75" customHeight="1">
      <c r="A939" s="17">
        <f t="shared" si="6"/>
        <v>113</v>
      </c>
      <c r="B939" s="1364"/>
      <c r="C939" s="18"/>
      <c r="D939" s="103" t="s">
        <v>278</v>
      </c>
      <c r="E939" s="77" t="s">
        <v>236</v>
      </c>
      <c r="F939" s="1348" t="s">
        <v>27</v>
      </c>
      <c r="G939" s="93"/>
      <c r="H939" s="93"/>
      <c r="I939" s="93"/>
      <c r="J939" s="93"/>
      <c r="K939" s="93"/>
      <c r="L939" s="93"/>
      <c r="M939" s="93"/>
      <c r="N939" s="93"/>
      <c r="O939" s="93"/>
    </row>
    <row r="940" ht="15.75" customHeight="1">
      <c r="A940" s="17">
        <f t="shared" si="6"/>
        <v>114</v>
      </c>
      <c r="B940" s="1364"/>
      <c r="C940" s="18"/>
      <c r="D940" s="103" t="s">
        <v>280</v>
      </c>
      <c r="E940" s="77" t="s">
        <v>236</v>
      </c>
      <c r="F940" s="1348" t="s">
        <v>281</v>
      </c>
      <c r="G940" s="93"/>
      <c r="H940" s="93"/>
      <c r="I940" s="93"/>
      <c r="J940" s="93"/>
      <c r="K940" s="93"/>
      <c r="L940" s="93"/>
      <c r="M940" s="93"/>
      <c r="N940" s="93"/>
      <c r="O940" s="93"/>
    </row>
    <row r="941" ht="15.75" customHeight="1">
      <c r="A941" s="17">
        <f t="shared" si="6"/>
        <v>115</v>
      </c>
      <c r="B941" s="1364"/>
      <c r="C941" s="18"/>
      <c r="D941" s="103" t="s">
        <v>283</v>
      </c>
      <c r="E941" s="77" t="s">
        <v>236</v>
      </c>
      <c r="F941" s="1348" t="s">
        <v>284</v>
      </c>
      <c r="G941" s="93"/>
      <c r="H941" s="93"/>
      <c r="I941" s="93"/>
      <c r="J941" s="93"/>
      <c r="K941" s="93"/>
      <c r="L941" s="93"/>
      <c r="M941" s="93"/>
      <c r="N941" s="93"/>
      <c r="O941" s="93"/>
    </row>
    <row r="942" ht="15.75" customHeight="1">
      <c r="A942" s="17">
        <f t="shared" si="6"/>
        <v>116</v>
      </c>
      <c r="B942" s="1364"/>
      <c r="C942" s="18"/>
      <c r="D942" s="103" t="s">
        <v>286</v>
      </c>
      <c r="E942" s="77" t="s">
        <v>236</v>
      </c>
      <c r="F942" s="1348" t="s">
        <v>221</v>
      </c>
      <c r="G942" s="93"/>
      <c r="H942" s="93"/>
      <c r="I942" s="93"/>
      <c r="J942" s="93"/>
      <c r="K942" s="93"/>
      <c r="L942" s="93"/>
      <c r="M942" s="93"/>
      <c r="N942" s="93"/>
      <c r="O942" s="93"/>
    </row>
    <row r="943" ht="15.75" customHeight="1">
      <c r="A943" s="17">
        <f t="shared" si="6"/>
        <v>117</v>
      </c>
      <c r="B943" s="1364"/>
      <c r="C943" s="18"/>
      <c r="D943" s="103" t="s">
        <v>235</v>
      </c>
      <c r="E943" s="77" t="s">
        <v>236</v>
      </c>
      <c r="F943" s="1348" t="s">
        <v>27</v>
      </c>
      <c r="G943" s="93"/>
      <c r="H943" s="93"/>
      <c r="I943" s="93"/>
      <c r="J943" s="93"/>
      <c r="K943" s="93"/>
      <c r="L943" s="93"/>
      <c r="M943" s="93"/>
      <c r="N943" s="93"/>
      <c r="O943" s="93"/>
    </row>
    <row r="944" ht="15.75" customHeight="1">
      <c r="A944" s="17">
        <f t="shared" si="6"/>
        <v>118</v>
      </c>
      <c r="B944" s="1365"/>
      <c r="C944" s="1366"/>
      <c r="D944" s="81" t="s">
        <v>189</v>
      </c>
      <c r="E944" s="82" t="s">
        <v>184</v>
      </c>
      <c r="F944" s="1356" t="s">
        <v>185</v>
      </c>
      <c r="G944" s="93"/>
      <c r="H944" s="93"/>
      <c r="I944" s="93"/>
      <c r="J944" s="93"/>
      <c r="K944" s="93"/>
      <c r="L944" s="93"/>
      <c r="M944" s="93"/>
      <c r="N944" s="93"/>
      <c r="O944" s="93"/>
    </row>
    <row r="945" ht="15.75" customHeight="1">
      <c r="A945" s="17">
        <f t="shared" si="6"/>
        <v>119</v>
      </c>
      <c r="B945" s="1367"/>
      <c r="C945" s="93"/>
      <c r="D945" s="93"/>
      <c r="E945" s="93"/>
      <c r="F945" s="1350"/>
      <c r="G945" s="93"/>
      <c r="H945" s="93"/>
      <c r="I945" s="93"/>
      <c r="J945" s="93"/>
      <c r="K945" s="93"/>
      <c r="L945" s="93"/>
      <c r="M945" s="93"/>
      <c r="N945" s="93"/>
      <c r="O945" s="93"/>
    </row>
    <row r="946" ht="15.75" customHeight="1">
      <c r="A946" s="17">
        <f t="shared" si="6"/>
        <v>120</v>
      </c>
      <c r="B946" s="94"/>
      <c r="C946" s="93"/>
      <c r="D946" s="93"/>
      <c r="E946" s="93"/>
      <c r="F946" s="1350"/>
      <c r="G946" s="93"/>
      <c r="H946" s="93"/>
      <c r="I946" s="93"/>
      <c r="J946" s="93"/>
      <c r="K946" s="93"/>
      <c r="L946" s="93"/>
      <c r="M946" s="93"/>
      <c r="N946" s="93"/>
      <c r="O946" s="93"/>
    </row>
    <row r="947" ht="15.75" customHeight="1">
      <c r="A947" s="17">
        <f t="shared" si="6"/>
        <v>121</v>
      </c>
      <c r="B947" s="94"/>
      <c r="C947" s="93"/>
      <c r="D947" s="93"/>
      <c r="E947" s="93"/>
      <c r="F947" s="1350"/>
      <c r="G947" s="93"/>
      <c r="H947" s="93"/>
      <c r="I947" s="93"/>
      <c r="J947" s="93"/>
      <c r="K947" s="93"/>
      <c r="L947" s="93"/>
      <c r="M947" s="93"/>
      <c r="N947" s="93"/>
      <c r="O947" s="93"/>
    </row>
    <row r="948" ht="15.75" customHeight="1">
      <c r="A948" s="17">
        <f t="shared" si="6"/>
        <v>122</v>
      </c>
      <c r="B948" s="94"/>
      <c r="C948" s="93"/>
      <c r="D948" s="93"/>
      <c r="E948" s="93"/>
      <c r="F948" s="1350"/>
      <c r="G948" s="93"/>
      <c r="H948" s="93"/>
      <c r="I948" s="93"/>
      <c r="J948" s="93"/>
      <c r="K948" s="93"/>
      <c r="L948" s="93"/>
      <c r="M948" s="93"/>
      <c r="N948" s="93"/>
      <c r="O948" s="93"/>
    </row>
    <row r="949" ht="15.75" customHeight="1">
      <c r="A949" s="17">
        <f t="shared" si="6"/>
        <v>123</v>
      </c>
      <c r="B949" s="94"/>
      <c r="C949" s="93"/>
      <c r="D949" s="93"/>
      <c r="E949" s="93"/>
      <c r="F949" s="1350"/>
      <c r="G949" s="93"/>
      <c r="H949" s="93"/>
      <c r="I949" s="93"/>
      <c r="J949" s="93"/>
      <c r="K949" s="93"/>
      <c r="L949" s="93"/>
      <c r="M949" s="93"/>
      <c r="N949" s="93"/>
      <c r="O949" s="93"/>
    </row>
    <row r="950" ht="15.75" customHeight="1">
      <c r="A950" s="17">
        <f t="shared" si="6"/>
        <v>124</v>
      </c>
      <c r="B950" s="94"/>
      <c r="C950" s="93"/>
      <c r="D950" s="93"/>
      <c r="E950" s="93"/>
      <c r="F950" s="1350"/>
      <c r="G950" s="93"/>
      <c r="H950" s="93"/>
      <c r="I950" s="93"/>
      <c r="J950" s="93"/>
      <c r="K950" s="93"/>
      <c r="L950" s="93"/>
      <c r="M950" s="93"/>
      <c r="N950" s="93"/>
      <c r="O950" s="93"/>
    </row>
    <row r="951" ht="15.75" customHeight="1">
      <c r="A951" s="17">
        <f t="shared" si="6"/>
        <v>125</v>
      </c>
      <c r="B951" s="94"/>
      <c r="C951" s="93"/>
      <c r="D951" s="93"/>
      <c r="E951" s="93"/>
      <c r="F951" s="1350"/>
      <c r="G951" s="93"/>
      <c r="H951" s="93"/>
      <c r="I951" s="93"/>
      <c r="J951" s="93"/>
      <c r="K951" s="93"/>
      <c r="L951" s="93"/>
      <c r="M951" s="93"/>
      <c r="N951" s="93"/>
      <c r="O951" s="93"/>
    </row>
    <row r="952" ht="15.75" customHeight="1">
      <c r="A952" s="17">
        <f t="shared" si="6"/>
        <v>126</v>
      </c>
      <c r="B952" s="94"/>
      <c r="C952" s="93"/>
      <c r="D952" s="93"/>
      <c r="E952" s="93"/>
      <c r="F952" s="1350"/>
      <c r="G952" s="93"/>
      <c r="H952" s="93"/>
      <c r="I952" s="93"/>
      <c r="J952" s="93"/>
      <c r="K952" s="93"/>
      <c r="L952" s="93"/>
      <c r="M952" s="93"/>
      <c r="N952" s="93"/>
      <c r="O952" s="93"/>
    </row>
    <row r="953" ht="15.75" customHeight="1">
      <c r="A953" s="7"/>
      <c r="B953" s="94"/>
      <c r="C953" s="93"/>
      <c r="D953" s="93"/>
      <c r="E953" s="93"/>
      <c r="F953" s="1350"/>
      <c r="G953" s="93"/>
      <c r="H953" s="93"/>
      <c r="I953" s="93"/>
      <c r="J953" s="93"/>
      <c r="K953" s="93"/>
      <c r="L953" s="93"/>
      <c r="M953" s="93"/>
      <c r="N953" s="93"/>
      <c r="O953" s="93"/>
    </row>
    <row r="954" ht="15.75" customHeight="1">
      <c r="A954" s="7"/>
      <c r="B954" s="94"/>
      <c r="C954" s="93"/>
      <c r="D954" s="93"/>
      <c r="E954" s="93"/>
      <c r="F954" s="1350"/>
      <c r="G954" s="93"/>
      <c r="H954" s="93"/>
      <c r="I954" s="93"/>
      <c r="J954" s="93"/>
      <c r="K954" s="93"/>
      <c r="L954" s="93"/>
      <c r="M954" s="93"/>
      <c r="N954" s="93"/>
      <c r="O954" s="93"/>
    </row>
    <row r="955" ht="15.75" customHeight="1">
      <c r="A955" s="7"/>
      <c r="B955" s="94"/>
      <c r="C955" s="93"/>
      <c r="D955" s="93"/>
      <c r="E955" s="93"/>
      <c r="F955" s="1350"/>
      <c r="G955" s="93"/>
      <c r="H955" s="93"/>
      <c r="I955" s="93"/>
      <c r="J955" s="93"/>
      <c r="K955" s="93"/>
      <c r="L955" s="93"/>
      <c r="M955" s="93"/>
      <c r="N955" s="93"/>
      <c r="O955" s="93"/>
    </row>
    <row r="956" ht="15.75" customHeight="1">
      <c r="A956" s="7"/>
      <c r="B956" s="94"/>
      <c r="C956" s="93"/>
      <c r="D956" s="93"/>
      <c r="E956" s="93"/>
      <c r="F956" s="1350"/>
      <c r="G956" s="93"/>
      <c r="H956" s="93"/>
      <c r="I956" s="93"/>
      <c r="J956" s="93"/>
      <c r="K956" s="93"/>
      <c r="L956" s="93"/>
      <c r="M956" s="93"/>
      <c r="N956" s="93"/>
      <c r="O956" s="93"/>
    </row>
    <row r="957" ht="15.75" customHeight="1">
      <c r="A957" s="7"/>
      <c r="B957" s="94"/>
      <c r="C957" s="93"/>
      <c r="D957" s="93"/>
      <c r="E957" s="93"/>
      <c r="F957" s="1350"/>
      <c r="G957" s="93"/>
      <c r="H957" s="93"/>
      <c r="I957" s="93"/>
      <c r="J957" s="93"/>
      <c r="K957" s="93"/>
      <c r="L957" s="93"/>
      <c r="M957" s="93"/>
      <c r="N957" s="93"/>
      <c r="O957" s="93"/>
    </row>
    <row r="958" ht="15.75" customHeight="1">
      <c r="A958" s="7"/>
      <c r="B958" s="94"/>
      <c r="C958" s="93"/>
      <c r="D958" s="93"/>
      <c r="E958" s="93"/>
      <c r="F958" s="1350"/>
      <c r="G958" s="93"/>
      <c r="H958" s="93"/>
      <c r="I958" s="93"/>
      <c r="J958" s="93"/>
      <c r="K958" s="93"/>
      <c r="L958" s="93"/>
      <c r="M958" s="93"/>
      <c r="N958" s="93"/>
      <c r="O958" s="93"/>
    </row>
    <row r="959" ht="15.75" customHeight="1">
      <c r="A959" s="7"/>
      <c r="B959" s="94"/>
      <c r="C959" s="93"/>
      <c r="D959" s="93"/>
      <c r="E959" s="93"/>
      <c r="F959" s="1350"/>
      <c r="G959" s="93"/>
      <c r="H959" s="93"/>
      <c r="I959" s="93"/>
      <c r="J959" s="93"/>
      <c r="K959" s="93"/>
      <c r="L959" s="93"/>
      <c r="M959" s="93"/>
      <c r="N959" s="93"/>
      <c r="O959" s="93"/>
    </row>
    <row r="960" ht="15.75" customHeight="1">
      <c r="A960" s="7"/>
      <c r="B960" s="94"/>
      <c r="C960" s="93"/>
      <c r="D960" s="93"/>
      <c r="E960" s="93"/>
      <c r="F960" s="1350"/>
      <c r="G960" s="93"/>
      <c r="H960" s="93"/>
      <c r="I960" s="93"/>
      <c r="J960" s="93"/>
      <c r="K960" s="93"/>
      <c r="L960" s="93"/>
      <c r="M960" s="93"/>
      <c r="N960" s="93"/>
      <c r="O960" s="93"/>
    </row>
    <row r="961" ht="15.75" customHeight="1">
      <c r="A961" s="7"/>
      <c r="C961" s="93"/>
      <c r="D961" s="93"/>
      <c r="E961" s="93"/>
      <c r="F961" s="1350"/>
      <c r="G961" s="93"/>
      <c r="H961" s="93"/>
      <c r="I961" s="93"/>
      <c r="J961" s="93"/>
      <c r="K961" s="93"/>
      <c r="L961" s="93"/>
      <c r="M961" s="93"/>
      <c r="N961" s="93"/>
      <c r="O961" s="93"/>
    </row>
    <row r="962" ht="15.75" customHeight="1">
      <c r="A962" s="7"/>
      <c r="B962" s="94"/>
      <c r="C962" s="93"/>
      <c r="D962" s="93"/>
      <c r="E962" s="93"/>
      <c r="F962" s="1350"/>
      <c r="G962" s="93"/>
      <c r="H962" s="93"/>
      <c r="I962" s="93"/>
      <c r="J962" s="93"/>
      <c r="K962" s="93"/>
      <c r="L962" s="93"/>
      <c r="M962" s="93"/>
      <c r="N962" s="93"/>
      <c r="O962" s="93"/>
    </row>
    <row r="963" ht="15.75" customHeight="1">
      <c r="A963" s="7"/>
      <c r="B963" s="94"/>
      <c r="C963" s="93"/>
      <c r="D963" s="93"/>
      <c r="E963" s="93"/>
      <c r="F963" s="1350"/>
      <c r="G963" s="93"/>
      <c r="H963" s="93"/>
      <c r="I963" s="93"/>
      <c r="J963" s="93"/>
      <c r="K963" s="93"/>
      <c r="L963" s="93"/>
      <c r="M963" s="93"/>
      <c r="N963" s="93"/>
      <c r="O963" s="93"/>
    </row>
    <row r="964" ht="15.75" customHeight="1">
      <c r="A964" s="7"/>
      <c r="B964" s="94"/>
      <c r="C964" s="93"/>
      <c r="D964" s="93"/>
      <c r="E964" s="93"/>
      <c r="F964" s="1350"/>
      <c r="G964" s="93"/>
      <c r="H964" s="93"/>
      <c r="I964" s="93"/>
      <c r="J964" s="93"/>
      <c r="K964" s="93"/>
      <c r="L964" s="93"/>
      <c r="M964" s="93"/>
      <c r="N964" s="93"/>
      <c r="O964" s="93"/>
    </row>
    <row r="965" ht="15.75" customHeight="1">
      <c r="A965" s="7"/>
      <c r="C965" s="93"/>
      <c r="D965" s="93"/>
      <c r="E965" s="93"/>
      <c r="F965" s="1350"/>
      <c r="G965" s="93"/>
      <c r="H965" s="93"/>
      <c r="I965" s="93"/>
      <c r="J965" s="93"/>
      <c r="K965" s="93"/>
      <c r="L965" s="93"/>
      <c r="M965" s="93"/>
      <c r="N965" s="93"/>
      <c r="O965" s="93"/>
    </row>
    <row r="966" ht="15.75" customHeight="1">
      <c r="A966" s="7"/>
      <c r="C966" s="93"/>
      <c r="D966" s="93"/>
      <c r="E966" s="15"/>
      <c r="F966" s="1350"/>
      <c r="G966" s="93"/>
      <c r="H966" s="93"/>
      <c r="I966" s="93"/>
      <c r="J966" s="93"/>
      <c r="K966" s="93"/>
      <c r="L966" s="93"/>
      <c r="M966" s="93"/>
      <c r="N966" s="93"/>
      <c r="O966" s="93"/>
    </row>
    <row r="967" ht="15.75" customHeight="1">
      <c r="A967" s="7"/>
      <c r="C967" s="93"/>
      <c r="D967" s="93"/>
      <c r="E967" s="15"/>
      <c r="F967" s="1350"/>
      <c r="G967" s="93"/>
      <c r="H967" s="93"/>
      <c r="I967" s="93"/>
      <c r="J967" s="93"/>
      <c r="K967" s="93"/>
      <c r="L967" s="93"/>
      <c r="M967" s="93"/>
      <c r="N967" s="93"/>
      <c r="O967" s="93"/>
    </row>
    <row r="968" ht="15.75" customHeight="1">
      <c r="A968" s="7"/>
      <c r="C968" s="93"/>
      <c r="D968" s="93"/>
      <c r="E968" s="15"/>
      <c r="F968" s="1350"/>
      <c r="G968" s="93"/>
      <c r="H968" s="93"/>
      <c r="I968" s="93"/>
      <c r="J968" s="93"/>
      <c r="K968" s="93"/>
      <c r="L968" s="93"/>
      <c r="M968" s="93"/>
      <c r="N968" s="93"/>
      <c r="O968" s="93"/>
    </row>
    <row r="969" ht="15.75" customHeight="1">
      <c r="A969" s="7"/>
      <c r="C969" s="93"/>
      <c r="D969" s="93"/>
      <c r="E969" s="15"/>
      <c r="F969" s="1350"/>
      <c r="G969" s="93"/>
      <c r="H969" s="93"/>
      <c r="I969" s="93"/>
      <c r="J969" s="93"/>
      <c r="K969" s="93"/>
      <c r="L969" s="93"/>
      <c r="M969" s="93"/>
      <c r="N969" s="93"/>
      <c r="O969" s="93"/>
    </row>
    <row r="970" ht="15.75" customHeight="1">
      <c r="A970" s="7"/>
      <c r="C970" s="93"/>
      <c r="D970" s="93"/>
      <c r="E970" s="15"/>
      <c r="F970" s="1350"/>
      <c r="G970" s="93"/>
      <c r="H970" s="93"/>
      <c r="I970" s="93"/>
      <c r="J970" s="93"/>
      <c r="K970" s="93"/>
      <c r="L970" s="93"/>
      <c r="M970" s="93"/>
      <c r="N970" s="93"/>
      <c r="O970" s="93"/>
    </row>
    <row r="971" ht="15.75" customHeight="1">
      <c r="A971" s="7"/>
      <c r="C971" s="93"/>
      <c r="D971" s="93"/>
      <c r="E971" s="15"/>
      <c r="F971" s="1350"/>
      <c r="G971" s="93"/>
      <c r="H971" s="93"/>
      <c r="I971" s="93"/>
      <c r="J971" s="93"/>
      <c r="K971" s="93"/>
      <c r="L971" s="93"/>
      <c r="M971" s="93"/>
      <c r="N971" s="93"/>
      <c r="O971" s="93"/>
    </row>
    <row r="972" ht="15.75" customHeight="1">
      <c r="A972" s="7"/>
      <c r="C972" s="93"/>
      <c r="D972" s="93"/>
      <c r="E972" s="15"/>
      <c r="F972" s="1350"/>
      <c r="G972" s="93"/>
      <c r="H972" s="93"/>
      <c r="I972" s="93"/>
      <c r="J972" s="93"/>
      <c r="K972" s="93"/>
      <c r="L972" s="93"/>
      <c r="M972" s="93"/>
      <c r="N972" s="93"/>
      <c r="O972" s="93"/>
    </row>
    <row r="973" ht="15.75" customHeight="1">
      <c r="A973" s="7"/>
      <c r="C973" s="93"/>
      <c r="D973" s="93"/>
      <c r="E973" s="15"/>
      <c r="F973" s="1350"/>
      <c r="G973" s="93"/>
      <c r="H973" s="93"/>
      <c r="I973" s="93"/>
      <c r="J973" s="93"/>
      <c r="K973" s="93"/>
      <c r="L973" s="93"/>
      <c r="M973" s="93"/>
      <c r="N973" s="93"/>
      <c r="O973" s="93"/>
    </row>
    <row r="974" ht="15.75" customHeight="1">
      <c r="A974" s="7"/>
      <c r="C974" s="93"/>
      <c r="D974" s="93"/>
      <c r="E974" s="15"/>
      <c r="F974" s="1350"/>
      <c r="G974" s="93"/>
      <c r="H974" s="93"/>
      <c r="I974" s="93"/>
      <c r="J974" s="93"/>
      <c r="K974" s="93"/>
      <c r="L974" s="93"/>
      <c r="M974" s="93"/>
      <c r="N974" s="93"/>
      <c r="O974" s="93"/>
    </row>
    <row r="975" ht="15.75" customHeight="1">
      <c r="A975" s="7"/>
      <c r="C975" s="93"/>
      <c r="D975" s="93"/>
      <c r="E975" s="15"/>
      <c r="F975" s="1350"/>
      <c r="G975" s="93"/>
      <c r="H975" s="93"/>
      <c r="I975" s="93"/>
      <c r="J975" s="93"/>
      <c r="K975" s="93"/>
      <c r="L975" s="93"/>
      <c r="M975" s="93"/>
      <c r="N975" s="93"/>
      <c r="O975" s="93"/>
    </row>
    <row r="976" ht="15.75" customHeight="1">
      <c r="A976" s="7"/>
      <c r="C976" s="93"/>
      <c r="D976" s="93"/>
      <c r="E976" s="15"/>
      <c r="F976" s="1350"/>
      <c r="G976" s="93"/>
      <c r="H976" s="93"/>
      <c r="I976" s="93"/>
      <c r="J976" s="93"/>
      <c r="K976" s="93"/>
      <c r="L976" s="93"/>
      <c r="M976" s="93"/>
      <c r="N976" s="93"/>
      <c r="O976" s="93"/>
    </row>
    <row r="977" ht="15.75" customHeight="1">
      <c r="A977" s="7"/>
      <c r="C977" s="93"/>
      <c r="D977" s="93"/>
      <c r="E977" s="15"/>
      <c r="F977" s="1350"/>
      <c r="G977" s="93"/>
      <c r="H977" s="93"/>
      <c r="I977" s="93"/>
      <c r="J977" s="93"/>
      <c r="K977" s="93"/>
      <c r="L977" s="93"/>
      <c r="M977" s="93"/>
      <c r="N977" s="93"/>
      <c r="O977" s="93"/>
    </row>
    <row r="978" ht="15.75" customHeight="1">
      <c r="A978" s="7"/>
      <c r="C978" s="93"/>
      <c r="D978" s="93"/>
      <c r="E978" s="15"/>
      <c r="F978" s="1350"/>
      <c r="G978" s="93"/>
      <c r="H978" s="93"/>
      <c r="I978" s="93"/>
      <c r="J978" s="93"/>
      <c r="K978" s="93"/>
      <c r="L978" s="93"/>
      <c r="M978" s="93"/>
      <c r="N978" s="93"/>
      <c r="O978" s="93"/>
    </row>
    <row r="979" ht="15.75" customHeight="1">
      <c r="A979" s="7"/>
      <c r="C979" s="93"/>
      <c r="D979" s="93"/>
      <c r="E979" s="15"/>
      <c r="F979" s="1350"/>
      <c r="G979" s="93"/>
      <c r="H979" s="93"/>
      <c r="I979" s="93"/>
      <c r="J979" s="93"/>
      <c r="K979" s="93"/>
      <c r="L979" s="93"/>
      <c r="M979" s="93"/>
      <c r="N979" s="93"/>
      <c r="O979" s="93"/>
    </row>
    <row r="980" ht="15.75" customHeight="1">
      <c r="A980" s="7"/>
      <c r="C980" s="93"/>
      <c r="D980" s="93"/>
      <c r="E980" s="15"/>
      <c r="F980" s="1350"/>
      <c r="G980" s="93"/>
      <c r="H980" s="93"/>
      <c r="I980" s="93"/>
      <c r="J980" s="93"/>
      <c r="K980" s="93"/>
      <c r="L980" s="93"/>
      <c r="M980" s="93"/>
      <c r="N980" s="93"/>
      <c r="O980" s="93"/>
    </row>
    <row r="981" ht="15.75" customHeight="1">
      <c r="A981" s="7"/>
      <c r="C981" s="93"/>
      <c r="D981" s="93"/>
      <c r="E981" s="15"/>
      <c r="F981" s="1350"/>
      <c r="G981" s="93"/>
      <c r="H981" s="93"/>
      <c r="I981" s="93"/>
      <c r="J981" s="93"/>
      <c r="K981" s="93"/>
      <c r="L981" s="93"/>
      <c r="M981" s="93"/>
      <c r="N981" s="93"/>
      <c r="O981" s="93"/>
    </row>
    <row r="982" ht="15.75" customHeight="1">
      <c r="A982" s="7"/>
      <c r="C982" s="93"/>
      <c r="D982" s="93"/>
      <c r="E982" s="15"/>
      <c r="F982" s="1350"/>
      <c r="G982" s="93"/>
      <c r="H982" s="93"/>
      <c r="I982" s="93"/>
      <c r="J982" s="93"/>
      <c r="K982" s="93"/>
      <c r="L982" s="93"/>
      <c r="M982" s="93"/>
      <c r="N982" s="93"/>
      <c r="O982" s="93"/>
    </row>
    <row r="983" ht="15.75" customHeight="1">
      <c r="A983" s="7"/>
      <c r="C983" s="93"/>
      <c r="D983" s="93"/>
      <c r="E983" s="15"/>
      <c r="F983" s="1350"/>
      <c r="G983" s="93"/>
      <c r="H983" s="93"/>
      <c r="I983" s="93"/>
      <c r="J983" s="93"/>
      <c r="K983" s="93"/>
      <c r="L983" s="93"/>
      <c r="M983" s="93"/>
      <c r="N983" s="93"/>
      <c r="O983" s="93"/>
    </row>
    <row r="984" ht="15.75" customHeight="1">
      <c r="A984" s="7"/>
      <c r="C984" s="93"/>
      <c r="D984" s="93"/>
      <c r="E984" s="15"/>
      <c r="F984" s="1350"/>
      <c r="G984" s="93"/>
      <c r="H984" s="93"/>
      <c r="I984" s="93"/>
      <c r="J984" s="93"/>
      <c r="K984" s="93"/>
      <c r="L984" s="93"/>
      <c r="M984" s="93"/>
      <c r="N984" s="93"/>
      <c r="O984" s="93"/>
    </row>
    <row r="985" ht="15.75" customHeight="1">
      <c r="A985" s="7"/>
      <c r="C985" s="93"/>
      <c r="D985" s="93"/>
      <c r="E985" s="15"/>
      <c r="F985" s="1350"/>
      <c r="G985" s="93"/>
      <c r="H985" s="93"/>
      <c r="I985" s="93"/>
      <c r="J985" s="93"/>
      <c r="K985" s="93"/>
      <c r="L985" s="93"/>
      <c r="M985" s="93"/>
      <c r="N985" s="93"/>
      <c r="O985" s="93"/>
    </row>
    <row r="986" ht="15.75" customHeight="1">
      <c r="A986" s="7"/>
      <c r="C986" s="93"/>
      <c r="D986" s="93"/>
      <c r="E986" s="15"/>
      <c r="F986" s="1350"/>
      <c r="G986" s="93"/>
      <c r="H986" s="93"/>
      <c r="I986" s="93"/>
      <c r="J986" s="93"/>
      <c r="K986" s="93"/>
      <c r="L986" s="93"/>
      <c r="M986" s="93"/>
      <c r="N986" s="93"/>
      <c r="O986" s="93"/>
    </row>
    <row r="987" ht="15.75" customHeight="1">
      <c r="A987" s="7"/>
      <c r="C987" s="93"/>
      <c r="D987" s="93"/>
      <c r="E987" s="15"/>
      <c r="F987" s="1350"/>
      <c r="G987" s="93"/>
      <c r="H987" s="93"/>
      <c r="I987" s="93"/>
      <c r="J987" s="93"/>
      <c r="K987" s="93"/>
      <c r="L987" s="93"/>
      <c r="M987" s="93"/>
      <c r="N987" s="93"/>
      <c r="O987" s="93"/>
    </row>
    <row r="988" ht="15.75" customHeight="1">
      <c r="A988" s="7"/>
      <c r="C988" s="93"/>
      <c r="D988" s="93"/>
      <c r="E988" s="15"/>
      <c r="F988" s="1350"/>
      <c r="G988" s="93"/>
      <c r="H988" s="93"/>
      <c r="I988" s="93"/>
      <c r="J988" s="93"/>
      <c r="K988" s="93"/>
      <c r="L988" s="93"/>
      <c r="M988" s="93"/>
      <c r="N988" s="93"/>
      <c r="O988" s="93"/>
    </row>
    <row r="989" ht="15.75" customHeight="1">
      <c r="A989" s="7"/>
      <c r="C989" s="93"/>
      <c r="D989" s="93"/>
      <c r="E989" s="15"/>
      <c r="F989" s="1350"/>
      <c r="G989" s="93"/>
      <c r="H989" s="93"/>
      <c r="I989" s="93"/>
      <c r="J989" s="93"/>
      <c r="K989" s="93"/>
      <c r="L989" s="93"/>
      <c r="M989" s="93"/>
      <c r="N989" s="93"/>
      <c r="O989" s="93"/>
    </row>
    <row r="990" ht="15.75" customHeight="1">
      <c r="A990" s="7"/>
      <c r="C990" s="93"/>
      <c r="D990" s="93"/>
      <c r="E990" s="15"/>
      <c r="F990" s="1350"/>
      <c r="G990" s="93"/>
      <c r="H990" s="93"/>
      <c r="I990" s="93"/>
      <c r="J990" s="93"/>
      <c r="K990" s="93"/>
      <c r="L990" s="93"/>
      <c r="M990" s="93"/>
      <c r="N990" s="93"/>
      <c r="O990" s="93"/>
    </row>
    <row r="991" ht="15.75" customHeight="1">
      <c r="D991" s="469"/>
      <c r="E991" s="93"/>
      <c r="F991" s="1350"/>
      <c r="G991" s="93"/>
      <c r="H991" s="93"/>
      <c r="I991" s="93"/>
      <c r="J991" s="93"/>
      <c r="K991" s="93"/>
      <c r="L991" s="93"/>
      <c r="M991" s="93"/>
      <c r="N991" s="93"/>
      <c r="O991" s="93"/>
    </row>
    <row r="992" ht="15.75" customHeight="1">
      <c r="D992" s="469"/>
      <c r="E992" s="93"/>
      <c r="F992" s="1350"/>
      <c r="G992" s="93"/>
      <c r="H992" s="93"/>
      <c r="I992" s="93"/>
      <c r="J992" s="93"/>
      <c r="K992" s="93"/>
      <c r="L992" s="93"/>
      <c r="M992" s="93"/>
      <c r="N992" s="93"/>
      <c r="O992" s="93"/>
    </row>
    <row r="993" ht="15.75" customHeight="1">
      <c r="D993" s="469"/>
      <c r="E993" s="93"/>
      <c r="F993" s="1350"/>
      <c r="G993" s="93"/>
      <c r="H993" s="93"/>
      <c r="I993" s="93"/>
      <c r="J993" s="93"/>
      <c r="K993" s="93"/>
      <c r="L993" s="93"/>
      <c r="M993" s="93"/>
      <c r="N993" s="93"/>
      <c r="O993" s="93"/>
    </row>
    <row r="994" ht="15.75" customHeight="1">
      <c r="D994" s="469"/>
      <c r="E994" s="93"/>
      <c r="F994" s="1350"/>
      <c r="G994" s="93"/>
      <c r="H994" s="93"/>
      <c r="I994" s="93"/>
      <c r="J994" s="93"/>
      <c r="K994" s="93"/>
      <c r="L994" s="93"/>
      <c r="M994" s="93"/>
      <c r="N994" s="93"/>
      <c r="O994" s="93"/>
    </row>
    <row r="995" ht="15.75" customHeight="1">
      <c r="D995" s="469"/>
      <c r="E995" s="93"/>
      <c r="F995" s="1350"/>
      <c r="G995" s="93"/>
      <c r="H995" s="93"/>
      <c r="I995" s="93"/>
      <c r="J995" s="93"/>
      <c r="K995" s="93"/>
      <c r="L995" s="93"/>
      <c r="M995" s="93"/>
      <c r="N995" s="93"/>
      <c r="O995" s="93"/>
    </row>
    <row r="996" ht="15.75" customHeight="1">
      <c r="D996" s="469"/>
      <c r="E996" s="93"/>
      <c r="F996" s="1350"/>
      <c r="G996" s="93"/>
      <c r="H996" s="93"/>
      <c r="I996" s="93"/>
      <c r="J996" s="93"/>
      <c r="K996" s="93"/>
      <c r="L996" s="93"/>
      <c r="M996" s="93"/>
      <c r="N996" s="93"/>
      <c r="O996" s="93"/>
    </row>
    <row r="997" ht="15.75" customHeight="1">
      <c r="D997" s="469"/>
      <c r="E997" s="93"/>
      <c r="F997" s="1350"/>
      <c r="G997" s="93"/>
      <c r="H997" s="93"/>
      <c r="I997" s="93"/>
      <c r="J997" s="93"/>
      <c r="K997" s="93"/>
      <c r="L997" s="93"/>
      <c r="M997" s="93"/>
      <c r="N997" s="93"/>
      <c r="O997" s="93"/>
    </row>
    <row r="998" ht="15.75" customHeight="1">
      <c r="D998" s="469"/>
      <c r="E998" s="93"/>
      <c r="F998" s="1350"/>
      <c r="G998" s="93"/>
      <c r="H998" s="93"/>
      <c r="I998" s="93"/>
      <c r="J998" s="93"/>
      <c r="K998" s="93"/>
      <c r="L998" s="93"/>
      <c r="M998" s="93"/>
      <c r="N998" s="93"/>
      <c r="O998" s="93"/>
    </row>
    <row r="999" ht="15.75" customHeight="1">
      <c r="D999" s="469"/>
      <c r="E999" s="93"/>
      <c r="F999" s="1350"/>
      <c r="G999" s="93"/>
      <c r="H999" s="93"/>
      <c r="I999" s="93"/>
      <c r="J999" s="93"/>
      <c r="K999" s="93"/>
      <c r="L999" s="93"/>
      <c r="M999" s="93"/>
      <c r="N999" s="93"/>
      <c r="O999" s="93"/>
    </row>
    <row r="1000" ht="15.75" customHeight="1">
      <c r="D1000" s="469"/>
      <c r="E1000" s="93"/>
      <c r="F1000" s="1350"/>
      <c r="G1000" s="93"/>
      <c r="H1000" s="93"/>
      <c r="I1000" s="93"/>
      <c r="J1000" s="93"/>
      <c r="K1000" s="93"/>
      <c r="L1000" s="93"/>
      <c r="M1000" s="93"/>
      <c r="N1000" s="93"/>
      <c r="O1000" s="93"/>
    </row>
  </sheetData>
  <dataValidations>
    <dataValidation type="list" allowBlank="1" showErrorMessage="1" sqref="F2:F114 F117:F119 F167:F279 F282:F284 F332:F444 F447:F449 F497:F609 F612:F614 F662:F774 F777:F779 F827:F939 F942:F944">
      <formula1>"Студия,Студия/твин,Студия на 4х,1+1,1+2,1+2 с террасой,Дом"</formula1>
    </dataValidation>
    <dataValidation type="list" allowBlank="1" showErrorMessage="1" sqref="F115 F280 F445 F610 F775 F940">
      <formula1>"Студия,1+1,1+2,Дом,Студия с террасой"</formula1>
    </dataValidation>
    <dataValidation type="list" allowBlank="1" showErrorMessage="1" sqref="F116 F281 F446 F611 F776 F941">
      <formula1>"Студия,1+1,1+2,Дом,студия с террасой"</formula1>
    </dataValidation>
  </dataValidation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75"/>
    <col customWidth="1" min="2" max="2" width="12.88"/>
    <col customWidth="1" hidden="1" min="3" max="4" width="5.0"/>
    <col customWidth="1" min="5" max="16" width="5.0"/>
  </cols>
  <sheetData>
    <row r="1" ht="15.75" customHeight="1">
      <c r="A1" s="1369"/>
      <c r="B1" s="1370"/>
      <c r="C1" s="1371">
        <v>37.0</v>
      </c>
      <c r="D1" s="865"/>
      <c r="E1" s="1372">
        <v>38.0</v>
      </c>
      <c r="F1" s="865"/>
      <c r="G1" s="1372">
        <v>39.0</v>
      </c>
      <c r="H1" s="865"/>
      <c r="I1" s="1372">
        <v>40.0</v>
      </c>
      <c r="J1" s="865"/>
      <c r="K1" s="1373">
        <v>41.0</v>
      </c>
      <c r="L1" s="865"/>
      <c r="M1" s="1373">
        <v>42.0</v>
      </c>
      <c r="N1" s="865"/>
      <c r="O1" s="1373">
        <v>43.0</v>
      </c>
      <c r="P1" s="865"/>
    </row>
    <row r="2" ht="12.0" customHeight="1">
      <c r="A2" s="1374"/>
      <c r="B2" s="1375"/>
      <c r="C2" s="1376" t="s">
        <v>1614</v>
      </c>
      <c r="D2" s="1377" t="s">
        <v>1615</v>
      </c>
      <c r="E2" s="1378" t="s">
        <v>1614</v>
      </c>
      <c r="F2" s="1379" t="s">
        <v>1615</v>
      </c>
      <c r="G2" s="1380" t="s">
        <v>1614</v>
      </c>
      <c r="H2" s="1379" t="s">
        <v>1615</v>
      </c>
      <c r="I2" s="1380" t="s">
        <v>1614</v>
      </c>
      <c r="J2" s="1379" t="s">
        <v>1615</v>
      </c>
      <c r="K2" s="1380" t="s">
        <v>1614</v>
      </c>
      <c r="L2" s="1379" t="s">
        <v>1615</v>
      </c>
      <c r="M2" s="1380" t="s">
        <v>1614</v>
      </c>
      <c r="N2" s="1379" t="s">
        <v>1615</v>
      </c>
      <c r="O2" s="1380" t="s">
        <v>1614</v>
      </c>
      <c r="P2" s="1379" t="s">
        <v>1615</v>
      </c>
    </row>
    <row r="3" ht="13.5" customHeight="1">
      <c r="A3" s="1381" t="s">
        <v>25</v>
      </c>
      <c r="B3" s="1382" t="s">
        <v>1616</v>
      </c>
      <c r="C3" s="1383">
        <v>45.0</v>
      </c>
      <c r="D3" s="1384">
        <v>135.0</v>
      </c>
      <c r="E3" s="1383">
        <v>43.0</v>
      </c>
      <c r="F3" s="1384">
        <v>135.0</v>
      </c>
      <c r="G3" s="1383">
        <v>40.0</v>
      </c>
      <c r="H3" s="1384">
        <v>121.0</v>
      </c>
      <c r="I3" s="1383">
        <v>40.0</v>
      </c>
      <c r="J3" s="1384">
        <v>121.0</v>
      </c>
      <c r="K3" s="1385">
        <v>35.0</v>
      </c>
      <c r="L3" s="1384"/>
      <c r="M3" s="1385">
        <v>35.0</v>
      </c>
      <c r="N3" s="1384"/>
      <c r="O3" s="1385">
        <v>35.0</v>
      </c>
      <c r="P3" s="1384"/>
    </row>
    <row r="4" ht="13.5" customHeight="1">
      <c r="A4" s="1386"/>
      <c r="B4" s="1387" t="s">
        <v>1617</v>
      </c>
      <c r="C4" s="1388">
        <v>45.0</v>
      </c>
      <c r="D4" s="1389">
        <v>135.0</v>
      </c>
      <c r="E4" s="1390">
        <v>43.0</v>
      </c>
      <c r="F4" s="1389">
        <v>135.0</v>
      </c>
      <c r="G4" s="1388">
        <v>40.0</v>
      </c>
      <c r="H4" s="1389">
        <v>121.0</v>
      </c>
      <c r="I4" s="1388">
        <v>40.0</v>
      </c>
      <c r="J4" s="1389">
        <v>121.0</v>
      </c>
      <c r="K4" s="1391">
        <v>35.0</v>
      </c>
      <c r="L4" s="1389"/>
      <c r="M4" s="1391">
        <v>35.0</v>
      </c>
      <c r="N4" s="1389"/>
      <c r="O4" s="1391">
        <v>35.0</v>
      </c>
      <c r="P4" s="1389"/>
    </row>
    <row r="5" ht="13.5" customHeight="1">
      <c r="A5" s="1386"/>
      <c r="B5" s="1387" t="s">
        <v>27</v>
      </c>
      <c r="C5" s="1388">
        <v>70.0</v>
      </c>
      <c r="D5" s="1389">
        <v>201.0</v>
      </c>
      <c r="E5" s="1388">
        <v>70.0</v>
      </c>
      <c r="F5" s="1389">
        <v>201.0</v>
      </c>
      <c r="G5" s="1388">
        <v>60.0</v>
      </c>
      <c r="H5" s="1389">
        <v>172.0</v>
      </c>
      <c r="I5" s="1388">
        <v>60.0</v>
      </c>
      <c r="J5" s="1389">
        <v>172.0</v>
      </c>
      <c r="K5" s="1391">
        <v>70.0</v>
      </c>
      <c r="L5" s="1389"/>
      <c r="M5" s="1391">
        <v>70.0</v>
      </c>
      <c r="N5" s="1389"/>
      <c r="O5" s="1391">
        <v>70.0</v>
      </c>
      <c r="P5" s="1389"/>
    </row>
    <row r="6" ht="13.5" customHeight="1">
      <c r="A6" s="1392"/>
      <c r="B6" s="1393" t="s">
        <v>33</v>
      </c>
      <c r="C6" s="1394"/>
      <c r="D6" s="1395"/>
      <c r="E6" s="1396"/>
      <c r="F6" s="1395"/>
      <c r="G6" s="1397"/>
      <c r="H6" s="1395"/>
      <c r="I6" s="1397"/>
      <c r="J6" s="1395"/>
      <c r="K6" s="1397">
        <v>80.0</v>
      </c>
      <c r="L6" s="1395"/>
      <c r="M6" s="1397">
        <v>80.0</v>
      </c>
      <c r="N6" s="1395"/>
      <c r="O6" s="1397">
        <v>80.0</v>
      </c>
      <c r="P6" s="1395"/>
    </row>
    <row r="7" ht="13.5" customHeight="1">
      <c r="A7" s="1398" t="s">
        <v>1618</v>
      </c>
      <c r="B7" s="1399" t="s">
        <v>940</v>
      </c>
      <c r="C7" s="1383">
        <v>28.0</v>
      </c>
      <c r="D7" s="1384">
        <v>90.0</v>
      </c>
      <c r="E7" s="1383">
        <v>28.0</v>
      </c>
      <c r="F7" s="1384">
        <v>90.0</v>
      </c>
      <c r="G7" s="1383">
        <v>28.0</v>
      </c>
      <c r="H7" s="1384">
        <v>90.0</v>
      </c>
      <c r="I7" s="1383">
        <v>28.0</v>
      </c>
      <c r="J7" s="1384">
        <v>90.0</v>
      </c>
      <c r="K7" s="1383">
        <v>25.0</v>
      </c>
      <c r="L7" s="1384">
        <v>90.0</v>
      </c>
      <c r="M7" s="1385">
        <v>25.0</v>
      </c>
      <c r="N7" s="1384">
        <v>90.0</v>
      </c>
      <c r="O7" s="1385">
        <v>25.0</v>
      </c>
      <c r="P7" s="1384">
        <v>90.0</v>
      </c>
    </row>
    <row r="8" ht="13.5" customHeight="1">
      <c r="A8" s="1392"/>
      <c r="B8" s="1400" t="s">
        <v>27</v>
      </c>
      <c r="C8" s="1401">
        <v>40.0</v>
      </c>
      <c r="D8" s="1395">
        <v>125.0</v>
      </c>
      <c r="E8" s="1401">
        <v>40.0</v>
      </c>
      <c r="F8" s="1395">
        <v>125.0</v>
      </c>
      <c r="G8" s="1401">
        <v>40.0</v>
      </c>
      <c r="H8" s="1395">
        <v>125.0</v>
      </c>
      <c r="I8" s="1401">
        <v>40.0</v>
      </c>
      <c r="J8" s="1395">
        <v>125.0</v>
      </c>
      <c r="K8" s="1401">
        <v>40.0</v>
      </c>
      <c r="L8" s="1395">
        <v>125.0</v>
      </c>
      <c r="M8" s="1401">
        <v>40.0</v>
      </c>
      <c r="N8" s="1395">
        <v>125.0</v>
      </c>
      <c r="O8" s="1401">
        <v>40.0</v>
      </c>
      <c r="P8" s="1395">
        <v>125.0</v>
      </c>
    </row>
    <row r="9" ht="13.5" customHeight="1">
      <c r="A9" s="1402" t="s">
        <v>125</v>
      </c>
      <c r="B9" s="1403" t="s">
        <v>1619</v>
      </c>
      <c r="C9" s="1383">
        <v>35.0</v>
      </c>
      <c r="D9" s="1384">
        <v>110.0</v>
      </c>
      <c r="E9" s="1383">
        <v>35.0</v>
      </c>
      <c r="F9" s="1384">
        <v>110.0</v>
      </c>
      <c r="G9" s="1383">
        <v>35.0</v>
      </c>
      <c r="H9" s="1384">
        <v>110.0</v>
      </c>
      <c r="I9" s="1383">
        <v>35.0</v>
      </c>
      <c r="J9" s="1384">
        <v>110.0</v>
      </c>
      <c r="K9" s="1383">
        <v>35.0</v>
      </c>
      <c r="L9" s="1384">
        <v>110.0</v>
      </c>
      <c r="M9" s="1383">
        <v>35.0</v>
      </c>
      <c r="N9" s="1384">
        <v>110.0</v>
      </c>
      <c r="O9" s="1385"/>
      <c r="P9" s="1384"/>
    </row>
    <row r="10" ht="13.5" customHeight="1">
      <c r="A10" s="1392"/>
      <c r="B10" s="1404" t="s">
        <v>27</v>
      </c>
      <c r="C10" s="1394">
        <v>50.0</v>
      </c>
      <c r="D10" s="1395">
        <v>150.0</v>
      </c>
      <c r="E10" s="1394">
        <v>50.0</v>
      </c>
      <c r="F10" s="1395">
        <v>150.0</v>
      </c>
      <c r="G10" s="1394">
        <v>50.0</v>
      </c>
      <c r="H10" s="1395">
        <v>150.0</v>
      </c>
      <c r="I10" s="1394">
        <v>50.0</v>
      </c>
      <c r="J10" s="1395">
        <v>150.0</v>
      </c>
      <c r="K10" s="1394">
        <v>50.0</v>
      </c>
      <c r="L10" s="1395">
        <v>150.0</v>
      </c>
      <c r="M10" s="1394">
        <v>50.0</v>
      </c>
      <c r="N10" s="1395">
        <v>150.0</v>
      </c>
      <c r="O10" s="1397"/>
      <c r="P10" s="1395"/>
    </row>
    <row r="11" ht="13.5" customHeight="1">
      <c r="A11" s="1402" t="s">
        <v>1620</v>
      </c>
      <c r="B11" s="1403" t="s">
        <v>1621</v>
      </c>
      <c r="C11" s="1383">
        <v>65.0</v>
      </c>
      <c r="D11" s="1384">
        <v>190.0</v>
      </c>
      <c r="E11" s="1383">
        <v>65.0</v>
      </c>
      <c r="F11" s="1384">
        <v>190.0</v>
      </c>
      <c r="G11" s="1383">
        <v>65.0</v>
      </c>
      <c r="H11" s="1384">
        <v>190.0</v>
      </c>
      <c r="I11" s="1383">
        <v>65.0</v>
      </c>
      <c r="J11" s="1384">
        <v>190.0</v>
      </c>
      <c r="K11" s="1383">
        <v>65.0</v>
      </c>
      <c r="L11" s="1384">
        <v>190.0</v>
      </c>
      <c r="M11" s="1383">
        <v>65.0</v>
      </c>
      <c r="N11" s="1384">
        <v>190.0</v>
      </c>
      <c r="O11" s="1383">
        <v>65.0</v>
      </c>
      <c r="P11" s="1384">
        <v>190.0</v>
      </c>
    </row>
    <row r="12" ht="13.5" customHeight="1">
      <c r="A12" s="1392"/>
      <c r="B12" s="1404" t="s">
        <v>1622</v>
      </c>
      <c r="C12" s="1394">
        <v>55.0</v>
      </c>
      <c r="D12" s="1395">
        <v>170.0</v>
      </c>
      <c r="E12" s="1394">
        <v>55.0</v>
      </c>
      <c r="F12" s="1395">
        <v>170.0</v>
      </c>
      <c r="G12" s="1394">
        <v>55.0</v>
      </c>
      <c r="H12" s="1395">
        <v>170.0</v>
      </c>
      <c r="I12" s="1394">
        <v>55.0</v>
      </c>
      <c r="J12" s="1395">
        <v>170.0</v>
      </c>
      <c r="K12" s="1394">
        <v>55.0</v>
      </c>
      <c r="L12" s="1395">
        <v>170.0</v>
      </c>
      <c r="M12" s="1394">
        <v>55.0</v>
      </c>
      <c r="N12" s="1395">
        <v>170.0</v>
      </c>
      <c r="O12" s="1394">
        <v>55.0</v>
      </c>
      <c r="P12" s="1395">
        <v>170.0</v>
      </c>
    </row>
    <row r="13" ht="13.5" customHeight="1">
      <c r="A13" s="1405" t="s">
        <v>166</v>
      </c>
      <c r="B13" s="1406" t="s">
        <v>30</v>
      </c>
      <c r="C13" s="1383">
        <v>50.0</v>
      </c>
      <c r="D13" s="1384">
        <v>150.0</v>
      </c>
      <c r="E13" s="1383">
        <v>50.0</v>
      </c>
      <c r="F13" s="1384">
        <v>150.0</v>
      </c>
      <c r="G13" s="1383">
        <v>50.0</v>
      </c>
      <c r="H13" s="1384">
        <v>150.0</v>
      </c>
      <c r="I13" s="1383">
        <v>50.0</v>
      </c>
      <c r="J13" s="1384">
        <v>150.0</v>
      </c>
      <c r="K13" s="1383">
        <v>50.0</v>
      </c>
      <c r="L13" s="1384">
        <v>150.0</v>
      </c>
      <c r="M13" s="1383">
        <v>50.0</v>
      </c>
      <c r="N13" s="1384">
        <v>150.0</v>
      </c>
      <c r="O13" s="1383">
        <v>50.0</v>
      </c>
      <c r="P13" s="1384">
        <v>150.0</v>
      </c>
    </row>
    <row r="14" ht="13.5" customHeight="1">
      <c r="A14" s="1392"/>
      <c r="B14" s="1407" t="s">
        <v>1623</v>
      </c>
      <c r="C14" s="1408">
        <v>70.0</v>
      </c>
      <c r="D14" s="1409">
        <v>200.0</v>
      </c>
      <c r="E14" s="1408">
        <v>70.0</v>
      </c>
      <c r="F14" s="1409">
        <v>200.0</v>
      </c>
      <c r="G14" s="1408">
        <v>70.0</v>
      </c>
      <c r="H14" s="1409">
        <v>200.0</v>
      </c>
      <c r="I14" s="1408">
        <v>70.0</v>
      </c>
      <c r="J14" s="1409">
        <v>200.0</v>
      </c>
      <c r="K14" s="1408">
        <v>70.0</v>
      </c>
      <c r="L14" s="1409">
        <v>200.0</v>
      </c>
      <c r="M14" s="1408">
        <v>70.0</v>
      </c>
      <c r="N14" s="1409">
        <v>200.0</v>
      </c>
      <c r="O14" s="1408">
        <v>70.0</v>
      </c>
      <c r="P14" s="1409">
        <v>200.0</v>
      </c>
    </row>
    <row r="15" ht="13.5" customHeight="1">
      <c r="A15" s="1410" t="s">
        <v>158</v>
      </c>
      <c r="B15" s="1411" t="s">
        <v>30</v>
      </c>
      <c r="C15" s="1412"/>
      <c r="D15" s="1413"/>
      <c r="E15" s="1414"/>
      <c r="F15" s="1413"/>
      <c r="G15" s="1415"/>
      <c r="H15" s="1413"/>
      <c r="I15" s="1415"/>
      <c r="J15" s="1413"/>
      <c r="K15" s="1415"/>
      <c r="L15" s="1413"/>
      <c r="M15" s="1415"/>
      <c r="N15" s="1413"/>
      <c r="O15" s="1415"/>
      <c r="P15" s="1413"/>
    </row>
    <row r="16" ht="13.5" customHeight="1">
      <c r="A16" s="1416" t="s">
        <v>1624</v>
      </c>
      <c r="B16" s="1417" t="s">
        <v>940</v>
      </c>
      <c r="C16" s="1383">
        <v>32.0</v>
      </c>
      <c r="D16" s="1384">
        <v>100.0</v>
      </c>
      <c r="E16" s="1383">
        <v>32.0</v>
      </c>
      <c r="F16" s="1384">
        <v>100.0</v>
      </c>
      <c r="G16" s="1383">
        <v>32.0</v>
      </c>
      <c r="H16" s="1384">
        <v>100.0</v>
      </c>
      <c r="I16" s="1383">
        <v>32.0</v>
      </c>
      <c r="J16" s="1384">
        <v>100.0</v>
      </c>
      <c r="K16" s="1418"/>
      <c r="L16" s="1419"/>
      <c r="M16" s="1418"/>
      <c r="N16" s="1419"/>
      <c r="O16" s="1418"/>
      <c r="P16" s="1419"/>
    </row>
    <row r="17" ht="13.5" customHeight="1">
      <c r="A17" s="1386"/>
      <c r="B17" s="1420" t="s">
        <v>1623</v>
      </c>
      <c r="C17" s="1401">
        <v>40.0</v>
      </c>
      <c r="D17" s="1395">
        <v>125.0</v>
      </c>
      <c r="E17" s="1401">
        <v>40.0</v>
      </c>
      <c r="F17" s="1395">
        <v>125.0</v>
      </c>
      <c r="G17" s="1401">
        <v>40.0</v>
      </c>
      <c r="H17" s="1395">
        <v>125.0</v>
      </c>
      <c r="I17" s="1401">
        <v>40.0</v>
      </c>
      <c r="J17" s="1395">
        <v>125.0</v>
      </c>
      <c r="K17" s="1421"/>
      <c r="L17" s="1422"/>
      <c r="M17" s="1421"/>
      <c r="N17" s="1422"/>
      <c r="O17" s="1421"/>
      <c r="P17" s="1422"/>
    </row>
    <row r="18" ht="13.5" customHeight="1">
      <c r="A18" s="1392"/>
      <c r="B18" s="1407" t="s">
        <v>1625</v>
      </c>
      <c r="C18" s="1408">
        <v>70.0</v>
      </c>
      <c r="D18" s="1409">
        <v>200.0</v>
      </c>
      <c r="E18" s="1408">
        <v>70.0</v>
      </c>
      <c r="F18" s="1409">
        <v>200.0</v>
      </c>
      <c r="G18" s="1408">
        <v>70.0</v>
      </c>
      <c r="H18" s="1409">
        <v>200.0</v>
      </c>
      <c r="I18" s="1408">
        <v>70.0</v>
      </c>
      <c r="J18" s="1409">
        <v>200.0</v>
      </c>
      <c r="K18" s="1423"/>
      <c r="L18" s="1424"/>
      <c r="M18" s="1423"/>
      <c r="N18" s="1424"/>
      <c r="O18" s="1423"/>
      <c r="P18" s="1424"/>
    </row>
    <row r="19" ht="15.75" customHeight="1">
      <c r="A19" s="1425"/>
      <c r="B19" s="164"/>
      <c r="C19" s="1426"/>
      <c r="E19" s="1426"/>
      <c r="F19" s="1426"/>
      <c r="G19" s="1426"/>
      <c r="H19" s="1426"/>
      <c r="I19" s="1426"/>
      <c r="J19" s="1426"/>
      <c r="K19" s="1426"/>
      <c r="L19" s="1426"/>
      <c r="M19" s="1426"/>
      <c r="N19" s="1426"/>
      <c r="O19" s="1426"/>
      <c r="P19" s="1426"/>
    </row>
    <row r="20" ht="15.75" customHeight="1">
      <c r="A20" s="1425"/>
      <c r="B20" s="164"/>
      <c r="C20" s="1426"/>
      <c r="D20" s="1426"/>
      <c r="E20" s="1426"/>
      <c r="F20" s="1426"/>
      <c r="G20" s="1426"/>
      <c r="H20" s="1426"/>
      <c r="I20" s="1426"/>
      <c r="J20" s="1426"/>
      <c r="K20" s="1426"/>
      <c r="L20" s="1426"/>
      <c r="M20" s="1426"/>
      <c r="N20" s="1426"/>
      <c r="O20" s="1426"/>
      <c r="P20" s="1426"/>
    </row>
    <row r="21" ht="15.75" customHeight="1">
      <c r="A21" s="1425"/>
      <c r="B21" s="164"/>
      <c r="C21" s="1426"/>
      <c r="D21" s="1426"/>
      <c r="E21" s="1426"/>
      <c r="F21" s="1426"/>
      <c r="G21" s="1426"/>
      <c r="H21" s="1426"/>
      <c r="I21" s="1426"/>
      <c r="J21" s="1426"/>
      <c r="K21" s="1426"/>
      <c r="L21" s="1426"/>
      <c r="M21" s="1426"/>
      <c r="N21" s="1426"/>
      <c r="O21" s="1426"/>
      <c r="P21" s="1426"/>
    </row>
    <row r="22" ht="15.75" customHeight="1">
      <c r="A22" s="1425"/>
      <c r="B22" s="164"/>
      <c r="C22" s="1426"/>
      <c r="D22" s="1426"/>
      <c r="E22" s="1426"/>
      <c r="F22" s="1426"/>
      <c r="G22" s="1426"/>
      <c r="H22" s="1426"/>
      <c r="I22" s="1426"/>
      <c r="J22" s="1426"/>
      <c r="K22" s="1426"/>
      <c r="L22" s="1426"/>
      <c r="M22" s="1426"/>
      <c r="N22" s="1426"/>
      <c r="O22" s="1426"/>
      <c r="P22" s="1426"/>
    </row>
    <row r="23" ht="15.75" customHeight="1">
      <c r="A23" s="1425"/>
      <c r="B23" s="164"/>
      <c r="C23" s="1426"/>
      <c r="D23" s="1426"/>
      <c r="E23" s="1426"/>
      <c r="F23" s="1426"/>
      <c r="G23" s="1426"/>
      <c r="H23" s="1426"/>
      <c r="I23" s="1426"/>
      <c r="J23" s="1426"/>
      <c r="K23" s="1426"/>
      <c r="L23" s="1426"/>
      <c r="M23" s="1426"/>
      <c r="N23" s="1426"/>
      <c r="O23" s="1426"/>
      <c r="P23" s="1426"/>
    </row>
    <row r="24" ht="15.75" customHeight="1">
      <c r="A24" s="1425"/>
      <c r="B24" s="164"/>
      <c r="C24" s="1426"/>
      <c r="D24" s="1426"/>
      <c r="E24" s="1426"/>
      <c r="F24" s="1426"/>
      <c r="G24" s="1426"/>
      <c r="H24" s="1426"/>
      <c r="I24" s="1426"/>
      <c r="J24" s="1426"/>
      <c r="K24" s="1426"/>
      <c r="L24" s="1426"/>
      <c r="M24" s="1426"/>
      <c r="N24" s="1426"/>
      <c r="O24" s="1426"/>
      <c r="P24" s="1426"/>
    </row>
    <row r="25" ht="15.75" customHeight="1">
      <c r="A25" s="1425"/>
      <c r="B25" s="164"/>
      <c r="C25" s="1426"/>
      <c r="D25" s="1426"/>
      <c r="E25" s="1426"/>
      <c r="F25" s="1426"/>
      <c r="G25" s="1426"/>
      <c r="H25" s="1426"/>
      <c r="I25" s="1426"/>
      <c r="J25" s="1426"/>
      <c r="K25" s="1426"/>
      <c r="L25" s="1426"/>
      <c r="M25" s="1426"/>
      <c r="N25" s="1426"/>
      <c r="O25" s="1426"/>
      <c r="P25" s="1426"/>
    </row>
    <row r="26" ht="15.75" customHeight="1">
      <c r="A26" s="1425"/>
      <c r="B26" s="164"/>
      <c r="C26" s="1426"/>
      <c r="D26" s="1426"/>
      <c r="E26" s="1426"/>
      <c r="F26" s="1426"/>
      <c r="G26" s="1426"/>
      <c r="H26" s="1426"/>
      <c r="I26" s="1426"/>
      <c r="J26" s="1426"/>
      <c r="K26" s="1426"/>
      <c r="L26" s="1426"/>
      <c r="M26" s="1426"/>
      <c r="N26" s="1426"/>
      <c r="O26" s="1426"/>
      <c r="P26" s="1426"/>
    </row>
    <row r="27" ht="15.75" customHeight="1">
      <c r="A27" s="1425"/>
      <c r="B27" s="164"/>
      <c r="C27" s="1426"/>
      <c r="D27" s="1426"/>
      <c r="E27" s="1426"/>
      <c r="F27" s="1426"/>
      <c r="G27" s="1426"/>
      <c r="H27" s="1426"/>
      <c r="I27" s="1426"/>
      <c r="J27" s="1426"/>
      <c r="K27" s="1426"/>
      <c r="L27" s="1426"/>
      <c r="M27" s="1426"/>
      <c r="N27" s="1426"/>
      <c r="O27" s="1426"/>
      <c r="P27" s="1426"/>
    </row>
    <row r="28" ht="15.75" customHeight="1">
      <c r="A28" s="1425"/>
      <c r="B28" s="164"/>
      <c r="C28" s="1426"/>
      <c r="D28" s="1426"/>
      <c r="E28" s="1426"/>
      <c r="F28" s="1426"/>
      <c r="G28" s="1426"/>
      <c r="H28" s="1426"/>
      <c r="I28" s="1426"/>
      <c r="J28" s="1426"/>
      <c r="K28" s="1426"/>
      <c r="L28" s="1426"/>
      <c r="M28" s="1426"/>
      <c r="N28" s="1426"/>
      <c r="O28" s="1426"/>
      <c r="P28" s="1426"/>
    </row>
    <row r="29" ht="15.75" customHeight="1">
      <c r="A29" s="1425"/>
      <c r="B29" s="164"/>
      <c r="C29" s="1426"/>
      <c r="D29" s="1426"/>
      <c r="E29" s="1426"/>
      <c r="F29" s="1426"/>
      <c r="G29" s="1426"/>
      <c r="H29" s="1426"/>
      <c r="I29" s="1426"/>
      <c r="J29" s="1426"/>
      <c r="K29" s="1426"/>
      <c r="L29" s="1426"/>
      <c r="M29" s="1426"/>
      <c r="N29" s="1426"/>
      <c r="O29" s="1426"/>
      <c r="P29" s="1426"/>
    </row>
    <row r="30" ht="15.75" customHeight="1">
      <c r="A30" s="1425"/>
      <c r="B30" s="164"/>
      <c r="C30" s="1426"/>
      <c r="D30" s="1426"/>
      <c r="E30" s="1426"/>
      <c r="F30" s="1426"/>
      <c r="G30" s="1426"/>
      <c r="H30" s="1426"/>
      <c r="I30" s="1426"/>
      <c r="J30" s="1426"/>
      <c r="K30" s="1426"/>
      <c r="L30" s="1426"/>
      <c r="M30" s="1426"/>
      <c r="N30" s="1426"/>
      <c r="O30" s="1426"/>
      <c r="P30" s="1426"/>
    </row>
    <row r="31" ht="15.75" customHeight="1">
      <c r="A31" s="1425"/>
      <c r="B31" s="164"/>
      <c r="C31" s="1426"/>
      <c r="D31" s="1426"/>
      <c r="E31" s="1426"/>
      <c r="F31" s="1426"/>
      <c r="G31" s="1426"/>
      <c r="H31" s="1426"/>
      <c r="I31" s="1426"/>
      <c r="J31" s="1426"/>
      <c r="K31" s="1426"/>
      <c r="L31" s="1426"/>
      <c r="M31" s="1426"/>
      <c r="N31" s="1426"/>
      <c r="O31" s="1426"/>
      <c r="P31" s="1426"/>
    </row>
    <row r="32" ht="15.75" customHeight="1">
      <c r="A32" s="1425"/>
      <c r="B32" s="164"/>
      <c r="C32" s="1426"/>
      <c r="D32" s="1426"/>
      <c r="E32" s="1426"/>
      <c r="F32" s="1426"/>
      <c r="G32" s="1426"/>
      <c r="H32" s="1426"/>
      <c r="I32" s="1426"/>
      <c r="J32" s="1426"/>
      <c r="K32" s="1426"/>
      <c r="L32" s="1426"/>
      <c r="M32" s="1426"/>
      <c r="N32" s="1426"/>
      <c r="O32" s="1426"/>
      <c r="P32" s="1426"/>
    </row>
    <row r="33" ht="15.75" customHeight="1">
      <c r="A33" s="1425"/>
      <c r="B33" s="164"/>
      <c r="C33" s="1426"/>
      <c r="D33" s="1426"/>
      <c r="E33" s="1426"/>
      <c r="F33" s="1426"/>
      <c r="G33" s="1426"/>
      <c r="H33" s="1426"/>
      <c r="I33" s="1426"/>
      <c r="J33" s="1426"/>
      <c r="K33" s="1426"/>
      <c r="L33" s="1426"/>
      <c r="M33" s="1426"/>
      <c r="N33" s="1426"/>
      <c r="O33" s="1426"/>
      <c r="P33" s="1426"/>
    </row>
    <row r="34" ht="15.75" customHeight="1">
      <c r="A34" s="1425"/>
      <c r="B34" s="164"/>
      <c r="C34" s="1426"/>
      <c r="D34" s="1426"/>
      <c r="E34" s="1426"/>
      <c r="F34" s="1426"/>
      <c r="G34" s="1426"/>
      <c r="H34" s="1426"/>
      <c r="I34" s="1426"/>
      <c r="J34" s="1426"/>
      <c r="K34" s="1426"/>
      <c r="L34" s="1426"/>
      <c r="M34" s="1426"/>
      <c r="N34" s="1426"/>
      <c r="O34" s="1426"/>
      <c r="P34" s="1426"/>
    </row>
    <row r="35" ht="15.75" customHeight="1">
      <c r="A35" s="1425"/>
      <c r="B35" s="164"/>
      <c r="C35" s="1426"/>
      <c r="D35" s="1426"/>
      <c r="E35" s="1426"/>
      <c r="F35" s="1426"/>
      <c r="G35" s="1426"/>
      <c r="H35" s="1426"/>
      <c r="I35" s="1426"/>
      <c r="J35" s="1426"/>
      <c r="K35" s="1426"/>
      <c r="L35" s="1426"/>
      <c r="M35" s="1426"/>
      <c r="N35" s="1426"/>
      <c r="O35" s="1426"/>
      <c r="P35" s="1426"/>
    </row>
    <row r="36" ht="15.75" customHeight="1">
      <c r="A36" s="1425"/>
      <c r="B36" s="164"/>
      <c r="C36" s="1426"/>
      <c r="D36" s="1426"/>
      <c r="E36" s="1426"/>
      <c r="F36" s="1426"/>
      <c r="G36" s="1426"/>
      <c r="H36" s="1426"/>
      <c r="I36" s="1426"/>
      <c r="J36" s="1426"/>
      <c r="K36" s="1426"/>
      <c r="L36" s="1426"/>
      <c r="M36" s="1426"/>
      <c r="N36" s="1426"/>
      <c r="O36" s="1426"/>
      <c r="P36" s="1426"/>
    </row>
    <row r="37" ht="15.75" customHeight="1">
      <c r="A37" s="1425"/>
      <c r="B37" s="164"/>
      <c r="C37" s="1426"/>
      <c r="D37" s="1426"/>
      <c r="E37" s="1426"/>
      <c r="F37" s="1426"/>
      <c r="G37" s="1426"/>
      <c r="H37" s="1426"/>
      <c r="I37" s="1426"/>
      <c r="J37" s="1426"/>
      <c r="K37" s="1426"/>
      <c r="L37" s="1426"/>
      <c r="M37" s="1426"/>
      <c r="N37" s="1426"/>
      <c r="O37" s="1426"/>
      <c r="P37" s="1426"/>
    </row>
    <row r="38" ht="15.75" customHeight="1">
      <c r="A38" s="1425"/>
      <c r="B38" s="164"/>
      <c r="C38" s="1426"/>
      <c r="D38" s="1426"/>
      <c r="E38" s="1426"/>
      <c r="F38" s="1426"/>
      <c r="G38" s="1426"/>
      <c r="H38" s="1426"/>
      <c r="I38" s="1426"/>
      <c r="J38" s="1426"/>
      <c r="K38" s="1426"/>
      <c r="L38" s="1426"/>
      <c r="M38" s="1426"/>
      <c r="N38" s="1426"/>
      <c r="O38" s="1426"/>
      <c r="P38" s="1426"/>
    </row>
    <row r="39" ht="15.75" customHeight="1">
      <c r="A39" s="1425"/>
      <c r="B39" s="164"/>
      <c r="C39" s="1426"/>
      <c r="D39" s="1426"/>
      <c r="E39" s="1426"/>
      <c r="F39" s="1426"/>
      <c r="G39" s="1426"/>
      <c r="H39" s="1426"/>
      <c r="I39" s="1426"/>
      <c r="J39" s="1426"/>
      <c r="K39" s="1426"/>
      <c r="L39" s="1426"/>
      <c r="M39" s="1426"/>
      <c r="N39" s="1426"/>
      <c r="O39" s="1426"/>
      <c r="P39" s="1426"/>
    </row>
    <row r="40" ht="15.75" customHeight="1">
      <c r="A40" s="1425"/>
      <c r="B40" s="164"/>
      <c r="C40" s="1426"/>
      <c r="D40" s="1426"/>
      <c r="E40" s="1426"/>
      <c r="F40" s="1426"/>
      <c r="G40" s="1426"/>
      <c r="H40" s="1426"/>
      <c r="I40" s="1426"/>
      <c r="J40" s="1426"/>
      <c r="K40" s="1426"/>
      <c r="L40" s="1426"/>
      <c r="M40" s="1426"/>
      <c r="N40" s="1426"/>
      <c r="O40" s="1426"/>
      <c r="P40" s="1426"/>
    </row>
    <row r="41" ht="15.75" customHeight="1">
      <c r="A41" s="1425"/>
      <c r="B41" s="164"/>
      <c r="C41" s="1426"/>
      <c r="D41" s="1426"/>
      <c r="E41" s="1426"/>
      <c r="F41" s="1426"/>
      <c r="G41" s="1426"/>
      <c r="H41" s="1426"/>
      <c r="I41" s="1426"/>
      <c r="J41" s="1426"/>
      <c r="K41" s="1426"/>
      <c r="L41" s="1426"/>
      <c r="M41" s="1426"/>
      <c r="N41" s="1426"/>
      <c r="O41" s="1426"/>
      <c r="P41" s="1426"/>
    </row>
    <row r="42" ht="15.75" customHeight="1">
      <c r="A42" s="1425"/>
      <c r="B42" s="164"/>
      <c r="C42" s="1426"/>
      <c r="D42" s="1426"/>
      <c r="E42" s="1426"/>
      <c r="F42" s="1426"/>
      <c r="G42" s="1426"/>
      <c r="H42" s="1426"/>
      <c r="I42" s="1426"/>
      <c r="J42" s="1426"/>
      <c r="K42" s="1426"/>
      <c r="L42" s="1426"/>
      <c r="M42" s="1426"/>
      <c r="N42" s="1426"/>
      <c r="O42" s="1426"/>
      <c r="P42" s="1426"/>
    </row>
    <row r="43" ht="15.75" customHeight="1">
      <c r="A43" s="1425"/>
      <c r="B43" s="164"/>
      <c r="C43" s="1426"/>
      <c r="D43" s="1426"/>
      <c r="E43" s="1426"/>
      <c r="F43" s="1426"/>
      <c r="G43" s="1426"/>
      <c r="H43" s="1426"/>
      <c r="I43" s="1426"/>
      <c r="J43" s="1426"/>
      <c r="K43" s="1426"/>
      <c r="L43" s="1426"/>
      <c r="M43" s="1426"/>
      <c r="N43" s="1426"/>
      <c r="O43" s="1426"/>
      <c r="P43" s="1426"/>
    </row>
    <row r="44" ht="15.75" customHeight="1">
      <c r="A44" s="1425"/>
      <c r="B44" s="164"/>
      <c r="C44" s="1426"/>
      <c r="D44" s="1426"/>
      <c r="E44" s="1426"/>
      <c r="F44" s="1426"/>
      <c r="G44" s="1426"/>
      <c r="H44" s="1426"/>
      <c r="I44" s="1426"/>
      <c r="J44" s="1426"/>
      <c r="K44" s="1426"/>
      <c r="L44" s="1426"/>
      <c r="M44" s="1426"/>
      <c r="N44" s="1426"/>
      <c r="O44" s="1426"/>
      <c r="P44" s="1426"/>
    </row>
    <row r="45" ht="15.75" customHeight="1">
      <c r="A45" s="1425"/>
      <c r="B45" s="164"/>
      <c r="C45" s="1426"/>
      <c r="D45" s="1426"/>
      <c r="E45" s="1426"/>
      <c r="F45" s="1426"/>
      <c r="G45" s="1426"/>
      <c r="H45" s="1426"/>
      <c r="I45" s="1426"/>
      <c r="J45" s="1426"/>
      <c r="K45" s="1426"/>
      <c r="L45" s="1426"/>
      <c r="M45" s="1426"/>
      <c r="N45" s="1426"/>
      <c r="O45" s="1426"/>
      <c r="P45" s="1426"/>
    </row>
    <row r="46" ht="15.75" customHeight="1">
      <c r="A46" s="1425"/>
      <c r="B46" s="164"/>
      <c r="C46" s="1426"/>
      <c r="D46" s="1426"/>
      <c r="E46" s="1426"/>
      <c r="F46" s="1426"/>
      <c r="G46" s="1426"/>
      <c r="H46" s="1426"/>
      <c r="I46" s="1426"/>
      <c r="J46" s="1426"/>
      <c r="K46" s="1426"/>
      <c r="L46" s="1426"/>
      <c r="M46" s="1426"/>
      <c r="N46" s="1426"/>
      <c r="O46" s="1426"/>
      <c r="P46" s="1426"/>
    </row>
    <row r="47" ht="15.75" customHeight="1">
      <c r="A47" s="1425"/>
      <c r="B47" s="164"/>
      <c r="C47" s="1426"/>
      <c r="D47" s="1426"/>
      <c r="E47" s="1426"/>
      <c r="F47" s="1426"/>
      <c r="G47" s="1426"/>
      <c r="H47" s="1426"/>
      <c r="I47" s="1426"/>
      <c r="J47" s="1426"/>
      <c r="K47" s="1426"/>
      <c r="L47" s="1426"/>
      <c r="M47" s="1426"/>
      <c r="N47" s="1426"/>
      <c r="O47" s="1426"/>
      <c r="P47" s="1426"/>
    </row>
    <row r="48" ht="15.75" customHeight="1">
      <c r="A48" s="1425"/>
      <c r="B48" s="164"/>
      <c r="C48" s="1426"/>
      <c r="D48" s="1426"/>
      <c r="E48" s="1426"/>
      <c r="F48" s="1426"/>
      <c r="G48" s="1426"/>
      <c r="H48" s="1426"/>
      <c r="I48" s="1426"/>
      <c r="J48" s="1426"/>
      <c r="K48" s="1426"/>
      <c r="L48" s="1426"/>
      <c r="M48" s="1426"/>
      <c r="N48" s="1426"/>
      <c r="O48" s="1426"/>
      <c r="P48" s="1426"/>
    </row>
    <row r="49" ht="15.75" customHeight="1">
      <c r="A49" s="1425"/>
      <c r="B49" s="164"/>
      <c r="C49" s="1426"/>
      <c r="D49" s="1426"/>
      <c r="E49" s="1426"/>
      <c r="F49" s="1426"/>
      <c r="G49" s="1426"/>
      <c r="H49" s="1426"/>
      <c r="I49" s="1426"/>
      <c r="J49" s="1426"/>
      <c r="K49" s="1426"/>
      <c r="L49" s="1426"/>
      <c r="M49" s="1426"/>
      <c r="N49" s="1426"/>
      <c r="O49" s="1426"/>
      <c r="P49" s="1426"/>
    </row>
    <row r="50" ht="15.75" customHeight="1">
      <c r="A50" s="1425"/>
      <c r="B50" s="164"/>
      <c r="C50" s="1426"/>
      <c r="D50" s="1426"/>
      <c r="E50" s="1426"/>
      <c r="F50" s="1426"/>
      <c r="G50" s="1426"/>
      <c r="H50" s="1426"/>
      <c r="I50" s="1426"/>
      <c r="J50" s="1426"/>
      <c r="K50" s="1426"/>
      <c r="L50" s="1426"/>
      <c r="M50" s="1426"/>
      <c r="N50" s="1426"/>
      <c r="O50" s="1426"/>
      <c r="P50" s="1426"/>
    </row>
    <row r="51" ht="15.75" customHeight="1">
      <c r="A51" s="1425"/>
      <c r="B51" s="164"/>
      <c r="C51" s="1426"/>
      <c r="D51" s="1426"/>
      <c r="E51" s="1426"/>
      <c r="F51" s="1426"/>
      <c r="G51" s="1426"/>
      <c r="H51" s="1426"/>
      <c r="I51" s="1426"/>
      <c r="J51" s="1426"/>
      <c r="K51" s="1426"/>
      <c r="L51" s="1426"/>
      <c r="M51" s="1426"/>
      <c r="N51" s="1426"/>
      <c r="O51" s="1426"/>
      <c r="P51" s="1426"/>
    </row>
    <row r="52" ht="15.75" customHeight="1">
      <c r="A52" s="1425"/>
      <c r="B52" s="164"/>
      <c r="C52" s="1426"/>
      <c r="D52" s="1426"/>
      <c r="E52" s="1426"/>
      <c r="F52" s="1426"/>
      <c r="G52" s="1426"/>
      <c r="H52" s="1426"/>
      <c r="I52" s="1426"/>
      <c r="J52" s="1426"/>
      <c r="K52" s="1426"/>
      <c r="L52" s="1426"/>
      <c r="M52" s="1426"/>
      <c r="N52" s="1426"/>
      <c r="O52" s="1426"/>
      <c r="P52" s="1426"/>
    </row>
    <row r="53" ht="15.75" customHeight="1">
      <c r="A53" s="1425"/>
      <c r="B53" s="164"/>
      <c r="C53" s="1426"/>
      <c r="D53" s="1426"/>
      <c r="E53" s="1426"/>
      <c r="F53" s="1426"/>
      <c r="G53" s="1426"/>
      <c r="H53" s="1426"/>
      <c r="I53" s="1426"/>
      <c r="J53" s="1426"/>
      <c r="K53" s="1426"/>
      <c r="L53" s="1426"/>
      <c r="M53" s="1426"/>
      <c r="N53" s="1426"/>
      <c r="O53" s="1426"/>
      <c r="P53" s="1426"/>
    </row>
    <row r="54" ht="15.75" customHeight="1">
      <c r="A54" s="1425"/>
      <c r="B54" s="164"/>
      <c r="C54" s="1426"/>
      <c r="D54" s="1426"/>
      <c r="E54" s="1426"/>
      <c r="F54" s="1426"/>
      <c r="G54" s="1426"/>
      <c r="H54" s="1426"/>
      <c r="I54" s="1426"/>
      <c r="J54" s="1426"/>
      <c r="K54" s="1426"/>
      <c r="L54" s="1426"/>
      <c r="M54" s="1426"/>
      <c r="N54" s="1426"/>
      <c r="O54" s="1426"/>
      <c r="P54" s="1426"/>
    </row>
    <row r="55" ht="15.75" customHeight="1">
      <c r="A55" s="1425"/>
      <c r="B55" s="164"/>
      <c r="C55" s="1426"/>
      <c r="D55" s="1426"/>
      <c r="E55" s="1426"/>
      <c r="F55" s="1426"/>
      <c r="G55" s="1426"/>
      <c r="H55" s="1426"/>
      <c r="I55" s="1426"/>
      <c r="J55" s="1426"/>
      <c r="K55" s="1426"/>
      <c r="L55" s="1426"/>
      <c r="M55" s="1426"/>
      <c r="N55" s="1426"/>
      <c r="O55" s="1426"/>
      <c r="P55" s="1426"/>
    </row>
    <row r="56" ht="15.75" customHeight="1">
      <c r="A56" s="1425"/>
      <c r="B56" s="164"/>
      <c r="C56" s="1426"/>
      <c r="D56" s="1426"/>
      <c r="E56" s="1426"/>
      <c r="F56" s="1426"/>
      <c r="G56" s="1426"/>
      <c r="H56" s="1426"/>
      <c r="I56" s="1426"/>
      <c r="J56" s="1426"/>
      <c r="K56" s="1426"/>
      <c r="L56" s="1426"/>
      <c r="M56" s="1426"/>
      <c r="N56" s="1426"/>
      <c r="O56" s="1426"/>
      <c r="P56" s="1426"/>
    </row>
    <row r="57" ht="15.75" customHeight="1">
      <c r="A57" s="1425"/>
      <c r="B57" s="164"/>
      <c r="C57" s="1426"/>
      <c r="D57" s="1426"/>
      <c r="E57" s="1426"/>
      <c r="F57" s="1426"/>
      <c r="G57" s="1426"/>
      <c r="H57" s="1426"/>
      <c r="I57" s="1426"/>
      <c r="J57" s="1426"/>
      <c r="K57" s="1426"/>
      <c r="L57" s="1426"/>
      <c r="M57" s="1426"/>
      <c r="N57" s="1426"/>
      <c r="O57" s="1426"/>
      <c r="P57" s="1426"/>
    </row>
    <row r="58" ht="15.75" customHeight="1">
      <c r="A58" s="1425"/>
      <c r="B58" s="164"/>
      <c r="C58" s="1426"/>
      <c r="D58" s="1426"/>
      <c r="E58" s="1426"/>
      <c r="F58" s="1426"/>
      <c r="G58" s="1426"/>
      <c r="H58" s="1426"/>
      <c r="I58" s="1426"/>
      <c r="J58" s="1426"/>
      <c r="K58" s="1426"/>
      <c r="L58" s="1426"/>
      <c r="M58" s="1426"/>
      <c r="N58" s="1426"/>
      <c r="O58" s="1426"/>
      <c r="P58" s="1426"/>
    </row>
    <row r="59" ht="15.75" customHeight="1">
      <c r="A59" s="1425"/>
      <c r="B59" s="164"/>
      <c r="C59" s="1426"/>
      <c r="D59" s="1426"/>
      <c r="E59" s="1426"/>
      <c r="F59" s="1426"/>
      <c r="G59" s="1426"/>
      <c r="H59" s="1426"/>
      <c r="I59" s="1426"/>
      <c r="J59" s="1426"/>
      <c r="K59" s="1426"/>
      <c r="L59" s="1426"/>
      <c r="M59" s="1426"/>
      <c r="N59" s="1426"/>
      <c r="O59" s="1426"/>
      <c r="P59" s="1426"/>
    </row>
    <row r="60" ht="15.75" customHeight="1">
      <c r="A60" s="1425"/>
      <c r="B60" s="164"/>
      <c r="C60" s="1426"/>
      <c r="D60" s="1426"/>
      <c r="E60" s="1426"/>
      <c r="F60" s="1426"/>
      <c r="G60" s="1426"/>
      <c r="H60" s="1426"/>
      <c r="I60" s="1426"/>
      <c r="J60" s="1426"/>
      <c r="K60" s="1426"/>
      <c r="L60" s="1426"/>
      <c r="M60" s="1426"/>
      <c r="N60" s="1426"/>
      <c r="O60" s="1426"/>
      <c r="P60" s="1426"/>
    </row>
    <row r="61" ht="15.75" customHeight="1">
      <c r="A61" s="1425"/>
      <c r="B61" s="164"/>
      <c r="C61" s="1426"/>
      <c r="D61" s="1426"/>
      <c r="E61" s="1426"/>
      <c r="F61" s="1426"/>
      <c r="G61" s="1426"/>
      <c r="H61" s="1426"/>
      <c r="I61" s="1426"/>
      <c r="J61" s="1426"/>
      <c r="K61" s="1426"/>
      <c r="L61" s="1426"/>
      <c r="M61" s="1426"/>
      <c r="N61" s="1426"/>
      <c r="O61" s="1426"/>
      <c r="P61" s="1426"/>
    </row>
    <row r="62" ht="15.75" customHeight="1">
      <c r="A62" s="1425"/>
      <c r="B62" s="164"/>
      <c r="C62" s="1426"/>
      <c r="D62" s="1426"/>
      <c r="E62" s="1426"/>
      <c r="F62" s="1426"/>
      <c r="G62" s="1426"/>
      <c r="H62" s="1426"/>
      <c r="I62" s="1426"/>
      <c r="J62" s="1426"/>
      <c r="K62" s="1426"/>
      <c r="L62" s="1426"/>
      <c r="M62" s="1426"/>
      <c r="N62" s="1426"/>
      <c r="O62" s="1426"/>
      <c r="P62" s="1426"/>
    </row>
    <row r="63" ht="15.75" customHeight="1">
      <c r="A63" s="1425"/>
      <c r="B63" s="164"/>
      <c r="C63" s="1426"/>
      <c r="D63" s="1426"/>
      <c r="E63" s="1426"/>
      <c r="F63" s="1426"/>
      <c r="G63" s="1426"/>
      <c r="H63" s="1426"/>
      <c r="I63" s="1426"/>
      <c r="J63" s="1426"/>
      <c r="K63" s="1426"/>
      <c r="L63" s="1426"/>
      <c r="M63" s="1426"/>
      <c r="N63" s="1426"/>
      <c r="O63" s="1426"/>
      <c r="P63" s="1426"/>
    </row>
    <row r="64" ht="15.75" customHeight="1">
      <c r="A64" s="1425"/>
      <c r="B64" s="164"/>
      <c r="C64" s="1426"/>
      <c r="D64" s="1426"/>
      <c r="E64" s="1426"/>
      <c r="F64" s="1426"/>
      <c r="G64" s="1426"/>
      <c r="H64" s="1426"/>
      <c r="I64" s="1426"/>
      <c r="J64" s="1426"/>
      <c r="K64" s="1426"/>
      <c r="L64" s="1426"/>
      <c r="M64" s="1426"/>
      <c r="N64" s="1426"/>
      <c r="O64" s="1426"/>
      <c r="P64" s="1426"/>
    </row>
    <row r="65" ht="15.75" customHeight="1">
      <c r="A65" s="1425"/>
      <c r="B65" s="164"/>
      <c r="C65" s="1426"/>
      <c r="D65" s="1426"/>
      <c r="E65" s="1426"/>
      <c r="F65" s="1426"/>
      <c r="G65" s="1426"/>
      <c r="H65" s="1426"/>
      <c r="I65" s="1426"/>
      <c r="J65" s="1426"/>
      <c r="K65" s="1426"/>
      <c r="L65" s="1426"/>
      <c r="M65" s="1426"/>
      <c r="N65" s="1426"/>
      <c r="O65" s="1426"/>
      <c r="P65" s="1426"/>
    </row>
    <row r="66" ht="15.75" customHeight="1">
      <c r="A66" s="1425"/>
      <c r="B66" s="164"/>
      <c r="C66" s="1426"/>
      <c r="D66" s="1426"/>
      <c r="E66" s="1426"/>
      <c r="F66" s="1426"/>
      <c r="G66" s="1426"/>
      <c r="H66" s="1426"/>
      <c r="I66" s="1426"/>
      <c r="J66" s="1426"/>
      <c r="K66" s="1426"/>
      <c r="L66" s="1426"/>
      <c r="M66" s="1426"/>
      <c r="N66" s="1426"/>
      <c r="O66" s="1426"/>
      <c r="P66" s="1426"/>
    </row>
    <row r="67" ht="15.75" customHeight="1">
      <c r="A67" s="1425"/>
      <c r="B67" s="164"/>
      <c r="C67" s="1426"/>
      <c r="D67" s="1426"/>
      <c r="E67" s="1426"/>
      <c r="F67" s="1426"/>
      <c r="G67" s="1426"/>
      <c r="H67" s="1426"/>
      <c r="I67" s="1426"/>
      <c r="J67" s="1426"/>
      <c r="K67" s="1426"/>
      <c r="L67" s="1426"/>
      <c r="M67" s="1426"/>
      <c r="N67" s="1426"/>
      <c r="O67" s="1426"/>
      <c r="P67" s="1426"/>
    </row>
    <row r="68" ht="15.75" customHeight="1">
      <c r="A68" s="1425"/>
      <c r="B68" s="164"/>
      <c r="C68" s="1426"/>
      <c r="D68" s="1426"/>
      <c r="E68" s="1426"/>
      <c r="F68" s="1426"/>
      <c r="G68" s="1426"/>
      <c r="H68" s="1426"/>
      <c r="I68" s="1426"/>
      <c r="J68" s="1426"/>
      <c r="K68" s="1426"/>
      <c r="L68" s="1426"/>
      <c r="M68" s="1426"/>
      <c r="N68" s="1426"/>
      <c r="O68" s="1426"/>
      <c r="P68" s="1426"/>
    </row>
    <row r="69" ht="15.75" customHeight="1">
      <c r="A69" s="1425"/>
      <c r="B69" s="164"/>
      <c r="C69" s="1426"/>
      <c r="D69" s="1426"/>
      <c r="E69" s="1426"/>
      <c r="F69" s="1426"/>
      <c r="G69" s="1426"/>
      <c r="H69" s="1426"/>
      <c r="I69" s="1426"/>
      <c r="J69" s="1426"/>
      <c r="K69" s="1426"/>
      <c r="L69" s="1426"/>
      <c r="M69" s="1426"/>
      <c r="N69" s="1426"/>
      <c r="O69" s="1426"/>
      <c r="P69" s="1426"/>
    </row>
    <row r="70" ht="15.75" customHeight="1">
      <c r="A70" s="1425"/>
      <c r="B70" s="164"/>
      <c r="C70" s="1426"/>
      <c r="D70" s="1426"/>
      <c r="E70" s="1426"/>
      <c r="F70" s="1426"/>
      <c r="G70" s="1426"/>
      <c r="H70" s="1426"/>
      <c r="I70" s="1426"/>
      <c r="J70" s="1426"/>
      <c r="K70" s="1426"/>
      <c r="L70" s="1426"/>
      <c r="M70" s="1426"/>
      <c r="N70" s="1426"/>
      <c r="O70" s="1426"/>
      <c r="P70" s="1426"/>
    </row>
    <row r="71" ht="15.75" customHeight="1">
      <c r="A71" s="1425"/>
      <c r="B71" s="164"/>
      <c r="C71" s="1426"/>
      <c r="D71" s="1426"/>
      <c r="E71" s="1426"/>
      <c r="F71" s="1426"/>
      <c r="G71" s="1426"/>
      <c r="H71" s="1426"/>
      <c r="I71" s="1426"/>
      <c r="J71" s="1426"/>
      <c r="K71" s="1426"/>
      <c r="L71" s="1426"/>
      <c r="M71" s="1426"/>
      <c r="N71" s="1426"/>
      <c r="O71" s="1426"/>
      <c r="P71" s="1426"/>
    </row>
    <row r="72" ht="15.75" customHeight="1">
      <c r="A72" s="1425"/>
      <c r="B72" s="164"/>
      <c r="C72" s="1426"/>
      <c r="D72" s="1426"/>
      <c r="E72" s="1426"/>
      <c r="F72" s="1426"/>
      <c r="G72" s="1426"/>
      <c r="H72" s="1426"/>
      <c r="I72" s="1426"/>
      <c r="J72" s="1426"/>
      <c r="K72" s="1426"/>
      <c r="L72" s="1426"/>
      <c r="M72" s="1426"/>
      <c r="N72" s="1426"/>
      <c r="O72" s="1426"/>
      <c r="P72" s="1426"/>
    </row>
    <row r="73" ht="15.75" customHeight="1">
      <c r="A73" s="1425"/>
      <c r="B73" s="164"/>
      <c r="C73" s="1426"/>
      <c r="D73" s="1426"/>
      <c r="E73" s="1426"/>
      <c r="F73" s="1426"/>
      <c r="G73" s="1426"/>
      <c r="H73" s="1426"/>
      <c r="I73" s="1426"/>
      <c r="J73" s="1426"/>
      <c r="K73" s="1426"/>
      <c r="L73" s="1426"/>
      <c r="M73" s="1426"/>
      <c r="N73" s="1426"/>
      <c r="O73" s="1426"/>
      <c r="P73" s="1426"/>
    </row>
    <row r="74" ht="15.75" customHeight="1">
      <c r="A74" s="1425"/>
      <c r="B74" s="164"/>
      <c r="C74" s="1426"/>
      <c r="D74" s="1426"/>
      <c r="E74" s="1426"/>
      <c r="F74" s="1426"/>
      <c r="G74" s="1426"/>
      <c r="H74" s="1426"/>
      <c r="I74" s="1426"/>
      <c r="J74" s="1426"/>
      <c r="K74" s="1426"/>
      <c r="L74" s="1426"/>
      <c r="M74" s="1426"/>
      <c r="N74" s="1426"/>
      <c r="O74" s="1426"/>
      <c r="P74" s="1426"/>
    </row>
    <row r="75" ht="15.75" customHeight="1">
      <c r="A75" s="1425"/>
      <c r="B75" s="164"/>
      <c r="C75" s="1426"/>
      <c r="D75" s="1426"/>
      <c r="E75" s="1426"/>
      <c r="F75" s="1426"/>
      <c r="G75" s="1426"/>
      <c r="H75" s="1426"/>
      <c r="I75" s="1426"/>
      <c r="J75" s="1426"/>
      <c r="K75" s="1426"/>
      <c r="L75" s="1426"/>
      <c r="M75" s="1426"/>
      <c r="N75" s="1426"/>
      <c r="O75" s="1426"/>
      <c r="P75" s="1426"/>
    </row>
    <row r="76" ht="15.75" customHeight="1">
      <c r="A76" s="1425"/>
      <c r="B76" s="164"/>
      <c r="C76" s="1426"/>
      <c r="D76" s="1426"/>
      <c r="E76" s="1426"/>
      <c r="F76" s="1426"/>
      <c r="G76" s="1426"/>
      <c r="H76" s="1426"/>
      <c r="I76" s="1426"/>
      <c r="J76" s="1426"/>
      <c r="K76" s="1426"/>
      <c r="L76" s="1426"/>
      <c r="M76" s="1426"/>
      <c r="N76" s="1426"/>
      <c r="O76" s="1426"/>
      <c r="P76" s="1426"/>
    </row>
    <row r="77" ht="15.75" customHeight="1">
      <c r="A77" s="1425"/>
      <c r="B77" s="164"/>
      <c r="C77" s="1426"/>
      <c r="D77" s="1426"/>
      <c r="E77" s="1426"/>
      <c r="F77" s="1426"/>
      <c r="G77" s="1426"/>
      <c r="H77" s="1426"/>
      <c r="I77" s="1426"/>
      <c r="J77" s="1426"/>
      <c r="K77" s="1426"/>
      <c r="L77" s="1426"/>
      <c r="M77" s="1426"/>
      <c r="N77" s="1426"/>
      <c r="O77" s="1426"/>
      <c r="P77" s="1426"/>
    </row>
    <row r="78" ht="15.75" customHeight="1">
      <c r="A78" s="1425"/>
      <c r="B78" s="164"/>
      <c r="C78" s="1426"/>
      <c r="D78" s="1426"/>
      <c r="E78" s="1426"/>
      <c r="F78" s="1426"/>
      <c r="G78" s="1426"/>
      <c r="H78" s="1426"/>
      <c r="I78" s="1426"/>
      <c r="J78" s="1426"/>
      <c r="K78" s="1426"/>
      <c r="L78" s="1426"/>
      <c r="M78" s="1426"/>
      <c r="N78" s="1426"/>
      <c r="O78" s="1426"/>
      <c r="P78" s="1426"/>
    </row>
    <row r="79" ht="15.75" customHeight="1">
      <c r="A79" s="1425"/>
      <c r="B79" s="164"/>
      <c r="C79" s="1426"/>
      <c r="D79" s="1426"/>
      <c r="E79" s="1426"/>
      <c r="F79" s="1426"/>
      <c r="G79" s="1426"/>
      <c r="H79" s="1426"/>
      <c r="I79" s="1426"/>
      <c r="J79" s="1426"/>
      <c r="K79" s="1426"/>
      <c r="L79" s="1426"/>
      <c r="M79" s="1426"/>
      <c r="N79" s="1426"/>
      <c r="O79" s="1426"/>
      <c r="P79" s="1426"/>
    </row>
    <row r="80" ht="15.75" customHeight="1">
      <c r="A80" s="1425"/>
      <c r="B80" s="164"/>
      <c r="C80" s="1426"/>
      <c r="D80" s="1426"/>
      <c r="E80" s="1426"/>
      <c r="F80" s="1426"/>
      <c r="G80" s="1426"/>
      <c r="H80" s="1426"/>
      <c r="I80" s="1426"/>
      <c r="J80" s="1426"/>
      <c r="K80" s="1426"/>
      <c r="L80" s="1426"/>
      <c r="M80" s="1426"/>
      <c r="N80" s="1426"/>
      <c r="O80" s="1426"/>
      <c r="P80" s="1426"/>
    </row>
    <row r="81" ht="15.75" customHeight="1">
      <c r="A81" s="1425"/>
      <c r="B81" s="164"/>
      <c r="C81" s="1426"/>
      <c r="D81" s="1426"/>
      <c r="E81" s="1426"/>
      <c r="F81" s="1426"/>
      <c r="G81" s="1426"/>
      <c r="H81" s="1426"/>
      <c r="I81" s="1426"/>
      <c r="J81" s="1426"/>
      <c r="K81" s="1426"/>
      <c r="L81" s="1426"/>
      <c r="M81" s="1426"/>
      <c r="N81" s="1426"/>
      <c r="O81" s="1426"/>
      <c r="P81" s="1426"/>
    </row>
    <row r="82" ht="15.75" customHeight="1">
      <c r="A82" s="1425"/>
      <c r="B82" s="164"/>
      <c r="C82" s="1426"/>
      <c r="D82" s="1426"/>
      <c r="E82" s="1426"/>
      <c r="F82" s="1426"/>
      <c r="G82" s="1426"/>
      <c r="H82" s="1426"/>
      <c r="I82" s="1426"/>
      <c r="J82" s="1426"/>
      <c r="K82" s="1426"/>
      <c r="L82" s="1426"/>
      <c r="M82" s="1426"/>
      <c r="N82" s="1426"/>
      <c r="O82" s="1426"/>
      <c r="P82" s="1426"/>
    </row>
    <row r="83" ht="15.75" customHeight="1">
      <c r="A83" s="1425"/>
      <c r="B83" s="164"/>
      <c r="C83" s="1426"/>
      <c r="D83" s="1426"/>
      <c r="E83" s="1426"/>
      <c r="F83" s="1426"/>
      <c r="G83" s="1426"/>
      <c r="H83" s="1426"/>
      <c r="I83" s="1426"/>
      <c r="J83" s="1426"/>
      <c r="K83" s="1426"/>
      <c r="L83" s="1426"/>
      <c r="M83" s="1426"/>
      <c r="N83" s="1426"/>
      <c r="O83" s="1426"/>
      <c r="P83" s="1426"/>
    </row>
    <row r="84" ht="15.75" customHeight="1">
      <c r="A84" s="1425"/>
      <c r="B84" s="164"/>
      <c r="C84" s="1426"/>
      <c r="D84" s="1426"/>
      <c r="E84" s="1426"/>
      <c r="F84" s="1426"/>
      <c r="G84" s="1426"/>
      <c r="H84" s="1426"/>
      <c r="I84" s="1426"/>
      <c r="J84" s="1426"/>
      <c r="K84" s="1426"/>
      <c r="L84" s="1426"/>
      <c r="M84" s="1426"/>
      <c r="N84" s="1426"/>
      <c r="O84" s="1426"/>
      <c r="P84" s="1426"/>
    </row>
    <row r="85" ht="15.75" customHeight="1">
      <c r="A85" s="1425"/>
      <c r="B85" s="164"/>
      <c r="C85" s="1426"/>
      <c r="D85" s="1426"/>
      <c r="E85" s="1426"/>
      <c r="F85" s="1426"/>
      <c r="G85" s="1426"/>
      <c r="H85" s="1426"/>
      <c r="I85" s="1426"/>
      <c r="J85" s="1426"/>
      <c r="K85" s="1426"/>
      <c r="L85" s="1426"/>
      <c r="M85" s="1426"/>
      <c r="N85" s="1426"/>
      <c r="O85" s="1426"/>
      <c r="P85" s="1426"/>
    </row>
    <row r="86" ht="15.75" customHeight="1">
      <c r="A86" s="1425"/>
      <c r="B86" s="164"/>
      <c r="C86" s="1426"/>
      <c r="D86" s="1426"/>
      <c r="E86" s="1426"/>
      <c r="F86" s="1426"/>
      <c r="G86" s="1426"/>
      <c r="H86" s="1426"/>
      <c r="I86" s="1426"/>
      <c r="J86" s="1426"/>
      <c r="K86" s="1426"/>
      <c r="L86" s="1426"/>
      <c r="M86" s="1426"/>
      <c r="N86" s="1426"/>
      <c r="O86" s="1426"/>
      <c r="P86" s="1426"/>
    </row>
    <row r="87" ht="15.75" customHeight="1">
      <c r="A87" s="1425"/>
      <c r="B87" s="164"/>
      <c r="C87" s="1426"/>
      <c r="D87" s="1426"/>
      <c r="E87" s="1426"/>
      <c r="F87" s="1426"/>
      <c r="G87" s="1426"/>
      <c r="H87" s="1426"/>
      <c r="I87" s="1426"/>
      <c r="J87" s="1426"/>
      <c r="K87" s="1426"/>
      <c r="L87" s="1426"/>
      <c r="M87" s="1426"/>
      <c r="N87" s="1426"/>
      <c r="O87" s="1426"/>
      <c r="P87" s="1426"/>
    </row>
    <row r="88" ht="15.75" customHeight="1">
      <c r="A88" s="1425"/>
      <c r="B88" s="164"/>
      <c r="C88" s="1426"/>
      <c r="D88" s="1426"/>
      <c r="E88" s="1426"/>
      <c r="F88" s="1426"/>
      <c r="G88" s="1426"/>
      <c r="H88" s="1426"/>
      <c r="I88" s="1426"/>
      <c r="J88" s="1426"/>
      <c r="K88" s="1426"/>
      <c r="L88" s="1426"/>
      <c r="M88" s="1426"/>
      <c r="N88" s="1426"/>
      <c r="O88" s="1426"/>
      <c r="P88" s="1426"/>
    </row>
    <row r="89" ht="15.75" customHeight="1">
      <c r="A89" s="1425"/>
      <c r="B89" s="164"/>
      <c r="C89" s="1426"/>
      <c r="D89" s="1426"/>
      <c r="E89" s="1426"/>
      <c r="F89" s="1426"/>
      <c r="G89" s="1426"/>
      <c r="H89" s="1426"/>
      <c r="I89" s="1426"/>
      <c r="J89" s="1426"/>
      <c r="K89" s="1426"/>
      <c r="L89" s="1426"/>
      <c r="M89" s="1426"/>
      <c r="N89" s="1426"/>
      <c r="O89" s="1426"/>
      <c r="P89" s="1426"/>
    </row>
    <row r="90" ht="15.75" customHeight="1">
      <c r="A90" s="1425"/>
      <c r="B90" s="164"/>
      <c r="C90" s="1426"/>
      <c r="D90" s="1426"/>
      <c r="E90" s="1426"/>
      <c r="F90" s="1426"/>
      <c r="G90" s="1426"/>
      <c r="H90" s="1426"/>
      <c r="I90" s="1426"/>
      <c r="J90" s="1426"/>
      <c r="K90" s="1426"/>
      <c r="L90" s="1426"/>
      <c r="M90" s="1426"/>
      <c r="N90" s="1426"/>
      <c r="O90" s="1426"/>
      <c r="P90" s="1426"/>
    </row>
    <row r="91" ht="15.75" customHeight="1">
      <c r="A91" s="1425"/>
      <c r="B91" s="164"/>
      <c r="C91" s="1426"/>
      <c r="D91" s="1426"/>
      <c r="E91" s="1426"/>
      <c r="F91" s="1426"/>
      <c r="G91" s="1426"/>
      <c r="H91" s="1426"/>
      <c r="I91" s="1426"/>
      <c r="J91" s="1426"/>
      <c r="K91" s="1426"/>
      <c r="L91" s="1426"/>
      <c r="M91" s="1426"/>
      <c r="N91" s="1426"/>
      <c r="O91" s="1426"/>
      <c r="P91" s="1426"/>
    </row>
    <row r="92" ht="15.75" customHeight="1">
      <c r="A92" s="1425"/>
      <c r="B92" s="164"/>
      <c r="C92" s="1426"/>
      <c r="D92" s="1426"/>
      <c r="E92" s="1426"/>
      <c r="F92" s="1426"/>
      <c r="G92" s="1426"/>
      <c r="H92" s="1426"/>
      <c r="I92" s="1426"/>
      <c r="J92" s="1426"/>
      <c r="K92" s="1426"/>
      <c r="L92" s="1426"/>
      <c r="M92" s="1426"/>
      <c r="N92" s="1426"/>
      <c r="O92" s="1426"/>
      <c r="P92" s="1426"/>
    </row>
    <row r="93" ht="15.75" customHeight="1">
      <c r="A93" s="1425"/>
      <c r="B93" s="164"/>
      <c r="C93" s="1426"/>
      <c r="D93" s="1426"/>
      <c r="E93" s="1426"/>
      <c r="F93" s="1426"/>
      <c r="G93" s="1426"/>
      <c r="H93" s="1426"/>
      <c r="I93" s="1426"/>
      <c r="J93" s="1426"/>
      <c r="K93" s="1426"/>
      <c r="L93" s="1426"/>
      <c r="M93" s="1426"/>
      <c r="N93" s="1426"/>
      <c r="O93" s="1426"/>
      <c r="P93" s="1426"/>
    </row>
    <row r="94" ht="15.75" customHeight="1">
      <c r="A94" s="1425"/>
      <c r="B94" s="164"/>
      <c r="C94" s="1426"/>
      <c r="D94" s="1426"/>
      <c r="E94" s="1426"/>
      <c r="F94" s="1426"/>
      <c r="G94" s="1426"/>
      <c r="H94" s="1426"/>
      <c r="I94" s="1426"/>
      <c r="J94" s="1426"/>
      <c r="K94" s="1426"/>
      <c r="L94" s="1426"/>
      <c r="M94" s="1426"/>
      <c r="N94" s="1426"/>
      <c r="O94" s="1426"/>
      <c r="P94" s="1426"/>
    </row>
    <row r="95" ht="15.75" customHeight="1">
      <c r="A95" s="1425"/>
      <c r="B95" s="164"/>
      <c r="C95" s="1426"/>
      <c r="D95" s="1426"/>
      <c r="E95" s="1426"/>
      <c r="F95" s="1426"/>
      <c r="G95" s="1426"/>
      <c r="H95" s="1426"/>
      <c r="I95" s="1426"/>
      <c r="J95" s="1426"/>
      <c r="K95" s="1426"/>
      <c r="L95" s="1426"/>
      <c r="M95" s="1426"/>
      <c r="N95" s="1426"/>
      <c r="O95" s="1426"/>
      <c r="P95" s="1426"/>
    </row>
    <row r="96" ht="15.75" customHeight="1">
      <c r="A96" s="1425"/>
      <c r="B96" s="164"/>
      <c r="C96" s="1426"/>
      <c r="D96" s="1426"/>
      <c r="E96" s="1426"/>
      <c r="F96" s="1426"/>
      <c r="G96" s="1426"/>
      <c r="H96" s="1426"/>
      <c r="I96" s="1426"/>
      <c r="J96" s="1426"/>
      <c r="K96" s="1426"/>
      <c r="L96" s="1426"/>
      <c r="M96" s="1426"/>
      <c r="N96" s="1426"/>
      <c r="O96" s="1426"/>
      <c r="P96" s="1426"/>
    </row>
    <row r="97" ht="15.75" customHeight="1">
      <c r="A97" s="1425"/>
      <c r="B97" s="164"/>
      <c r="C97" s="1426"/>
      <c r="D97" s="1426"/>
      <c r="E97" s="1426"/>
      <c r="F97" s="1426"/>
      <c r="G97" s="1426"/>
      <c r="H97" s="1426"/>
      <c r="I97" s="1426"/>
      <c r="J97" s="1426"/>
      <c r="K97" s="1426"/>
      <c r="L97" s="1426"/>
      <c r="M97" s="1426"/>
      <c r="N97" s="1426"/>
      <c r="O97" s="1426"/>
      <c r="P97" s="1426"/>
    </row>
    <row r="98" ht="15.75" customHeight="1">
      <c r="A98" s="1425"/>
      <c r="B98" s="164"/>
      <c r="C98" s="1426"/>
      <c r="D98" s="1426"/>
      <c r="E98" s="1426"/>
      <c r="F98" s="1426"/>
      <c r="G98" s="1426"/>
      <c r="H98" s="1426"/>
      <c r="I98" s="1426"/>
      <c r="J98" s="1426"/>
      <c r="K98" s="1426"/>
      <c r="L98" s="1426"/>
      <c r="M98" s="1426"/>
      <c r="N98" s="1426"/>
      <c r="O98" s="1426"/>
      <c r="P98" s="1426"/>
    </row>
    <row r="99" ht="15.75" customHeight="1">
      <c r="A99" s="1425"/>
      <c r="B99" s="164"/>
      <c r="C99" s="1426"/>
      <c r="D99" s="1426"/>
      <c r="E99" s="1426"/>
      <c r="F99" s="1426"/>
      <c r="G99" s="1426"/>
      <c r="H99" s="1426"/>
      <c r="I99" s="1426"/>
      <c r="J99" s="1426"/>
      <c r="K99" s="1426"/>
      <c r="L99" s="1426"/>
      <c r="M99" s="1426"/>
      <c r="N99" s="1426"/>
      <c r="O99" s="1426"/>
      <c r="P99" s="1426"/>
    </row>
    <row r="100" ht="15.75" customHeight="1">
      <c r="A100" s="1425"/>
      <c r="B100" s="164"/>
      <c r="C100" s="1426"/>
      <c r="D100" s="1426"/>
      <c r="E100" s="1426"/>
      <c r="F100" s="1426"/>
      <c r="G100" s="1426"/>
      <c r="H100" s="1426"/>
      <c r="I100" s="1426"/>
      <c r="J100" s="1426"/>
      <c r="K100" s="1426"/>
      <c r="L100" s="1426"/>
      <c r="M100" s="1426"/>
      <c r="N100" s="1426"/>
      <c r="O100" s="1426"/>
      <c r="P100" s="1426"/>
    </row>
    <row r="101" ht="15.75" customHeight="1">
      <c r="A101" s="1425"/>
      <c r="B101" s="164"/>
      <c r="C101" s="1426"/>
      <c r="D101" s="1426"/>
      <c r="E101" s="1426"/>
      <c r="F101" s="1426"/>
      <c r="G101" s="1426"/>
      <c r="H101" s="1426"/>
      <c r="I101" s="1426"/>
      <c r="J101" s="1426"/>
      <c r="K101" s="1426"/>
      <c r="L101" s="1426"/>
      <c r="M101" s="1426"/>
      <c r="N101" s="1426"/>
      <c r="O101" s="1426"/>
      <c r="P101" s="1426"/>
    </row>
    <row r="102" ht="15.75" customHeight="1">
      <c r="A102" s="1425"/>
      <c r="B102" s="164"/>
      <c r="C102" s="1426"/>
      <c r="D102" s="1426"/>
      <c r="E102" s="1426"/>
      <c r="F102" s="1426"/>
      <c r="G102" s="1426"/>
      <c r="H102" s="1426"/>
      <c r="I102" s="1426"/>
      <c r="J102" s="1426"/>
      <c r="K102" s="1426"/>
      <c r="L102" s="1426"/>
      <c r="M102" s="1426"/>
      <c r="N102" s="1426"/>
      <c r="O102" s="1426"/>
      <c r="P102" s="1426"/>
    </row>
    <row r="103" ht="15.75" customHeight="1">
      <c r="A103" s="1425"/>
      <c r="B103" s="164"/>
      <c r="C103" s="1426"/>
      <c r="D103" s="1426"/>
      <c r="E103" s="1426"/>
      <c r="F103" s="1426"/>
      <c r="G103" s="1426"/>
      <c r="H103" s="1426"/>
      <c r="I103" s="1426"/>
      <c r="J103" s="1426"/>
      <c r="K103" s="1426"/>
      <c r="L103" s="1426"/>
      <c r="M103" s="1426"/>
      <c r="N103" s="1426"/>
      <c r="O103" s="1426"/>
      <c r="P103" s="1426"/>
    </row>
    <row r="104" ht="15.75" customHeight="1">
      <c r="A104" s="1425"/>
      <c r="B104" s="164"/>
      <c r="C104" s="1426"/>
      <c r="D104" s="1426"/>
      <c r="E104" s="1426"/>
      <c r="F104" s="1426"/>
      <c r="G104" s="1426"/>
      <c r="H104" s="1426"/>
      <c r="I104" s="1426"/>
      <c r="J104" s="1426"/>
      <c r="K104" s="1426"/>
      <c r="L104" s="1426"/>
      <c r="M104" s="1426"/>
      <c r="N104" s="1426"/>
      <c r="O104" s="1426"/>
      <c r="P104" s="1426"/>
    </row>
    <row r="105" ht="15.75" customHeight="1">
      <c r="A105" s="1425"/>
      <c r="B105" s="164"/>
      <c r="C105" s="1426"/>
      <c r="D105" s="1426"/>
      <c r="E105" s="1426"/>
      <c r="F105" s="1426"/>
      <c r="G105" s="1426"/>
      <c r="H105" s="1426"/>
      <c r="I105" s="1426"/>
      <c r="J105" s="1426"/>
      <c r="K105" s="1426"/>
      <c r="L105" s="1426"/>
      <c r="M105" s="1426"/>
      <c r="N105" s="1426"/>
      <c r="O105" s="1426"/>
      <c r="P105" s="1426"/>
    </row>
    <row r="106" ht="15.75" customHeight="1">
      <c r="A106" s="1425"/>
      <c r="B106" s="164"/>
      <c r="C106" s="1426"/>
      <c r="D106" s="1426"/>
      <c r="E106" s="1426"/>
      <c r="F106" s="1426"/>
      <c r="G106" s="1426"/>
      <c r="H106" s="1426"/>
      <c r="I106" s="1426"/>
      <c r="J106" s="1426"/>
      <c r="K106" s="1426"/>
      <c r="L106" s="1426"/>
      <c r="M106" s="1426"/>
      <c r="N106" s="1426"/>
      <c r="O106" s="1426"/>
      <c r="P106" s="1426"/>
    </row>
    <row r="107" ht="15.75" customHeight="1">
      <c r="A107" s="1425"/>
      <c r="B107" s="164"/>
      <c r="C107" s="1426"/>
      <c r="D107" s="1426"/>
      <c r="E107" s="1426"/>
      <c r="F107" s="1426"/>
      <c r="G107" s="1426"/>
      <c r="H107" s="1426"/>
      <c r="I107" s="1426"/>
      <c r="J107" s="1426"/>
      <c r="K107" s="1426"/>
      <c r="L107" s="1426"/>
      <c r="M107" s="1426"/>
      <c r="N107" s="1426"/>
      <c r="O107" s="1426"/>
      <c r="P107" s="1426"/>
    </row>
    <row r="108" ht="15.75" customHeight="1">
      <c r="A108" s="1425"/>
      <c r="B108" s="164"/>
      <c r="C108" s="1426"/>
      <c r="D108" s="1426"/>
      <c r="E108" s="1426"/>
      <c r="F108" s="1426"/>
      <c r="G108" s="1426"/>
      <c r="H108" s="1426"/>
      <c r="I108" s="1426"/>
      <c r="J108" s="1426"/>
      <c r="K108" s="1426"/>
      <c r="L108" s="1426"/>
      <c r="M108" s="1426"/>
      <c r="N108" s="1426"/>
      <c r="O108" s="1426"/>
      <c r="P108" s="1426"/>
    </row>
    <row r="109" ht="15.75" customHeight="1">
      <c r="A109" s="1425"/>
      <c r="B109" s="164"/>
      <c r="C109" s="1426"/>
      <c r="D109" s="1426"/>
      <c r="E109" s="1426"/>
      <c r="F109" s="1426"/>
      <c r="G109" s="1426"/>
      <c r="H109" s="1426"/>
      <c r="I109" s="1426"/>
      <c r="J109" s="1426"/>
      <c r="K109" s="1426"/>
      <c r="L109" s="1426"/>
      <c r="M109" s="1426"/>
      <c r="N109" s="1426"/>
      <c r="O109" s="1426"/>
      <c r="P109" s="1426"/>
    </row>
    <row r="110" ht="15.75" customHeight="1">
      <c r="A110" s="1425"/>
      <c r="B110" s="164"/>
      <c r="C110" s="1426"/>
      <c r="D110" s="1426"/>
      <c r="E110" s="1426"/>
      <c r="F110" s="1426"/>
      <c r="G110" s="1426"/>
      <c r="H110" s="1426"/>
      <c r="I110" s="1426"/>
      <c r="J110" s="1426"/>
      <c r="K110" s="1426"/>
      <c r="L110" s="1426"/>
      <c r="M110" s="1426"/>
      <c r="N110" s="1426"/>
      <c r="O110" s="1426"/>
      <c r="P110" s="1426"/>
    </row>
    <row r="111" ht="15.75" customHeight="1">
      <c r="A111" s="1425"/>
      <c r="B111" s="164"/>
      <c r="C111" s="1426"/>
      <c r="D111" s="1426"/>
      <c r="E111" s="1426"/>
      <c r="F111" s="1426"/>
      <c r="G111" s="1426"/>
      <c r="H111" s="1426"/>
      <c r="I111" s="1426"/>
      <c r="J111" s="1426"/>
      <c r="K111" s="1426"/>
      <c r="L111" s="1426"/>
      <c r="M111" s="1426"/>
      <c r="N111" s="1426"/>
      <c r="O111" s="1426"/>
      <c r="P111" s="1426"/>
    </row>
    <row r="112" ht="15.75" customHeight="1">
      <c r="A112" s="1425"/>
      <c r="B112" s="164"/>
      <c r="C112" s="1426"/>
      <c r="D112" s="1426"/>
      <c r="E112" s="1426"/>
      <c r="F112" s="1426"/>
      <c r="G112" s="1426"/>
      <c r="H112" s="1426"/>
      <c r="I112" s="1426"/>
      <c r="J112" s="1426"/>
      <c r="K112" s="1426"/>
      <c r="L112" s="1426"/>
      <c r="M112" s="1426"/>
      <c r="N112" s="1426"/>
      <c r="O112" s="1426"/>
      <c r="P112" s="1426"/>
    </row>
    <row r="113" ht="15.75" customHeight="1">
      <c r="A113" s="1425"/>
      <c r="B113" s="164"/>
      <c r="C113" s="1426"/>
      <c r="D113" s="1426"/>
      <c r="E113" s="1426"/>
      <c r="F113" s="1426"/>
      <c r="G113" s="1426"/>
      <c r="H113" s="1426"/>
      <c r="I113" s="1426"/>
      <c r="J113" s="1426"/>
      <c r="K113" s="1426"/>
      <c r="L113" s="1426"/>
      <c r="M113" s="1426"/>
      <c r="N113" s="1426"/>
      <c r="O113" s="1426"/>
      <c r="P113" s="1426"/>
    </row>
    <row r="114" ht="15.75" customHeight="1">
      <c r="A114" s="1425"/>
      <c r="B114" s="164"/>
      <c r="C114" s="1426"/>
      <c r="D114" s="1426"/>
      <c r="E114" s="1426"/>
      <c r="F114" s="1426"/>
      <c r="G114" s="1426"/>
      <c r="H114" s="1426"/>
      <c r="I114" s="1426"/>
      <c r="J114" s="1426"/>
      <c r="K114" s="1426"/>
      <c r="L114" s="1426"/>
      <c r="M114" s="1426"/>
      <c r="N114" s="1426"/>
      <c r="O114" s="1426"/>
      <c r="P114" s="1426"/>
    </row>
    <row r="115" ht="15.75" customHeight="1">
      <c r="A115" s="1425"/>
      <c r="B115" s="164"/>
      <c r="C115" s="1426"/>
      <c r="D115" s="1426"/>
      <c r="E115" s="1426"/>
      <c r="F115" s="1426"/>
      <c r="G115" s="1426"/>
      <c r="H115" s="1426"/>
      <c r="I115" s="1426"/>
      <c r="J115" s="1426"/>
      <c r="K115" s="1426"/>
      <c r="L115" s="1426"/>
      <c r="M115" s="1426"/>
      <c r="N115" s="1426"/>
      <c r="O115" s="1426"/>
      <c r="P115" s="1426"/>
    </row>
    <row r="116" ht="15.75" customHeight="1">
      <c r="A116" s="1425"/>
      <c r="B116" s="164"/>
      <c r="C116" s="1426"/>
      <c r="D116" s="1426"/>
      <c r="E116" s="1426"/>
      <c r="F116" s="1426"/>
      <c r="G116" s="1426"/>
      <c r="H116" s="1426"/>
      <c r="I116" s="1426"/>
      <c r="J116" s="1426"/>
      <c r="K116" s="1426"/>
      <c r="L116" s="1426"/>
      <c r="M116" s="1426"/>
      <c r="N116" s="1426"/>
      <c r="O116" s="1426"/>
      <c r="P116" s="1426"/>
    </row>
    <row r="117" ht="15.75" customHeight="1">
      <c r="A117" s="1425"/>
      <c r="B117" s="164"/>
      <c r="C117" s="1426"/>
      <c r="D117" s="1426"/>
      <c r="E117" s="1426"/>
      <c r="F117" s="1426"/>
      <c r="G117" s="1426"/>
      <c r="H117" s="1426"/>
      <c r="I117" s="1426"/>
      <c r="J117" s="1426"/>
      <c r="K117" s="1426"/>
      <c r="L117" s="1426"/>
      <c r="M117" s="1426"/>
      <c r="N117" s="1426"/>
      <c r="O117" s="1426"/>
      <c r="P117" s="1426"/>
    </row>
    <row r="118" ht="15.75" customHeight="1">
      <c r="A118" s="1425"/>
      <c r="B118" s="164"/>
      <c r="C118" s="1426"/>
      <c r="D118" s="1426"/>
      <c r="E118" s="1426"/>
      <c r="F118" s="1426"/>
      <c r="G118" s="1426"/>
      <c r="H118" s="1426"/>
      <c r="I118" s="1426"/>
      <c r="J118" s="1426"/>
      <c r="K118" s="1426"/>
      <c r="L118" s="1426"/>
      <c r="M118" s="1426"/>
      <c r="N118" s="1426"/>
      <c r="O118" s="1426"/>
      <c r="P118" s="1426"/>
    </row>
    <row r="119" ht="15.75" customHeight="1">
      <c r="A119" s="1425"/>
      <c r="B119" s="164"/>
      <c r="C119" s="1426"/>
      <c r="D119" s="1426"/>
      <c r="E119" s="1426"/>
      <c r="F119" s="1426"/>
      <c r="G119" s="1426"/>
      <c r="H119" s="1426"/>
      <c r="I119" s="1426"/>
      <c r="J119" s="1426"/>
      <c r="K119" s="1426"/>
      <c r="L119" s="1426"/>
      <c r="M119" s="1426"/>
      <c r="N119" s="1426"/>
      <c r="O119" s="1426"/>
      <c r="P119" s="1426"/>
    </row>
    <row r="120" ht="15.75" customHeight="1">
      <c r="A120" s="1425"/>
      <c r="B120" s="164"/>
      <c r="C120" s="1426"/>
      <c r="D120" s="1426"/>
      <c r="E120" s="1426"/>
      <c r="F120" s="1426"/>
      <c r="G120" s="1426"/>
      <c r="H120" s="1426"/>
      <c r="I120" s="1426"/>
      <c r="J120" s="1426"/>
      <c r="K120" s="1426"/>
      <c r="L120" s="1426"/>
      <c r="M120" s="1426"/>
      <c r="N120" s="1426"/>
      <c r="O120" s="1426"/>
      <c r="P120" s="1426"/>
    </row>
    <row r="121" ht="15.75" customHeight="1">
      <c r="A121" s="1425"/>
      <c r="B121" s="164"/>
      <c r="C121" s="1426"/>
      <c r="D121" s="1426"/>
      <c r="E121" s="1426"/>
      <c r="F121" s="1426"/>
      <c r="G121" s="1426"/>
      <c r="H121" s="1426"/>
      <c r="I121" s="1426"/>
      <c r="J121" s="1426"/>
      <c r="K121" s="1426"/>
      <c r="L121" s="1426"/>
      <c r="M121" s="1426"/>
      <c r="N121" s="1426"/>
      <c r="O121" s="1426"/>
      <c r="P121" s="1426"/>
    </row>
    <row r="122" ht="15.75" customHeight="1">
      <c r="A122" s="1425"/>
      <c r="B122" s="164"/>
      <c r="C122" s="1426"/>
      <c r="D122" s="1426"/>
      <c r="E122" s="1426"/>
      <c r="F122" s="1426"/>
      <c r="G122" s="1426"/>
      <c r="H122" s="1426"/>
      <c r="I122" s="1426"/>
      <c r="J122" s="1426"/>
      <c r="K122" s="1426"/>
      <c r="L122" s="1426"/>
      <c r="M122" s="1426"/>
      <c r="N122" s="1426"/>
      <c r="O122" s="1426"/>
      <c r="P122" s="1426"/>
    </row>
    <row r="123" ht="15.75" customHeight="1">
      <c r="A123" s="1425"/>
      <c r="B123" s="164"/>
      <c r="C123" s="1426"/>
      <c r="D123" s="1426"/>
      <c r="E123" s="1426"/>
      <c r="F123" s="1426"/>
      <c r="G123" s="1426"/>
      <c r="H123" s="1426"/>
      <c r="I123" s="1426"/>
      <c r="J123" s="1426"/>
      <c r="K123" s="1426"/>
      <c r="L123" s="1426"/>
      <c r="M123" s="1426"/>
      <c r="N123" s="1426"/>
      <c r="O123" s="1426"/>
      <c r="P123" s="1426"/>
    </row>
    <row r="124" ht="15.75" customHeight="1">
      <c r="A124" s="1425"/>
      <c r="B124" s="164"/>
      <c r="C124" s="1426"/>
      <c r="D124" s="1426"/>
      <c r="E124" s="1426"/>
      <c r="F124" s="1426"/>
      <c r="G124" s="1426"/>
      <c r="H124" s="1426"/>
      <c r="I124" s="1426"/>
      <c r="J124" s="1426"/>
      <c r="K124" s="1426"/>
      <c r="L124" s="1426"/>
      <c r="M124" s="1426"/>
      <c r="N124" s="1426"/>
      <c r="O124" s="1426"/>
      <c r="P124" s="1426"/>
    </row>
    <row r="125" ht="15.75" customHeight="1">
      <c r="A125" s="1425"/>
      <c r="B125" s="164"/>
      <c r="C125" s="1426"/>
      <c r="D125" s="1426"/>
      <c r="E125" s="1426"/>
      <c r="F125" s="1426"/>
      <c r="G125" s="1426"/>
      <c r="H125" s="1426"/>
      <c r="I125" s="1426"/>
      <c r="J125" s="1426"/>
      <c r="K125" s="1426"/>
      <c r="L125" s="1426"/>
      <c r="M125" s="1426"/>
      <c r="N125" s="1426"/>
      <c r="O125" s="1426"/>
      <c r="P125" s="1426"/>
    </row>
    <row r="126" ht="15.75" customHeight="1">
      <c r="A126" s="1425"/>
      <c r="B126" s="164"/>
      <c r="C126" s="1426"/>
      <c r="D126" s="1426"/>
      <c r="E126" s="1426"/>
      <c r="F126" s="1426"/>
      <c r="G126" s="1426"/>
      <c r="H126" s="1426"/>
      <c r="I126" s="1426"/>
      <c r="J126" s="1426"/>
      <c r="K126" s="1426"/>
      <c r="L126" s="1426"/>
      <c r="M126" s="1426"/>
      <c r="N126" s="1426"/>
      <c r="O126" s="1426"/>
      <c r="P126" s="1426"/>
    </row>
    <row r="127" ht="15.75" customHeight="1">
      <c r="A127" s="1425"/>
      <c r="B127" s="164"/>
      <c r="C127" s="1426"/>
      <c r="D127" s="1426"/>
      <c r="E127" s="1426"/>
      <c r="F127" s="1426"/>
      <c r="G127" s="1426"/>
      <c r="H127" s="1426"/>
      <c r="I127" s="1426"/>
      <c r="J127" s="1426"/>
      <c r="K127" s="1426"/>
      <c r="L127" s="1426"/>
      <c r="M127" s="1426"/>
      <c r="N127" s="1426"/>
      <c r="O127" s="1426"/>
      <c r="P127" s="1426"/>
    </row>
    <row r="128" ht="15.75" customHeight="1">
      <c r="A128" s="1425"/>
      <c r="B128" s="164"/>
      <c r="C128" s="1426"/>
      <c r="D128" s="1426"/>
      <c r="E128" s="1426"/>
      <c r="F128" s="1426"/>
      <c r="G128" s="1426"/>
      <c r="H128" s="1426"/>
      <c r="I128" s="1426"/>
      <c r="J128" s="1426"/>
      <c r="K128" s="1426"/>
      <c r="L128" s="1426"/>
      <c r="M128" s="1426"/>
      <c r="N128" s="1426"/>
      <c r="O128" s="1426"/>
      <c r="P128" s="1426"/>
    </row>
    <row r="129" ht="15.75" customHeight="1">
      <c r="A129" s="1425"/>
      <c r="B129" s="164"/>
      <c r="C129" s="1426"/>
      <c r="D129" s="1426"/>
      <c r="E129" s="1426"/>
      <c r="F129" s="1426"/>
      <c r="G129" s="1426"/>
      <c r="H129" s="1426"/>
      <c r="I129" s="1426"/>
      <c r="J129" s="1426"/>
      <c r="K129" s="1426"/>
      <c r="L129" s="1426"/>
      <c r="M129" s="1426"/>
      <c r="N129" s="1426"/>
      <c r="O129" s="1426"/>
      <c r="P129" s="1426"/>
    </row>
    <row r="130" ht="15.75" customHeight="1">
      <c r="A130" s="1425"/>
      <c r="B130" s="164"/>
      <c r="C130" s="1426"/>
      <c r="D130" s="1426"/>
      <c r="E130" s="1426"/>
      <c r="F130" s="1426"/>
      <c r="G130" s="1426"/>
      <c r="H130" s="1426"/>
      <c r="I130" s="1426"/>
      <c r="J130" s="1426"/>
      <c r="K130" s="1426"/>
      <c r="L130" s="1426"/>
      <c r="M130" s="1426"/>
      <c r="N130" s="1426"/>
      <c r="O130" s="1426"/>
      <c r="P130" s="1426"/>
    </row>
    <row r="131" ht="15.75" customHeight="1">
      <c r="A131" s="1425"/>
      <c r="B131" s="164"/>
      <c r="C131" s="1426"/>
      <c r="D131" s="1426"/>
      <c r="E131" s="1426"/>
      <c r="F131" s="1426"/>
      <c r="G131" s="1426"/>
      <c r="H131" s="1426"/>
      <c r="I131" s="1426"/>
      <c r="J131" s="1426"/>
      <c r="K131" s="1426"/>
      <c r="L131" s="1426"/>
      <c r="M131" s="1426"/>
      <c r="N131" s="1426"/>
      <c r="O131" s="1426"/>
      <c r="P131" s="1426"/>
    </row>
    <row r="132" ht="15.75" customHeight="1">
      <c r="A132" s="1425"/>
      <c r="B132" s="164"/>
      <c r="C132" s="1426"/>
      <c r="D132" s="1426"/>
      <c r="E132" s="1426"/>
      <c r="F132" s="1426"/>
      <c r="G132" s="1426"/>
      <c r="H132" s="1426"/>
      <c r="I132" s="1426"/>
      <c r="J132" s="1426"/>
      <c r="K132" s="1426"/>
      <c r="L132" s="1426"/>
      <c r="M132" s="1426"/>
      <c r="N132" s="1426"/>
      <c r="O132" s="1426"/>
      <c r="P132" s="1426"/>
    </row>
    <row r="133" ht="15.75" customHeight="1">
      <c r="A133" s="1425"/>
      <c r="B133" s="164"/>
      <c r="C133" s="1426"/>
      <c r="D133" s="1426"/>
      <c r="E133" s="1426"/>
      <c r="F133" s="1426"/>
      <c r="G133" s="1426"/>
      <c r="H133" s="1426"/>
      <c r="I133" s="1426"/>
      <c r="J133" s="1426"/>
      <c r="K133" s="1426"/>
      <c r="L133" s="1426"/>
      <c r="M133" s="1426"/>
      <c r="N133" s="1426"/>
      <c r="O133" s="1426"/>
      <c r="P133" s="1426"/>
    </row>
    <row r="134" ht="15.75" customHeight="1">
      <c r="A134" s="1425"/>
      <c r="B134" s="164"/>
      <c r="C134" s="1426"/>
      <c r="D134" s="1426"/>
      <c r="E134" s="1426"/>
      <c r="F134" s="1426"/>
      <c r="G134" s="1426"/>
      <c r="H134" s="1426"/>
      <c r="I134" s="1426"/>
      <c r="J134" s="1426"/>
      <c r="K134" s="1426"/>
      <c r="L134" s="1426"/>
      <c r="M134" s="1426"/>
      <c r="N134" s="1426"/>
      <c r="O134" s="1426"/>
      <c r="P134" s="1426"/>
    </row>
    <row r="135" ht="15.75" customHeight="1">
      <c r="A135" s="1425"/>
      <c r="B135" s="164"/>
      <c r="C135" s="1426"/>
      <c r="D135" s="1426"/>
      <c r="E135" s="1426"/>
      <c r="F135" s="1426"/>
      <c r="G135" s="1426"/>
      <c r="H135" s="1426"/>
      <c r="I135" s="1426"/>
      <c r="J135" s="1426"/>
      <c r="K135" s="1426"/>
      <c r="L135" s="1426"/>
      <c r="M135" s="1426"/>
      <c r="N135" s="1426"/>
      <c r="O135" s="1426"/>
      <c r="P135" s="1426"/>
    </row>
    <row r="136" ht="15.75" customHeight="1">
      <c r="A136" s="1425"/>
      <c r="B136" s="164"/>
      <c r="C136" s="1426"/>
      <c r="D136" s="1426"/>
      <c r="E136" s="1426"/>
      <c r="F136" s="1426"/>
      <c r="G136" s="1426"/>
      <c r="H136" s="1426"/>
      <c r="I136" s="1426"/>
      <c r="J136" s="1426"/>
      <c r="K136" s="1426"/>
      <c r="L136" s="1426"/>
      <c r="M136" s="1426"/>
      <c r="N136" s="1426"/>
      <c r="O136" s="1426"/>
      <c r="P136" s="1426"/>
    </row>
    <row r="137" ht="15.75" customHeight="1">
      <c r="A137" s="1425"/>
      <c r="B137" s="164"/>
      <c r="C137" s="1426"/>
      <c r="D137" s="1426"/>
      <c r="E137" s="1426"/>
      <c r="F137" s="1426"/>
      <c r="G137" s="1426"/>
      <c r="H137" s="1426"/>
      <c r="I137" s="1426"/>
      <c r="J137" s="1426"/>
      <c r="K137" s="1426"/>
      <c r="L137" s="1426"/>
      <c r="M137" s="1426"/>
      <c r="N137" s="1426"/>
      <c r="O137" s="1426"/>
      <c r="P137" s="1426"/>
    </row>
    <row r="138" ht="15.75" customHeight="1">
      <c r="A138" s="1425"/>
      <c r="B138" s="164"/>
      <c r="C138" s="1426"/>
      <c r="D138" s="1426"/>
      <c r="E138" s="1426"/>
      <c r="F138" s="1426"/>
      <c r="G138" s="1426"/>
      <c r="H138" s="1426"/>
      <c r="I138" s="1426"/>
      <c r="J138" s="1426"/>
      <c r="K138" s="1426"/>
      <c r="L138" s="1426"/>
      <c r="M138" s="1426"/>
      <c r="N138" s="1426"/>
      <c r="O138" s="1426"/>
      <c r="P138" s="1426"/>
    </row>
    <row r="139" ht="15.75" customHeight="1">
      <c r="A139" s="1425"/>
      <c r="B139" s="164"/>
      <c r="C139" s="1426"/>
      <c r="D139" s="1426"/>
      <c r="E139" s="1426"/>
      <c r="F139" s="1426"/>
      <c r="G139" s="1426"/>
      <c r="H139" s="1426"/>
      <c r="I139" s="1426"/>
      <c r="J139" s="1426"/>
      <c r="K139" s="1426"/>
      <c r="L139" s="1426"/>
      <c r="M139" s="1426"/>
      <c r="N139" s="1426"/>
      <c r="O139" s="1426"/>
      <c r="P139" s="1426"/>
    </row>
    <row r="140" ht="15.75" customHeight="1">
      <c r="A140" s="1425"/>
      <c r="B140" s="164"/>
      <c r="C140" s="1426"/>
      <c r="D140" s="1426"/>
      <c r="E140" s="1426"/>
      <c r="F140" s="1426"/>
      <c r="G140" s="1426"/>
      <c r="H140" s="1426"/>
      <c r="I140" s="1426"/>
      <c r="J140" s="1426"/>
      <c r="K140" s="1426"/>
      <c r="L140" s="1426"/>
      <c r="M140" s="1426"/>
      <c r="N140" s="1426"/>
      <c r="O140" s="1426"/>
      <c r="P140" s="1426"/>
    </row>
    <row r="141" ht="15.75" customHeight="1">
      <c r="A141" s="1425"/>
      <c r="B141" s="164"/>
      <c r="C141" s="1426"/>
      <c r="D141" s="1426"/>
      <c r="E141" s="1426"/>
      <c r="F141" s="1426"/>
      <c r="G141" s="1426"/>
      <c r="H141" s="1426"/>
      <c r="I141" s="1426"/>
      <c r="J141" s="1426"/>
      <c r="K141" s="1426"/>
      <c r="L141" s="1426"/>
      <c r="M141" s="1426"/>
      <c r="N141" s="1426"/>
      <c r="O141" s="1426"/>
      <c r="P141" s="1426"/>
    </row>
    <row r="142" ht="15.75" customHeight="1">
      <c r="A142" s="1425"/>
      <c r="B142" s="164"/>
      <c r="C142" s="1426"/>
      <c r="D142" s="1426"/>
      <c r="E142" s="1426"/>
      <c r="F142" s="1426"/>
      <c r="G142" s="1426"/>
      <c r="H142" s="1426"/>
      <c r="I142" s="1426"/>
      <c r="J142" s="1426"/>
      <c r="K142" s="1426"/>
      <c r="L142" s="1426"/>
      <c r="M142" s="1426"/>
      <c r="N142" s="1426"/>
      <c r="O142" s="1426"/>
      <c r="P142" s="1426"/>
    </row>
    <row r="143" ht="15.75" customHeight="1">
      <c r="A143" s="1425"/>
      <c r="B143" s="164"/>
      <c r="C143" s="1426"/>
      <c r="D143" s="1426"/>
      <c r="E143" s="1426"/>
      <c r="F143" s="1426"/>
      <c r="G143" s="1426"/>
      <c r="H143" s="1426"/>
      <c r="I143" s="1426"/>
      <c r="J143" s="1426"/>
      <c r="K143" s="1426"/>
      <c r="L143" s="1426"/>
      <c r="M143" s="1426"/>
      <c r="N143" s="1426"/>
      <c r="O143" s="1426"/>
      <c r="P143" s="1426"/>
    </row>
    <row r="144" ht="15.75" customHeight="1">
      <c r="A144" s="1425"/>
      <c r="B144" s="164"/>
      <c r="C144" s="1426"/>
      <c r="D144" s="1426"/>
      <c r="E144" s="1426"/>
      <c r="F144" s="1426"/>
      <c r="G144" s="1426"/>
      <c r="H144" s="1426"/>
      <c r="I144" s="1426"/>
      <c r="J144" s="1426"/>
      <c r="K144" s="1426"/>
      <c r="L144" s="1426"/>
      <c r="M144" s="1426"/>
      <c r="N144" s="1426"/>
      <c r="O144" s="1426"/>
      <c r="P144" s="1426"/>
    </row>
    <row r="145" ht="15.75" customHeight="1">
      <c r="A145" s="1425"/>
      <c r="B145" s="164"/>
      <c r="C145" s="1426"/>
      <c r="D145" s="1426"/>
      <c r="E145" s="1426"/>
      <c r="F145" s="1426"/>
      <c r="G145" s="1426"/>
      <c r="H145" s="1426"/>
      <c r="I145" s="1426"/>
      <c r="J145" s="1426"/>
      <c r="K145" s="1426"/>
      <c r="L145" s="1426"/>
      <c r="M145" s="1426"/>
      <c r="N145" s="1426"/>
      <c r="O145" s="1426"/>
      <c r="P145" s="1426"/>
    </row>
    <row r="146" ht="15.75" customHeight="1">
      <c r="A146" s="1425"/>
      <c r="B146" s="164"/>
      <c r="C146" s="1426"/>
      <c r="D146" s="1426"/>
      <c r="E146" s="1426"/>
      <c r="F146" s="1426"/>
      <c r="G146" s="1426"/>
      <c r="H146" s="1426"/>
      <c r="I146" s="1426"/>
      <c r="J146" s="1426"/>
      <c r="K146" s="1426"/>
      <c r="L146" s="1426"/>
      <c r="M146" s="1426"/>
      <c r="N146" s="1426"/>
      <c r="O146" s="1426"/>
      <c r="P146" s="1426"/>
    </row>
    <row r="147" ht="15.75" customHeight="1">
      <c r="A147" s="1425"/>
      <c r="B147" s="164"/>
      <c r="C147" s="1426"/>
      <c r="D147" s="1426"/>
      <c r="E147" s="1426"/>
      <c r="F147" s="1426"/>
      <c r="G147" s="1426"/>
      <c r="H147" s="1426"/>
      <c r="I147" s="1426"/>
      <c r="J147" s="1426"/>
      <c r="K147" s="1426"/>
      <c r="L147" s="1426"/>
      <c r="M147" s="1426"/>
      <c r="N147" s="1426"/>
      <c r="O147" s="1426"/>
      <c r="P147" s="1426"/>
    </row>
    <row r="148" ht="15.75" customHeight="1">
      <c r="A148" s="1425"/>
      <c r="B148" s="164"/>
      <c r="C148" s="1426"/>
      <c r="D148" s="1426"/>
      <c r="E148" s="1426"/>
      <c r="F148" s="1426"/>
      <c r="G148" s="1426"/>
      <c r="H148" s="1426"/>
      <c r="I148" s="1426"/>
      <c r="J148" s="1426"/>
      <c r="K148" s="1426"/>
      <c r="L148" s="1426"/>
      <c r="M148" s="1426"/>
      <c r="N148" s="1426"/>
      <c r="O148" s="1426"/>
      <c r="P148" s="1426"/>
    </row>
    <row r="149" ht="15.75" customHeight="1">
      <c r="A149" s="1425"/>
      <c r="B149" s="164"/>
      <c r="C149" s="1426"/>
      <c r="D149" s="1426"/>
      <c r="E149" s="1426"/>
      <c r="F149" s="1426"/>
      <c r="G149" s="1426"/>
      <c r="H149" s="1426"/>
      <c r="I149" s="1426"/>
      <c r="J149" s="1426"/>
      <c r="K149" s="1426"/>
      <c r="L149" s="1426"/>
      <c r="M149" s="1426"/>
      <c r="N149" s="1426"/>
      <c r="O149" s="1426"/>
      <c r="P149" s="1426"/>
    </row>
    <row r="150" ht="15.75" customHeight="1">
      <c r="A150" s="1425"/>
      <c r="B150" s="164"/>
      <c r="C150" s="1426"/>
      <c r="D150" s="1426"/>
      <c r="E150" s="1426"/>
      <c r="F150" s="1426"/>
      <c r="G150" s="1426"/>
      <c r="H150" s="1426"/>
      <c r="I150" s="1426"/>
      <c r="J150" s="1426"/>
      <c r="K150" s="1426"/>
      <c r="L150" s="1426"/>
      <c r="M150" s="1426"/>
      <c r="N150" s="1426"/>
      <c r="O150" s="1426"/>
      <c r="P150" s="1426"/>
    </row>
    <row r="151" ht="15.75" customHeight="1">
      <c r="A151" s="1425"/>
      <c r="B151" s="164"/>
      <c r="C151" s="1426"/>
      <c r="D151" s="1426"/>
      <c r="E151" s="1426"/>
      <c r="F151" s="1426"/>
      <c r="G151" s="1426"/>
      <c r="H151" s="1426"/>
      <c r="I151" s="1426"/>
      <c r="J151" s="1426"/>
      <c r="K151" s="1426"/>
      <c r="L151" s="1426"/>
      <c r="M151" s="1426"/>
      <c r="N151" s="1426"/>
      <c r="O151" s="1426"/>
      <c r="P151" s="1426"/>
    </row>
    <row r="152" ht="15.75" customHeight="1">
      <c r="A152" s="1425"/>
      <c r="B152" s="164"/>
      <c r="C152" s="1426"/>
      <c r="D152" s="1426"/>
      <c r="E152" s="1426"/>
      <c r="F152" s="1426"/>
      <c r="G152" s="1426"/>
      <c r="H152" s="1426"/>
      <c r="I152" s="1426"/>
      <c r="J152" s="1426"/>
      <c r="K152" s="1426"/>
      <c r="L152" s="1426"/>
      <c r="M152" s="1426"/>
      <c r="N152" s="1426"/>
      <c r="O152" s="1426"/>
      <c r="P152" s="1426"/>
    </row>
    <row r="153" ht="15.75" customHeight="1">
      <c r="A153" s="1425"/>
      <c r="B153" s="164"/>
      <c r="C153" s="1426"/>
      <c r="D153" s="1426"/>
      <c r="E153" s="1426"/>
      <c r="F153" s="1426"/>
      <c r="G153" s="1426"/>
      <c r="H153" s="1426"/>
      <c r="I153" s="1426"/>
      <c r="J153" s="1426"/>
      <c r="K153" s="1426"/>
      <c r="L153" s="1426"/>
      <c r="M153" s="1426"/>
      <c r="N153" s="1426"/>
      <c r="O153" s="1426"/>
      <c r="P153" s="1426"/>
    </row>
    <row r="154" ht="15.75" customHeight="1">
      <c r="A154" s="1425"/>
      <c r="B154" s="164"/>
      <c r="C154" s="1426"/>
      <c r="D154" s="1426"/>
      <c r="E154" s="1426"/>
      <c r="F154" s="1426"/>
      <c r="G154" s="1426"/>
      <c r="H154" s="1426"/>
      <c r="I154" s="1426"/>
      <c r="J154" s="1426"/>
      <c r="K154" s="1426"/>
      <c r="L154" s="1426"/>
      <c r="M154" s="1426"/>
      <c r="N154" s="1426"/>
      <c r="O154" s="1426"/>
      <c r="P154" s="1426"/>
    </row>
    <row r="155" ht="15.75" customHeight="1">
      <c r="A155" s="1425"/>
      <c r="B155" s="164"/>
      <c r="C155" s="1426"/>
      <c r="D155" s="1426"/>
      <c r="E155" s="1426"/>
      <c r="F155" s="1426"/>
      <c r="G155" s="1426"/>
      <c r="H155" s="1426"/>
      <c r="I155" s="1426"/>
      <c r="J155" s="1426"/>
      <c r="K155" s="1426"/>
      <c r="L155" s="1426"/>
      <c r="M155" s="1426"/>
      <c r="N155" s="1426"/>
      <c r="O155" s="1426"/>
      <c r="P155" s="1426"/>
    </row>
    <row r="156" ht="15.75" customHeight="1">
      <c r="A156" s="1425"/>
      <c r="B156" s="164"/>
      <c r="C156" s="1426"/>
      <c r="D156" s="1426"/>
      <c r="E156" s="1426"/>
      <c r="F156" s="1426"/>
      <c r="G156" s="1426"/>
      <c r="H156" s="1426"/>
      <c r="I156" s="1426"/>
      <c r="J156" s="1426"/>
      <c r="K156" s="1426"/>
      <c r="L156" s="1426"/>
      <c r="M156" s="1426"/>
      <c r="N156" s="1426"/>
      <c r="O156" s="1426"/>
      <c r="P156" s="1426"/>
    </row>
    <row r="157" ht="15.75" customHeight="1">
      <c r="A157" s="1425"/>
      <c r="B157" s="164"/>
      <c r="C157" s="1426"/>
      <c r="D157" s="1426"/>
      <c r="E157" s="1426"/>
      <c r="F157" s="1426"/>
      <c r="G157" s="1426"/>
      <c r="H157" s="1426"/>
      <c r="I157" s="1426"/>
      <c r="J157" s="1426"/>
      <c r="K157" s="1426"/>
      <c r="L157" s="1426"/>
      <c r="M157" s="1426"/>
      <c r="N157" s="1426"/>
      <c r="O157" s="1426"/>
      <c r="P157" s="1426"/>
    </row>
    <row r="158" ht="15.75" customHeight="1">
      <c r="A158" s="1425"/>
      <c r="B158" s="164"/>
      <c r="C158" s="1426"/>
      <c r="D158" s="1426"/>
      <c r="E158" s="1426"/>
      <c r="F158" s="1426"/>
      <c r="G158" s="1426"/>
      <c r="H158" s="1426"/>
      <c r="I158" s="1426"/>
      <c r="J158" s="1426"/>
      <c r="K158" s="1426"/>
      <c r="L158" s="1426"/>
      <c r="M158" s="1426"/>
      <c r="N158" s="1426"/>
      <c r="O158" s="1426"/>
      <c r="P158" s="1426"/>
    </row>
    <row r="159" ht="15.75" customHeight="1">
      <c r="A159" s="1425"/>
      <c r="B159" s="164"/>
      <c r="C159" s="1426"/>
      <c r="D159" s="1426"/>
      <c r="E159" s="1426"/>
      <c r="F159" s="1426"/>
      <c r="G159" s="1426"/>
      <c r="H159" s="1426"/>
      <c r="I159" s="1426"/>
      <c r="J159" s="1426"/>
      <c r="K159" s="1426"/>
      <c r="L159" s="1426"/>
      <c r="M159" s="1426"/>
      <c r="N159" s="1426"/>
      <c r="O159" s="1426"/>
      <c r="P159" s="1426"/>
    </row>
    <row r="160" ht="15.75" customHeight="1">
      <c r="A160" s="1425"/>
      <c r="B160" s="164"/>
      <c r="C160" s="1426"/>
      <c r="D160" s="1426"/>
      <c r="E160" s="1426"/>
      <c r="F160" s="1426"/>
      <c r="G160" s="1426"/>
      <c r="H160" s="1426"/>
      <c r="I160" s="1426"/>
      <c r="J160" s="1426"/>
      <c r="K160" s="1426"/>
      <c r="L160" s="1426"/>
      <c r="M160" s="1426"/>
      <c r="N160" s="1426"/>
      <c r="O160" s="1426"/>
      <c r="P160" s="1426"/>
    </row>
    <row r="161" ht="15.75" customHeight="1">
      <c r="A161" s="1425"/>
      <c r="B161" s="164"/>
      <c r="C161" s="1426"/>
      <c r="D161" s="1426"/>
      <c r="E161" s="1426"/>
      <c r="F161" s="1426"/>
      <c r="G161" s="1426"/>
      <c r="H161" s="1426"/>
      <c r="I161" s="1426"/>
      <c r="J161" s="1426"/>
      <c r="K161" s="1426"/>
      <c r="L161" s="1426"/>
      <c r="M161" s="1426"/>
      <c r="N161" s="1426"/>
      <c r="O161" s="1426"/>
      <c r="P161" s="1426"/>
    </row>
    <row r="162" ht="15.75" customHeight="1">
      <c r="A162" s="1425"/>
      <c r="B162" s="164"/>
      <c r="C162" s="1426"/>
      <c r="D162" s="1426"/>
      <c r="E162" s="1426"/>
      <c r="F162" s="1426"/>
      <c r="G162" s="1426"/>
      <c r="H162" s="1426"/>
      <c r="I162" s="1426"/>
      <c r="J162" s="1426"/>
      <c r="K162" s="1426"/>
      <c r="L162" s="1426"/>
      <c r="M162" s="1426"/>
      <c r="N162" s="1426"/>
      <c r="O162" s="1426"/>
      <c r="P162" s="1426"/>
    </row>
    <row r="163" ht="15.75" customHeight="1">
      <c r="A163" s="1425"/>
      <c r="B163" s="164"/>
      <c r="C163" s="1426"/>
      <c r="D163" s="1426"/>
      <c r="E163" s="1426"/>
      <c r="F163" s="1426"/>
      <c r="G163" s="1426"/>
      <c r="H163" s="1426"/>
      <c r="I163" s="1426"/>
      <c r="J163" s="1426"/>
      <c r="K163" s="1426"/>
      <c r="L163" s="1426"/>
      <c r="M163" s="1426"/>
      <c r="N163" s="1426"/>
      <c r="O163" s="1426"/>
      <c r="P163" s="1426"/>
    </row>
    <row r="164" ht="15.75" customHeight="1">
      <c r="A164" s="1425"/>
      <c r="B164" s="164"/>
      <c r="C164" s="1426"/>
      <c r="D164" s="1426"/>
      <c r="E164" s="1426"/>
      <c r="F164" s="1426"/>
      <c r="G164" s="1426"/>
      <c r="H164" s="1426"/>
      <c r="I164" s="1426"/>
      <c r="J164" s="1426"/>
      <c r="K164" s="1426"/>
      <c r="L164" s="1426"/>
      <c r="M164" s="1426"/>
      <c r="N164" s="1426"/>
      <c r="O164" s="1426"/>
      <c r="P164" s="1426"/>
    </row>
    <row r="165" ht="15.75" customHeight="1">
      <c r="A165" s="1425"/>
      <c r="B165" s="164"/>
      <c r="C165" s="1426"/>
      <c r="D165" s="1426"/>
      <c r="E165" s="1426"/>
      <c r="F165" s="1426"/>
      <c r="G165" s="1426"/>
      <c r="H165" s="1426"/>
      <c r="I165" s="1426"/>
      <c r="J165" s="1426"/>
      <c r="K165" s="1426"/>
      <c r="L165" s="1426"/>
      <c r="M165" s="1426"/>
      <c r="N165" s="1426"/>
      <c r="O165" s="1426"/>
      <c r="P165" s="1426"/>
    </row>
    <row r="166" ht="15.75" customHeight="1">
      <c r="A166" s="1425"/>
      <c r="B166" s="164"/>
      <c r="C166" s="1426"/>
      <c r="D166" s="1426"/>
      <c r="E166" s="1426"/>
      <c r="F166" s="1426"/>
      <c r="G166" s="1426"/>
      <c r="H166" s="1426"/>
      <c r="I166" s="1426"/>
      <c r="J166" s="1426"/>
      <c r="K166" s="1426"/>
      <c r="L166" s="1426"/>
      <c r="M166" s="1426"/>
      <c r="N166" s="1426"/>
      <c r="O166" s="1426"/>
      <c r="P166" s="1426"/>
    </row>
    <row r="167" ht="15.75" customHeight="1">
      <c r="A167" s="1425"/>
      <c r="B167" s="164"/>
      <c r="C167" s="1426"/>
      <c r="D167" s="1426"/>
      <c r="E167" s="1426"/>
      <c r="F167" s="1426"/>
      <c r="G167" s="1426"/>
      <c r="H167" s="1426"/>
      <c r="I167" s="1426"/>
      <c r="J167" s="1426"/>
      <c r="K167" s="1426"/>
      <c r="L167" s="1426"/>
      <c r="M167" s="1426"/>
      <c r="N167" s="1426"/>
      <c r="O167" s="1426"/>
      <c r="P167" s="1426"/>
    </row>
    <row r="168" ht="15.75" customHeight="1">
      <c r="A168" s="1425"/>
      <c r="B168" s="164"/>
      <c r="C168" s="1426"/>
      <c r="D168" s="1426"/>
      <c r="E168" s="1426"/>
      <c r="F168" s="1426"/>
      <c r="G168" s="1426"/>
      <c r="H168" s="1426"/>
      <c r="I168" s="1426"/>
      <c r="J168" s="1426"/>
      <c r="K168" s="1426"/>
      <c r="L168" s="1426"/>
      <c r="M168" s="1426"/>
      <c r="N168" s="1426"/>
      <c r="O168" s="1426"/>
      <c r="P168" s="1426"/>
    </row>
    <row r="169" ht="15.75" customHeight="1">
      <c r="A169" s="1425"/>
      <c r="B169" s="164"/>
      <c r="C169" s="1426"/>
      <c r="D169" s="1426"/>
      <c r="E169" s="1426"/>
      <c r="F169" s="1426"/>
      <c r="G169" s="1426"/>
      <c r="H169" s="1426"/>
      <c r="I169" s="1426"/>
      <c r="J169" s="1426"/>
      <c r="K169" s="1426"/>
      <c r="L169" s="1426"/>
      <c r="M169" s="1426"/>
      <c r="N169" s="1426"/>
      <c r="O169" s="1426"/>
      <c r="P169" s="1426"/>
    </row>
    <row r="170" ht="15.75" customHeight="1">
      <c r="A170" s="1425"/>
      <c r="B170" s="164"/>
      <c r="C170" s="1426"/>
      <c r="D170" s="1426"/>
      <c r="E170" s="1426"/>
      <c r="F170" s="1426"/>
      <c r="G170" s="1426"/>
      <c r="H170" s="1426"/>
      <c r="I170" s="1426"/>
      <c r="J170" s="1426"/>
      <c r="K170" s="1426"/>
      <c r="L170" s="1426"/>
      <c r="M170" s="1426"/>
      <c r="N170" s="1426"/>
      <c r="O170" s="1426"/>
      <c r="P170" s="1426"/>
    </row>
    <row r="171" ht="15.75" customHeight="1">
      <c r="A171" s="1425"/>
      <c r="B171" s="164"/>
      <c r="C171" s="1426"/>
      <c r="D171" s="1426"/>
      <c r="E171" s="1426"/>
      <c r="F171" s="1426"/>
      <c r="G171" s="1426"/>
      <c r="H171" s="1426"/>
      <c r="I171" s="1426"/>
      <c r="J171" s="1426"/>
      <c r="K171" s="1426"/>
      <c r="L171" s="1426"/>
      <c r="M171" s="1426"/>
      <c r="N171" s="1426"/>
      <c r="O171" s="1426"/>
      <c r="P171" s="1426"/>
    </row>
    <row r="172" ht="15.75" customHeight="1">
      <c r="A172" s="1425"/>
      <c r="B172" s="164"/>
      <c r="C172" s="1426"/>
      <c r="D172" s="1426"/>
      <c r="E172" s="1426"/>
      <c r="F172" s="1426"/>
      <c r="G172" s="1426"/>
      <c r="H172" s="1426"/>
      <c r="I172" s="1426"/>
      <c r="J172" s="1426"/>
      <c r="K172" s="1426"/>
      <c r="L172" s="1426"/>
      <c r="M172" s="1426"/>
      <c r="N172" s="1426"/>
      <c r="O172" s="1426"/>
      <c r="P172" s="1426"/>
    </row>
    <row r="173" ht="15.75" customHeight="1">
      <c r="A173" s="1425"/>
      <c r="B173" s="164"/>
      <c r="C173" s="1426"/>
      <c r="D173" s="1426"/>
      <c r="E173" s="1426"/>
      <c r="F173" s="1426"/>
      <c r="G173" s="1426"/>
      <c r="H173" s="1426"/>
      <c r="I173" s="1426"/>
      <c r="J173" s="1426"/>
      <c r="K173" s="1426"/>
      <c r="L173" s="1426"/>
      <c r="M173" s="1426"/>
      <c r="N173" s="1426"/>
      <c r="O173" s="1426"/>
      <c r="P173" s="1426"/>
    </row>
    <row r="174" ht="15.75" customHeight="1">
      <c r="A174" s="1425"/>
      <c r="B174" s="164"/>
      <c r="C174" s="1426"/>
      <c r="D174" s="1426"/>
      <c r="E174" s="1426"/>
      <c r="F174" s="1426"/>
      <c r="G174" s="1426"/>
      <c r="H174" s="1426"/>
      <c r="I174" s="1426"/>
      <c r="J174" s="1426"/>
      <c r="K174" s="1426"/>
      <c r="L174" s="1426"/>
      <c r="M174" s="1426"/>
      <c r="N174" s="1426"/>
      <c r="O174" s="1426"/>
      <c r="P174" s="1426"/>
    </row>
    <row r="175" ht="15.75" customHeight="1">
      <c r="A175" s="1425"/>
      <c r="B175" s="164"/>
      <c r="C175" s="1426"/>
      <c r="D175" s="1426"/>
      <c r="E175" s="1426"/>
      <c r="F175" s="1426"/>
      <c r="G175" s="1426"/>
      <c r="H175" s="1426"/>
      <c r="I175" s="1426"/>
      <c r="J175" s="1426"/>
      <c r="K175" s="1426"/>
      <c r="L175" s="1426"/>
      <c r="M175" s="1426"/>
      <c r="N175" s="1426"/>
      <c r="O175" s="1426"/>
      <c r="P175" s="1426"/>
    </row>
    <row r="176" ht="15.75" customHeight="1">
      <c r="A176" s="1425"/>
      <c r="B176" s="164"/>
      <c r="C176" s="1426"/>
      <c r="D176" s="1426"/>
      <c r="E176" s="1426"/>
      <c r="F176" s="1426"/>
      <c r="G176" s="1426"/>
      <c r="H176" s="1426"/>
      <c r="I176" s="1426"/>
      <c r="J176" s="1426"/>
      <c r="K176" s="1426"/>
      <c r="L176" s="1426"/>
      <c r="M176" s="1426"/>
      <c r="N176" s="1426"/>
      <c r="O176" s="1426"/>
      <c r="P176" s="1426"/>
    </row>
    <row r="177" ht="15.75" customHeight="1">
      <c r="A177" s="1425"/>
      <c r="B177" s="164"/>
      <c r="C177" s="1426"/>
      <c r="D177" s="1426"/>
      <c r="E177" s="1426"/>
      <c r="F177" s="1426"/>
      <c r="G177" s="1426"/>
      <c r="H177" s="1426"/>
      <c r="I177" s="1426"/>
      <c r="J177" s="1426"/>
      <c r="K177" s="1426"/>
      <c r="L177" s="1426"/>
      <c r="M177" s="1426"/>
      <c r="N177" s="1426"/>
      <c r="O177" s="1426"/>
      <c r="P177" s="1426"/>
    </row>
    <row r="178" ht="15.75" customHeight="1">
      <c r="A178" s="1425"/>
      <c r="B178" s="164"/>
      <c r="C178" s="1426"/>
      <c r="D178" s="1426"/>
      <c r="E178" s="1426"/>
      <c r="F178" s="1426"/>
      <c r="G178" s="1426"/>
      <c r="H178" s="1426"/>
      <c r="I178" s="1426"/>
      <c r="J178" s="1426"/>
      <c r="K178" s="1426"/>
      <c r="L178" s="1426"/>
      <c r="M178" s="1426"/>
      <c r="N178" s="1426"/>
      <c r="O178" s="1426"/>
      <c r="P178" s="1426"/>
    </row>
    <row r="179" ht="15.75" customHeight="1">
      <c r="A179" s="1425"/>
      <c r="B179" s="164"/>
      <c r="C179" s="1426"/>
      <c r="D179" s="1426"/>
      <c r="E179" s="1426"/>
      <c r="F179" s="1426"/>
      <c r="G179" s="1426"/>
      <c r="H179" s="1426"/>
      <c r="I179" s="1426"/>
      <c r="J179" s="1426"/>
      <c r="K179" s="1426"/>
      <c r="L179" s="1426"/>
      <c r="M179" s="1426"/>
      <c r="N179" s="1426"/>
      <c r="O179" s="1426"/>
      <c r="P179" s="1426"/>
    </row>
    <row r="180" ht="15.75" customHeight="1">
      <c r="A180" s="1425"/>
      <c r="B180" s="164"/>
      <c r="C180" s="1426"/>
      <c r="D180" s="1426"/>
      <c r="E180" s="1426"/>
      <c r="F180" s="1426"/>
      <c r="G180" s="1426"/>
      <c r="H180" s="1426"/>
      <c r="I180" s="1426"/>
      <c r="J180" s="1426"/>
      <c r="K180" s="1426"/>
      <c r="L180" s="1426"/>
      <c r="M180" s="1426"/>
      <c r="N180" s="1426"/>
      <c r="O180" s="1426"/>
      <c r="P180" s="1426"/>
    </row>
    <row r="181" ht="15.75" customHeight="1">
      <c r="A181" s="1425"/>
      <c r="B181" s="164"/>
      <c r="C181" s="1426"/>
      <c r="D181" s="1426"/>
      <c r="E181" s="1426"/>
      <c r="F181" s="1426"/>
      <c r="G181" s="1426"/>
      <c r="H181" s="1426"/>
      <c r="I181" s="1426"/>
      <c r="J181" s="1426"/>
      <c r="K181" s="1426"/>
      <c r="L181" s="1426"/>
      <c r="M181" s="1426"/>
      <c r="N181" s="1426"/>
      <c r="O181" s="1426"/>
      <c r="P181" s="1426"/>
    </row>
    <row r="182" ht="15.75" customHeight="1">
      <c r="A182" s="1425"/>
      <c r="B182" s="164"/>
      <c r="C182" s="1426"/>
      <c r="D182" s="1426"/>
      <c r="E182" s="1426"/>
      <c r="F182" s="1426"/>
      <c r="G182" s="1426"/>
      <c r="H182" s="1426"/>
      <c r="I182" s="1426"/>
      <c r="J182" s="1426"/>
      <c r="K182" s="1426"/>
      <c r="L182" s="1426"/>
      <c r="M182" s="1426"/>
      <c r="N182" s="1426"/>
      <c r="O182" s="1426"/>
      <c r="P182" s="1426"/>
    </row>
    <row r="183" ht="15.75" customHeight="1">
      <c r="A183" s="1425"/>
      <c r="B183" s="164"/>
      <c r="C183" s="1426"/>
      <c r="D183" s="1426"/>
      <c r="E183" s="1426"/>
      <c r="F183" s="1426"/>
      <c r="G183" s="1426"/>
      <c r="H183" s="1426"/>
      <c r="I183" s="1426"/>
      <c r="J183" s="1426"/>
      <c r="K183" s="1426"/>
      <c r="L183" s="1426"/>
      <c r="M183" s="1426"/>
      <c r="N183" s="1426"/>
      <c r="O183" s="1426"/>
      <c r="P183" s="1426"/>
    </row>
    <row r="184" ht="15.75" customHeight="1">
      <c r="A184" s="1425"/>
      <c r="B184" s="164"/>
      <c r="C184" s="1426"/>
      <c r="D184" s="1426"/>
      <c r="E184" s="1426"/>
      <c r="F184" s="1426"/>
      <c r="G184" s="1426"/>
      <c r="H184" s="1426"/>
      <c r="I184" s="1426"/>
      <c r="J184" s="1426"/>
      <c r="K184" s="1426"/>
      <c r="L184" s="1426"/>
      <c r="M184" s="1426"/>
      <c r="N184" s="1426"/>
      <c r="O184" s="1426"/>
      <c r="P184" s="1426"/>
    </row>
    <row r="185" ht="15.75" customHeight="1">
      <c r="A185" s="1425"/>
      <c r="B185" s="164"/>
      <c r="C185" s="1426"/>
      <c r="D185" s="1426"/>
      <c r="E185" s="1426"/>
      <c r="F185" s="1426"/>
      <c r="G185" s="1426"/>
      <c r="H185" s="1426"/>
      <c r="I185" s="1426"/>
      <c r="J185" s="1426"/>
      <c r="K185" s="1426"/>
      <c r="L185" s="1426"/>
      <c r="M185" s="1426"/>
      <c r="N185" s="1426"/>
      <c r="O185" s="1426"/>
      <c r="P185" s="1426"/>
    </row>
    <row r="186" ht="15.75" customHeight="1">
      <c r="A186" s="1425"/>
      <c r="B186" s="164"/>
      <c r="C186" s="1426"/>
      <c r="D186" s="1426"/>
      <c r="E186" s="1426"/>
      <c r="F186" s="1426"/>
      <c r="G186" s="1426"/>
      <c r="H186" s="1426"/>
      <c r="I186" s="1426"/>
      <c r="J186" s="1426"/>
      <c r="K186" s="1426"/>
      <c r="L186" s="1426"/>
      <c r="M186" s="1426"/>
      <c r="N186" s="1426"/>
      <c r="O186" s="1426"/>
      <c r="P186" s="1426"/>
    </row>
    <row r="187" ht="15.75" customHeight="1">
      <c r="A187" s="1425"/>
      <c r="B187" s="164"/>
      <c r="C187" s="1426"/>
      <c r="D187" s="1426"/>
      <c r="E187" s="1426"/>
      <c r="F187" s="1426"/>
      <c r="G187" s="1426"/>
      <c r="H187" s="1426"/>
      <c r="I187" s="1426"/>
      <c r="J187" s="1426"/>
      <c r="K187" s="1426"/>
      <c r="L187" s="1426"/>
      <c r="M187" s="1426"/>
      <c r="N187" s="1426"/>
      <c r="O187" s="1426"/>
      <c r="P187" s="1426"/>
    </row>
    <row r="188" ht="15.75" customHeight="1">
      <c r="A188" s="1425"/>
      <c r="B188" s="164"/>
      <c r="C188" s="1426"/>
      <c r="D188" s="1426"/>
      <c r="E188" s="1426"/>
      <c r="F188" s="1426"/>
      <c r="G188" s="1426"/>
      <c r="H188" s="1426"/>
      <c r="I188" s="1426"/>
      <c r="J188" s="1426"/>
      <c r="K188" s="1426"/>
      <c r="L188" s="1426"/>
      <c r="M188" s="1426"/>
      <c r="N188" s="1426"/>
      <c r="O188" s="1426"/>
      <c r="P188" s="1426"/>
    </row>
    <row r="189" ht="15.75" customHeight="1">
      <c r="A189" s="1425"/>
      <c r="B189" s="164"/>
      <c r="C189" s="1426"/>
      <c r="D189" s="1426"/>
      <c r="E189" s="1426"/>
      <c r="F189" s="1426"/>
      <c r="G189" s="1426"/>
      <c r="H189" s="1426"/>
      <c r="I189" s="1426"/>
      <c r="J189" s="1426"/>
      <c r="K189" s="1426"/>
      <c r="L189" s="1426"/>
      <c r="M189" s="1426"/>
      <c r="N189" s="1426"/>
      <c r="O189" s="1426"/>
      <c r="P189" s="1426"/>
    </row>
    <row r="190" ht="15.75" customHeight="1">
      <c r="A190" s="1425"/>
      <c r="B190" s="164"/>
      <c r="C190" s="1426"/>
      <c r="D190" s="1426"/>
      <c r="E190" s="1426"/>
      <c r="F190" s="1426"/>
      <c r="G190" s="1426"/>
      <c r="H190" s="1426"/>
      <c r="I190" s="1426"/>
      <c r="J190" s="1426"/>
      <c r="K190" s="1426"/>
      <c r="L190" s="1426"/>
      <c r="M190" s="1426"/>
      <c r="N190" s="1426"/>
      <c r="O190" s="1426"/>
      <c r="P190" s="1426"/>
    </row>
    <row r="191" ht="15.75" customHeight="1">
      <c r="A191" s="1425"/>
      <c r="B191" s="164"/>
      <c r="C191" s="1426"/>
      <c r="D191" s="1426"/>
      <c r="E191" s="1426"/>
      <c r="F191" s="1426"/>
      <c r="G191" s="1426"/>
      <c r="H191" s="1426"/>
      <c r="I191" s="1426"/>
      <c r="J191" s="1426"/>
      <c r="K191" s="1426"/>
      <c r="L191" s="1426"/>
      <c r="M191" s="1426"/>
      <c r="N191" s="1426"/>
      <c r="O191" s="1426"/>
      <c r="P191" s="1426"/>
    </row>
    <row r="192" ht="15.75" customHeight="1">
      <c r="A192" s="1425"/>
      <c r="B192" s="164"/>
      <c r="C192" s="1426"/>
      <c r="D192" s="1426"/>
      <c r="E192" s="1426"/>
      <c r="F192" s="1426"/>
      <c r="G192" s="1426"/>
      <c r="H192" s="1426"/>
      <c r="I192" s="1426"/>
      <c r="J192" s="1426"/>
      <c r="K192" s="1426"/>
      <c r="L192" s="1426"/>
      <c r="M192" s="1426"/>
      <c r="N192" s="1426"/>
      <c r="O192" s="1426"/>
      <c r="P192" s="1426"/>
    </row>
    <row r="193" ht="15.75" customHeight="1">
      <c r="A193" s="1425"/>
      <c r="B193" s="164"/>
      <c r="C193" s="1426"/>
      <c r="D193" s="1426"/>
      <c r="E193" s="1426"/>
      <c r="F193" s="1426"/>
      <c r="G193" s="1426"/>
      <c r="H193" s="1426"/>
      <c r="I193" s="1426"/>
      <c r="J193" s="1426"/>
      <c r="K193" s="1426"/>
      <c r="L193" s="1426"/>
      <c r="M193" s="1426"/>
      <c r="N193" s="1426"/>
      <c r="O193" s="1426"/>
      <c r="P193" s="1426"/>
    </row>
    <row r="194" ht="15.75" customHeight="1">
      <c r="A194" s="1425"/>
      <c r="B194" s="164"/>
      <c r="C194" s="1426"/>
      <c r="D194" s="1426"/>
      <c r="E194" s="1426"/>
      <c r="F194" s="1426"/>
      <c r="G194" s="1426"/>
      <c r="H194" s="1426"/>
      <c r="I194" s="1426"/>
      <c r="J194" s="1426"/>
      <c r="K194" s="1426"/>
      <c r="L194" s="1426"/>
      <c r="M194" s="1426"/>
      <c r="N194" s="1426"/>
      <c r="O194" s="1426"/>
      <c r="P194" s="1426"/>
    </row>
    <row r="195" ht="15.75" customHeight="1">
      <c r="A195" s="1425"/>
      <c r="B195" s="164"/>
      <c r="C195" s="1426"/>
      <c r="D195" s="1426"/>
      <c r="E195" s="1426"/>
      <c r="F195" s="1426"/>
      <c r="G195" s="1426"/>
      <c r="H195" s="1426"/>
      <c r="I195" s="1426"/>
      <c r="J195" s="1426"/>
      <c r="K195" s="1426"/>
      <c r="L195" s="1426"/>
      <c r="M195" s="1426"/>
      <c r="N195" s="1426"/>
      <c r="O195" s="1426"/>
      <c r="P195" s="1426"/>
    </row>
    <row r="196" ht="15.75" customHeight="1">
      <c r="A196" s="1425"/>
      <c r="B196" s="164"/>
      <c r="C196" s="1426"/>
      <c r="D196" s="1426"/>
      <c r="E196" s="1426"/>
      <c r="F196" s="1426"/>
      <c r="G196" s="1426"/>
      <c r="H196" s="1426"/>
      <c r="I196" s="1426"/>
      <c r="J196" s="1426"/>
      <c r="K196" s="1426"/>
      <c r="L196" s="1426"/>
      <c r="M196" s="1426"/>
      <c r="N196" s="1426"/>
      <c r="O196" s="1426"/>
      <c r="P196" s="1426"/>
    </row>
    <row r="197" ht="15.75" customHeight="1">
      <c r="A197" s="1425"/>
      <c r="B197" s="164"/>
      <c r="C197" s="1426"/>
      <c r="D197" s="1426"/>
      <c r="E197" s="1426"/>
      <c r="F197" s="1426"/>
      <c r="G197" s="1426"/>
      <c r="H197" s="1426"/>
      <c r="I197" s="1426"/>
      <c r="J197" s="1426"/>
      <c r="K197" s="1426"/>
      <c r="L197" s="1426"/>
      <c r="M197" s="1426"/>
      <c r="N197" s="1426"/>
      <c r="O197" s="1426"/>
      <c r="P197" s="1426"/>
    </row>
    <row r="198" ht="15.75" customHeight="1">
      <c r="A198" s="1425"/>
      <c r="B198" s="164"/>
      <c r="C198" s="1426"/>
      <c r="D198" s="1426"/>
      <c r="E198" s="1426"/>
      <c r="F198" s="1426"/>
      <c r="G198" s="1426"/>
      <c r="H198" s="1426"/>
      <c r="I198" s="1426"/>
      <c r="J198" s="1426"/>
      <c r="K198" s="1426"/>
      <c r="L198" s="1426"/>
      <c r="M198" s="1426"/>
      <c r="N198" s="1426"/>
      <c r="O198" s="1426"/>
      <c r="P198" s="1426"/>
    </row>
    <row r="199" ht="15.75" customHeight="1">
      <c r="A199" s="1425"/>
      <c r="B199" s="164"/>
      <c r="C199" s="1426"/>
      <c r="D199" s="1426"/>
      <c r="E199" s="1426"/>
      <c r="F199" s="1426"/>
      <c r="G199" s="1426"/>
      <c r="H199" s="1426"/>
      <c r="I199" s="1426"/>
      <c r="J199" s="1426"/>
      <c r="K199" s="1426"/>
      <c r="L199" s="1426"/>
      <c r="M199" s="1426"/>
      <c r="N199" s="1426"/>
      <c r="O199" s="1426"/>
      <c r="P199" s="1426"/>
    </row>
    <row r="200" ht="15.75" customHeight="1">
      <c r="A200" s="1425"/>
      <c r="B200" s="164"/>
      <c r="C200" s="1426"/>
      <c r="D200" s="1426"/>
      <c r="E200" s="1426"/>
      <c r="F200" s="1426"/>
      <c r="G200" s="1426"/>
      <c r="H200" s="1426"/>
      <c r="I200" s="1426"/>
      <c r="J200" s="1426"/>
      <c r="K200" s="1426"/>
      <c r="L200" s="1426"/>
      <c r="M200" s="1426"/>
      <c r="N200" s="1426"/>
      <c r="O200" s="1426"/>
      <c r="P200" s="1426"/>
    </row>
    <row r="201" ht="15.75" customHeight="1">
      <c r="A201" s="1425"/>
      <c r="B201" s="164"/>
      <c r="C201" s="1426"/>
      <c r="D201" s="1426"/>
      <c r="E201" s="1426"/>
      <c r="F201" s="1426"/>
      <c r="G201" s="1426"/>
      <c r="H201" s="1426"/>
      <c r="I201" s="1426"/>
      <c r="J201" s="1426"/>
      <c r="K201" s="1426"/>
      <c r="L201" s="1426"/>
      <c r="M201" s="1426"/>
      <c r="N201" s="1426"/>
      <c r="O201" s="1426"/>
      <c r="P201" s="1426"/>
    </row>
    <row r="202" ht="15.75" customHeight="1">
      <c r="A202" s="1425"/>
      <c r="B202" s="164"/>
      <c r="C202" s="1426"/>
      <c r="D202" s="1426"/>
      <c r="E202" s="1426"/>
      <c r="F202" s="1426"/>
      <c r="G202" s="1426"/>
      <c r="H202" s="1426"/>
      <c r="I202" s="1426"/>
      <c r="J202" s="1426"/>
      <c r="K202" s="1426"/>
      <c r="L202" s="1426"/>
      <c r="M202" s="1426"/>
      <c r="N202" s="1426"/>
      <c r="O202" s="1426"/>
      <c r="P202" s="1426"/>
    </row>
    <row r="203" ht="15.75" customHeight="1">
      <c r="A203" s="1425"/>
      <c r="B203" s="164"/>
      <c r="C203" s="1426"/>
      <c r="D203" s="1426"/>
      <c r="E203" s="1426"/>
      <c r="F203" s="1426"/>
      <c r="G203" s="1426"/>
      <c r="H203" s="1426"/>
      <c r="I203" s="1426"/>
      <c r="J203" s="1426"/>
      <c r="K203" s="1426"/>
      <c r="L203" s="1426"/>
      <c r="M203" s="1426"/>
      <c r="N203" s="1426"/>
      <c r="O203" s="1426"/>
      <c r="P203" s="1426"/>
    </row>
    <row r="204" ht="15.75" customHeight="1">
      <c r="A204" s="1425"/>
      <c r="B204" s="164"/>
      <c r="C204" s="1426"/>
      <c r="D204" s="1426"/>
      <c r="E204" s="1426"/>
      <c r="F204" s="1426"/>
      <c r="G204" s="1426"/>
      <c r="H204" s="1426"/>
      <c r="I204" s="1426"/>
      <c r="J204" s="1426"/>
      <c r="K204" s="1426"/>
      <c r="L204" s="1426"/>
      <c r="M204" s="1426"/>
      <c r="N204" s="1426"/>
      <c r="O204" s="1426"/>
      <c r="P204" s="1426"/>
    </row>
    <row r="205" ht="15.75" customHeight="1">
      <c r="A205" s="1425"/>
      <c r="B205" s="164"/>
      <c r="C205" s="1426"/>
      <c r="D205" s="1426"/>
      <c r="E205" s="1426"/>
      <c r="F205" s="1426"/>
      <c r="G205" s="1426"/>
      <c r="H205" s="1426"/>
      <c r="I205" s="1426"/>
      <c r="J205" s="1426"/>
      <c r="K205" s="1426"/>
      <c r="L205" s="1426"/>
      <c r="M205" s="1426"/>
      <c r="N205" s="1426"/>
      <c r="O205" s="1426"/>
      <c r="P205" s="1426"/>
    </row>
    <row r="206" ht="15.75" customHeight="1">
      <c r="A206" s="1425"/>
      <c r="B206" s="164"/>
      <c r="C206" s="1426"/>
      <c r="D206" s="1426"/>
      <c r="E206" s="1426"/>
      <c r="F206" s="1426"/>
      <c r="G206" s="1426"/>
      <c r="H206" s="1426"/>
      <c r="I206" s="1426"/>
      <c r="J206" s="1426"/>
      <c r="K206" s="1426"/>
      <c r="L206" s="1426"/>
      <c r="M206" s="1426"/>
      <c r="N206" s="1426"/>
      <c r="O206" s="1426"/>
      <c r="P206" s="1426"/>
    </row>
    <row r="207" ht="15.75" customHeight="1">
      <c r="A207" s="1425"/>
      <c r="B207" s="164"/>
      <c r="C207" s="1426"/>
      <c r="D207" s="1426"/>
      <c r="E207" s="1426"/>
      <c r="F207" s="1426"/>
      <c r="G207" s="1426"/>
      <c r="H207" s="1426"/>
      <c r="I207" s="1426"/>
      <c r="J207" s="1426"/>
      <c r="K207" s="1426"/>
      <c r="L207" s="1426"/>
      <c r="M207" s="1426"/>
      <c r="N207" s="1426"/>
      <c r="O207" s="1426"/>
      <c r="P207" s="1426"/>
    </row>
    <row r="208" ht="15.75" customHeight="1">
      <c r="A208" s="1425"/>
      <c r="B208" s="164"/>
      <c r="C208" s="1426"/>
      <c r="D208" s="1426"/>
      <c r="E208" s="1426"/>
      <c r="F208" s="1426"/>
      <c r="G208" s="1426"/>
      <c r="H208" s="1426"/>
      <c r="I208" s="1426"/>
      <c r="J208" s="1426"/>
      <c r="K208" s="1426"/>
      <c r="L208" s="1426"/>
      <c r="M208" s="1426"/>
      <c r="N208" s="1426"/>
      <c r="O208" s="1426"/>
      <c r="P208" s="1426"/>
    </row>
    <row r="209" ht="15.75" customHeight="1">
      <c r="A209" s="1425"/>
      <c r="B209" s="164"/>
      <c r="C209" s="1426"/>
      <c r="D209" s="1426"/>
      <c r="E209" s="1426"/>
      <c r="F209" s="1426"/>
      <c r="G209" s="1426"/>
      <c r="H209" s="1426"/>
      <c r="I209" s="1426"/>
      <c r="J209" s="1426"/>
      <c r="K209" s="1426"/>
      <c r="L209" s="1426"/>
      <c r="M209" s="1426"/>
      <c r="N209" s="1426"/>
      <c r="O209" s="1426"/>
      <c r="P209" s="1426"/>
    </row>
    <row r="210" ht="15.75" customHeight="1">
      <c r="A210" s="1425"/>
      <c r="B210" s="164"/>
      <c r="C210" s="1426"/>
      <c r="D210" s="1426"/>
      <c r="E210" s="1426"/>
      <c r="F210" s="1426"/>
      <c r="G210" s="1426"/>
      <c r="H210" s="1426"/>
      <c r="I210" s="1426"/>
      <c r="J210" s="1426"/>
      <c r="K210" s="1426"/>
      <c r="L210" s="1426"/>
      <c r="M210" s="1426"/>
      <c r="N210" s="1426"/>
      <c r="O210" s="1426"/>
      <c r="P210" s="1426"/>
    </row>
    <row r="211" ht="15.75" customHeight="1">
      <c r="A211" s="1425"/>
      <c r="B211" s="164"/>
      <c r="C211" s="1426"/>
      <c r="D211" s="1426"/>
      <c r="E211" s="1426"/>
      <c r="F211" s="1426"/>
      <c r="G211" s="1426"/>
      <c r="H211" s="1426"/>
      <c r="I211" s="1426"/>
      <c r="J211" s="1426"/>
      <c r="K211" s="1426"/>
      <c r="L211" s="1426"/>
      <c r="M211" s="1426"/>
      <c r="N211" s="1426"/>
      <c r="O211" s="1426"/>
      <c r="P211" s="1426"/>
    </row>
    <row r="212" ht="15.75" customHeight="1">
      <c r="A212" s="1425"/>
      <c r="B212" s="164"/>
      <c r="C212" s="1426"/>
      <c r="D212" s="1426"/>
      <c r="E212" s="1426"/>
      <c r="F212" s="1426"/>
      <c r="G212" s="1426"/>
      <c r="H212" s="1426"/>
      <c r="I212" s="1426"/>
      <c r="J212" s="1426"/>
      <c r="K212" s="1426"/>
      <c r="L212" s="1426"/>
      <c r="M212" s="1426"/>
      <c r="N212" s="1426"/>
      <c r="O212" s="1426"/>
      <c r="P212" s="1426"/>
    </row>
    <row r="213" ht="15.75" customHeight="1">
      <c r="A213" s="1425"/>
      <c r="B213" s="164"/>
      <c r="C213" s="1426"/>
      <c r="D213" s="1426"/>
      <c r="E213" s="1426"/>
      <c r="F213" s="1426"/>
      <c r="G213" s="1426"/>
      <c r="H213" s="1426"/>
      <c r="I213" s="1426"/>
      <c r="J213" s="1426"/>
      <c r="K213" s="1426"/>
      <c r="L213" s="1426"/>
      <c r="M213" s="1426"/>
      <c r="N213" s="1426"/>
      <c r="O213" s="1426"/>
      <c r="P213" s="1426"/>
    </row>
    <row r="214" ht="15.75" customHeight="1">
      <c r="A214" s="1425"/>
      <c r="B214" s="164"/>
      <c r="C214" s="1426"/>
      <c r="D214" s="1426"/>
      <c r="E214" s="1426"/>
      <c r="F214" s="1426"/>
      <c r="G214" s="1426"/>
      <c r="H214" s="1426"/>
      <c r="I214" s="1426"/>
      <c r="J214" s="1426"/>
      <c r="K214" s="1426"/>
      <c r="L214" s="1426"/>
      <c r="M214" s="1426"/>
      <c r="N214" s="1426"/>
      <c r="O214" s="1426"/>
      <c r="P214" s="1426"/>
    </row>
    <row r="215" ht="15.75" customHeight="1">
      <c r="A215" s="1425"/>
      <c r="B215" s="164"/>
      <c r="C215" s="1426"/>
      <c r="D215" s="1426"/>
      <c r="E215" s="1426"/>
      <c r="F215" s="1426"/>
      <c r="G215" s="1426"/>
      <c r="H215" s="1426"/>
      <c r="I215" s="1426"/>
      <c r="J215" s="1426"/>
      <c r="K215" s="1426"/>
      <c r="L215" s="1426"/>
      <c r="M215" s="1426"/>
      <c r="N215" s="1426"/>
      <c r="O215" s="1426"/>
      <c r="P215" s="1426"/>
    </row>
    <row r="216" ht="15.75" customHeight="1">
      <c r="A216" s="1425"/>
      <c r="B216" s="164"/>
      <c r="C216" s="1426"/>
      <c r="D216" s="1426"/>
      <c r="E216" s="1426"/>
      <c r="F216" s="1426"/>
      <c r="G216" s="1426"/>
      <c r="H216" s="1426"/>
      <c r="I216" s="1426"/>
      <c r="J216" s="1426"/>
      <c r="K216" s="1426"/>
      <c r="L216" s="1426"/>
      <c r="M216" s="1426"/>
      <c r="N216" s="1426"/>
      <c r="O216" s="1426"/>
      <c r="P216" s="1426"/>
    </row>
    <row r="217" ht="15.75" customHeight="1">
      <c r="A217" s="1425"/>
      <c r="B217" s="164"/>
      <c r="C217" s="1426"/>
      <c r="D217" s="1426"/>
      <c r="E217" s="1426"/>
      <c r="F217" s="1426"/>
      <c r="G217" s="1426"/>
      <c r="H217" s="1426"/>
      <c r="I217" s="1426"/>
      <c r="J217" s="1426"/>
      <c r="K217" s="1426"/>
      <c r="L217" s="1426"/>
      <c r="M217" s="1426"/>
      <c r="N217" s="1426"/>
      <c r="O217" s="1426"/>
      <c r="P217" s="1426"/>
    </row>
    <row r="218" ht="15.75" customHeight="1">
      <c r="A218" s="1425"/>
      <c r="B218" s="164"/>
      <c r="C218" s="1426"/>
      <c r="D218" s="1426"/>
      <c r="E218" s="1426"/>
      <c r="F218" s="1426"/>
      <c r="G218" s="1426"/>
      <c r="H218" s="1426"/>
      <c r="I218" s="1426"/>
      <c r="J218" s="1426"/>
      <c r="K218" s="1426"/>
      <c r="L218" s="1426"/>
      <c r="M218" s="1426"/>
      <c r="N218" s="1426"/>
      <c r="O218" s="1426"/>
      <c r="P218" s="1426"/>
    </row>
    <row r="219" ht="15.75" customHeight="1">
      <c r="A219" s="1425"/>
      <c r="B219" s="164"/>
      <c r="C219" s="1426"/>
      <c r="D219" s="1426"/>
      <c r="E219" s="1426"/>
      <c r="F219" s="1426"/>
      <c r="G219" s="1426"/>
      <c r="H219" s="1426"/>
      <c r="I219" s="1426"/>
      <c r="J219" s="1426"/>
      <c r="K219" s="1426"/>
      <c r="L219" s="1426"/>
      <c r="M219" s="1426"/>
      <c r="N219" s="1426"/>
      <c r="O219" s="1426"/>
      <c r="P219" s="1426"/>
    </row>
    <row r="220" ht="15.75" customHeight="1">
      <c r="A220" s="1425"/>
      <c r="B220" s="164"/>
      <c r="C220" s="1426"/>
      <c r="D220" s="1426"/>
      <c r="E220" s="1426"/>
      <c r="F220" s="1426"/>
      <c r="G220" s="1426"/>
      <c r="H220" s="1426"/>
      <c r="I220" s="1426"/>
      <c r="J220" s="1426"/>
      <c r="K220" s="1426"/>
      <c r="L220" s="1426"/>
      <c r="M220" s="1426"/>
      <c r="N220" s="1426"/>
      <c r="O220" s="1426"/>
      <c r="P220" s="142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B2"/>
    <mergeCell ref="A3:A6"/>
    <mergeCell ref="A7:A8"/>
    <mergeCell ref="A9:A10"/>
    <mergeCell ref="A11:A12"/>
    <mergeCell ref="A13:A14"/>
    <mergeCell ref="A16:A18"/>
    <mergeCell ref="C1:D1"/>
    <mergeCell ref="E1:F1"/>
    <mergeCell ref="G1:H1"/>
    <mergeCell ref="I1:J1"/>
    <mergeCell ref="K1:L1"/>
    <mergeCell ref="M1:N1"/>
    <mergeCell ref="O1:P1"/>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27.13"/>
    <col customWidth="1" min="3" max="3" width="18.0"/>
    <col customWidth="1" min="4" max="4" width="18.25"/>
    <col customWidth="1" min="5" max="5" width="45.13"/>
    <col customWidth="1" min="6" max="6" width="12.63"/>
  </cols>
  <sheetData>
    <row r="1" ht="15.75" customHeight="1">
      <c r="A1" s="1427" t="s">
        <v>1626</v>
      </c>
      <c r="B1" s="94" t="s">
        <v>1627</v>
      </c>
      <c r="C1" s="94" t="s">
        <v>1628</v>
      </c>
      <c r="D1" s="7" t="s">
        <v>1629</v>
      </c>
      <c r="E1" s="94" t="s">
        <v>1630</v>
      </c>
    </row>
    <row r="2" ht="15.75" customHeight="1">
      <c r="A2" s="1428" t="str">
        <f>'1. Справочник'!C2</f>
        <v>WS В 503</v>
      </c>
      <c r="B2" s="431" t="str">
        <f>IF('1. Справочник'!G2="","",'1. Справочник'!G2)</f>
        <v>https://airbnb.com/h/wsb503</v>
      </c>
      <c r="C2" s="7" t="str">
        <f t="shared" ref="C2:C130" si="1">getReviewCount(B2)
</f>
        <v>#NAME?</v>
      </c>
      <c r="D2" s="7" t="str">
        <f t="shared" ref="D2:D130" si="2">getRatingValue(B2)
</f>
        <v>#NAME?</v>
      </c>
      <c r="E2" s="94" t="str">
        <f>IFERROR(__xludf.DUMMYFUNCTION("IFERROR(
  IMPORTXML(
    B2,
    ""//meta[@property='og:description']/@content""
  ),
  """"
)
"),"")</f>
        <v/>
      </c>
    </row>
    <row r="3" ht="15.75" customHeight="1">
      <c r="A3" s="1428" t="str">
        <f>'1. Справочник'!C3</f>
        <v>WS F 907</v>
      </c>
      <c r="B3" s="431" t="str">
        <f>IF('1. Справочник'!G3="","",'1. Справочник'!G3)</f>
        <v>https://airbnb.com/h/wsf907</v>
      </c>
      <c r="C3" s="7" t="str">
        <f t="shared" si="1"/>
        <v>#NAME?</v>
      </c>
      <c r="D3" s="7" t="str">
        <f t="shared" si="2"/>
        <v>#NAME?</v>
      </c>
      <c r="E3" s="94" t="str">
        <f>IFERROR(__xludf.DUMMYFUNCTION("IFERROR(
  IMPORTXML(
    B3,
    ""//meta[@property='og:description']/@content""
  ),
  """"
)
"),"")</f>
        <v/>
      </c>
    </row>
    <row r="4" ht="15.75" customHeight="1">
      <c r="A4" s="1428" t="str">
        <f>'1. Справочник'!C4</f>
        <v>WS В 212</v>
      </c>
      <c r="B4" s="431" t="str">
        <f>IF('1. Справочник'!G4="","",'1. Справочник'!G4)</f>
        <v>https://airbnb.com/h/wsb212</v>
      </c>
      <c r="C4" s="7" t="str">
        <f t="shared" si="1"/>
        <v>#NAME?</v>
      </c>
      <c r="D4" s="7" t="str">
        <f t="shared" si="2"/>
        <v>#NAME?</v>
      </c>
      <c r="E4" s="94" t="str">
        <f>IFERROR(__xludf.DUMMYFUNCTION("IFERROR(
  IMPORTXML(
    B4,
    ""//meta[@property='og:description']/@content""
  ),
  """"
)
"),"")</f>
        <v/>
      </c>
    </row>
    <row r="5" ht="15.75" customHeight="1">
      <c r="A5" s="1428" t="str">
        <f>'1. Справочник'!C5</f>
        <v>WS В 1510</v>
      </c>
      <c r="B5" s="431" t="str">
        <f>IF('1. Справочник'!G5="","",'1. Справочник'!G5)</f>
        <v>https://airbnb.com/h/wsb1510</v>
      </c>
      <c r="C5" s="7" t="str">
        <f t="shared" si="1"/>
        <v>#NAME?</v>
      </c>
      <c r="D5" s="7" t="str">
        <f t="shared" si="2"/>
        <v>#NAME?</v>
      </c>
      <c r="E5" s="94" t="str">
        <f>IFERROR(__xludf.DUMMYFUNCTION("IFERROR(
  IMPORTXML(
    B5,
    ""//meta[@property='og:description']/@content""
  ),
  """"
)
"),"")</f>
        <v/>
      </c>
    </row>
    <row r="6" ht="15.75" customHeight="1">
      <c r="A6" s="1428" t="str">
        <f>'1. Справочник'!C6</f>
        <v>WS В 807</v>
      </c>
      <c r="B6" s="431" t="str">
        <f>IF('1. Справочник'!G6="","",'1. Справочник'!G6)</f>
        <v>airbnb.com/h/wsb807</v>
      </c>
      <c r="C6" s="7" t="str">
        <f t="shared" si="1"/>
        <v>#NAME?</v>
      </c>
      <c r="D6" s="7" t="str">
        <f t="shared" si="2"/>
        <v>#NAME?</v>
      </c>
      <c r="E6" s="94" t="str">
        <f>IFERROR(__xludf.DUMMYFUNCTION("IFERROR(
  IMPORTXML(
    B6,
    ""//meta[@property='og:description']/@content""
  ),
  """"
)
"),"")</f>
        <v/>
      </c>
    </row>
    <row r="7" ht="15.75" customHeight="1">
      <c r="A7" s="1428" t="str">
        <f>'1. Справочник'!C7</f>
        <v>WS E 1202</v>
      </c>
      <c r="B7" s="431" t="str">
        <f>IF('1. Справочник'!G7="","",'1. Справочник'!G7)</f>
        <v>https://airbnb.com/h/wse1202</v>
      </c>
      <c r="C7" s="7" t="str">
        <f t="shared" si="1"/>
        <v>#NAME?</v>
      </c>
      <c r="D7" s="7" t="str">
        <f t="shared" si="2"/>
        <v>#NAME?</v>
      </c>
      <c r="E7" s="94" t="str">
        <f>IFERROR(__xludf.DUMMYFUNCTION("IFERROR(
  IMPORTXML(
    B7,
    ""//meta[@property='og:description']/@content""
  ),
  """"
)
"),"")</f>
        <v/>
      </c>
    </row>
    <row r="8" ht="15.75" customHeight="1">
      <c r="A8" s="1428" t="str">
        <f>'1. Справочник'!C8</f>
        <v>WS A 409</v>
      </c>
      <c r="B8" s="431" t="str">
        <f>IF('1. Справочник'!G8="","",'1. Справочник'!G8)</f>
        <v>https://airbnb.com/h/wsa409</v>
      </c>
      <c r="C8" s="7" t="str">
        <f t="shared" si="1"/>
        <v>#NAME?</v>
      </c>
      <c r="D8" s="7" t="str">
        <f t="shared" si="2"/>
        <v>#NAME?</v>
      </c>
      <c r="E8" s="94" t="str">
        <f>IFERROR(__xludf.DUMMYFUNCTION("IFERROR(
  IMPORTXML(
    B8,
    ""//meta[@property='og:description']/@content""
  ),
  """"
)
"),"")</f>
        <v/>
      </c>
    </row>
    <row r="9" ht="15.75" customHeight="1">
      <c r="A9" s="1428" t="str">
        <f>'1. Справочник'!C9</f>
        <v>WS A 608</v>
      </c>
      <c r="B9" s="431" t="str">
        <f>IF('1. Справочник'!G9="","",'1. Справочник'!G9)</f>
        <v>https://airbnb.com/h/wsa608</v>
      </c>
      <c r="C9" s="7" t="str">
        <f t="shared" si="1"/>
        <v>#NAME?</v>
      </c>
      <c r="D9" s="7" t="str">
        <f t="shared" si="2"/>
        <v>#NAME?</v>
      </c>
      <c r="E9" s="94" t="str">
        <f>IFERROR(__xludf.DUMMYFUNCTION("IFERROR(
  IMPORTXML(
    B9,
    ""//meta[@property='og:description']/@content""
  ),
  """"
)
"),"")</f>
        <v/>
      </c>
    </row>
    <row r="10" ht="15.75" customHeight="1">
      <c r="A10" s="1428" t="str">
        <f>'1. Справочник'!C10</f>
        <v>WS A907</v>
      </c>
      <c r="B10" s="431" t="str">
        <f>IF('1. Справочник'!G10="","",'1. Справочник'!G10)</f>
        <v>https://airbnb.com/h/wsa907</v>
      </c>
      <c r="C10" s="7" t="str">
        <f t="shared" si="1"/>
        <v>#NAME?</v>
      </c>
      <c r="D10" s="7" t="str">
        <f t="shared" si="2"/>
        <v>#NAME?</v>
      </c>
      <c r="E10" s="94" t="str">
        <f>IFERROR(__xludf.DUMMYFUNCTION("IFERROR(
  IMPORTXML(
    B10,
    ""//meta[@property='og:description']/@content""
  ),
  """"
)
"),"")</f>
        <v/>
      </c>
    </row>
    <row r="11" ht="15.75" customHeight="1">
      <c r="A11" s="1428" t="str">
        <f>'1. Справочник'!C11</f>
        <v>WS Е804</v>
      </c>
      <c r="B11" s="431" t="str">
        <f>IF('1. Справочник'!G11="","",'1. Справочник'!G11)</f>
        <v>https://airbnb.com/h/wse804</v>
      </c>
      <c r="C11" s="7" t="str">
        <f t="shared" si="1"/>
        <v>#NAME?</v>
      </c>
      <c r="D11" s="7" t="str">
        <f t="shared" si="2"/>
        <v>#NAME?</v>
      </c>
      <c r="E11" s="94" t="str">
        <f>IFERROR(__xludf.DUMMYFUNCTION("IFERROR(
  IMPORTXML(
    B11,
    ""//meta[@property='og:description']/@content""
  ),
  """"
)
"),"")</f>
        <v/>
      </c>
    </row>
    <row r="12" ht="15.75" customHeight="1">
      <c r="A12" s="1428" t="str">
        <f>'1. Справочник'!C12</f>
        <v>WS E704</v>
      </c>
      <c r="B12" s="431" t="str">
        <f>IF('1. Справочник'!G12="","",'1. Справочник'!G12)</f>
        <v>https://airbnb.com/h/wse704</v>
      </c>
      <c r="C12" s="7" t="str">
        <f t="shared" si="1"/>
        <v>#NAME?</v>
      </c>
      <c r="D12" s="7" t="str">
        <f t="shared" si="2"/>
        <v>#NAME?</v>
      </c>
      <c r="E12" s="94" t="str">
        <f>IFERROR(__xludf.DUMMYFUNCTION("IFERROR(
  IMPORTXML(
    B12,
    ""//meta[@property='og:description']/@content""
  ),
  """"
)
"),"")</f>
        <v/>
      </c>
    </row>
    <row r="13" ht="15.75" customHeight="1">
      <c r="A13" s="1428" t="str">
        <f>'1. Справочник'!C13</f>
        <v>WS A805</v>
      </c>
      <c r="B13" s="431" t="str">
        <f>IF('1. Справочник'!G13="","",'1. Справочник'!G13)</f>
        <v>https://airbnb.com/h/wsa805</v>
      </c>
      <c r="C13" s="7" t="str">
        <f t="shared" si="1"/>
        <v>#NAME?</v>
      </c>
      <c r="D13" s="7" t="str">
        <f t="shared" si="2"/>
        <v>#NAME?</v>
      </c>
      <c r="E13" s="94" t="str">
        <f>IFERROR(__xludf.DUMMYFUNCTION("IFERROR(
  IMPORTXML(
    B13,
    ""//meta[@property='og:description']/@content""
  ),
  """"
)
"),"")</f>
        <v/>
      </c>
    </row>
    <row r="14" ht="15.75" customHeight="1">
      <c r="A14" s="1428" t="str">
        <f>'1. Справочник'!C14</f>
        <v>WS F1103</v>
      </c>
      <c r="B14" s="431" t="str">
        <f>IF('1. Справочник'!G14="","",'1. Справочник'!G14)</f>
        <v>https://airbnb.com/h/wsf1103</v>
      </c>
      <c r="C14" s="7" t="str">
        <f t="shared" si="1"/>
        <v>#NAME?</v>
      </c>
      <c r="D14" s="7" t="str">
        <f t="shared" si="2"/>
        <v>#NAME?</v>
      </c>
      <c r="E14" s="94" t="str">
        <f>IFERROR(__xludf.DUMMYFUNCTION("IFERROR(
  IMPORTXML(
    B14,
    ""//meta[@property='og:description']/@content""
  ),
  """"
)
"),"")</f>
        <v/>
      </c>
    </row>
    <row r="15" ht="15.75" customHeight="1">
      <c r="A15" s="1428" t="str">
        <f>'1. Справочник'!C15</f>
        <v>WS F1008</v>
      </c>
      <c r="B15" s="431" t="str">
        <f>IF('1. Справочник'!G15="","",'1. Справочник'!G15)</f>
        <v>https://airbnb.com/h/wsf1008</v>
      </c>
      <c r="C15" s="7" t="str">
        <f t="shared" si="1"/>
        <v>#NAME?</v>
      </c>
      <c r="D15" s="7" t="str">
        <f t="shared" si="2"/>
        <v>#NAME?</v>
      </c>
      <c r="E15" s="94" t="str">
        <f>IFERROR(__xludf.DUMMYFUNCTION("IFERROR(
  IMPORTXML(
    B15,
    ""//meta[@property='og:description']/@content""
  ),
  """"
)
"),"Muse Africa Studio in White Sails | Mavi Guest")</f>
        <v>Muse Africa Studio in White Sails | Mavi Guest</v>
      </c>
    </row>
    <row r="16" ht="15.75" customHeight="1">
      <c r="A16" s="1428" t="str">
        <f>'1. Справочник'!C16</f>
        <v>BV1318</v>
      </c>
      <c r="B16" s="431" t="str">
        <f>IF('1. Справочник'!G16="","",'1. Справочник'!G16)</f>
        <v>https://airbnb.com/h/bvb1318</v>
      </c>
      <c r="C16" s="7" t="str">
        <f t="shared" si="1"/>
        <v>#NAME?</v>
      </c>
      <c r="D16" s="7" t="str">
        <f t="shared" si="2"/>
        <v>#NAME?</v>
      </c>
      <c r="E16" s="94" t="str">
        <f>IFERROR(__xludf.DUMMYFUNCTION("IFERROR(
  IMPORTXML(
    B16,
    ""//meta[@property='og:description']/@content""
  ),
  """"
)
"),"Honeymoon Studio | Batumi View | Zero line")</f>
        <v>Honeymoon Studio | Batumi View | Zero line</v>
      </c>
    </row>
    <row r="17" ht="15.75" customHeight="1">
      <c r="A17" s="1428" t="str">
        <f>'1. Справочник'!C17</f>
        <v>BV A 100</v>
      </c>
      <c r="B17" s="431" t="str">
        <f>IF('1. Справочник'!G17="","",'1. Справочник'!G17)</f>
        <v>https://airbnb.com/h/bv0514</v>
      </c>
      <c r="C17" s="7" t="str">
        <f t="shared" si="1"/>
        <v>#NAME?</v>
      </c>
      <c r="D17" s="7" t="str">
        <f t="shared" si="2"/>
        <v>#NAME?</v>
      </c>
      <c r="E17" s="94" t="str">
        <f>IFERROR(__xludf.DUMMYFUNCTION("IFERROR(
  IMPORTXML(
    B17,
    ""//meta[@property='og:description']/@content""
  ),
  """"
)
"),"Romantic Studio Batumi Sea View | Zero line")</f>
        <v>Romantic Studio Batumi Sea View | Zero line</v>
      </c>
    </row>
    <row r="18" ht="15.75" customHeight="1">
      <c r="A18" s="1428" t="str">
        <f>'1. Справочник'!C18</f>
        <v>Steps1123</v>
      </c>
      <c r="B18" s="431" t="str">
        <f>IF('1. Справочник'!G18="","",'1. Справочник'!G18)</f>
        <v>http://airbnb.com/h/steps1123</v>
      </c>
      <c r="C18" s="7" t="str">
        <f t="shared" si="1"/>
        <v>#NAME?</v>
      </c>
      <c r="D18" s="7" t="str">
        <f t="shared" si="2"/>
        <v>#NAME?</v>
      </c>
      <c r="E18" s="94" t="str">
        <f>IFERROR(__xludf.DUMMYFUNCTION("IFERROR(
  IMPORTXML(
    B18,
    ""//meta[@property='og:description']/@content""
  ),
  """"
)
"),"Sea View Business Studio | STEPS")</f>
        <v>Sea View Business Studio | STEPS</v>
      </c>
    </row>
    <row r="19" ht="15.75" customHeight="1">
      <c r="A19" s="1428" t="str">
        <f>'1. Справочник'!C19</f>
        <v>WH 176</v>
      </c>
      <c r="B19" s="431" t="str">
        <f>IF('1. Справочник'!G19="","",'1. Справочник'!G19)</f>
        <v>http://airbnb.com/h/wh176</v>
      </c>
      <c r="C19" s="7" t="str">
        <f t="shared" si="1"/>
        <v>#NAME?</v>
      </c>
      <c r="D19" s="7" t="str">
        <f t="shared" si="2"/>
        <v>#NAME?</v>
      </c>
      <c r="E19" s="94" t="str">
        <f>IFERROR(__xludf.DUMMYFUNCTION("IFERROR(
  IMPORTXML(
    B19,
    ""//meta[@property='og:description']/@content""
  ),
  """"
)
"),"")</f>
        <v/>
      </c>
    </row>
    <row r="20" ht="15.75" customHeight="1">
      <c r="A20" s="1428" t="str">
        <f>'1. Справочник'!C20</f>
        <v>OBT 2906</v>
      </c>
      <c r="B20" s="431" t="str">
        <f>IF('1. Справочник'!G20="","",'1. Справочник'!G20)</f>
        <v>http://airbnb.com/h/obt2906</v>
      </c>
      <c r="C20" s="7" t="str">
        <f t="shared" si="1"/>
        <v>#NAME?</v>
      </c>
      <c r="D20" s="7" t="str">
        <f t="shared" si="2"/>
        <v>#NAME?</v>
      </c>
      <c r="E20" s="94" t="str">
        <f>IFERROR(__xludf.DUMMYFUNCTION("IFERROR(
  IMPORTXML(
    B20,
    ""//meta[@property='og:description']/@content""
  ),
  """"
)
"),"")</f>
        <v/>
      </c>
    </row>
    <row r="21" ht="15.75" customHeight="1">
      <c r="A21" s="1428" t="str">
        <f>'1. Справочник'!C21</f>
        <v>OBT 2908</v>
      </c>
      <c r="B21" s="431" t="str">
        <f>IF('1. Справочник'!G21="","",'1. Справочник'!G21)</f>
        <v>http://airbnb.com/h/obt2908</v>
      </c>
      <c r="C21" s="7" t="str">
        <f t="shared" si="1"/>
        <v>#NAME?</v>
      </c>
      <c r="D21" s="7" t="str">
        <f t="shared" si="2"/>
        <v>#NAME?</v>
      </c>
      <c r="E21" s="94" t="str">
        <f>IFERROR(__xludf.DUMMYFUNCTION("IFERROR(
  IMPORTXML(
    B21,
    ""//meta[@property='og:description']/@content""
  ),
  """"
)
"),"")</f>
        <v/>
      </c>
    </row>
    <row r="22" ht="15.75" customHeight="1">
      <c r="A22" s="1428" t="str">
        <f>'1. Справочник'!C22</f>
        <v>OBT 2910</v>
      </c>
      <c r="B22" s="431" t="str">
        <f>IF('1. Справочник'!G22="","",'1. Справочник'!G22)</f>
        <v>http://airbnb.com/h/obt2910</v>
      </c>
      <c r="C22" s="7" t="str">
        <f t="shared" si="1"/>
        <v>#NAME?</v>
      </c>
      <c r="D22" s="7" t="str">
        <f t="shared" si="2"/>
        <v>#NAME?</v>
      </c>
      <c r="E22" s="94" t="str">
        <f>IFERROR(__xludf.DUMMYFUNCTION("IFERROR(
  IMPORTXML(
    B22,
    ""//meta[@property='og:description']/@content""
  ),
  """"
)
"),"")</f>
        <v/>
      </c>
    </row>
    <row r="23" ht="15.75" customHeight="1">
      <c r="A23" s="1428" t="str">
        <f>'1. Справочник'!C23</f>
        <v>BV A 133 (0715)</v>
      </c>
      <c r="B23" s="431" t="str">
        <f>IF('1. Справочник'!G23="","",'1. Справочник'!G23)</f>
        <v>http://airbnb.com/h/bva134</v>
      </c>
      <c r="C23" s="7" t="str">
        <f t="shared" si="1"/>
        <v>#NAME?</v>
      </c>
      <c r="D23" s="7" t="str">
        <f t="shared" si="2"/>
        <v>#NAME?</v>
      </c>
      <c r="E23" s="94" t="str">
        <f>IFERROR(__xludf.DUMMYFUNCTION("IFERROR(
  IMPORTXML(
    B23,
    ""//meta[@property='og:description']/@content""
  ),
  """"
)
"),"")</f>
        <v/>
      </c>
    </row>
    <row r="24" ht="15.75" customHeight="1">
      <c r="A24" s="1428" t="str">
        <f>'1. Справочник'!C24</f>
        <v>BV A 134 (0713)</v>
      </c>
      <c r="B24" s="431" t="str">
        <f>IF('1. Справочник'!G24="","",'1. Справочник'!G24)</f>
        <v>http://airbnb.com/h/bva134</v>
      </c>
      <c r="C24" s="7" t="str">
        <f t="shared" si="1"/>
        <v>#NAME?</v>
      </c>
      <c r="D24" s="7" t="str">
        <f t="shared" si="2"/>
        <v>#NAME?</v>
      </c>
      <c r="E24" s="94" t="str">
        <f>IFERROR(__xludf.DUMMYFUNCTION("IFERROR(
  IMPORTXML(
    B24,
    ""//meta[@property='og:description']/@content""
  ),
  """"
)
"),"")</f>
        <v/>
      </c>
    </row>
    <row r="25" ht="15.75" customHeight="1">
      <c r="A25" s="1428" t="str">
        <f>'1. Справочник'!C25</f>
        <v>BV A 144 (0708)</v>
      </c>
      <c r="B25" s="431" t="str">
        <f>IF('1. Справочник'!G25="","",'1. Справочник'!G25)</f>
        <v>http://airbnb.com/h/bva144</v>
      </c>
      <c r="C25" s="7" t="str">
        <f t="shared" si="1"/>
        <v>#NAME?</v>
      </c>
      <c r="D25" s="7" t="str">
        <f t="shared" si="2"/>
        <v>#NAME?</v>
      </c>
      <c r="E25" s="94" t="str">
        <f>IFERROR(__xludf.DUMMYFUNCTION("IFERROR(
  IMPORTXML(
    B25,
    ""//meta[@property='og:description']/@content""
  ),
  """"
)
"),"")</f>
        <v/>
      </c>
    </row>
    <row r="26" ht="15.75" customHeight="1">
      <c r="A26" s="1428" t="str">
        <f>'1. Справочник'!C26</f>
        <v>BV A 145 (0710)</v>
      </c>
      <c r="B26" s="431" t="str">
        <f>IF('1. Справочник'!G26="","",'1. Справочник'!G26)</f>
        <v>http://airbnb.com/h/bva145</v>
      </c>
      <c r="C26" s="7" t="str">
        <f t="shared" si="1"/>
        <v>#NAME?</v>
      </c>
      <c r="D26" s="7" t="str">
        <f t="shared" si="2"/>
        <v>#NAME?</v>
      </c>
      <c r="E26" s="94" t="str">
        <f>IFERROR(__xludf.DUMMYFUNCTION("IFERROR(
  IMPORTXML(
    B26,
    ""//meta[@property='og:description']/@content""
  ),
  """"
)
"),"")</f>
        <v/>
      </c>
    </row>
    <row r="27" ht="15.75" customHeight="1">
      <c r="A27" s="1428" t="str">
        <f>'1. Справочник'!C27</f>
        <v>BV A 147 (0714)</v>
      </c>
      <c r="B27" s="431" t="str">
        <f>IF('1. Справочник'!G27="","",'1. Справочник'!G27)</f>
        <v>http://airbnb.com/h/bva147</v>
      </c>
      <c r="C27" s="7" t="str">
        <f t="shared" si="1"/>
        <v>#NAME?</v>
      </c>
      <c r="D27" s="7" t="str">
        <f t="shared" si="2"/>
        <v>#NAME?</v>
      </c>
      <c r="E27" s="94" t="str">
        <f>IFERROR(__xludf.DUMMYFUNCTION("IFERROR(
  IMPORTXML(
    B27,
    ""//meta[@property='og:description']/@content""
  ),
  """"
)
"),"")</f>
        <v/>
      </c>
    </row>
    <row r="28" ht="15.75" customHeight="1">
      <c r="A28" s="1428" t="str">
        <f>'1. Справочник'!C28</f>
        <v>BV A 164 (0804)</v>
      </c>
      <c r="B28" s="431" t="str">
        <f>IF('1. Справочник'!G28="","",'1. Справочник'!G28)</f>
        <v>http://airbnb.com/h/bva164</v>
      </c>
      <c r="C28" s="7" t="str">
        <f t="shared" si="1"/>
        <v>#NAME?</v>
      </c>
      <c r="D28" s="7" t="str">
        <f t="shared" si="2"/>
        <v>#NAME?</v>
      </c>
      <c r="E28" s="94" t="str">
        <f>IFERROR(__xludf.DUMMYFUNCTION("IFERROR(
  IMPORTXML(
    B28,
    ""//meta[@property='og:description']/@content""
  ),
  """"
)
"),"")</f>
        <v/>
      </c>
    </row>
    <row r="29" ht="15.75" customHeight="1">
      <c r="A29" s="1428" t="str">
        <f>'1. Справочник'!C29</f>
        <v>BV A 225 (1106)</v>
      </c>
      <c r="B29" s="431" t="str">
        <f>IF('1. Справочник'!G29="","",'1. Справочник'!G29)</f>
        <v>http://airbnb.com/h/bva225</v>
      </c>
      <c r="C29" s="7" t="str">
        <f t="shared" si="1"/>
        <v>#NAME?</v>
      </c>
      <c r="D29" s="7" t="str">
        <f t="shared" si="2"/>
        <v>#NAME?</v>
      </c>
      <c r="E29" s="94" t="str">
        <f>IFERROR(__xludf.DUMMYFUNCTION("IFERROR(
  IMPORTXML(
    B29,
    ""//meta[@property='og:description']/@content""
  ),
  """"
)
"),"")</f>
        <v/>
      </c>
    </row>
    <row r="30" ht="15.75" customHeight="1">
      <c r="A30" s="1428" t="str">
        <f>'1. Справочник'!C30</f>
        <v>BV A 210 (1014)</v>
      </c>
      <c r="B30" s="431" t="str">
        <f>IF('1. Справочник'!G30="","",'1. Справочник'!G30)</f>
        <v>http://airbnb.com/h/bva210</v>
      </c>
      <c r="C30" s="7" t="str">
        <f t="shared" si="1"/>
        <v>#NAME?</v>
      </c>
      <c r="D30" s="7" t="str">
        <f t="shared" si="2"/>
        <v>#NAME?</v>
      </c>
      <c r="E30" s="94" t="str">
        <f>IFERROR(__xludf.DUMMYFUNCTION("IFERROR(
  IMPORTXML(
    B30,
    ""//meta[@property='og:description']/@content""
  ),
  """"
)
"),"")</f>
        <v/>
      </c>
    </row>
    <row r="31" ht="15.75" customHeight="1">
      <c r="A31" s="1428" t="str">
        <f>'1. Справочник'!C31</f>
        <v>BV C 137 (0707)</v>
      </c>
      <c r="B31" s="431" t="str">
        <f>IF('1. Справочник'!G31="","",'1. Справочник'!G31)</f>
        <v>http://airbnb.com/h/bvc137</v>
      </c>
      <c r="C31" s="7" t="str">
        <f t="shared" si="1"/>
        <v>#NAME?</v>
      </c>
      <c r="D31" s="7" t="str">
        <f t="shared" si="2"/>
        <v>#NAME?</v>
      </c>
      <c r="E31" s="94" t="str">
        <f>IFERROR(__xludf.DUMMYFUNCTION("IFERROR(
  IMPORTXML(
    B31,
    ""//meta[@property='og:description']/@content""
  ),
  """"
)
"),"Great Studio")</f>
        <v>Great Studio</v>
      </c>
    </row>
    <row r="32" ht="15.75" customHeight="1">
      <c r="A32" s="1428" t="str">
        <f>'1. Справочник'!C32</f>
        <v>BV C 0505</v>
      </c>
      <c r="B32" s="431" t="str">
        <f>IF('1. Справочник'!G32="","",'1. Справочник'!G32)</f>
        <v>http://airbnb.com/h/bvc0505</v>
      </c>
      <c r="C32" s="7" t="str">
        <f t="shared" si="1"/>
        <v>#NAME?</v>
      </c>
      <c r="D32" s="7" t="str">
        <f t="shared" si="2"/>
        <v>#NAME?</v>
      </c>
      <c r="E32" s="94" t="str">
        <f>IFERROR(__xludf.DUMMYFUNCTION("IFERROR(
  IMPORTXML(
    B32,
    ""//meta[@property='og:description']/@content""
  ),
  """"
)
"),"Fashionable Studio | Batumi View | Mavi Guest")</f>
        <v>Fashionable Studio | Batumi View | Mavi Guest</v>
      </c>
    </row>
    <row r="33" ht="15.75" customHeight="1">
      <c r="A33" s="1428" t="str">
        <f>'1. Справочник'!C33</f>
        <v>MC A 708</v>
      </c>
      <c r="B33" s="431" t="str">
        <f>IF('1. Справочник'!G33="","",'1. Справочник'!G33)</f>
        <v>airbnb.com/h/mca708</v>
      </c>
      <c r="C33" s="7" t="str">
        <f t="shared" si="1"/>
        <v>#NAME?</v>
      </c>
      <c r="D33" s="7" t="str">
        <f t="shared" si="2"/>
        <v>#NAME?</v>
      </c>
      <c r="E33" s="94" t="str">
        <f>IFERROR(__xludf.DUMMYFUNCTION("IFERROR(
  IMPORTXML(
    B33,
    ""//meta[@property='og:description']/@content""
  ),
  """"
)
"),"")</f>
        <v/>
      </c>
    </row>
    <row r="34" ht="15.75" customHeight="1">
      <c r="A34" s="1428" t="str">
        <f>'1. Справочник'!C34</f>
        <v>С 1125</v>
      </c>
      <c r="B34" s="431" t="str">
        <f>IF('1. Справочник'!G34="","",'1. Справочник'!G34)</f>
        <v>https://airbnb.com/h/c1125</v>
      </c>
      <c r="C34" s="7" t="str">
        <f t="shared" si="1"/>
        <v>#NAME?</v>
      </c>
      <c r="D34" s="7" t="str">
        <f t="shared" si="2"/>
        <v>#NAME?</v>
      </c>
      <c r="E34" s="94" t="str">
        <f>IFERROR(__xludf.DUMMYFUNCTION("IFERROR(
  IMPORTXML(
    B34,
    ""//meta[@property='og:description']/@content""
  ),
  """"
)
"),"Sunny studio in Orbi block C | Stylish design")</f>
        <v>Sunny studio in Orbi block C | Stylish design</v>
      </c>
    </row>
    <row r="35" ht="15.75" customHeight="1">
      <c r="A35" s="1428" t="str">
        <f>'1. Справочник'!C35</f>
        <v>С 1443</v>
      </c>
      <c r="B35" s="431" t="str">
        <f>IF('1. Справочник'!G35="","",'1. Справочник'!G35)</f>
        <v>https://airbnb.com/h/orbic1443</v>
      </c>
      <c r="C35" s="7" t="str">
        <f t="shared" si="1"/>
        <v>#NAME?</v>
      </c>
      <c r="D35" s="7" t="str">
        <f t="shared" si="2"/>
        <v>#NAME?</v>
      </c>
      <c r="E35" s="94" t="str">
        <f>IFERROR(__xludf.DUMMYFUNCTION("IFERROR(
  IMPORTXML(
    B35,
    ""//meta[@property='og:description']/@content""
  ),
  """"
)
"),"")</f>
        <v/>
      </c>
    </row>
    <row r="36" ht="15.75" customHeight="1">
      <c r="A36" s="1428" t="str">
        <f>'1. Справочник'!C36</f>
        <v>C 4245</v>
      </c>
      <c r="B36" s="431" t="str">
        <f>IF('1. Справочник'!G36="","",'1. Справочник'!G36)</f>
        <v>https://airbnb.com/h/orbic4245</v>
      </c>
      <c r="C36" s="7" t="str">
        <f t="shared" si="1"/>
        <v>#NAME?</v>
      </c>
      <c r="D36" s="7" t="str">
        <f t="shared" si="2"/>
        <v>#NAME?</v>
      </c>
      <c r="E36" s="94" t="str">
        <f>IFERROR(__xludf.DUMMYFUNCTION("IFERROR(
  IMPORTXML(
    B36,
    ""//meta[@property='og:description']/@content""
  ),
  """"
)
"),"Batumi Panorama View | 42 floor | Orbi Block C")</f>
        <v>Batumi Panorama View | 42 floor | Orbi Block C</v>
      </c>
    </row>
    <row r="37" ht="15.75" customHeight="1">
      <c r="A37" s="1428" t="str">
        <f>'1. Справочник'!C37</f>
        <v>А 4049</v>
      </c>
      <c r="B37" s="431" t="str">
        <f>IF('1. Справочник'!G37="","",'1. Справочник'!G37)</f>
        <v>https://airbnb.com/h/orbia4049</v>
      </c>
      <c r="C37" s="7" t="str">
        <f t="shared" si="1"/>
        <v>#NAME?</v>
      </c>
      <c r="D37" s="7" t="str">
        <f t="shared" si="2"/>
        <v>#NAME?</v>
      </c>
      <c r="E37" s="94" t="str">
        <f>IFERROR(__xludf.DUMMYFUNCTION("IFERROR(
  IMPORTXML(
    B37,
    ""//meta[@property='og:description']/@content""
  ),
  """"
)
"),"")</f>
        <v/>
      </c>
    </row>
    <row r="38" ht="15.75" customHeight="1">
      <c r="A38" s="1428" t="str">
        <f>'1. Справочник'!C38</f>
        <v>C 732</v>
      </c>
      <c r="B38" s="94" t="str">
        <f>IF('1. Справочник'!G38="","",'1. Справочник'!G38)</f>
        <v/>
      </c>
      <c r="C38" s="7" t="str">
        <f t="shared" si="1"/>
        <v>#NAME?</v>
      </c>
      <c r="D38" s="7" t="str">
        <f t="shared" si="2"/>
        <v>#NAME?</v>
      </c>
      <c r="E38" s="94" t="str">
        <f>IFERROR(__xludf.DUMMYFUNCTION("IFERROR(
  IMPORTXML(
    B38,
    ""//meta[@property='og:description']/@content""
  ),
  """"
)
"),"")</f>
        <v/>
      </c>
    </row>
    <row r="39" ht="15.75" customHeight="1">
      <c r="A39" s="1428" t="str">
        <f>'1. Справочник'!C39</f>
        <v>С 2756</v>
      </c>
      <c r="B39" s="431" t="str">
        <f>IF('1. Справочник'!G39="","",'1. Справочник'!G39)</f>
        <v>https://airbnb.com/h/orbic2756</v>
      </c>
      <c r="C39" s="7" t="str">
        <f t="shared" si="1"/>
        <v>#NAME?</v>
      </c>
      <c r="D39" s="7" t="str">
        <f t="shared" si="2"/>
        <v>#NAME?</v>
      </c>
      <c r="E39" s="94" t="str">
        <f>IFERROR(__xludf.DUMMYFUNCTION("IFERROR(
  IMPORTXML(
    B39,
    ""//meta[@property='og:description']/@content""
  ),
  """"
)
"),"")</f>
        <v/>
      </c>
    </row>
    <row r="40" ht="15.75" customHeight="1">
      <c r="A40" s="1428" t="str">
        <f>'1. Справочник'!C40</f>
        <v>D 1321</v>
      </c>
      <c r="B40" s="431" t="str">
        <f>IF('1. Справочник'!G40="","",'1. Справочник'!G40)</f>
        <v>https://airbnb.com/h/orbid1321</v>
      </c>
      <c r="C40" s="7" t="str">
        <f t="shared" si="1"/>
        <v>#NAME?</v>
      </c>
      <c r="D40" s="7" t="str">
        <f t="shared" si="2"/>
        <v>#NAME?</v>
      </c>
      <c r="E40" s="94" t="str">
        <f>IFERROR(__xludf.DUMMYFUNCTION("IFERROR(
  IMPORTXML(
    B40,
    ""//meta[@property='og:description']/@content""
  ),
  """"
)
"),"")</f>
        <v/>
      </c>
    </row>
    <row r="41" ht="15.75" customHeight="1">
      <c r="A41" s="1428" t="str">
        <f>'1. Справочник'!C41</f>
        <v>D2 1625</v>
      </c>
      <c r="B41" s="431" t="str">
        <f>IF('1. Справочник'!G41="","",'1. Справочник'!G41)</f>
        <v>https://airbnb.com/h/orbid21625</v>
      </c>
      <c r="C41" s="7" t="str">
        <f t="shared" si="1"/>
        <v>#NAME?</v>
      </c>
      <c r="D41" s="7" t="str">
        <f t="shared" si="2"/>
        <v>#NAME?</v>
      </c>
      <c r="E41" s="94" t="str">
        <f>IFERROR(__xludf.DUMMYFUNCTION("IFERROR(
  IMPORTXML(
    B41,
    ""//meta[@property='og:description']/@content""
  ),
  """"
)
"),"")</f>
        <v/>
      </c>
    </row>
    <row r="42" ht="15.75" customHeight="1">
      <c r="A42" s="1428" t="str">
        <f>'1. Справочник'!C42</f>
        <v>D2 3216</v>
      </c>
      <c r="B42" s="431" t="str">
        <f>IF('1. Справочник'!G42="","",'1. Справочник'!G42)</f>
        <v>https://airbnb.com/h/orbid23216</v>
      </c>
      <c r="C42" s="7" t="str">
        <f t="shared" si="1"/>
        <v>#NAME?</v>
      </c>
      <c r="D42" s="7" t="str">
        <f t="shared" si="2"/>
        <v>#NAME?</v>
      </c>
      <c r="E42" s="94" t="str">
        <f>IFERROR(__xludf.DUMMYFUNCTION("IFERROR(
  IMPORTXML(
    B42,
    ""//meta[@property='og:description']/@content""
  ),
  """"
)
"),"")</f>
        <v/>
      </c>
    </row>
    <row r="43" ht="15.75" customHeight="1">
      <c r="A43" s="1428" t="str">
        <f>'1. Справочник'!C43</f>
        <v>D1 3902</v>
      </c>
      <c r="B43" s="431" t="str">
        <f>IF('1. Справочник'!G43="","",'1. Справочник'!G43)</f>
        <v>https://airbnb.com/h/orbid1-3902</v>
      </c>
      <c r="C43" s="7" t="str">
        <f t="shared" si="1"/>
        <v>#NAME?</v>
      </c>
      <c r="D43" s="7" t="str">
        <f t="shared" si="2"/>
        <v>#NAME?</v>
      </c>
      <c r="E43" s="94" t="str">
        <f>IFERROR(__xludf.DUMMYFUNCTION("IFERROR(
  IMPORTXML(
    B43,
    ""//meta[@property='og:description']/@content""
  ),
  """"
)
"),"Premium Sea View Apartment | Orbi Block D 39 floor")</f>
        <v>Premium Sea View Apartment | Orbi Block D 39 floor</v>
      </c>
    </row>
    <row r="44" ht="15.75" customHeight="1">
      <c r="A44" s="1428" t="str">
        <f>'1. Справочник'!C44</f>
        <v>D2 503</v>
      </c>
      <c r="B44" s="431" t="str">
        <f>IF('1. Справочник'!G44="","",'1. Справочник'!G44)</f>
        <v>https://airbnb.com/h/orbid2503</v>
      </c>
      <c r="C44" s="7" t="str">
        <f t="shared" si="1"/>
        <v>#NAME?</v>
      </c>
      <c r="D44" s="7" t="str">
        <f t="shared" si="2"/>
        <v>#NAME?</v>
      </c>
      <c r="E44" s="94" t="str">
        <f>IFERROR(__xludf.DUMMYFUNCTION("IFERROR(
  IMPORTXML(
    B44,
    ""//meta[@property='og:description']/@content""
  ),
  """"
)
"),"")</f>
        <v/>
      </c>
    </row>
    <row r="45" ht="15.75" customHeight="1">
      <c r="A45" s="1428" t="str">
        <f>'1. Справочник'!C45</f>
        <v>CM 1604</v>
      </c>
      <c r="B45" s="431" t="str">
        <f>IF('1. Справочник'!G45="","",'1. Справочник'!G45)</f>
        <v>https://airbnb.com/h/m1604</v>
      </c>
      <c r="C45" s="7" t="str">
        <f t="shared" si="1"/>
        <v>#NAME?</v>
      </c>
      <c r="D45" s="7" t="str">
        <f t="shared" si="2"/>
        <v>#NAME?</v>
      </c>
      <c r="E45" s="94" t="str">
        <f>IFERROR(__xludf.DUMMYFUNCTION("IFERROR(
  IMPORTXML(
    B45,
    ""//meta[@property='og:description']/@content""
  ),
  """"
)
"),"")</f>
        <v/>
      </c>
    </row>
    <row r="46" ht="15.75" customHeight="1">
      <c r="A46" s="1428" t="str">
        <f>'1. Справочник'!C46</f>
        <v>CM 1606</v>
      </c>
      <c r="B46" s="431" t="str">
        <f>IF('1. Справочник'!G46="","",'1. Справочник'!G46)</f>
        <v>https://airbnb.com/h/m1606</v>
      </c>
      <c r="C46" s="7" t="str">
        <f t="shared" si="1"/>
        <v>#NAME?</v>
      </c>
      <c r="D46" s="7" t="str">
        <f t="shared" si="2"/>
        <v>#NAME?</v>
      </c>
      <c r="E46" s="94" t="str">
        <f>IFERROR(__xludf.DUMMYFUNCTION("IFERROR(
  IMPORTXML(
    B46,
    ""//meta[@property='og:description']/@content""
  ),
  """"
)
"),"")</f>
        <v/>
      </c>
    </row>
    <row r="47" ht="15.75" customHeight="1">
      <c r="A47" s="1428" t="str">
        <f>'1. Справочник'!C47</f>
        <v>CM 1931</v>
      </c>
      <c r="B47" s="431" t="str">
        <f>IF('1. Справочник'!G47="","",'1. Справочник'!G47)</f>
        <v>https://airbnb.com/h/mar1931</v>
      </c>
      <c r="C47" s="7" t="str">
        <f t="shared" si="1"/>
        <v>#NAME?</v>
      </c>
      <c r="D47" s="7" t="str">
        <f t="shared" si="2"/>
        <v>#NAME?</v>
      </c>
      <c r="E47" s="94" t="str">
        <f>IFERROR(__xludf.DUMMYFUNCTION("IFERROR(
  IMPORTXML(
    B47,
    ""//meta[@property='og:description']/@content""
  ),
  """"
)
"),"")</f>
        <v/>
      </c>
    </row>
    <row r="48" ht="15.75" customHeight="1">
      <c r="A48" s="1428" t="str">
        <f>'1. Справочник'!C48</f>
        <v>CM 1304</v>
      </c>
      <c r="B48" s="431" t="str">
        <f>IF('1. Справочник'!G48="","",'1. Справочник'!G48)</f>
        <v>http://airbnb.com/h/cm1304</v>
      </c>
      <c r="C48" s="7" t="str">
        <f t="shared" si="1"/>
        <v>#NAME?</v>
      </c>
      <c r="D48" s="7" t="str">
        <f t="shared" si="2"/>
        <v>#NAME?</v>
      </c>
      <c r="E48" s="94" t="str">
        <f>IFERROR(__xludf.DUMMYFUNCTION("IFERROR(
  IMPORTXML(
    B48,
    ""//meta[@property='og:description']/@content""
  ),
  """"
)
"),"")</f>
        <v/>
      </c>
    </row>
    <row r="49" ht="15.75" customHeight="1">
      <c r="A49" s="1428" t="str">
        <f>'1. Справочник'!C49</f>
        <v>CM 1327</v>
      </c>
      <c r="B49" s="431" t="str">
        <f>IF('1. Справочник'!G49="","",'1. Справочник'!G49)</f>
        <v>http://airbnb.com/h/cm1327</v>
      </c>
      <c r="C49" s="7" t="str">
        <f t="shared" si="1"/>
        <v>#NAME?</v>
      </c>
      <c r="D49" s="7" t="str">
        <f t="shared" si="2"/>
        <v>#NAME?</v>
      </c>
      <c r="E49" s="94" t="str">
        <f>IFERROR(__xludf.DUMMYFUNCTION("IFERROR(
  IMPORTXML(
    B49,
    ""//meta[@property='og:description']/@content""
  ),
  """"
)
"),"")</f>
        <v/>
      </c>
    </row>
    <row r="50" ht="15.75" customHeight="1">
      <c r="A50" s="1428" t="str">
        <f>'1. Справочник'!C50</f>
        <v>Int 2905</v>
      </c>
      <c r="B50" s="431" t="str">
        <f>IF('1. Справочник'!G50="","",'1. Справочник'!G50)</f>
        <v>https://airbnb.com/h/inta2905</v>
      </c>
      <c r="C50" s="7" t="str">
        <f t="shared" si="1"/>
        <v>#NAME?</v>
      </c>
      <c r="D50" s="7" t="str">
        <f t="shared" si="2"/>
        <v>#NAME?</v>
      </c>
      <c r="E50" s="94" t="str">
        <f>IFERROR(__xludf.DUMMYFUNCTION("IFERROR(
  IMPORTXML(
    B50,
    ""//meta[@property='og:description']/@content""
  ),
  """"
)
"),"")</f>
        <v/>
      </c>
    </row>
    <row r="51" ht="15.75" customHeight="1">
      <c r="A51" s="1428" t="str">
        <f>'1. Справочник'!C51</f>
        <v>Int 2612</v>
      </c>
      <c r="B51" s="431" t="str">
        <f>IF('1. Справочник'!G51="","",'1. Справочник'!G51)</f>
        <v>https://airbnb.com/h/intb2612</v>
      </c>
      <c r="C51" s="7" t="str">
        <f t="shared" si="1"/>
        <v>#NAME?</v>
      </c>
      <c r="D51" s="7" t="str">
        <f t="shared" si="2"/>
        <v>#NAME?</v>
      </c>
      <c r="E51" s="94" t="str">
        <f>IFERROR(__xludf.DUMMYFUNCTION("IFERROR(
  IMPORTXML(
    B51,
    ""//meta[@property='og:description']/@content""
  ),
  """"
)
"),"")</f>
        <v/>
      </c>
    </row>
    <row r="52" ht="15.75" customHeight="1">
      <c r="A52" s="1428" t="str">
        <f>'1. Справочник'!C52</f>
        <v>Шар 2505</v>
      </c>
      <c r="B52" s="431" t="str">
        <f>IF('1. Справочник'!G52="","",'1. Справочник'!G52)</f>
        <v>https://airbnb.com/h/sh8</v>
      </c>
      <c r="C52" s="7" t="str">
        <f t="shared" si="1"/>
        <v>#NAME?</v>
      </c>
      <c r="D52" s="7" t="str">
        <f t="shared" si="2"/>
        <v>#NAME?</v>
      </c>
      <c r="E52" s="94" t="str">
        <f>IFERROR(__xludf.DUMMYFUNCTION("IFERROR(
  IMPORTXML(
    B52,
    ""//meta[@property='og:description']/@content""
  ),
  """"
)
"),"")</f>
        <v/>
      </c>
    </row>
    <row r="53" ht="15.75" customHeight="1">
      <c r="A53" s="1428" t="str">
        <f>'1. Справочник'!C54</f>
        <v>Багратиони</v>
      </c>
      <c r="B53" s="431" t="str">
        <f>IF('1. Справочник'!G54="","",'1. Справочник'!G54)</f>
        <v>https://airbnb.com/h/bg227</v>
      </c>
      <c r="C53" s="7" t="str">
        <f t="shared" si="1"/>
        <v>#NAME?</v>
      </c>
      <c r="D53" s="7" t="str">
        <f t="shared" si="2"/>
        <v>#NAME?</v>
      </c>
      <c r="E53" s="94" t="str">
        <f>IFERROR(__xludf.DUMMYFUNCTION("IFERROR(
  IMPORTXML(
    B53,
    ""//meta[@property='og:description']/@content""
  ),
  """"
)
"),"Big apartament on Bagrationi by Mavi Guest")</f>
        <v>Big apartament on Bagrationi by Mavi Guest</v>
      </c>
    </row>
    <row r="54" ht="15.75" customHeight="1">
      <c r="A54" s="1428" t="str">
        <f>'1. Справочник'!C55</f>
        <v>Думбадзе</v>
      </c>
      <c r="B54" s="431" t="str">
        <f>IF('1. Справочник'!G55="","",'1. Справочник'!G55)</f>
        <v>https://airbnb.com/h/dz12-17</v>
      </c>
      <c r="C54" s="7" t="str">
        <f t="shared" si="1"/>
        <v>#NAME?</v>
      </c>
      <c r="D54" s="7" t="str">
        <f t="shared" si="2"/>
        <v>#NAME?</v>
      </c>
      <c r="E54" s="94" t="str">
        <f>IFERROR(__xludf.DUMMYFUNCTION("IFERROR(
  IMPORTXML(
    B54,
    ""//meta[@property='og:description']/@content""
  ),
  """"
)
"),"Persimmon | Europe Square - Historic City Center")</f>
        <v>Persimmon | Europe Square - Historic City Center</v>
      </c>
    </row>
    <row r="55" ht="15.75" customHeight="1">
      <c r="A55" s="1428" t="str">
        <f>'1. Справочник'!C56</f>
        <v>26 мая 52 - 813</v>
      </c>
      <c r="B55" s="431" t="str">
        <f>IF('1. Справочник'!G56="","",'1. Справочник'!G56)</f>
        <v>airbnb.com/h/26m813</v>
      </c>
      <c r="C55" s="7" t="str">
        <f t="shared" si="1"/>
        <v>#NAME?</v>
      </c>
      <c r="D55" s="7" t="str">
        <f t="shared" si="2"/>
        <v>#NAME?</v>
      </c>
      <c r="E55" s="94" t="str">
        <f>IFERROR(__xludf.DUMMYFUNCTION("IFERROR(
  IMPORTXML(
    B55,
    ""//meta[@property='og:description']/@content""
  ),
  """"
)
"),"")</f>
        <v/>
      </c>
    </row>
    <row r="56" ht="15.75" customHeight="1">
      <c r="A56" s="1428" t="str">
        <f>'1. Справочник'!C57</f>
        <v>PT2604</v>
      </c>
      <c r="B56" s="431" t="str">
        <f>IF('1. Справочник'!G57="","",'1. Справочник'!G57)</f>
        <v>https://airbnb.com/h/porta2604</v>
      </c>
      <c r="C56" s="7" t="str">
        <f t="shared" si="1"/>
        <v>#NAME?</v>
      </c>
      <c r="D56" s="7" t="str">
        <f t="shared" si="2"/>
        <v>#NAME?</v>
      </c>
      <c r="E56" s="94" t="str">
        <f>IFERROR(__xludf.DUMMYFUNCTION("IFERROR(
  IMPORTXML(
    B56,
    ""//meta[@property='og:description']/@content""
  ),
  """"
)
"),"")</f>
        <v/>
      </c>
    </row>
    <row r="57" ht="15.75" customHeight="1">
      <c r="A57" s="1428" t="str">
        <f>'1. Справочник'!C58</f>
        <v>PT2704</v>
      </c>
      <c r="B57" s="431" t="str">
        <f>IF('1. Справочник'!G58="","",'1. Справочник'!G58)</f>
        <v>https://airbnb.com/h/porta2704</v>
      </c>
      <c r="C57" s="7" t="str">
        <f t="shared" si="1"/>
        <v>#NAME?</v>
      </c>
      <c r="D57" s="7" t="str">
        <f t="shared" si="2"/>
        <v>#NAME?</v>
      </c>
      <c r="E57" s="94" t="str">
        <f>IFERROR(__xludf.DUMMYFUNCTION("IFERROR(
  IMPORTXML(
    B57,
    ""//meta[@property='og:description']/@content""
  ),
  """"
)
"),"")</f>
        <v/>
      </c>
    </row>
    <row r="58" ht="15.75" customHeight="1">
      <c r="A58" s="1428" t="str">
        <f>'1. Справочник'!C59</f>
        <v>PT3604</v>
      </c>
      <c r="B58" s="94" t="str">
        <f>IF('1. Справочник'!G59="","",'1. Справочник'!G59)</f>
        <v/>
      </c>
      <c r="C58" s="7" t="str">
        <f t="shared" si="1"/>
        <v>#NAME?</v>
      </c>
      <c r="D58" s="7" t="str">
        <f t="shared" si="2"/>
        <v>#NAME?</v>
      </c>
      <c r="E58" s="94" t="str">
        <f>IFERROR(__xludf.DUMMYFUNCTION("IFERROR(
  IMPORTXML(
    B58,
    ""//meta[@property='og:description']/@content""
  ),
  """"
)
"),"")</f>
        <v/>
      </c>
    </row>
    <row r="59" ht="15.75" customHeight="1">
      <c r="A59" s="1428" t="str">
        <f>'1. Справочник'!C60</f>
        <v>NW 2-5</v>
      </c>
      <c r="B59" s="431" t="str">
        <f>IF('1. Справочник'!G60="","",'1. Справочник'!G60)</f>
        <v>https://airbnb.com/h/nw205</v>
      </c>
      <c r="C59" s="7" t="str">
        <f t="shared" si="1"/>
        <v>#NAME?</v>
      </c>
      <c r="D59" s="7" t="str">
        <f t="shared" si="2"/>
        <v>#NAME?</v>
      </c>
      <c r="E59" s="94" t="str">
        <f>IFERROR(__xludf.DUMMYFUNCTION("IFERROR(
  IMPORTXML(
    B59,
    ""//meta[@property='og:description']/@content""
  ),
  """"
)
"),"Terrace Sea View | For 5 people | NEXT WHITE")</f>
        <v>Terrace Sea View | For 5 people | NEXT WHITE</v>
      </c>
    </row>
    <row r="60" ht="15.75" customHeight="1">
      <c r="A60" s="1428" t="str">
        <f>'1. Справочник'!C136</f>
        <v>NW 4-9</v>
      </c>
      <c r="B60" s="431" t="str">
        <f>IF('1. Справочник'!G136="","",'1. Справочник'!G136)</f>
        <v>https://airbnb.com/h/nw409</v>
      </c>
      <c r="C60" s="7" t="str">
        <f t="shared" si="1"/>
        <v>#NAME?</v>
      </c>
      <c r="D60" s="7" t="str">
        <f t="shared" si="2"/>
        <v>#NAME?</v>
      </c>
      <c r="E60" s="94" t="str">
        <f>IFERROR(__xludf.DUMMYFUNCTION("IFERROR(
  IMPORTXML(
    B60,
    ""//meta[@property='og:description']/@content""
  ),
  """"
)
"),"")</f>
        <v/>
      </c>
    </row>
    <row r="61" ht="15.75" customHeight="1">
      <c r="A61" s="1428" t="str">
        <f>'1. Справочник'!C137</f>
        <v>NW 4-10</v>
      </c>
      <c r="B61" s="431" t="str">
        <f>IF('1. Справочник'!G137="","",'1. Справочник'!G137)</f>
        <v>https://airbnb.com/h/nw410</v>
      </c>
      <c r="C61" s="7" t="str">
        <f t="shared" si="1"/>
        <v>#NAME?</v>
      </c>
      <c r="D61" s="7" t="str">
        <f t="shared" si="2"/>
        <v>#NAME?</v>
      </c>
      <c r="E61" s="94" t="str">
        <f>IFERROR(__xludf.DUMMYFUNCTION("IFERROR(
  IMPORTXML(
    B61,
    ""//meta[@property='og:description']/@content""
  ),
  """"
)
"),"")</f>
        <v/>
      </c>
    </row>
    <row r="62" ht="15.75" customHeight="1">
      <c r="A62" s="1428" t="str">
        <f>'1. Справочник'!C138</f>
        <v>NW 10-6</v>
      </c>
      <c r="B62" s="431" t="str">
        <f>IF('1. Справочник'!G138="","",'1. Справочник'!G138)</f>
        <v>https://airbnb.com/h/nw10-6</v>
      </c>
      <c r="C62" s="7" t="str">
        <f t="shared" si="1"/>
        <v>#NAME?</v>
      </c>
      <c r="D62" s="7" t="str">
        <f t="shared" si="2"/>
        <v>#NAME?</v>
      </c>
      <c r="E62" s="94" t="str">
        <f>IFERROR(__xludf.DUMMYFUNCTION("IFERROR(
  IMPORTXML(
    B62,
    ""//meta[@property='og:description']/@content""
  ),
  """"
)
"),"")</f>
        <v/>
      </c>
    </row>
    <row r="63" ht="15.75" customHeight="1">
      <c r="A63" s="1428" t="str">
        <f>'1. Справочник'!C61</f>
        <v>NW 3-7</v>
      </c>
      <c r="B63" s="431" t="str">
        <f>IF('1. Справочник'!G61="","",'1. Справочник'!G61)</f>
        <v>https://airbnb.com/h/nw3-7</v>
      </c>
      <c r="C63" s="7" t="str">
        <f t="shared" si="1"/>
        <v>#NAME?</v>
      </c>
      <c r="D63" s="7" t="str">
        <f t="shared" si="2"/>
        <v>#NAME?</v>
      </c>
      <c r="E63" s="94" t="str">
        <f>IFERROR(__xludf.DUMMYFUNCTION("IFERROR(
  IMPORTXML(
    B63,
    ""//meta[@property='og:description']/@content""
  ),
  """"
)
"),"")</f>
        <v/>
      </c>
    </row>
    <row r="64" ht="15.75" customHeight="1">
      <c r="A64" s="1428" t="str">
        <f>'1. Справочник'!C62</f>
        <v>NA 3-16</v>
      </c>
      <c r="B64" s="94" t="str">
        <f>IF('1. Справочник'!G62="","",'1. Справочник'!G62)</f>
        <v/>
      </c>
      <c r="C64" s="7" t="str">
        <f t="shared" si="1"/>
        <v>#NAME?</v>
      </c>
      <c r="D64" s="7" t="str">
        <f t="shared" si="2"/>
        <v>#NAME?</v>
      </c>
      <c r="E64" s="94" t="str">
        <f>IFERROR(__xludf.DUMMYFUNCTION("IFERROR(
  IMPORTXML(
    B64,
    ""//meta[@property='og:description']/@content""
  ),
  """"
)
"),"")</f>
        <v/>
      </c>
    </row>
    <row r="65" ht="15.75" customHeight="1">
      <c r="A65" s="1428" t="str">
        <f>'1. Справочник'!C63</f>
        <v>MZ 718</v>
      </c>
      <c r="B65" s="431" t="str">
        <f>IF('1. Справочник'!G63="","",'1. Справочник'!G63)</f>
        <v>https://airbnb.com/h/mz718</v>
      </c>
      <c r="C65" s="7" t="str">
        <f t="shared" si="1"/>
        <v>#NAME?</v>
      </c>
      <c r="D65" s="7" t="str">
        <f t="shared" si="2"/>
        <v>#NAME?</v>
      </c>
      <c r="E65" s="94" t="str">
        <f>IFERROR(__xludf.DUMMYFUNCTION("IFERROR(
  IMPORTXML(
    B65,
    ""//meta[@property='og:description']/@content""
  ),
  """"
)
"),"")</f>
        <v/>
      </c>
    </row>
    <row r="66" ht="15.75" customHeight="1">
      <c r="A66" s="1428" t="str">
        <f>'1. Справочник'!C64</f>
        <v>MZ 913</v>
      </c>
      <c r="B66" s="431" t="str">
        <f>IF('1. Справочник'!G64="","",'1. Справочник'!G64)</f>
        <v>https://airbnb.com/h/mz913</v>
      </c>
      <c r="C66" s="7" t="str">
        <f t="shared" si="1"/>
        <v>#NAME?</v>
      </c>
      <c r="D66" s="7" t="str">
        <f t="shared" si="2"/>
        <v>#NAME?</v>
      </c>
      <c r="E66" s="94" t="str">
        <f>IFERROR(__xludf.DUMMYFUNCTION("IFERROR(
  IMPORTXML(
    B66,
    ""//meta[@property='og:description']/@content""
  ),
  """"
)
"),"")</f>
        <v/>
      </c>
    </row>
    <row r="67" ht="15.75" customHeight="1">
      <c r="A67" s="1428" t="str">
        <f>'1. Справочник'!C65</f>
        <v>MZ 1408</v>
      </c>
      <c r="B67" s="431" t="str">
        <f>IF('1. Справочник'!G65="","",'1. Справочник'!G65)</f>
        <v>https://airbnb.com/h/mzc1408</v>
      </c>
      <c r="C67" s="7" t="str">
        <f t="shared" si="1"/>
        <v>#NAME?</v>
      </c>
      <c r="D67" s="7" t="str">
        <f t="shared" si="2"/>
        <v>#NAME?</v>
      </c>
      <c r="E67" s="94" t="str">
        <f>IFERROR(__xludf.DUMMYFUNCTION("IFERROR(
  IMPORTXML(
    B67,
    ""//meta[@property='og:description']/@content""
  ),
  """"
)
"),"")</f>
        <v/>
      </c>
    </row>
    <row r="68" ht="15.75" customHeight="1">
      <c r="A68" s="1428" t="str">
        <f>'1. Справочник'!C66</f>
        <v>MZ А 1113</v>
      </c>
      <c r="B68" s="431" t="str">
        <f>IF('1. Справочник'!G66="","",'1. Справочник'!G66)</f>
        <v>http://airbnb.com/h/mza1113</v>
      </c>
      <c r="C68" s="7" t="str">
        <f t="shared" si="1"/>
        <v>#NAME?</v>
      </c>
      <c r="D68" s="7" t="str">
        <f t="shared" si="2"/>
        <v>#NAME?</v>
      </c>
      <c r="E68" s="94" t="str">
        <f>IFERROR(__xludf.DUMMYFUNCTION("IFERROR(
  IMPORTXML(
    B68,
    ""//meta[@property='og:description']/@content""
  ),
  """"
)
"),"")</f>
        <v/>
      </c>
    </row>
    <row r="69" ht="15.75" customHeight="1">
      <c r="A69" s="1428" t="str">
        <f>'1. Справочник'!C67</f>
        <v>MZ C 511</v>
      </c>
      <c r="B69" s="431" t="str">
        <f>IF('1. Справочник'!G67="","",'1. Справочник'!G67)</f>
        <v>http://airbnb.com/h/mz511</v>
      </c>
      <c r="C69" s="7" t="str">
        <f t="shared" si="1"/>
        <v>#NAME?</v>
      </c>
      <c r="D69" s="7" t="str">
        <f t="shared" si="2"/>
        <v>#NAME?</v>
      </c>
      <c r="E69" s="94" t="str">
        <f>IFERROR(__xludf.DUMMYFUNCTION("IFERROR(
  IMPORTXML(
    B69,
    ""//meta[@property='og:description']/@content""
  ),
  """"
)
"),"Great Studio at Mziuri Gardens by Mavi Guest")</f>
        <v>Great Studio at Mziuri Gardens by Mavi Guest</v>
      </c>
    </row>
    <row r="70" ht="15.75" customHeight="1">
      <c r="A70" s="1428" t="str">
        <f>'1. Справочник'!C68</f>
        <v>Пиросмани 162</v>
      </c>
      <c r="B70" s="94" t="str">
        <f>IF('1. Справочник'!G68="","",'1. Справочник'!G68)</f>
        <v/>
      </c>
      <c r="C70" s="7" t="str">
        <f t="shared" si="1"/>
        <v>#NAME?</v>
      </c>
      <c r="D70" s="7" t="str">
        <f t="shared" si="2"/>
        <v>#NAME?</v>
      </c>
      <c r="E70" s="94" t="str">
        <f>IFERROR(__xludf.DUMMYFUNCTION("IFERROR(
  IMPORTXML(
    B70,
    ""//meta[@property='og:description']/@content""
  ),
  """"
)
"),"")</f>
        <v/>
      </c>
    </row>
    <row r="71" ht="15.75" customHeight="1">
      <c r="A71" s="1428" t="str">
        <f>'1. Справочник'!C69</f>
        <v>Пиросмани 181</v>
      </c>
      <c r="B71" s="431" t="str">
        <f>IF('1. Справочник'!G69="","",'1. Справочник'!G69)</f>
        <v>https://airbnb.com/h/pr181</v>
      </c>
      <c r="C71" s="7" t="str">
        <f t="shared" si="1"/>
        <v>#NAME?</v>
      </c>
      <c r="D71" s="7" t="str">
        <f t="shared" si="2"/>
        <v>#NAME?</v>
      </c>
      <c r="E71" s="94" t="str">
        <f>IFERROR(__xludf.DUMMYFUNCTION("IFERROR(
  IMPORTXML(
    B71,
    ""//meta[@property='og:description']/@content""
  ),
  """"
)
"),"")</f>
        <v/>
      </c>
    </row>
    <row r="72" ht="15.75" customHeight="1">
      <c r="A72" s="1428" t="str">
        <f>'1. Справочник'!C70</f>
        <v>Pollo 2-2</v>
      </c>
      <c r="B72" s="94" t="str">
        <f>IF('1. Справочник'!G70="","",'1. Справочник'!G70)</f>
        <v/>
      </c>
      <c r="C72" s="7" t="str">
        <f t="shared" si="1"/>
        <v>#NAME?</v>
      </c>
      <c r="D72" s="7" t="str">
        <f t="shared" si="2"/>
        <v>#NAME?</v>
      </c>
      <c r="E72" s="94" t="str">
        <f>IFERROR(__xludf.DUMMYFUNCTION("IFERROR(
  IMPORTXML(
    B72,
    ""//meta[@property='og:description']/@content""
  ),
  """"
)
"),"")</f>
        <v/>
      </c>
    </row>
    <row r="73" ht="15.75" customHeight="1">
      <c r="A73" s="1428" t="str">
        <f>'1. Справочник'!C71</f>
        <v>Pollo 3-5</v>
      </c>
      <c r="B73" s="431" t="str">
        <f>IF('1. Справочник'!G71="","",'1. Справочник'!G71)</f>
        <v>http://airbnb.com/h/polo2-2</v>
      </c>
      <c r="C73" s="7" t="str">
        <f t="shared" si="1"/>
        <v>#NAME?</v>
      </c>
      <c r="D73" s="7" t="str">
        <f t="shared" si="2"/>
        <v>#NAME?</v>
      </c>
      <c r="E73" s="94" t="str">
        <f>IFERROR(__xludf.DUMMYFUNCTION("IFERROR(
  IMPORTXML(
    B73,
    ""//meta[@property='og:description']/@content""
  ),
  """"
)
"),"")</f>
        <v/>
      </c>
    </row>
    <row r="74" ht="15.75" customHeight="1">
      <c r="A74" s="1428" t="str">
        <f>'1. Справочник'!C72</f>
        <v>Polo 4-12</v>
      </c>
      <c r="B74" s="94" t="str">
        <f>IF('1. Справочник'!G72="","",'1. Справочник'!G72)</f>
        <v/>
      </c>
      <c r="C74" s="7" t="str">
        <f t="shared" si="1"/>
        <v>#NAME?</v>
      </c>
      <c r="D74" s="7" t="str">
        <f t="shared" si="2"/>
        <v>#NAME?</v>
      </c>
      <c r="E74" s="94" t="str">
        <f>IFERROR(__xludf.DUMMYFUNCTION("IFERROR(
  IMPORTXML(
    B74,
    ""//meta[@property='og:description']/@content""
  ),
  """"
)
"),"")</f>
        <v/>
      </c>
    </row>
    <row r="75" ht="15.75" customHeight="1">
      <c r="A75" s="1428" t="str">
        <f>'1. Справочник'!C74</f>
        <v>шартава 16/18</v>
      </c>
      <c r="B75" s="94" t="str">
        <f>IF('1. Справочник'!G74="","",'1. Справочник'!G74)</f>
        <v/>
      </c>
      <c r="C75" s="7" t="str">
        <f t="shared" si="1"/>
        <v>#NAME?</v>
      </c>
      <c r="D75" s="7" t="str">
        <f t="shared" si="2"/>
        <v>#NAME?</v>
      </c>
      <c r="E75" s="94" t="str">
        <f>IFERROR(__xludf.DUMMYFUNCTION("IFERROR(
  IMPORTXML(
    B75,
    ""//meta[@property='og:description']/@content""
  ),
  """"
)
"),"")</f>
        <v/>
      </c>
    </row>
    <row r="76" ht="15.75" customHeight="1">
      <c r="A76" s="1428" t="str">
        <f>'1. Справочник'!C75</f>
        <v>DL 11-1112</v>
      </c>
      <c r="B76" s="431" t="str">
        <f>IF('1. Справочник'!G75="","",'1. Справочник'!G75)</f>
        <v>https://airbnb.com/h/dl-11-1112</v>
      </c>
      <c r="C76" s="7" t="str">
        <f t="shared" si="1"/>
        <v>#NAME?</v>
      </c>
      <c r="D76" s="7" t="str">
        <f t="shared" si="2"/>
        <v>#NAME?</v>
      </c>
      <c r="E76" s="94" t="str">
        <f>IFERROR(__xludf.DUMMYFUNCTION("IFERROR(
  IMPORTXML(
    B76,
    ""//meta[@property='og:description']/@content""
  ),
  """"
)
"),"Studio for 3 | Sea and mountain views | Dreamland")</f>
        <v>Studio for 3 | Sea and mountain views | Dreamland</v>
      </c>
    </row>
    <row r="77" ht="15.75" customHeight="1">
      <c r="A77" s="1428" t="str">
        <f>'1. Справочник'!C76</f>
        <v>DL 11-1305</v>
      </c>
      <c r="B77" s="431" t="str">
        <f>IF('1. Справочник'!G76="","",'1. Справочник'!G76)</f>
        <v>https://airbnb.com/h/dl1305</v>
      </c>
      <c r="C77" s="7" t="str">
        <f t="shared" si="1"/>
        <v>#NAME?</v>
      </c>
      <c r="D77" s="7" t="str">
        <f t="shared" si="2"/>
        <v>#NAME?</v>
      </c>
      <c r="E77" s="94" t="str">
        <f>IFERROR(__xludf.DUMMYFUNCTION("IFERROR(
  IMPORTXML(
    B77,
    ""//meta[@property='og:description']/@content""
  ),
  """"
)
"),"")</f>
        <v/>
      </c>
    </row>
    <row r="78" ht="15.75" customHeight="1">
      <c r="A78" s="1428" t="str">
        <f>'1. Справочник'!C77</f>
        <v>DL 14-516</v>
      </c>
      <c r="B78" s="431" t="str">
        <f>IF('1. Справочник'!G77="","",'1. Справочник'!G77)</f>
        <v>https://airbnb.com/h/dl14-516</v>
      </c>
      <c r="C78" s="7" t="str">
        <f t="shared" si="1"/>
        <v>#NAME?</v>
      </c>
      <c r="D78" s="7" t="str">
        <f t="shared" si="2"/>
        <v>#NAME?</v>
      </c>
      <c r="E78" s="94" t="str">
        <f>IFERROR(__xludf.DUMMYFUNCTION("IFERROR(
  IMPORTXML(
    B78,
    ""//meta[@property='og:description']/@content""
  ),
  """"
)
"),"")</f>
        <v/>
      </c>
    </row>
    <row r="79" ht="15.75" customHeight="1">
      <c r="A79" s="1428" t="str">
        <f>'1. Справочник'!C78</f>
        <v>DL 14-702</v>
      </c>
      <c r="B79" s="431" t="str">
        <f>IF('1. Справочник'!G78="","",'1. Справочник'!G78)</f>
        <v>https://airbnb.com/h/dl14-702</v>
      </c>
      <c r="C79" s="7" t="str">
        <f t="shared" si="1"/>
        <v>#NAME?</v>
      </c>
      <c r="D79" s="7" t="str">
        <f t="shared" si="2"/>
        <v>#NAME?</v>
      </c>
      <c r="E79" s="94" t="str">
        <f>IFERROR(__xludf.DUMMYFUNCTION("IFERROR(
  IMPORTXML(
    B79,
    ""//meta[@property='og:description']/@content""
  ),
  """"
)
"),"")</f>
        <v/>
      </c>
    </row>
    <row r="80" ht="15.75" customHeight="1">
      <c r="A80" s="1428" t="str">
        <f>'1. Справочник'!C79</f>
        <v>DL 14-1214</v>
      </c>
      <c r="B80" s="431" t="str">
        <f>IF('1. Справочник'!G79="","",'1. Справочник'!G79)</f>
        <v>https://airbnb.com/h/dl14-1214</v>
      </c>
      <c r="C80" s="7" t="str">
        <f t="shared" si="1"/>
        <v>#NAME?</v>
      </c>
      <c r="D80" s="7" t="str">
        <f t="shared" si="2"/>
        <v>#NAME?</v>
      </c>
      <c r="E80" s="94" t="str">
        <f>IFERROR(__xludf.DUMMYFUNCTION("IFERROR(
  IMPORTXML(
    B80,
    ""//meta[@property='og:description']/@content""
  ),
  """"
)
"),"")</f>
        <v/>
      </c>
    </row>
    <row r="81" ht="15.75" customHeight="1">
      <c r="A81" s="1428" t="str">
        <f>'1. Справочник'!C80</f>
        <v>14-411</v>
      </c>
      <c r="B81" s="431" t="str">
        <f>IF('1. Справочник'!G80="","",'1. Справочник'!G80)</f>
        <v>https://airbnb.com/h/DL-14-411</v>
      </c>
      <c r="C81" s="7" t="str">
        <f t="shared" si="1"/>
        <v>#NAME?</v>
      </c>
      <c r="D81" s="7" t="str">
        <f t="shared" si="2"/>
        <v>#NAME?</v>
      </c>
      <c r="E81" s="94" t="str">
        <f>IFERROR(__xludf.DUMMYFUNCTION("IFERROR(
  IMPORTXML(
    B81,
    ""//meta[@property='og:description']/@content""
  ),
  """"
)
"),"")</f>
        <v/>
      </c>
    </row>
    <row r="82" ht="15.75" customHeight="1">
      <c r="A82" s="1428" t="str">
        <f>'1. Справочник'!C81</f>
        <v>DL 4-09</v>
      </c>
      <c r="B82" s="431" t="str">
        <f>IF('1. Справочник'!G81="","",'1. Справочник'!G81)</f>
        <v>https://airbnb.com/h/dl4-09</v>
      </c>
      <c r="C82" s="7" t="str">
        <f t="shared" si="1"/>
        <v>#NAME?</v>
      </c>
      <c r="D82" s="7" t="str">
        <f t="shared" si="2"/>
        <v>#NAME?</v>
      </c>
      <c r="E82" s="94" t="str">
        <f>IFERROR(__xludf.DUMMYFUNCTION("IFERROR(
  IMPORTXML(
    B82,
    ""//meta[@property='og:description']/@content""
  ),
  """"
)
"),"")</f>
        <v/>
      </c>
    </row>
    <row r="83" ht="15.75" customHeight="1">
      <c r="A83" s="1428" t="str">
        <f>'1. Справочник'!C82</f>
        <v>DL14-518</v>
      </c>
      <c r="B83" s="431" t="str">
        <f>IF('1. Справочник'!G82="","",'1. Справочник'!G82)</f>
        <v>https://airbnb.com/h/dl14-518</v>
      </c>
      <c r="C83" s="7" t="str">
        <f t="shared" si="1"/>
        <v>#NAME?</v>
      </c>
      <c r="D83" s="7" t="str">
        <f t="shared" si="2"/>
        <v>#NAME?</v>
      </c>
      <c r="E83" s="94" t="str">
        <f>IFERROR(__xludf.DUMMYFUNCTION("IFERROR(
  IMPORTXML(
    B83,
    ""//meta[@property='og:description']/@content""
  ),
  """"
)
"),"")</f>
        <v/>
      </c>
    </row>
    <row r="84" ht="15.75" customHeight="1">
      <c r="A84" s="1428" t="str">
        <f>'1. Справочник'!C83</f>
        <v>DL14-1405</v>
      </c>
      <c r="B84" s="431" t="str">
        <f>IF('1. Справочник'!G83="","",'1. Справочник'!G83)</f>
        <v>https://airbnb.com/h/dl14-1405</v>
      </c>
      <c r="C84" s="7" t="str">
        <f t="shared" si="1"/>
        <v>#NAME?</v>
      </c>
      <c r="D84" s="7" t="str">
        <f t="shared" si="2"/>
        <v>#NAME?</v>
      </c>
      <c r="E84" s="94" t="str">
        <f>IFERROR(__xludf.DUMMYFUNCTION("IFERROR(
  IMPORTXML(
    B84,
    ""//meta[@property='og:description']/@content""
  ),
  """"
)
"),"2-room suite | Sea and mountain views | Dreamland")</f>
        <v>2-room suite | Sea and mountain views | Dreamland</v>
      </c>
    </row>
    <row r="85" ht="15.75" customHeight="1">
      <c r="A85" s="1428" t="str">
        <f>'1. Справочник'!C84</f>
        <v>DL 14-505</v>
      </c>
      <c r="B85" s="431" t="str">
        <f>IF('1. Справочник'!G84="","",'1. Справочник'!G84)</f>
        <v>https://airbnb.com/h/dl14-505</v>
      </c>
      <c r="C85" s="7" t="str">
        <f t="shared" si="1"/>
        <v>#NAME?</v>
      </c>
      <c r="D85" s="7" t="str">
        <f t="shared" si="2"/>
        <v>#NAME?</v>
      </c>
      <c r="E85" s="94" t="str">
        <f>IFERROR(__xludf.DUMMYFUNCTION("IFERROR(
  IMPORTXML(
    B85,
    ""//meta[@property='og:description']/@content""
  ),
  """"
)
"),"Great Studio")</f>
        <v>Great Studio</v>
      </c>
    </row>
    <row r="86" ht="15.75" customHeight="1">
      <c r="A86" s="1428" t="str">
        <f>'1. Справочник'!C85</f>
        <v>DL 14-1614</v>
      </c>
      <c r="B86" s="94" t="str">
        <f>IF('1. Справочник'!G85="","",'1. Справочник'!G85)</f>
        <v/>
      </c>
      <c r="C86" s="7" t="str">
        <f t="shared" si="1"/>
        <v>#NAME?</v>
      </c>
      <c r="D86" s="7" t="str">
        <f t="shared" si="2"/>
        <v>#NAME?</v>
      </c>
      <c r="E86" s="94" t="str">
        <f>IFERROR(__xludf.DUMMYFUNCTION("IFERROR(
  IMPORTXML(
    B86,
    ""//meta[@property='og:description']/@content""
  ),
  """"
)
"),"")</f>
        <v/>
      </c>
    </row>
    <row r="87" ht="15.75" customHeight="1">
      <c r="A87" s="1428" t="str">
        <f>'1. Справочник'!C86</f>
        <v>DL 14-1710</v>
      </c>
      <c r="B87" s="431" t="str">
        <f>IF('1. Справочник'!G86="","",'1. Справочник'!G86)</f>
        <v>https://airbnb.com/h/dl14-1710</v>
      </c>
      <c r="C87" s="7" t="str">
        <f t="shared" si="1"/>
        <v>#NAME?</v>
      </c>
      <c r="D87" s="7" t="str">
        <f t="shared" si="2"/>
        <v>#NAME?</v>
      </c>
      <c r="E87" s="94" t="str">
        <f>IFERROR(__xludf.DUMMYFUNCTION("IFERROR(
  IMPORTXML(
    B87,
    ""//meta[@property='og:description']/@content""
  ),
  """"
)
"),"")</f>
        <v/>
      </c>
    </row>
    <row r="88" ht="15.75" customHeight="1">
      <c r="A88" s="1428" t="str">
        <f>'1. Справочник'!C87</f>
        <v>DL14-305</v>
      </c>
      <c r="B88" s="431" t="str">
        <f>IF('1. Справочник'!G87="","",'1. Справочник'!G87)</f>
        <v>https://airbnb.com/h/dl14-305</v>
      </c>
      <c r="C88" s="7" t="str">
        <f t="shared" si="1"/>
        <v>#NAME?</v>
      </c>
      <c r="D88" s="7" t="str">
        <f t="shared" si="2"/>
        <v>#NAME?</v>
      </c>
      <c r="E88" s="94" t="str">
        <f>IFERROR(__xludf.DUMMYFUNCTION("IFERROR(
  IMPORTXML(
    B88,
    ""//meta[@property='og:description']/@content""
  ),
  """"
)
"),"Dreamland | Studio 3rd floor | Quiet side")</f>
        <v>Dreamland | Studio 3rd floor | Quiet side</v>
      </c>
    </row>
    <row r="89" ht="15.75" customHeight="1">
      <c r="A89" s="1428" t="str">
        <f>'1. Справочник'!C88</f>
        <v>DL14-501-502</v>
      </c>
      <c r="B89" s="431" t="str">
        <f>IF('1. Справочник'!G88="","",'1. Справочник'!G88)</f>
        <v>https://airbnb.com/h/dl501-502</v>
      </c>
      <c r="C89" s="7" t="str">
        <f t="shared" si="1"/>
        <v>#NAME?</v>
      </c>
      <c r="D89" s="7" t="str">
        <f t="shared" si="2"/>
        <v>#NAME?</v>
      </c>
      <c r="E89" s="94" t="str">
        <f>IFERROR(__xludf.DUMMYFUNCTION("IFERROR(
  IMPORTXML(
    B89,
    ""//meta[@property='og:description']/@content""
  ),
  """"
)
"),"2 bedrooms and 2 bathrooms | Dreamland | Quiet side")</f>
        <v>2 bedrooms and 2 bathrooms | Dreamland | Quiet side</v>
      </c>
    </row>
    <row r="90" ht="15.75" customHeight="1">
      <c r="A90" s="1428" t="str">
        <f>'1. Справочник'!C89</f>
        <v>DL7-16</v>
      </c>
      <c r="B90" s="431" t="str">
        <f>IF('1. Справочник'!G89="","",'1. Справочник'!G89)</f>
        <v>https://airbnb.com/h/dl7-16</v>
      </c>
      <c r="C90" s="7" t="str">
        <f t="shared" si="1"/>
        <v>#NAME?</v>
      </c>
      <c r="D90" s="7" t="str">
        <f t="shared" si="2"/>
        <v>#NAME?</v>
      </c>
      <c r="E90" s="94" t="str">
        <f>IFERROR(__xludf.DUMMYFUNCTION("IFERROR(
  IMPORTXML(
    B90,
    ""//meta[@property='og:description']/@content""
  ),
  """"
)
"),"")</f>
        <v/>
      </c>
    </row>
    <row r="91" ht="15.75" customHeight="1">
      <c r="A91" s="1428" t="str">
        <f>'1. Справочник'!C90</f>
        <v>DL 13-206</v>
      </c>
      <c r="B91" s="431" t="str">
        <f>IF('1. Справочник'!G90="","",'1. Справочник'!G90)</f>
        <v>https://airbnb.com/h/dl13-206</v>
      </c>
      <c r="C91" s="7" t="str">
        <f t="shared" si="1"/>
        <v>#NAME?</v>
      </c>
      <c r="D91" s="7" t="str">
        <f t="shared" si="2"/>
        <v>#NAME?</v>
      </c>
      <c r="E91" s="94" t="str">
        <f>IFERROR(__xludf.DUMMYFUNCTION("IFERROR(
  IMPORTXML(
    B91,
    ""//meta[@property='og:description']/@content""
  ),
  """"
)
"),"")</f>
        <v/>
      </c>
    </row>
    <row r="92" ht="15.75" customHeight="1">
      <c r="A92" s="1428" t="str">
        <f>'1. Справочник'!C91</f>
        <v>DL 13-201</v>
      </c>
      <c r="B92" s="94" t="str">
        <f>IF('1. Справочник'!G91="","",'1. Справочник'!G91)</f>
        <v/>
      </c>
      <c r="C92" s="7" t="str">
        <f t="shared" si="1"/>
        <v>#NAME?</v>
      </c>
      <c r="D92" s="7" t="str">
        <f t="shared" si="2"/>
        <v>#NAME?</v>
      </c>
      <c r="E92" s="94" t="str">
        <f>IFERROR(__xludf.DUMMYFUNCTION("IFERROR(
  IMPORTXML(
    B92,
    ""//meta[@property='og:description']/@content""
  ),
  """"
)
"),"")</f>
        <v/>
      </c>
    </row>
    <row r="93" ht="15.75" customHeight="1">
      <c r="A93" s="1428" t="str">
        <f>'1. Справочник'!C92</f>
        <v>DL 13-709</v>
      </c>
      <c r="B93" s="431" t="str">
        <f>IF('1. Справочник'!G92="","",'1. Справочник'!G92)</f>
        <v>https://airbnb.com/h/dl13-709</v>
      </c>
      <c r="C93" s="7" t="str">
        <f t="shared" si="1"/>
        <v>#NAME?</v>
      </c>
      <c r="D93" s="7" t="str">
        <f t="shared" si="2"/>
        <v>#NAME?</v>
      </c>
      <c r="E93" s="94" t="str">
        <f>IFERROR(__xludf.DUMMYFUNCTION("IFERROR(
  IMPORTXML(
    B93,
    ""//meta[@property='og:description']/@content""
  ),
  """"
)
"),"")</f>
        <v/>
      </c>
    </row>
    <row r="94" ht="15.75" customHeight="1">
      <c r="A94" s="1428" t="str">
        <f>'1. Справочник'!C93</f>
        <v>DL 13-703</v>
      </c>
      <c r="B94" s="431" t="str">
        <f>IF('1. Справочник'!G93="","",'1. Справочник'!G93)</f>
        <v>https://airbnb.com/h/dl13-703</v>
      </c>
      <c r="C94" s="7" t="str">
        <f t="shared" si="1"/>
        <v>#NAME?</v>
      </c>
      <c r="D94" s="7" t="str">
        <f t="shared" si="2"/>
        <v>#NAME?</v>
      </c>
      <c r="E94" s="94" t="str">
        <f>IFERROR(__xludf.DUMMYFUNCTION("IFERROR(
  IMPORTXML(
    B94,
    ""//meta[@property='og:description']/@content""
  ),
  """"
)
"),"")</f>
        <v/>
      </c>
    </row>
    <row r="95" ht="15.75" customHeight="1">
      <c r="A95" s="1428" t="str">
        <f>'1. Справочник'!C94</f>
        <v>DL 13-1006</v>
      </c>
      <c r="B95" s="94" t="str">
        <f>IF('1. Справочник'!G94="","",'1. Справочник'!G94)</f>
        <v/>
      </c>
      <c r="C95" s="7" t="str">
        <f t="shared" si="1"/>
        <v>#NAME?</v>
      </c>
      <c r="D95" s="7" t="str">
        <f t="shared" si="2"/>
        <v>#NAME?</v>
      </c>
      <c r="E95" s="94" t="str">
        <f>IFERROR(__xludf.DUMMYFUNCTION("IFERROR(
  IMPORTXML(
    B95,
    ""//meta[@property='og:description']/@content""
  ),
  """"
)
"),"")</f>
        <v/>
      </c>
    </row>
    <row r="96" ht="15.75" customHeight="1">
      <c r="A96" s="1428" t="str">
        <f>'1. Справочник'!C95</f>
        <v>DL 13-1106</v>
      </c>
      <c r="B96" s="94" t="str">
        <f>IF('1. Справочник'!G95="","",'1. Справочник'!G95)</f>
        <v/>
      </c>
      <c r="C96" s="7" t="str">
        <f t="shared" si="1"/>
        <v>#NAME?</v>
      </c>
      <c r="D96" s="7" t="str">
        <f t="shared" si="2"/>
        <v>#NAME?</v>
      </c>
      <c r="E96" s="94" t="str">
        <f>IFERROR(__xludf.DUMMYFUNCTION("IFERROR(
  IMPORTXML(
    B96,
    ""//meta[@property='og:description']/@content""
  ),
  """"
)
"),"")</f>
        <v/>
      </c>
    </row>
    <row r="97" ht="15.75" customHeight="1">
      <c r="A97" s="1428" t="str">
        <f>'1. Справочник'!C96</f>
        <v>DL 14-506</v>
      </c>
      <c r="B97" s="431" t="str">
        <f>IF('1. Справочник'!G96="","",'1. Справочник'!G96)</f>
        <v>https://airbnb.com/h/dl14-506</v>
      </c>
      <c r="C97" s="7" t="str">
        <f t="shared" si="1"/>
        <v>#NAME?</v>
      </c>
      <c r="D97" s="7" t="str">
        <f t="shared" si="2"/>
        <v>#NAME?</v>
      </c>
      <c r="E97" s="94" t="str">
        <f>IFERROR(__xludf.DUMMYFUNCTION("IFERROR(
  IMPORTXML(
    B97,
    ""//meta[@property='og:description']/@content""
  ),
  """"
)
"),"")</f>
        <v/>
      </c>
    </row>
    <row r="98" ht="15.75" customHeight="1">
      <c r="A98" s="1428" t="str">
        <f t="shared" ref="A98:A106" si="3">#REF!</f>
        <v>#REF!</v>
      </c>
      <c r="B98" s="94" t="str">
        <f t="shared" ref="B98:B106" si="4">IF(#REF!="","",#REF!)</f>
        <v>#REF!</v>
      </c>
      <c r="C98" s="7" t="str">
        <f t="shared" si="1"/>
        <v>#NAME?</v>
      </c>
      <c r="D98" s="7" t="str">
        <f t="shared" si="2"/>
        <v>#NAME?</v>
      </c>
      <c r="E98" s="94" t="str">
        <f>IFERROR(__xludf.DUMMYFUNCTION("IFERROR(
  IMPORTXML(
    B98,
    ""//meta[@property='og:description']/@content""
  ),
  """"
)
"),"")</f>
        <v/>
      </c>
    </row>
    <row r="99" ht="15.75" customHeight="1">
      <c r="A99" s="1428" t="str">
        <f t="shared" si="3"/>
        <v>#REF!</v>
      </c>
      <c r="B99" s="94" t="str">
        <f t="shared" si="4"/>
        <v>#REF!</v>
      </c>
      <c r="C99" s="7" t="str">
        <f t="shared" si="1"/>
        <v>#NAME?</v>
      </c>
      <c r="D99" s="7" t="str">
        <f t="shared" si="2"/>
        <v>#NAME?</v>
      </c>
      <c r="E99" s="94" t="str">
        <f>IFERROR(__xludf.DUMMYFUNCTION("IFERROR(
  IMPORTXML(
    B99,
    ""//meta[@property='og:description']/@content""
  ),
  """"
)
"),"")</f>
        <v/>
      </c>
    </row>
    <row r="100" ht="15.75" customHeight="1">
      <c r="A100" s="1428" t="str">
        <f t="shared" si="3"/>
        <v>#REF!</v>
      </c>
      <c r="B100" s="94" t="str">
        <f t="shared" si="4"/>
        <v>#REF!</v>
      </c>
      <c r="C100" s="7" t="str">
        <f t="shared" si="1"/>
        <v>#NAME?</v>
      </c>
      <c r="D100" s="7" t="str">
        <f t="shared" si="2"/>
        <v>#NAME?</v>
      </c>
      <c r="E100" s="94" t="str">
        <f>IFERROR(__xludf.DUMMYFUNCTION("IFERROR(
  IMPORTXML(
    B100,
    ""//meta[@property='og:description']/@content""
  ),
  """"
)
"),"")</f>
        <v/>
      </c>
    </row>
    <row r="101" ht="15.75" customHeight="1">
      <c r="A101" s="1428" t="str">
        <f t="shared" si="3"/>
        <v>#REF!</v>
      </c>
      <c r="B101" s="94" t="str">
        <f t="shared" si="4"/>
        <v>#REF!</v>
      </c>
      <c r="C101" s="7" t="str">
        <f t="shared" si="1"/>
        <v>#NAME?</v>
      </c>
      <c r="D101" s="7" t="str">
        <f t="shared" si="2"/>
        <v>#NAME?</v>
      </c>
      <c r="E101" s="94" t="str">
        <f>IFERROR(__xludf.DUMMYFUNCTION("IFERROR(
  IMPORTXML(
    B101,
    ""//meta[@property='og:description']/@content""
  ),
  """"
)
"),"")</f>
        <v/>
      </c>
    </row>
    <row r="102" ht="15.75" customHeight="1">
      <c r="A102" s="1428" t="str">
        <f t="shared" si="3"/>
        <v>#REF!</v>
      </c>
      <c r="B102" s="94" t="str">
        <f t="shared" si="4"/>
        <v>#REF!</v>
      </c>
      <c r="C102" s="7" t="str">
        <f t="shared" si="1"/>
        <v>#NAME?</v>
      </c>
      <c r="D102" s="7" t="str">
        <f t="shared" si="2"/>
        <v>#NAME?</v>
      </c>
      <c r="E102" s="94" t="str">
        <f>IFERROR(__xludf.DUMMYFUNCTION("IFERROR(
  IMPORTXML(
    B102,
    ""//meta[@property='og:description']/@content""
  ),
  """"
)
"),"")</f>
        <v/>
      </c>
    </row>
    <row r="103" ht="15.75" customHeight="1">
      <c r="A103" s="1428" t="str">
        <f t="shared" si="3"/>
        <v>#REF!</v>
      </c>
      <c r="B103" s="94" t="str">
        <f t="shared" si="4"/>
        <v>#REF!</v>
      </c>
      <c r="C103" s="7" t="str">
        <f t="shared" si="1"/>
        <v>#NAME?</v>
      </c>
      <c r="D103" s="7" t="str">
        <f t="shared" si="2"/>
        <v>#NAME?</v>
      </c>
      <c r="E103" s="94" t="str">
        <f>IFERROR(__xludf.DUMMYFUNCTION("IFERROR(
  IMPORTXML(
    B103,
    ""//meta[@property='og:description']/@content""
  ),
  """"
)
"),"")</f>
        <v/>
      </c>
    </row>
    <row r="104" ht="15.75" customHeight="1">
      <c r="A104" s="1428" t="str">
        <f t="shared" si="3"/>
        <v>#REF!</v>
      </c>
      <c r="B104" s="94" t="str">
        <f t="shared" si="4"/>
        <v>#REF!</v>
      </c>
      <c r="C104" s="7" t="str">
        <f t="shared" si="1"/>
        <v>#NAME?</v>
      </c>
      <c r="D104" s="7" t="str">
        <f t="shared" si="2"/>
        <v>#NAME?</v>
      </c>
      <c r="E104" s="94" t="str">
        <f>IFERROR(__xludf.DUMMYFUNCTION("IFERROR(
  IMPORTXML(
    B104,
    ""//meta[@property='og:description']/@content""
  ),
  """"
)
"),"")</f>
        <v/>
      </c>
    </row>
    <row r="105" ht="15.75" customHeight="1">
      <c r="A105" s="1428" t="str">
        <f t="shared" si="3"/>
        <v>#REF!</v>
      </c>
      <c r="B105" s="94" t="str">
        <f t="shared" si="4"/>
        <v>#REF!</v>
      </c>
      <c r="C105" s="7" t="str">
        <f t="shared" si="1"/>
        <v>#NAME?</v>
      </c>
      <c r="D105" s="7" t="str">
        <f t="shared" si="2"/>
        <v>#NAME?</v>
      </c>
      <c r="E105" s="94" t="str">
        <f>IFERROR(__xludf.DUMMYFUNCTION("IFERROR(
  IMPORTXML(
    B105,
    ""//meta[@property='og:description']/@content""
  ),
  """"
)
"),"")</f>
        <v/>
      </c>
    </row>
    <row r="106" ht="15.75" customHeight="1">
      <c r="A106" s="1428" t="str">
        <f t="shared" si="3"/>
        <v>#REF!</v>
      </c>
      <c r="B106" s="94" t="str">
        <f t="shared" si="4"/>
        <v>#REF!</v>
      </c>
      <c r="C106" s="7" t="str">
        <f t="shared" si="1"/>
        <v>#NAME?</v>
      </c>
      <c r="D106" s="7" t="str">
        <f t="shared" si="2"/>
        <v>#NAME?</v>
      </c>
      <c r="E106" s="94" t="str">
        <f>IFERROR(__xludf.DUMMYFUNCTION("IFERROR(
  IMPORTXML(
    B106,
    ""//meta[@property='og:description']/@content""
  ),
  """"
)
"),"")</f>
        <v/>
      </c>
    </row>
    <row r="107" ht="15.75" customHeight="1">
      <c r="A107" s="1428" t="str">
        <f>'1. Справочник'!C140</f>
        <v>TGA1</v>
      </c>
      <c r="B107" s="431" t="str">
        <f>IF('1. Справочник'!G140="","",'1. Справочник'!G140)</f>
        <v>https://airbnb.com/h/tg-1a</v>
      </c>
      <c r="C107" s="7" t="str">
        <f t="shared" si="1"/>
        <v>#NAME?</v>
      </c>
      <c r="D107" s="7" t="str">
        <f t="shared" si="2"/>
        <v>#NAME?</v>
      </c>
      <c r="E107" s="94" t="str">
        <f>IFERROR(__xludf.DUMMYFUNCTION("IFERROR(
  IMPORTXML(
    B107,
    ""//meta[@property='og:description']/@content""
  ),
  """"
)
"),"")</f>
        <v/>
      </c>
    </row>
    <row r="108" ht="15.75" customHeight="1">
      <c r="A108" s="1428" t="str">
        <f>'1. Справочник'!C98</f>
        <v>TGA2</v>
      </c>
      <c r="B108" s="431" t="str">
        <f>IF('1. Справочник'!G98="","",'1. Справочник'!G98)</f>
        <v>https://airbnb.com/h/tg-2a</v>
      </c>
      <c r="C108" s="7" t="str">
        <f t="shared" si="1"/>
        <v>#NAME?</v>
      </c>
      <c r="D108" s="7" t="str">
        <f t="shared" si="2"/>
        <v>#NAME?</v>
      </c>
      <c r="E108" s="94" t="str">
        <f>IFERROR(__xludf.DUMMYFUNCTION("IFERROR(
  IMPORTXML(
    B108,
    ""//meta[@property='og:description']/@content""
  ),
  """"
)
"),"")</f>
        <v/>
      </c>
    </row>
    <row r="109" ht="15.75" customHeight="1">
      <c r="A109" s="1428" t="str">
        <f>'1. Справочник'!C141</f>
        <v>TGA3</v>
      </c>
      <c r="B109" s="431" t="str">
        <f>IF('1. Справочник'!G141="","",'1. Справочник'!G141)</f>
        <v>https://airbnb.com/h/tg-3a</v>
      </c>
      <c r="C109" s="7" t="str">
        <f t="shared" si="1"/>
        <v>#NAME?</v>
      </c>
      <c r="D109" s="7" t="str">
        <f t="shared" si="2"/>
        <v>#NAME?</v>
      </c>
      <c r="E109" s="94" t="str">
        <f>IFERROR(__xludf.DUMMYFUNCTION("IFERROR(
  IMPORTXML(
    B109,
    ""//meta[@property='og:description']/@content""
  ),
  """"
)
"),"")</f>
        <v/>
      </c>
    </row>
    <row r="110" ht="15.75" customHeight="1">
      <c r="A110" s="1428" t="str">
        <f>'1. Справочник'!C142</f>
        <v>TGA4</v>
      </c>
      <c r="B110" s="431" t="str">
        <f>IF('1. Справочник'!G142="","",'1. Справочник'!G142)</f>
        <v>https://airbnb.com/h/tg-4a</v>
      </c>
      <c r="C110" s="7" t="str">
        <f t="shared" si="1"/>
        <v>#NAME?</v>
      </c>
      <c r="D110" s="7" t="str">
        <f t="shared" si="2"/>
        <v>#NAME?</v>
      </c>
      <c r="E110" s="94" t="str">
        <f>IFERROR(__xludf.DUMMYFUNCTION("IFERROR(
  IMPORTXML(
    B110,
    ""//meta[@property='og:description']/@content""
  ),
  """"
)
"),"TG Wild Beach &amp; Pool | 1 BD | Chakvi")</f>
        <v>TG Wild Beach &amp; Pool | 1 BD | Chakvi</v>
      </c>
    </row>
    <row r="111" ht="15.75" customHeight="1">
      <c r="A111" s="1428" t="str">
        <f>'1. Справочник'!C143</f>
        <v>TGA5</v>
      </c>
      <c r="B111" s="431" t="str">
        <f>IF('1. Справочник'!G143="","",'1. Справочник'!G143)</f>
        <v>https://airbnb.com/h/tg-5a</v>
      </c>
      <c r="C111" s="7" t="str">
        <f t="shared" si="1"/>
        <v>#NAME?</v>
      </c>
      <c r="D111" s="7" t="str">
        <f t="shared" si="2"/>
        <v>#NAME?</v>
      </c>
      <c r="E111" s="94" t="str">
        <f>IFERROR(__xludf.DUMMYFUNCTION("IFERROR(
  IMPORTXML(
    B111,
    ""//meta[@property='og:description']/@content""
  ),
  """"
)
"),"")</f>
        <v/>
      </c>
    </row>
    <row r="112" ht="15.75" customHeight="1">
      <c r="A112" s="1428" t="str">
        <f>'1. Справочник'!C144</f>
        <v>TGA6</v>
      </c>
      <c r="B112" s="431" t="str">
        <f>IF('1. Справочник'!G144="","",'1. Справочник'!G144)</f>
        <v>https://airbnb.com/h/tg-6a</v>
      </c>
      <c r="C112" s="7" t="str">
        <f t="shared" si="1"/>
        <v>#NAME?</v>
      </c>
      <c r="D112" s="7" t="str">
        <f t="shared" si="2"/>
        <v>#NAME?</v>
      </c>
      <c r="E112" s="94" t="str">
        <f>IFERROR(__xludf.DUMMYFUNCTION("IFERROR(
  IMPORTXML(
    B112,
    ""//meta[@property='og:description']/@content""
  ),
  """"
)
"),"")</f>
        <v/>
      </c>
    </row>
    <row r="113" ht="15.75" customHeight="1">
      <c r="A113" s="1428" t="str">
        <f>'1. Справочник'!C145</f>
        <v>TGA7</v>
      </c>
      <c r="B113" s="431" t="str">
        <f>IF('1. Справочник'!G145="","",'1. Справочник'!G145)</f>
        <v>https://airbnb.com/h/tg-7a</v>
      </c>
      <c r="C113" s="7" t="str">
        <f t="shared" si="1"/>
        <v>#NAME?</v>
      </c>
      <c r="D113" s="7" t="str">
        <f t="shared" si="2"/>
        <v>#NAME?</v>
      </c>
      <c r="E113" s="94" t="str">
        <f>IFERROR(__xludf.DUMMYFUNCTION("IFERROR(
  IMPORTXML(
    B113,
    ""//meta[@property='og:description']/@content""
  ),
  """"
)
"),"")</f>
        <v/>
      </c>
    </row>
    <row r="114" ht="15.75" customHeight="1">
      <c r="A114" s="1428" t="str">
        <f>'1. Справочник'!C146</f>
        <v>TGA8</v>
      </c>
      <c r="B114" s="431" t="str">
        <f>IF('1. Справочник'!G146="","",'1. Справочник'!G146)</f>
        <v>https://airbnb.com/h/tg-8a</v>
      </c>
      <c r="C114" s="7" t="str">
        <f t="shared" si="1"/>
        <v>#NAME?</v>
      </c>
      <c r="D114" s="7" t="str">
        <f t="shared" si="2"/>
        <v>#NAME?</v>
      </c>
      <c r="E114" s="94" t="str">
        <f>IFERROR(__xludf.DUMMYFUNCTION("IFERROR(
  IMPORTXML(
    B114,
    ""//meta[@property='og:description']/@content""
  ),
  """"
)
"),"TG Wild Beach &amp; Pool | Studio | Chakvi")</f>
        <v>TG Wild Beach &amp; Pool | Studio | Chakvi</v>
      </c>
    </row>
    <row r="115" ht="15.75" customHeight="1">
      <c r="A115" s="1428" t="str">
        <f>'1. Справочник'!C99</f>
        <v>TGA9</v>
      </c>
      <c r="B115" s="431" t="str">
        <f>IF('1. Справочник'!G99="","",'1. Справочник'!G99)</f>
        <v>https://airbnb.com/h/tg-9a</v>
      </c>
      <c r="C115" s="7" t="str">
        <f t="shared" si="1"/>
        <v>#NAME?</v>
      </c>
      <c r="D115" s="7" t="str">
        <f t="shared" si="2"/>
        <v>#NAME?</v>
      </c>
      <c r="E115" s="94" t="str">
        <f>IFERROR(__xludf.DUMMYFUNCTION("IFERROR(
  IMPORTXML(
    B115,
    ""//meta[@property='og:description']/@content""
  ),
  """"
)
"),"")</f>
        <v/>
      </c>
    </row>
    <row r="116" ht="15.75" customHeight="1">
      <c r="A116" s="1428" t="str">
        <f>'1. Справочник'!C147</f>
        <v>TGA10</v>
      </c>
      <c r="B116" s="431" t="str">
        <f>IF('1. Справочник'!G147="","",'1. Справочник'!G147)</f>
        <v>https://airbnb.com/h/tg-10a</v>
      </c>
      <c r="C116" s="7" t="str">
        <f t="shared" si="1"/>
        <v>#NAME?</v>
      </c>
      <c r="D116" s="7" t="str">
        <f t="shared" si="2"/>
        <v>#NAME?</v>
      </c>
      <c r="E116" s="94" t="str">
        <f>IFERROR(__xludf.DUMMYFUNCTION("IFERROR(
  IMPORTXML(
    B116,
    ""//meta[@property='og:description']/@content""
  ),
  """"
)
"),"")</f>
        <v/>
      </c>
    </row>
    <row r="117" ht="15.75" customHeight="1">
      <c r="A117" s="1428" t="str">
        <f>'1. Справочник'!C148</f>
        <v>TGB1</v>
      </c>
      <c r="B117" s="431" t="str">
        <f>IF('1. Справочник'!G148="","",'1. Справочник'!G148)</f>
        <v>https://airbnb.com/h/tg-1b</v>
      </c>
      <c r="C117" s="7" t="str">
        <f t="shared" si="1"/>
        <v>#NAME?</v>
      </c>
      <c r="D117" s="7" t="str">
        <f t="shared" si="2"/>
        <v>#NAME?</v>
      </c>
      <c r="E117" s="94" t="str">
        <f>IFERROR(__xludf.DUMMYFUNCTION("IFERROR(
  IMPORTXML(
    B117,
    ""//meta[@property='og:description']/@content""
  ),
  """"
)
"),"")</f>
        <v/>
      </c>
    </row>
    <row r="118" ht="15.75" customHeight="1">
      <c r="A118" s="1428" t="str">
        <f>'1. Справочник'!C149</f>
        <v>TGB2</v>
      </c>
      <c r="B118" s="431" t="str">
        <f>IF('1. Справочник'!G149="","",'1. Справочник'!G149)</f>
        <v>https://airbnb.com/h/tg-2b</v>
      </c>
      <c r="C118" s="7" t="str">
        <f t="shared" si="1"/>
        <v>#NAME?</v>
      </c>
      <c r="D118" s="7" t="str">
        <f t="shared" si="2"/>
        <v>#NAME?</v>
      </c>
      <c r="E118" s="94" t="str">
        <f>IFERROR(__xludf.DUMMYFUNCTION("IFERROR(
  IMPORTXML(
    B118,
    ""//meta[@property='og:description']/@content""
  ),
  """"
)
"),"")</f>
        <v/>
      </c>
    </row>
    <row r="119" ht="15.75" customHeight="1">
      <c r="A119" s="1428" t="str">
        <f>'1. Справочник'!C100</f>
        <v>TGB3</v>
      </c>
      <c r="B119" s="431" t="str">
        <f>IF('1. Справочник'!G100="","",'1. Справочник'!G100)</f>
        <v>https://airbnb.com/h/tg-b3</v>
      </c>
      <c r="C119" s="7" t="str">
        <f t="shared" si="1"/>
        <v>#NAME?</v>
      </c>
      <c r="D119" s="7" t="str">
        <f t="shared" si="2"/>
        <v>#NAME?</v>
      </c>
      <c r="E119" s="94" t="str">
        <f>IFERROR(__xludf.DUMMYFUNCTION("IFERROR(
  IMPORTXML(
    B119,
    ""//meta[@property='og:description']/@content""
  ),
  """"
)
"),"")</f>
        <v/>
      </c>
    </row>
    <row r="120" ht="15.75" customHeight="1">
      <c r="A120" s="1428" t="str">
        <f>'1. Справочник'!C150</f>
        <v>TGB4</v>
      </c>
      <c r="B120" s="431" t="str">
        <f>IF('1. Справочник'!G150="","",'1. Справочник'!G150)</f>
        <v>https://airbnb.com/h/tg-4b</v>
      </c>
      <c r="C120" s="7" t="str">
        <f t="shared" si="1"/>
        <v>#NAME?</v>
      </c>
      <c r="D120" s="7" t="str">
        <f t="shared" si="2"/>
        <v>#NAME?</v>
      </c>
      <c r="E120" s="94" t="str">
        <f>IFERROR(__xludf.DUMMYFUNCTION("IFERROR(
  IMPORTXML(
    B120,
    ""//meta[@property='og:description']/@content""
  ),
  """"
)
"),"")</f>
        <v/>
      </c>
    </row>
    <row r="121" ht="15.75" customHeight="1">
      <c r="A121" s="1428" t="str">
        <f>'1. Справочник'!C151</f>
        <v>TGB5</v>
      </c>
      <c r="B121" s="431" t="str">
        <f>IF('1. Справочник'!G151="","",'1. Справочник'!G151)</f>
        <v>https://airbnb.com/h/tg-5b</v>
      </c>
      <c r="C121" s="7" t="str">
        <f t="shared" si="1"/>
        <v>#NAME?</v>
      </c>
      <c r="D121" s="7" t="str">
        <f t="shared" si="2"/>
        <v>#NAME?</v>
      </c>
      <c r="E121" s="94" t="str">
        <f>IFERROR(__xludf.DUMMYFUNCTION("IFERROR(
  IMPORTXML(
    B121,
    ""//meta[@property='og:description']/@content""
  ),
  """"
)
"),"")</f>
        <v/>
      </c>
    </row>
    <row r="122" ht="15.75" customHeight="1">
      <c r="A122" s="1428" t="str">
        <f>'1. Справочник'!C152</f>
        <v>TGB6</v>
      </c>
      <c r="B122" s="431" t="str">
        <f>IF('1. Справочник'!G152="","",'1. Справочник'!G152)</f>
        <v>https://airbnb.com/h/tg-6b</v>
      </c>
      <c r="C122" s="7" t="str">
        <f t="shared" si="1"/>
        <v>#NAME?</v>
      </c>
      <c r="D122" s="7" t="str">
        <f t="shared" si="2"/>
        <v>#NAME?</v>
      </c>
      <c r="E122" s="94" t="str">
        <f>IFERROR(__xludf.DUMMYFUNCTION("IFERROR(
  IMPORTXML(
    B122,
    ""//meta[@property='og:description']/@content""
  ),
  """"
)
"),"TG Wild Beach &amp; Pool | 1 BD | Chakvi")</f>
        <v>TG Wild Beach &amp; Pool | 1 BD | Chakvi</v>
      </c>
    </row>
    <row r="123" ht="15.75" customHeight="1">
      <c r="A123" s="1428" t="str">
        <f>'1. Справочник'!C153</f>
        <v>TGB7</v>
      </c>
      <c r="B123" s="431" t="str">
        <f>IF('1. Справочник'!G153="","",'1. Справочник'!G153)</f>
        <v>https://airbnb.com/h/tg-7b</v>
      </c>
      <c r="C123" s="7" t="str">
        <f t="shared" si="1"/>
        <v>#NAME?</v>
      </c>
      <c r="D123" s="7" t="str">
        <f t="shared" si="2"/>
        <v>#NAME?</v>
      </c>
      <c r="E123" s="94" t="str">
        <f>IFERROR(__xludf.DUMMYFUNCTION("IFERROR(
  IMPORTXML(
    B123,
    ""//meta[@property='og:description']/@content""
  ),
  """"
)
"),"")</f>
        <v/>
      </c>
    </row>
    <row r="124" ht="15.75" customHeight="1">
      <c r="A124" s="1428" t="str">
        <f>'1. Справочник'!C154</f>
        <v>TGB8</v>
      </c>
      <c r="B124" s="431" t="str">
        <f>IF('1. Справочник'!G154="","",'1. Справочник'!G154)</f>
        <v>https://airbnb.com/h/tg-8b</v>
      </c>
      <c r="C124" s="7" t="str">
        <f t="shared" si="1"/>
        <v>#NAME?</v>
      </c>
      <c r="D124" s="7" t="str">
        <f t="shared" si="2"/>
        <v>#NAME?</v>
      </c>
      <c r="E124" s="94" t="str">
        <f>IFERROR(__xludf.DUMMYFUNCTION("IFERROR(
  IMPORTXML(
    B124,
    ""//meta[@property='og:description']/@content""
  ),
  """"
)
"),"")</f>
        <v/>
      </c>
    </row>
    <row r="125" ht="15.75" customHeight="1">
      <c r="A125" s="1428" t="str">
        <f>'1. Справочник'!C155</f>
        <v>TGB9</v>
      </c>
      <c r="B125" s="431" t="str">
        <f>IF('1. Справочник'!G155="","",'1. Справочник'!G155)</f>
        <v>https://airbnb.com/h/tg-9b</v>
      </c>
      <c r="C125" s="7" t="str">
        <f t="shared" si="1"/>
        <v>#NAME?</v>
      </c>
      <c r="D125" s="7" t="str">
        <f t="shared" si="2"/>
        <v>#NAME?</v>
      </c>
      <c r="E125" s="94" t="str">
        <f>IFERROR(__xludf.DUMMYFUNCTION("IFERROR(
  IMPORTXML(
    B125,
    ""//meta[@property='og:description']/@content""
  ),
  """"
)
"),"")</f>
        <v/>
      </c>
    </row>
    <row r="126" ht="15.75" customHeight="1">
      <c r="A126" s="1428" t="str">
        <f>'1. Справочник'!C156</f>
        <v>TGB10</v>
      </c>
      <c r="B126" s="431" t="str">
        <f>IF('1. Справочник'!G156="","",'1. Справочник'!G156)</f>
        <v>https://airbnb.com/h/tg-10b</v>
      </c>
      <c r="C126" s="7" t="str">
        <f t="shared" si="1"/>
        <v>#NAME?</v>
      </c>
      <c r="D126" s="7" t="str">
        <f t="shared" si="2"/>
        <v>#NAME?</v>
      </c>
      <c r="E126" s="94" t="str">
        <f>IFERROR(__xludf.DUMMYFUNCTION("IFERROR(
  IMPORTXML(
    B126,
    ""//meta[@property='og:description']/@content""
  ),
  """"
)
"),"")</f>
        <v/>
      </c>
    </row>
    <row r="127" ht="15.75" customHeight="1">
      <c r="A127" s="1428" t="str">
        <f>'1. Справочник'!C157</f>
        <v>TGB11</v>
      </c>
      <c r="B127" s="431" t="str">
        <f>IF('1. Справочник'!G157="","",'1. Справочник'!G157)</f>
        <v>https://airbnb.com/h/tg-11b</v>
      </c>
      <c r="C127" s="7" t="str">
        <f t="shared" si="1"/>
        <v>#NAME?</v>
      </c>
      <c r="D127" s="7" t="str">
        <f t="shared" si="2"/>
        <v>#NAME?</v>
      </c>
      <c r="E127" s="94" t="str">
        <f>IFERROR(__xludf.DUMMYFUNCTION("IFERROR(
  IMPORTXML(
    B127,
    ""//meta[@property='og:description']/@content""
  ),
  """"
)
"),"TG Wild Beach &amp; Pool | 2 BD | Chakvi")</f>
        <v>TG Wild Beach &amp; Pool | 2 BD | Chakvi</v>
      </c>
    </row>
    <row r="128" ht="15.75" customHeight="1">
      <c r="A128" s="1428" t="str">
        <f>'1. Справочник'!C97</f>
        <v>TGB195</v>
      </c>
      <c r="B128" s="431" t="str">
        <f>IF('1. Справочник'!G97="","",'1. Справочник'!G97)</f>
        <v>https://airbnb.com/h/tgb195</v>
      </c>
      <c r="C128" s="7" t="str">
        <f t="shared" si="1"/>
        <v>#NAME?</v>
      </c>
      <c r="D128" s="7" t="str">
        <f t="shared" si="2"/>
        <v>#NAME?</v>
      </c>
      <c r="E128" s="94" t="str">
        <f>IFERROR(__xludf.DUMMYFUNCTION("IFERROR(
  IMPORTXML(
    B128,
    ""//meta[@property='og:description']/@content""
  ),
  """"
)
"),"")</f>
        <v/>
      </c>
    </row>
    <row r="129" ht="15.75" customHeight="1">
      <c r="A129" s="1428" t="str">
        <f>'1. Справочник'!C73</f>
        <v>Вилла Ева</v>
      </c>
      <c r="B129" s="431" t="str">
        <f>IF('1. Справочник'!G73="","",'1. Справочник'!G73)</f>
        <v>https://airbnb.com/h/eva155</v>
      </c>
      <c r="C129" s="7" t="str">
        <f t="shared" si="1"/>
        <v>#NAME?</v>
      </c>
      <c r="D129" s="7" t="str">
        <f t="shared" si="2"/>
        <v>#NAME?</v>
      </c>
      <c r="E129" s="94" t="str">
        <f>IFERROR(__xludf.DUMMYFUNCTION("IFERROR(
  IMPORTXML(
    B129,
    ""//meta[@property='og:description']/@content""
  ),
  """"
)
"),"Villa Eva | 5 min to the sea | Large terrace")</f>
        <v>Villa Eva | 5 min to the sea | Large terrace</v>
      </c>
    </row>
    <row r="130" ht="15.75" customHeight="1">
      <c r="A130" s="1428" t="str">
        <f>'1. Справочник'!C101</f>
        <v/>
      </c>
      <c r="B130" s="94" t="str">
        <f>IF('1. Справочник'!G101="","",'1. Справочник'!G101)</f>
        <v/>
      </c>
      <c r="C130" s="7" t="str">
        <f t="shared" si="1"/>
        <v>#NAME?</v>
      </c>
      <c r="D130" s="7" t="str">
        <f t="shared" si="2"/>
        <v>#NAME?</v>
      </c>
      <c r="E130" s="94" t="str">
        <f>IFERROR(__xludf.DUMMYFUNCTION("IFERROR(
  IMPORTXML(
    B130,
    ""//meta[@property='og:description']/@content""
  ),
  """"
)
"),"")</f>
        <v/>
      </c>
    </row>
    <row r="131" ht="15.75" customHeight="1">
      <c r="A131" s="1427"/>
      <c r="B131" s="94" t="str">
        <f>IF('1. Справочник'!G102="","",'1. Справочник'!G102)</f>
        <v/>
      </c>
      <c r="D131" s="7"/>
    </row>
    <row r="132" ht="15.75" customHeight="1">
      <c r="A132" s="1427"/>
      <c r="D132" s="7"/>
    </row>
    <row r="133" ht="15.75" customHeight="1">
      <c r="A133" s="1427"/>
      <c r="D133" s="7"/>
    </row>
    <row r="134" ht="15.75" customHeight="1">
      <c r="A134" s="1427"/>
      <c r="D134" s="7"/>
    </row>
    <row r="135" ht="15.75" customHeight="1">
      <c r="A135" s="1427"/>
      <c r="D135" s="7"/>
    </row>
    <row r="136" ht="15.75" customHeight="1">
      <c r="A136" s="1427"/>
      <c r="D136" s="7"/>
    </row>
    <row r="137" ht="15.75" customHeight="1">
      <c r="A137" s="1427"/>
      <c r="D137" s="7"/>
    </row>
    <row r="138" ht="15.75" customHeight="1">
      <c r="A138" s="1427"/>
      <c r="D138" s="7"/>
    </row>
    <row r="139" ht="15.75" customHeight="1">
      <c r="A139" s="1427"/>
      <c r="D139" s="7"/>
    </row>
    <row r="140" ht="15.75" customHeight="1">
      <c r="A140" s="1427"/>
      <c r="D140" s="7"/>
    </row>
    <row r="141" ht="15.75" customHeight="1">
      <c r="A141" s="1427"/>
      <c r="D141" s="7"/>
    </row>
    <row r="142" ht="15.75" customHeight="1">
      <c r="A142" s="1427"/>
      <c r="D142" s="7"/>
    </row>
    <row r="143" ht="15.75" customHeight="1">
      <c r="A143" s="1427"/>
      <c r="D143" s="7"/>
    </row>
    <row r="144" ht="15.75" customHeight="1">
      <c r="A144" s="1427"/>
      <c r="D144" s="7"/>
    </row>
    <row r="145" ht="15.75" customHeight="1">
      <c r="A145" s="1427"/>
      <c r="D145" s="7"/>
    </row>
    <row r="146" ht="15.75" customHeight="1">
      <c r="A146" s="1427"/>
      <c r="D146" s="7"/>
    </row>
    <row r="147" ht="15.75" customHeight="1">
      <c r="A147" s="1427"/>
      <c r="D147" s="7"/>
    </row>
    <row r="148" ht="15.75" customHeight="1">
      <c r="A148" s="1427"/>
      <c r="D148" s="7"/>
    </row>
    <row r="149" ht="15.75" customHeight="1">
      <c r="A149" s="1427"/>
      <c r="D149" s="7"/>
    </row>
    <row r="150" ht="15.75" customHeight="1">
      <c r="A150" s="1427"/>
      <c r="D150" s="7"/>
    </row>
    <row r="151" ht="15.75" customHeight="1">
      <c r="A151" s="1427"/>
      <c r="D151" s="7"/>
    </row>
    <row r="152" ht="15.75" customHeight="1">
      <c r="A152" s="1427"/>
      <c r="D152" s="7"/>
    </row>
    <row r="153" ht="15.75" customHeight="1">
      <c r="A153" s="1427"/>
      <c r="D153" s="7"/>
    </row>
    <row r="154" ht="15.75" customHeight="1">
      <c r="A154" s="1427"/>
      <c r="D154" s="7"/>
    </row>
    <row r="155" ht="15.75" customHeight="1">
      <c r="A155" s="1427"/>
      <c r="D155" s="7"/>
    </row>
    <row r="156" ht="15.75" customHeight="1">
      <c r="A156" s="1427"/>
      <c r="D156" s="7"/>
    </row>
    <row r="157" ht="15.75" customHeight="1">
      <c r="A157" s="1427"/>
      <c r="D157" s="7"/>
    </row>
    <row r="158" ht="15.75" customHeight="1">
      <c r="A158" s="1427"/>
      <c r="D158" s="7"/>
    </row>
    <row r="159" ht="15.75" customHeight="1">
      <c r="A159" s="1427"/>
      <c r="D159" s="7"/>
    </row>
    <row r="160" ht="15.75" customHeight="1">
      <c r="A160" s="1427"/>
      <c r="D160" s="7"/>
    </row>
    <row r="161" ht="15.75" customHeight="1">
      <c r="A161" s="1427"/>
      <c r="D161" s="7"/>
    </row>
    <row r="162" ht="15.75" customHeight="1">
      <c r="A162" s="1427"/>
      <c r="D162" s="7"/>
    </row>
    <row r="163" ht="15.75" customHeight="1">
      <c r="A163" s="1427"/>
      <c r="D163" s="7"/>
    </row>
    <row r="164" ht="15.75" customHeight="1">
      <c r="A164" s="1427"/>
      <c r="D164" s="7"/>
    </row>
    <row r="165" ht="15.75" customHeight="1">
      <c r="A165" s="1427"/>
      <c r="D165" s="7"/>
    </row>
    <row r="166" ht="15.75" customHeight="1">
      <c r="A166" s="1427"/>
      <c r="D166" s="7"/>
    </row>
    <row r="167" ht="15.75" customHeight="1">
      <c r="A167" s="1427"/>
      <c r="D167" s="7"/>
    </row>
    <row r="168" ht="15.75" customHeight="1">
      <c r="A168" s="1427"/>
      <c r="D168" s="7"/>
    </row>
    <row r="169" ht="15.75" customHeight="1">
      <c r="A169" s="1427"/>
      <c r="D169" s="7"/>
    </row>
    <row r="170" ht="15.75" customHeight="1">
      <c r="A170" s="1427"/>
      <c r="D170" s="7"/>
    </row>
    <row r="171" ht="15.75" customHeight="1">
      <c r="A171" s="1427"/>
      <c r="D171" s="7"/>
    </row>
    <row r="172" ht="15.75" customHeight="1">
      <c r="A172" s="1427"/>
      <c r="D172" s="7"/>
    </row>
    <row r="173" ht="15.75" customHeight="1">
      <c r="A173" s="1427"/>
      <c r="D173" s="7"/>
    </row>
    <row r="174" ht="15.75" customHeight="1">
      <c r="A174" s="1427"/>
      <c r="D174" s="7"/>
    </row>
    <row r="175" ht="15.75" customHeight="1">
      <c r="A175" s="1427"/>
      <c r="D175" s="7"/>
    </row>
    <row r="176" ht="15.75" customHeight="1">
      <c r="A176" s="1427"/>
      <c r="D176" s="7"/>
    </row>
    <row r="177" ht="15.75" customHeight="1">
      <c r="A177" s="1427"/>
      <c r="D177" s="7"/>
    </row>
    <row r="178" ht="15.75" customHeight="1">
      <c r="A178" s="1427"/>
      <c r="D178" s="7"/>
    </row>
    <row r="179" ht="15.75" customHeight="1">
      <c r="A179" s="1427"/>
      <c r="D179" s="7"/>
    </row>
    <row r="180" ht="15.75" customHeight="1">
      <c r="A180" s="1427"/>
      <c r="D180" s="7"/>
    </row>
    <row r="181" ht="15.75" customHeight="1">
      <c r="A181" s="1427"/>
      <c r="D181" s="7"/>
    </row>
    <row r="182" ht="15.75" customHeight="1">
      <c r="A182" s="1427"/>
      <c r="D182" s="7"/>
    </row>
    <row r="183" ht="15.75" customHeight="1">
      <c r="A183" s="1427"/>
      <c r="D183" s="7"/>
    </row>
    <row r="184" ht="15.75" customHeight="1">
      <c r="A184" s="1427"/>
      <c r="D184" s="7"/>
    </row>
    <row r="185" ht="15.75" customHeight="1">
      <c r="A185" s="1427"/>
      <c r="D185" s="7"/>
    </row>
    <row r="186" ht="15.75" customHeight="1">
      <c r="A186" s="1427"/>
      <c r="D186" s="7"/>
    </row>
    <row r="187" ht="15.75" customHeight="1">
      <c r="A187" s="1427"/>
      <c r="D187" s="7"/>
    </row>
    <row r="188" ht="15.75" customHeight="1">
      <c r="A188" s="1427"/>
      <c r="D188" s="7"/>
    </row>
    <row r="189" ht="15.75" customHeight="1">
      <c r="A189" s="1427"/>
      <c r="D189" s="7"/>
    </row>
    <row r="190" ht="15.75" customHeight="1">
      <c r="A190" s="1427"/>
      <c r="D190" s="7"/>
    </row>
    <row r="191" ht="15.75" customHeight="1">
      <c r="A191" s="1427"/>
      <c r="D191" s="7"/>
    </row>
    <row r="192" ht="15.75" customHeight="1">
      <c r="A192" s="1427"/>
      <c r="D192" s="7"/>
    </row>
    <row r="193" ht="15.75" customHeight="1">
      <c r="A193" s="1427"/>
      <c r="D193" s="7"/>
    </row>
    <row r="194" ht="15.75" customHeight="1">
      <c r="A194" s="1427"/>
      <c r="D194" s="7"/>
    </row>
    <row r="195" ht="15.75" customHeight="1">
      <c r="A195" s="1427"/>
      <c r="D195" s="7"/>
    </row>
    <row r="196" ht="15.75" customHeight="1">
      <c r="A196" s="1427"/>
      <c r="D196" s="7"/>
    </row>
    <row r="197" ht="15.75" customHeight="1">
      <c r="A197" s="1427"/>
      <c r="D197" s="7"/>
    </row>
    <row r="198" ht="15.75" customHeight="1">
      <c r="A198" s="1427"/>
      <c r="D198" s="7"/>
    </row>
    <row r="199" ht="15.75" customHeight="1">
      <c r="A199" s="1427"/>
      <c r="D199" s="7"/>
    </row>
    <row r="200" ht="15.75" customHeight="1">
      <c r="A200" s="1427"/>
      <c r="D200" s="7"/>
    </row>
    <row r="201" ht="15.75" customHeight="1">
      <c r="A201" s="1427"/>
      <c r="D201" s="7"/>
    </row>
    <row r="202" ht="15.75" customHeight="1">
      <c r="A202" s="1427"/>
      <c r="D202" s="7"/>
    </row>
    <row r="203" ht="15.75" customHeight="1">
      <c r="A203" s="1427"/>
      <c r="D203" s="7"/>
    </row>
    <row r="204" ht="15.75" customHeight="1">
      <c r="A204" s="1427"/>
      <c r="D204" s="7"/>
    </row>
    <row r="205" ht="15.75" customHeight="1">
      <c r="A205" s="1427"/>
      <c r="D205" s="7"/>
    </row>
    <row r="206" ht="15.75" customHeight="1">
      <c r="A206" s="1427"/>
      <c r="D206" s="7"/>
    </row>
    <row r="207" ht="15.75" customHeight="1">
      <c r="A207" s="1427"/>
      <c r="D207" s="7"/>
    </row>
    <row r="208" ht="15.75" customHeight="1">
      <c r="A208" s="1427"/>
      <c r="D208" s="7"/>
    </row>
    <row r="209" ht="15.75" customHeight="1">
      <c r="A209" s="1427"/>
      <c r="D209" s="7"/>
    </row>
    <row r="210" ht="15.75" customHeight="1">
      <c r="A210" s="1427"/>
      <c r="D210" s="7"/>
    </row>
    <row r="211" ht="15.75" customHeight="1">
      <c r="A211" s="1427"/>
      <c r="D211" s="7"/>
    </row>
    <row r="212" ht="15.75" customHeight="1">
      <c r="A212" s="1427"/>
      <c r="D212" s="7"/>
    </row>
    <row r="213" ht="15.75" customHeight="1">
      <c r="A213" s="1427"/>
      <c r="D213" s="7"/>
    </row>
    <row r="214" ht="15.75" customHeight="1">
      <c r="A214" s="1427"/>
      <c r="D214" s="7"/>
    </row>
    <row r="215" ht="15.75" customHeight="1">
      <c r="A215" s="1427"/>
      <c r="D215" s="7"/>
    </row>
    <row r="216" ht="15.75" customHeight="1">
      <c r="A216" s="1427"/>
      <c r="D216" s="7"/>
    </row>
    <row r="217" ht="15.75" customHeight="1">
      <c r="A217" s="1427"/>
      <c r="D217" s="7"/>
    </row>
    <row r="218" ht="15.75" customHeight="1">
      <c r="A218" s="1427"/>
      <c r="D218" s="7"/>
    </row>
    <row r="219" ht="15.75" customHeight="1">
      <c r="A219" s="1427"/>
      <c r="D219" s="7"/>
    </row>
    <row r="220" ht="15.75" customHeight="1">
      <c r="A220" s="1427"/>
      <c r="D220" s="7"/>
    </row>
    <row r="221" ht="15.75" customHeight="1">
      <c r="A221" s="1427"/>
      <c r="D221" s="7"/>
    </row>
    <row r="222" ht="15.75" customHeight="1">
      <c r="A222" s="1427"/>
      <c r="D222" s="7"/>
    </row>
    <row r="223" ht="15.75" customHeight="1">
      <c r="A223" s="1427"/>
      <c r="D223" s="7"/>
    </row>
    <row r="224" ht="15.75" customHeight="1">
      <c r="A224" s="1427"/>
      <c r="D224" s="7"/>
    </row>
    <row r="225" ht="15.75" customHeight="1">
      <c r="A225" s="1427"/>
      <c r="D225" s="7"/>
    </row>
    <row r="226" ht="15.75" customHeight="1">
      <c r="A226" s="1427"/>
      <c r="D226" s="7"/>
    </row>
    <row r="227" ht="15.75" customHeight="1">
      <c r="A227" s="1427"/>
      <c r="D227" s="7"/>
    </row>
    <row r="228" ht="15.75" customHeight="1">
      <c r="A228" s="1427"/>
      <c r="D228" s="7"/>
    </row>
    <row r="229" ht="15.75" customHeight="1">
      <c r="A229" s="1427"/>
      <c r="D229" s="7"/>
    </row>
    <row r="230" ht="15.75" customHeight="1">
      <c r="A230" s="1427"/>
      <c r="D230" s="7"/>
    </row>
    <row r="231" ht="15.75" customHeight="1">
      <c r="A231" s="1427"/>
      <c r="D231" s="7"/>
    </row>
    <row r="232" ht="15.75" customHeight="1">
      <c r="A232" s="1427"/>
      <c r="D232" s="7"/>
    </row>
    <row r="233" ht="15.75" customHeight="1">
      <c r="A233" s="1427"/>
      <c r="D233" s="7"/>
    </row>
    <row r="234" ht="15.75" customHeight="1">
      <c r="A234" s="1427"/>
      <c r="D234" s="7"/>
    </row>
    <row r="235" ht="15.75" customHeight="1">
      <c r="A235" s="1427"/>
      <c r="D235" s="7"/>
    </row>
    <row r="236" ht="15.75" customHeight="1">
      <c r="A236" s="1427"/>
      <c r="D236" s="7"/>
    </row>
    <row r="237" ht="15.75" customHeight="1">
      <c r="A237" s="1427"/>
      <c r="D237" s="7"/>
    </row>
    <row r="238" ht="15.75" customHeight="1">
      <c r="A238" s="1427"/>
      <c r="D238" s="7"/>
    </row>
    <row r="239" ht="15.75" customHeight="1">
      <c r="A239" s="1427"/>
      <c r="D239" s="7"/>
    </row>
    <row r="240" ht="15.75" customHeight="1">
      <c r="A240" s="1427"/>
      <c r="D240" s="7"/>
    </row>
    <row r="241" ht="15.75" customHeight="1">
      <c r="A241" s="1427"/>
      <c r="D241" s="7"/>
    </row>
    <row r="242" ht="15.75" customHeight="1">
      <c r="A242" s="1427"/>
      <c r="D242" s="7"/>
    </row>
    <row r="243" ht="15.75" customHeight="1">
      <c r="A243" s="1427"/>
      <c r="D243" s="7"/>
    </row>
    <row r="244" ht="15.75" customHeight="1">
      <c r="A244" s="1427"/>
      <c r="D244" s="7"/>
    </row>
    <row r="245" ht="15.75" customHeight="1">
      <c r="A245" s="1427"/>
      <c r="D245" s="7"/>
    </row>
    <row r="246" ht="15.75" customHeight="1">
      <c r="A246" s="1427"/>
      <c r="D246" s="7"/>
    </row>
    <row r="247" ht="15.75" customHeight="1">
      <c r="A247" s="1427"/>
      <c r="D247" s="7"/>
    </row>
    <row r="248" ht="15.75" customHeight="1">
      <c r="A248" s="1427"/>
      <c r="D248" s="7"/>
    </row>
    <row r="249" ht="15.75" customHeight="1">
      <c r="A249" s="1427"/>
      <c r="D249" s="7"/>
    </row>
    <row r="250" ht="15.75" customHeight="1">
      <c r="A250" s="1427"/>
      <c r="D250" s="7"/>
    </row>
    <row r="251" ht="15.75" customHeight="1">
      <c r="A251" s="1427"/>
      <c r="D251" s="7"/>
    </row>
    <row r="252" ht="15.75" customHeight="1">
      <c r="A252" s="1427"/>
      <c r="D252" s="7"/>
    </row>
    <row r="253" ht="15.75" customHeight="1">
      <c r="A253" s="1427"/>
      <c r="D253" s="7"/>
    </row>
    <row r="254" ht="15.75" customHeight="1">
      <c r="A254" s="1427"/>
      <c r="D254" s="7"/>
    </row>
    <row r="255" ht="15.75" customHeight="1">
      <c r="A255" s="1427"/>
      <c r="D255" s="7"/>
    </row>
    <row r="256" ht="15.75" customHeight="1">
      <c r="A256" s="1427"/>
      <c r="D256" s="7"/>
    </row>
    <row r="257" ht="15.75" customHeight="1">
      <c r="A257" s="1427"/>
      <c r="D257" s="7"/>
    </row>
    <row r="258" ht="15.75" customHeight="1">
      <c r="A258" s="1427"/>
      <c r="D258" s="7"/>
    </row>
    <row r="259" ht="15.75" customHeight="1">
      <c r="A259" s="1427"/>
      <c r="D259" s="7"/>
    </row>
    <row r="260" ht="15.75" customHeight="1">
      <c r="A260" s="1427"/>
      <c r="D260" s="7"/>
    </row>
    <row r="261" ht="15.75" customHeight="1">
      <c r="A261" s="1427"/>
      <c r="D261" s="7"/>
    </row>
    <row r="262" ht="15.75" customHeight="1">
      <c r="A262" s="1427"/>
      <c r="D262" s="7"/>
    </row>
    <row r="263" ht="15.75" customHeight="1">
      <c r="A263" s="1427"/>
      <c r="D263" s="7"/>
    </row>
    <row r="264" ht="15.75" customHeight="1">
      <c r="A264" s="1427"/>
      <c r="D264" s="7"/>
    </row>
    <row r="265" ht="15.75" customHeight="1">
      <c r="A265" s="1427"/>
      <c r="D265" s="7"/>
    </row>
    <row r="266" ht="15.75" customHeight="1">
      <c r="A266" s="1427"/>
      <c r="D266" s="7"/>
    </row>
    <row r="267" ht="15.75" customHeight="1">
      <c r="A267" s="1427"/>
      <c r="D267" s="7"/>
    </row>
    <row r="268" ht="15.75" customHeight="1">
      <c r="A268" s="1427"/>
      <c r="D268" s="7"/>
    </row>
    <row r="269" ht="15.75" customHeight="1">
      <c r="A269" s="1427"/>
      <c r="D269" s="7"/>
    </row>
    <row r="270" ht="15.75" customHeight="1">
      <c r="A270" s="1427"/>
      <c r="D270" s="7"/>
    </row>
    <row r="271" ht="15.75" customHeight="1">
      <c r="A271" s="1427"/>
      <c r="D271" s="7"/>
    </row>
    <row r="272" ht="15.75" customHeight="1">
      <c r="A272" s="1427"/>
      <c r="D272" s="7"/>
    </row>
    <row r="273" ht="15.75" customHeight="1">
      <c r="A273" s="1427"/>
      <c r="D273" s="7"/>
    </row>
    <row r="274" ht="15.75" customHeight="1">
      <c r="A274" s="1427"/>
      <c r="D274" s="7"/>
    </row>
    <row r="275" ht="15.75" customHeight="1">
      <c r="A275" s="1427"/>
      <c r="D275" s="7"/>
    </row>
    <row r="276" ht="15.75" customHeight="1">
      <c r="A276" s="1427"/>
      <c r="D276" s="7"/>
    </row>
    <row r="277" ht="15.75" customHeight="1">
      <c r="A277" s="1427"/>
      <c r="D277" s="7"/>
    </row>
    <row r="278" ht="15.75" customHeight="1">
      <c r="A278" s="1427"/>
      <c r="D278" s="7"/>
    </row>
    <row r="279" ht="15.75" customHeight="1">
      <c r="A279" s="1427"/>
      <c r="D279" s="7"/>
    </row>
    <row r="280" ht="15.75" customHeight="1">
      <c r="A280" s="1427"/>
      <c r="D280" s="7"/>
    </row>
    <row r="281" ht="15.75" customHeight="1">
      <c r="A281" s="1427"/>
      <c r="D281" s="7"/>
    </row>
    <row r="282" ht="15.75" customHeight="1">
      <c r="A282" s="1427"/>
      <c r="D282" s="7"/>
    </row>
    <row r="283" ht="15.75" customHeight="1">
      <c r="A283" s="1427"/>
      <c r="D283" s="7"/>
    </row>
    <row r="284" ht="15.75" customHeight="1">
      <c r="A284" s="1427"/>
      <c r="D284" s="7"/>
    </row>
    <row r="285" ht="15.75" customHeight="1">
      <c r="A285" s="1427"/>
      <c r="D285" s="7"/>
    </row>
    <row r="286" ht="15.75" customHeight="1">
      <c r="A286" s="1427"/>
      <c r="D286" s="7"/>
    </row>
    <row r="287" ht="15.75" customHeight="1">
      <c r="A287" s="1427"/>
      <c r="D287" s="7"/>
    </row>
    <row r="288" ht="15.75" customHeight="1">
      <c r="A288" s="1427"/>
      <c r="D288" s="7"/>
    </row>
    <row r="289" ht="15.75" customHeight="1">
      <c r="A289" s="1427"/>
      <c r="D289" s="7"/>
    </row>
    <row r="290" ht="15.75" customHeight="1">
      <c r="A290" s="1427"/>
      <c r="D290" s="7"/>
    </row>
    <row r="291" ht="15.75" customHeight="1">
      <c r="A291" s="1427"/>
      <c r="D291" s="7"/>
    </row>
    <row r="292" ht="15.75" customHeight="1">
      <c r="A292" s="1427"/>
      <c r="D292" s="7"/>
    </row>
    <row r="293" ht="15.75" customHeight="1">
      <c r="A293" s="1427"/>
      <c r="D293" s="7"/>
    </row>
    <row r="294" ht="15.75" customHeight="1">
      <c r="A294" s="1427"/>
      <c r="D294" s="7"/>
    </row>
    <row r="295" ht="15.75" customHeight="1">
      <c r="A295" s="1427"/>
      <c r="D295" s="7"/>
    </row>
    <row r="296" ht="15.75" customHeight="1">
      <c r="A296" s="1427"/>
      <c r="D296" s="7"/>
    </row>
    <row r="297" ht="15.75" customHeight="1">
      <c r="A297" s="1427"/>
      <c r="D297" s="7"/>
    </row>
    <row r="298" ht="15.75" customHeight="1">
      <c r="A298" s="1427"/>
      <c r="D298" s="7"/>
    </row>
    <row r="299" ht="15.75" customHeight="1">
      <c r="A299" s="1427"/>
      <c r="D299" s="7"/>
    </row>
    <row r="300" ht="15.75" customHeight="1">
      <c r="A300" s="1427"/>
      <c r="D300" s="7"/>
    </row>
    <row r="301" ht="15.75" customHeight="1">
      <c r="A301" s="1427"/>
      <c r="D301" s="7"/>
    </row>
    <row r="302" ht="15.75" customHeight="1">
      <c r="A302" s="1427"/>
      <c r="D302" s="7"/>
    </row>
    <row r="303" ht="15.75" customHeight="1">
      <c r="A303" s="1427"/>
      <c r="D303" s="7"/>
    </row>
    <row r="304" ht="15.75" customHeight="1">
      <c r="A304" s="1427"/>
      <c r="D304" s="7"/>
    </row>
    <row r="305" ht="15.75" customHeight="1">
      <c r="A305" s="1427"/>
      <c r="D305" s="7"/>
    </row>
    <row r="306" ht="15.75" customHeight="1">
      <c r="A306" s="1427"/>
      <c r="D306" s="7"/>
    </row>
    <row r="307" ht="15.75" customHeight="1">
      <c r="A307" s="1427"/>
      <c r="D307" s="7"/>
    </row>
    <row r="308" ht="15.75" customHeight="1">
      <c r="A308" s="1427"/>
      <c r="D308" s="7"/>
    </row>
    <row r="309" ht="15.75" customHeight="1">
      <c r="A309" s="1427"/>
      <c r="D309" s="7"/>
    </row>
    <row r="310" ht="15.75" customHeight="1">
      <c r="A310" s="1427"/>
      <c r="D310" s="7"/>
    </row>
    <row r="311" ht="15.75" customHeight="1">
      <c r="A311" s="1427"/>
      <c r="D311" s="7"/>
    </row>
    <row r="312" ht="15.75" customHeight="1">
      <c r="A312" s="1427"/>
      <c r="D312" s="7"/>
    </row>
    <row r="313" ht="15.75" customHeight="1">
      <c r="A313" s="1427"/>
      <c r="D313" s="7"/>
    </row>
    <row r="314" ht="15.75" customHeight="1">
      <c r="A314" s="1427"/>
      <c r="D314" s="7"/>
    </row>
    <row r="315" ht="15.75" customHeight="1">
      <c r="A315" s="1427"/>
      <c r="D315" s="7"/>
    </row>
    <row r="316" ht="15.75" customHeight="1">
      <c r="A316" s="1427"/>
      <c r="D316" s="7"/>
    </row>
    <row r="317" ht="15.75" customHeight="1">
      <c r="A317" s="1427"/>
      <c r="D317" s="7"/>
    </row>
    <row r="318" ht="15.75" customHeight="1">
      <c r="A318" s="1427"/>
      <c r="D318" s="7"/>
    </row>
    <row r="319" ht="15.75" customHeight="1">
      <c r="A319" s="1427"/>
      <c r="D319" s="7"/>
    </row>
    <row r="320" ht="15.75" customHeight="1">
      <c r="A320" s="1427"/>
      <c r="D320" s="7"/>
    </row>
    <row r="321" ht="15.75" customHeight="1">
      <c r="A321" s="1427"/>
      <c r="D321" s="7"/>
    </row>
    <row r="322" ht="15.75" customHeight="1">
      <c r="A322" s="1427"/>
      <c r="D322" s="7"/>
    </row>
    <row r="323" ht="15.75" customHeight="1">
      <c r="A323" s="1427"/>
      <c r="D323" s="7"/>
    </row>
    <row r="324" ht="15.75" customHeight="1">
      <c r="A324" s="1427"/>
      <c r="D324" s="7"/>
    </row>
    <row r="325" ht="15.75" customHeight="1">
      <c r="A325" s="1427"/>
      <c r="D325" s="7"/>
    </row>
    <row r="326" ht="15.75" customHeight="1">
      <c r="A326" s="1427"/>
      <c r="D326" s="7"/>
    </row>
    <row r="327" ht="15.75" customHeight="1">
      <c r="A327" s="1427"/>
      <c r="D327" s="7"/>
    </row>
    <row r="328" ht="15.75" customHeight="1">
      <c r="A328" s="1427"/>
      <c r="D328" s="7"/>
    </row>
    <row r="329" ht="15.75" customHeight="1">
      <c r="A329" s="1427"/>
      <c r="D329" s="7"/>
    </row>
    <row r="330" ht="15.75" customHeight="1">
      <c r="A330" s="1427"/>
      <c r="D330" s="7"/>
    </row>
    <row r="331" ht="15.75" customHeight="1">
      <c r="A331" s="1427"/>
      <c r="D331" s="7"/>
    </row>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94" t="str">
        <f>IFERROR(__xludf.DUMMYFUNCTION("IMPORTRANGE(""1SwjsFDUVIW_NxqydesJ2L6CoZHpalluwexhIgMth_Yo"",""mavi!A1:Q"")"),"")</f>
        <v/>
      </c>
      <c r="B1" s="94" t="str">
        <f>IFERROR(__xludf.DUMMYFUNCTION("""COMPUTED_VALUE"""),"номер")</f>
        <v>номер</v>
      </c>
      <c r="C1" s="94"/>
      <c r="D1" s="94"/>
      <c r="E1" s="1429" t="str">
        <f>IFERROR(__xludf.DUMMYFUNCTION("""COMPUTED_VALUE"""),"дата заезда")</f>
        <v>дата заезда</v>
      </c>
      <c r="F1" s="1429" t="str">
        <f>IFERROR(__xludf.DUMMYFUNCTION("""COMPUTED_VALUE"""),"дата выезда")</f>
        <v>дата выезда</v>
      </c>
      <c r="G1" s="1164" t="str">
        <f>IFERROR(__xludf.DUMMYFUNCTION("""COMPUTED_VALUE"""),"кол-во дней")</f>
        <v>кол-во дней</v>
      </c>
      <c r="H1" s="1430" t="str">
        <f>IFERROR(__xludf.DUMMYFUNCTION("""COMPUTED_VALUE"""),"стоимость")</f>
        <v>стоимость</v>
      </c>
      <c r="I1" s="94"/>
      <c r="J1" s="94"/>
      <c r="K1" s="1430" t="str">
        <f>IFERROR(__xludf.DUMMYFUNCTION("""COMPUTED_VALUE"""),"Компенс клин")</f>
        <v>Компенс клин</v>
      </c>
      <c r="L1" s="94" t="str">
        <f>IFERROR(__xludf.DUMMYFUNCTION("""COMPUTED_VALUE"""),"Уборка факт")</f>
        <v>Уборка факт</v>
      </c>
      <c r="M1" s="94"/>
      <c r="N1" s="94" t="str">
        <f>IFERROR(__xludf.DUMMYFUNCTION("""COMPUTED_VALUE"""),"Общие затраты")</f>
        <v>Общие затраты</v>
      </c>
      <c r="O1" s="94"/>
      <c r="P1" s="1431" t="str">
        <f>IFERROR(__xludf.DUMMYFUNCTION("""COMPUTED_VALUE"""),"курс $")</f>
        <v>курс $</v>
      </c>
      <c r="Q1" s="1432" t="str">
        <f>IFERROR(__xludf.DUMMYFUNCTION("""COMPUTED_VALUE"""),"выручка")</f>
        <v>выручка</v>
      </c>
    </row>
    <row r="2" ht="15.75" customHeight="1">
      <c r="A2" s="94" t="str">
        <f>IFERROR(__xludf.DUMMYFUNCTION("""COMPUTED_VALUE"""),"Итого неделя")</f>
        <v>Итого неделя</v>
      </c>
      <c r="B2" s="94"/>
      <c r="C2" s="94" t="str">
        <f>IFERROR(__xludf.DUMMYFUNCTION("""COMPUTED_VALUE"""),"Комплекс")</f>
        <v>Комплекс</v>
      </c>
      <c r="D2" s="94"/>
      <c r="E2" s="94"/>
      <c r="F2" s="94"/>
      <c r="G2" s="94"/>
      <c r="H2" s="1430" t="str">
        <f>IFERROR(__xludf.DUMMYFUNCTION("""COMPUTED_VALUE"""),"$")</f>
        <v>$</v>
      </c>
      <c r="I2" s="94" t="str">
        <f>IFERROR(__xludf.DUMMYFUNCTION("""COMPUTED_VALUE"""),"Gel")</f>
        <v>Gel</v>
      </c>
      <c r="J2" s="94" t="str">
        <f>IFERROR(__xludf.DUMMYFUNCTION("""COMPUTED_VALUE"""),"руб")</f>
        <v>руб</v>
      </c>
      <c r="K2" s="94"/>
      <c r="L2" s="94"/>
      <c r="M2" s="94" t="str">
        <f>IFERROR(__xludf.DUMMYFUNCTION("""COMPUTED_VALUE"""),"Своя уборка")</f>
        <v>Своя уборка</v>
      </c>
      <c r="N2" s="94" t="str">
        <f>IFERROR(__xludf.DUMMYFUNCTION("""COMPUTED_VALUE"""),"комиссия или КУ")</f>
        <v>комиссия или КУ</v>
      </c>
      <c r="O2" s="94" t="str">
        <f>IFERROR(__xludf.DUMMYFUNCTION("""COMPUTED_VALUE"""),"клининг")</f>
        <v>клининг</v>
      </c>
      <c r="P2" s="94"/>
      <c r="Q2" s="1432" t="str">
        <f>IFERROR(__xludf.DUMMYFUNCTION("""COMPUTED_VALUE"""),"Итого в gel")</f>
        <v>Итого в gel</v>
      </c>
    </row>
    <row r="3" ht="15.75" customHeight="1">
      <c r="A3" s="94"/>
      <c r="B3" s="94" t="str">
        <f>IFERROR(__xludf.DUMMYFUNCTION("""COMPUTED_VALUE"""),"WS В 1510")</f>
        <v>WS В 1510</v>
      </c>
      <c r="C3" s="94"/>
      <c r="D3" s="1432">
        <f>IFERROR(__xludf.DUMMYFUNCTION("""COMPUTED_VALUE"""),1.0)</f>
        <v>1</v>
      </c>
      <c r="E3" s="94">
        <f>IFERROR(__xludf.DUMMYFUNCTION("""COMPUTED_VALUE"""),2.0)</f>
        <v>2</v>
      </c>
      <c r="F3" s="94"/>
      <c r="G3" s="94"/>
      <c r="H3" s="94">
        <f>IFERROR(__xludf.DUMMYFUNCTION("""COMPUTED_VALUE"""),328.0)</f>
        <v>328</v>
      </c>
      <c r="I3" s="94"/>
      <c r="J3" s="94"/>
      <c r="K3" s="94">
        <f>IFERROR(__xludf.DUMMYFUNCTION("""COMPUTED_VALUE"""),55.0)</f>
        <v>55</v>
      </c>
      <c r="L3" s="94">
        <f>IFERROR(__xludf.DUMMYFUNCTION("""COMPUTED_VALUE"""),55.0)</f>
        <v>55</v>
      </c>
      <c r="M3" s="94">
        <f>IFERROR(__xludf.DUMMYFUNCTION("""COMPUTED_VALUE"""),0.0)</f>
        <v>0</v>
      </c>
      <c r="N3" s="94"/>
      <c r="O3" s="94"/>
      <c r="P3" s="94"/>
      <c r="Q3" s="1432">
        <f>IFERROR(__xludf.DUMMYFUNCTION("""COMPUTED_VALUE"""),827.3199999999999)</f>
        <v>827.32</v>
      </c>
    </row>
    <row r="4" ht="15.75" customHeight="1">
      <c r="A4" s="94"/>
      <c r="B4" s="94" t="str">
        <f>IFERROR(__xludf.DUMMYFUNCTION("""COMPUTED_VALUE"""),"WS В 1510")</f>
        <v>WS В 1510</v>
      </c>
      <c r="C4" s="94"/>
      <c r="D4" s="1432">
        <f>IFERROR(__xludf.DUMMYFUNCTION("""COMPUTED_VALUE"""),1.0)</f>
        <v>1</v>
      </c>
      <c r="E4" s="1429">
        <f>IFERROR(__xludf.DUMMYFUNCTION("""COMPUTED_VALUE"""),45658.0)</f>
        <v>45658</v>
      </c>
      <c r="F4" s="94"/>
      <c r="G4" s="94"/>
      <c r="H4" s="94"/>
      <c r="I4" s="94">
        <f>IFERROR(__xludf.DUMMYFUNCTION("""COMPUTED_VALUE"""),570.0)</f>
        <v>570</v>
      </c>
      <c r="J4" s="94"/>
      <c r="K4" s="94">
        <f>IFERROR(__xludf.DUMMYFUNCTION("""COMPUTED_VALUE"""),55.0)</f>
        <v>55</v>
      </c>
      <c r="L4" s="94">
        <f>IFERROR(__xludf.DUMMYFUNCTION("""COMPUTED_VALUE"""),55.0)</f>
        <v>55</v>
      </c>
      <c r="M4" s="94">
        <f>IFERROR(__xludf.DUMMYFUNCTION("""COMPUTED_VALUE"""),0.0)</f>
        <v>0</v>
      </c>
      <c r="N4" s="94"/>
      <c r="O4" s="94"/>
      <c r="P4" s="94"/>
      <c r="Q4" s="1432">
        <f>IFERROR(__xludf.DUMMYFUNCTION("""COMPUTED_VALUE"""),515.0)</f>
        <v>515</v>
      </c>
    </row>
    <row r="5" ht="15.75" customHeight="1">
      <c r="A5" s="94"/>
      <c r="B5" s="94" t="str">
        <f>IFERROR(__xludf.DUMMYFUNCTION("""COMPUTED_VALUE"""),"IBIS 1705")</f>
        <v>IBIS 1705</v>
      </c>
      <c r="C5" s="94"/>
      <c r="D5" s="1432">
        <f>IFERROR(__xludf.DUMMYFUNCTION("""COMPUTED_VALUE"""),1.0)</f>
        <v>1</v>
      </c>
      <c r="E5" s="1429">
        <f>IFERROR(__xludf.DUMMYFUNCTION("""COMPUTED_VALUE"""),45659.0)</f>
        <v>45659</v>
      </c>
      <c r="F5" s="94"/>
      <c r="G5" s="94"/>
      <c r="H5" s="94"/>
      <c r="I5" s="94">
        <f>IFERROR(__xludf.DUMMYFUNCTION("""COMPUTED_VALUE"""),570.0)</f>
        <v>570</v>
      </c>
      <c r="J5" s="94"/>
      <c r="K5" s="94">
        <f>IFERROR(__xludf.DUMMYFUNCTION("""COMPUTED_VALUE"""),55.0)</f>
        <v>55</v>
      </c>
      <c r="L5" s="94">
        <f>IFERROR(__xludf.DUMMYFUNCTION("""COMPUTED_VALUE"""),55.0)</f>
        <v>55</v>
      </c>
      <c r="M5" s="94">
        <f>IFERROR(__xludf.DUMMYFUNCTION("""COMPUTED_VALUE"""),0.0)</f>
        <v>0</v>
      </c>
      <c r="N5" s="94"/>
      <c r="O5" s="94"/>
      <c r="P5" s="94"/>
      <c r="Q5" s="1432">
        <f>IFERROR(__xludf.DUMMYFUNCTION("""COMPUTED_VALUE"""),515.0)</f>
        <v>515</v>
      </c>
    </row>
    <row r="6" ht="15.75" customHeight="1">
      <c r="A6" s="94"/>
      <c r="B6" s="94" t="str">
        <f>IFERROR(__xludf.DUMMYFUNCTION("""COMPUTED_VALUE"""),"WS В 503")</f>
        <v>WS В 503</v>
      </c>
      <c r="C6" s="94"/>
      <c r="D6" s="1432">
        <f>IFERROR(__xludf.DUMMYFUNCTION("""COMPUTED_VALUE"""),1.0)</f>
        <v>1</v>
      </c>
      <c r="E6" s="1429">
        <f>IFERROR(__xludf.DUMMYFUNCTION("""COMPUTED_VALUE"""),45659.0)</f>
        <v>45659</v>
      </c>
      <c r="F6" s="94"/>
      <c r="G6" s="94"/>
      <c r="H6" s="94">
        <f>IFERROR(__xludf.DUMMYFUNCTION("""COMPUTED_VALUE"""),190.0)</f>
        <v>190</v>
      </c>
      <c r="I6" s="94"/>
      <c r="J6" s="94"/>
      <c r="K6" s="94">
        <f>IFERROR(__xludf.DUMMYFUNCTION("""COMPUTED_VALUE"""),55.0)</f>
        <v>55</v>
      </c>
      <c r="L6" s="94">
        <f>IFERROR(__xludf.DUMMYFUNCTION("""COMPUTED_VALUE"""),55.0)</f>
        <v>55</v>
      </c>
      <c r="M6" s="94">
        <f>IFERROR(__xludf.DUMMYFUNCTION("""COMPUTED_VALUE"""),0.0)</f>
        <v>0</v>
      </c>
      <c r="N6" s="94"/>
      <c r="O6" s="94"/>
      <c r="P6" s="94"/>
      <c r="Q6" s="1432">
        <f>IFERROR(__xludf.DUMMYFUNCTION("""COMPUTED_VALUE"""),454.20000000000005)</f>
        <v>454.2</v>
      </c>
    </row>
    <row r="7" ht="15.75" customHeight="1">
      <c r="A7" s="94"/>
      <c r="B7" s="94" t="str">
        <f>IFERROR(__xludf.DUMMYFUNCTION("""COMPUTED_VALUE"""),"Wyn")</f>
        <v>Wyn</v>
      </c>
      <c r="C7" s="94"/>
      <c r="D7" s="1432">
        <f>IFERROR(__xludf.DUMMYFUNCTION("""COMPUTED_VALUE"""),1.0)</f>
        <v>1</v>
      </c>
      <c r="E7" s="1429">
        <f>IFERROR(__xludf.DUMMYFUNCTION("""COMPUTED_VALUE"""),45662.0)</f>
        <v>45662</v>
      </c>
      <c r="F7" s="94"/>
      <c r="G7" s="94"/>
      <c r="H7" s="94">
        <f>IFERROR(__xludf.DUMMYFUNCTION("""COMPUTED_VALUE"""),180.0)</f>
        <v>180</v>
      </c>
      <c r="I7" s="94"/>
      <c r="J7" s="94"/>
      <c r="K7" s="94">
        <f>IFERROR(__xludf.DUMMYFUNCTION("""COMPUTED_VALUE"""),55.0)</f>
        <v>55</v>
      </c>
      <c r="L7" s="94">
        <f>IFERROR(__xludf.DUMMYFUNCTION("""COMPUTED_VALUE"""),55.0)</f>
        <v>55</v>
      </c>
      <c r="M7" s="94">
        <f>IFERROR(__xludf.DUMMYFUNCTION("""COMPUTED_VALUE"""),0.0)</f>
        <v>0</v>
      </c>
      <c r="N7" s="94"/>
      <c r="O7" s="94"/>
      <c r="P7" s="94"/>
      <c r="Q7" s="1432">
        <f>IFERROR(__xludf.DUMMYFUNCTION("""COMPUTED_VALUE"""),482.40000000000003)</f>
        <v>482.4</v>
      </c>
    </row>
    <row r="8" ht="15.75" customHeight="1">
      <c r="A8" s="94"/>
      <c r="B8" s="94" t="str">
        <f>IFERROR(__xludf.DUMMYFUNCTION("""COMPUTED_VALUE"""),"WS F 907")</f>
        <v>WS F 907</v>
      </c>
      <c r="C8" s="94"/>
      <c r="D8" s="1432">
        <f>IFERROR(__xludf.DUMMYFUNCTION("""COMPUTED_VALUE"""),1.0)</f>
        <v>1</v>
      </c>
      <c r="E8" s="1429">
        <f>IFERROR(__xludf.DUMMYFUNCTION("""COMPUTED_VALUE"""),45664.0)</f>
        <v>45664</v>
      </c>
      <c r="F8" s="94"/>
      <c r="G8" s="94"/>
      <c r="H8" s="94">
        <f>IFERROR(__xludf.DUMMYFUNCTION("""COMPUTED_VALUE"""),450.0)</f>
        <v>450</v>
      </c>
      <c r="I8" s="94"/>
      <c r="J8" s="94"/>
      <c r="K8" s="94">
        <f>IFERROR(__xludf.DUMMYFUNCTION("""COMPUTED_VALUE"""),55.0)</f>
        <v>55</v>
      </c>
      <c r="L8" s="94">
        <f>IFERROR(__xludf.DUMMYFUNCTION("""COMPUTED_VALUE"""),55.0)</f>
        <v>55</v>
      </c>
      <c r="M8" s="94">
        <f>IFERROR(__xludf.DUMMYFUNCTION("""COMPUTED_VALUE"""),0.0)</f>
        <v>0</v>
      </c>
      <c r="N8" s="94"/>
      <c r="O8" s="94"/>
      <c r="P8" s="94"/>
      <c r="Q8" s="1432">
        <f>IFERROR(__xludf.DUMMYFUNCTION("""COMPUTED_VALUE"""),1206.0)</f>
        <v>1206</v>
      </c>
    </row>
    <row r="9" ht="15.75" customHeight="1">
      <c r="A9" s="94"/>
      <c r="B9" s="94" t="str">
        <f>IFERROR(__xludf.DUMMYFUNCTION("""COMPUTED_VALUE"""),"С 1125")</f>
        <v>С 1125</v>
      </c>
      <c r="C9" s="94"/>
      <c r="D9" s="1432">
        <f>IFERROR(__xludf.DUMMYFUNCTION("""COMPUTED_VALUE"""),1.0)</f>
        <v>1</v>
      </c>
      <c r="E9" s="1429">
        <f>IFERROR(__xludf.DUMMYFUNCTION("""COMPUTED_VALUE"""),45658.0)</f>
        <v>45658</v>
      </c>
      <c r="F9" s="94"/>
      <c r="G9" s="94"/>
      <c r="H9" s="94">
        <f>IFERROR(__xludf.DUMMYFUNCTION("""COMPUTED_VALUE"""),122.0)</f>
        <v>122</v>
      </c>
      <c r="I9" s="94"/>
      <c r="J9" s="94"/>
      <c r="K9" s="94">
        <f>IFERROR(__xludf.DUMMYFUNCTION("""COMPUTED_VALUE"""),55.0)</f>
        <v>55</v>
      </c>
      <c r="L9" s="94">
        <f>IFERROR(__xludf.DUMMYFUNCTION("""COMPUTED_VALUE"""),55.0)</f>
        <v>55</v>
      </c>
      <c r="M9" s="94">
        <f>IFERROR(__xludf.DUMMYFUNCTION("""COMPUTED_VALUE"""),0.0)</f>
        <v>0</v>
      </c>
      <c r="N9" s="94"/>
      <c r="O9" s="94"/>
      <c r="P9" s="94"/>
      <c r="Q9" s="1432">
        <f>IFERROR(__xludf.DUMMYFUNCTION("""COMPUTED_VALUE"""),273.18)</f>
        <v>273.18</v>
      </c>
    </row>
    <row r="10" ht="15.75" customHeight="1">
      <c r="A10" s="94" t="str">
        <f>IFERROR(__xludf.DUMMYFUNCTION("""COMPUTED_VALUE"""),"Итого неделя")</f>
        <v>Итого неделя</v>
      </c>
      <c r="B10" s="94" t="str">
        <f>IFERROR(__xludf.DUMMYFUNCTION("""COMPUTED_VALUE"""),"1 неделя")</f>
        <v>1 неделя</v>
      </c>
      <c r="C10" s="94"/>
      <c r="D10" s="94"/>
      <c r="E10" s="1429" t="str">
        <f>IFERROR(__xludf.DUMMYFUNCTION("""COMPUTED_VALUE"""),"1-7 января")</f>
        <v>1-7 января</v>
      </c>
      <c r="F10" s="94"/>
      <c r="G10" s="94"/>
      <c r="H10" s="1430">
        <f>IFERROR(__xludf.DUMMYFUNCTION("""COMPUTED_VALUE"""),1270.0)</f>
        <v>1270</v>
      </c>
      <c r="I10" s="1430">
        <f>IFERROR(__xludf.DUMMYFUNCTION("""COMPUTED_VALUE"""),1140.0)</f>
        <v>1140</v>
      </c>
      <c r="J10" s="1430">
        <f>IFERROR(__xludf.DUMMYFUNCTION("""COMPUTED_VALUE"""),0.0)</f>
        <v>0</v>
      </c>
      <c r="K10" s="94"/>
      <c r="L10" s="1430">
        <f>IFERROR(__xludf.DUMMYFUNCTION("""COMPUTED_VALUE"""),385.0)</f>
        <v>385</v>
      </c>
      <c r="M10" s="94"/>
      <c r="N10" s="1430">
        <f>IFERROR(__xludf.DUMMYFUNCTION("""COMPUTED_VALUE"""),0.0)</f>
        <v>0</v>
      </c>
      <c r="O10" s="94"/>
      <c r="P10" s="94"/>
      <c r="Q10" s="1432">
        <f>IFERROR(__xludf.DUMMYFUNCTION("""COMPUTED_VALUE"""),4273.1)</f>
        <v>4273.1</v>
      </c>
    </row>
    <row r="11" ht="15.75" customHeight="1">
      <c r="A11" s="94"/>
      <c r="B11" s="94" t="str">
        <f>IFERROR(__xludf.DUMMYFUNCTION("""COMPUTED_VALUE"""),"C 4245")</f>
        <v>C 4245</v>
      </c>
      <c r="C11" s="94"/>
      <c r="D11" s="1432">
        <f>IFERROR(__xludf.DUMMYFUNCTION("""COMPUTED_VALUE"""),1.0)</f>
        <v>1</v>
      </c>
      <c r="E11" s="1429">
        <f>IFERROR(__xludf.DUMMYFUNCTION("""COMPUTED_VALUE"""),45299.0)</f>
        <v>45299</v>
      </c>
      <c r="F11" s="1429">
        <f>IFERROR(__xludf.DUMMYFUNCTION("""COMPUTED_VALUE"""),45301.0)</f>
        <v>45301</v>
      </c>
      <c r="G11" s="1164">
        <f>IFERROR(__xludf.DUMMYFUNCTION("""COMPUTED_VALUE"""),2.0)</f>
        <v>2</v>
      </c>
      <c r="H11" s="94">
        <f>IFERROR(__xludf.DUMMYFUNCTION("""COMPUTED_VALUE"""),69.0)</f>
        <v>69</v>
      </c>
      <c r="I11" s="94"/>
      <c r="J11" s="94"/>
      <c r="K11" s="94">
        <f>IFERROR(__xludf.DUMMYFUNCTION("""COMPUTED_VALUE"""),70.0)</f>
        <v>70</v>
      </c>
      <c r="L11" s="94">
        <f>IFERROR(__xludf.DUMMYFUNCTION("""COMPUTED_VALUE"""),70.0)</f>
        <v>70</v>
      </c>
      <c r="M11" s="94">
        <f>IFERROR(__xludf.DUMMYFUNCTION("""COMPUTED_VALUE"""),0.0)</f>
        <v>0</v>
      </c>
      <c r="N11" s="94"/>
      <c r="O11" s="94"/>
      <c r="P11" s="94"/>
      <c r="Q11" s="1432">
        <f>IFERROR(__xludf.DUMMYFUNCTION("""COMPUTED_VALUE"""),115.60999999999999)</f>
        <v>115.61</v>
      </c>
    </row>
    <row r="12" ht="15.75" customHeight="1">
      <c r="A12" s="94"/>
      <c r="B12" s="94" t="str">
        <f>IFERROR(__xludf.DUMMYFUNCTION("""COMPUTED_VALUE"""),"C 4245")</f>
        <v>C 4245</v>
      </c>
      <c r="C12" s="94"/>
      <c r="D12" s="1432">
        <f>IFERROR(__xludf.DUMMYFUNCTION("""COMPUTED_VALUE"""),1.0)</f>
        <v>1</v>
      </c>
      <c r="E12" s="1429">
        <f>IFERROR(__xludf.DUMMYFUNCTION("""COMPUTED_VALUE"""),45301.0)</f>
        <v>45301</v>
      </c>
      <c r="F12" s="1429">
        <f>IFERROR(__xludf.DUMMYFUNCTION("""COMPUTED_VALUE"""),45303.0)</f>
        <v>45303</v>
      </c>
      <c r="G12" s="1164">
        <f>IFERROR(__xludf.DUMMYFUNCTION("""COMPUTED_VALUE"""),2.0)</f>
        <v>2</v>
      </c>
      <c r="H12" s="94">
        <f>IFERROR(__xludf.DUMMYFUNCTION("""COMPUTED_VALUE"""),53.0)</f>
        <v>53</v>
      </c>
      <c r="I12" s="94"/>
      <c r="J12" s="94"/>
      <c r="K12" s="94">
        <f>IFERROR(__xludf.DUMMYFUNCTION("""COMPUTED_VALUE"""),70.0)</f>
        <v>70</v>
      </c>
      <c r="L12" s="94">
        <f>IFERROR(__xludf.DUMMYFUNCTION("""COMPUTED_VALUE"""),70.0)</f>
        <v>70</v>
      </c>
      <c r="M12" s="94">
        <f>IFERROR(__xludf.DUMMYFUNCTION("""COMPUTED_VALUE"""),0.0)</f>
        <v>0</v>
      </c>
      <c r="N12" s="94"/>
      <c r="O12" s="94"/>
      <c r="P12" s="94"/>
      <c r="Q12" s="1432">
        <f>IFERROR(__xludf.DUMMYFUNCTION("""COMPUTED_VALUE"""),72.57)</f>
        <v>72.57</v>
      </c>
    </row>
    <row r="13" ht="15.75" customHeight="1">
      <c r="A13" s="94"/>
      <c r="B13" s="94" t="str">
        <f>IFERROR(__xludf.DUMMYFUNCTION("""COMPUTED_VALUE"""),"C 4245")</f>
        <v>C 4245</v>
      </c>
      <c r="C13" s="94"/>
      <c r="D13" s="1432">
        <f>IFERROR(__xludf.DUMMYFUNCTION("""COMPUTED_VALUE"""),1.0)</f>
        <v>1</v>
      </c>
      <c r="E13" s="1429">
        <f>IFERROR(__xludf.DUMMYFUNCTION("""COMPUTED_VALUE"""),45304.0)</f>
        <v>45304</v>
      </c>
      <c r="F13" s="1429">
        <f>IFERROR(__xludf.DUMMYFUNCTION("""COMPUTED_VALUE"""),45309.0)</f>
        <v>45309</v>
      </c>
      <c r="G13" s="1164">
        <f>IFERROR(__xludf.DUMMYFUNCTION("""COMPUTED_VALUE"""),5.0)</f>
        <v>5</v>
      </c>
      <c r="H13" s="94">
        <f>IFERROR(__xludf.DUMMYFUNCTION("""COMPUTED_VALUE"""),100.0)</f>
        <v>100</v>
      </c>
      <c r="I13" s="94"/>
      <c r="J13" s="94"/>
      <c r="K13" s="94">
        <f>IFERROR(__xludf.DUMMYFUNCTION("""COMPUTED_VALUE"""),70.0)</f>
        <v>70</v>
      </c>
      <c r="L13" s="94">
        <f>IFERROR(__xludf.DUMMYFUNCTION("""COMPUTED_VALUE"""),55.0)</f>
        <v>55</v>
      </c>
      <c r="M13" s="94">
        <f>IFERROR(__xludf.DUMMYFUNCTION("""COMPUTED_VALUE"""),15.0)</f>
        <v>15</v>
      </c>
      <c r="N13" s="94"/>
      <c r="O13" s="94"/>
      <c r="P13" s="94"/>
      <c r="Q13" s="1432">
        <f>IFERROR(__xludf.DUMMYFUNCTION("""COMPUTED_VALUE"""),214.0)</f>
        <v>214</v>
      </c>
    </row>
    <row r="14" ht="15.75" customHeight="1">
      <c r="A14" s="94"/>
      <c r="B14" s="94" t="str">
        <f>IFERROR(__xludf.DUMMYFUNCTION("""COMPUTED_VALUE"""),"WS  B 405")</f>
        <v>WS  B 405</v>
      </c>
      <c r="C14" s="94"/>
      <c r="D14" s="1432">
        <f>IFERROR(__xludf.DUMMYFUNCTION("""COMPUTED_VALUE"""),1.0)</f>
        <v>1</v>
      </c>
      <c r="E14" s="1429">
        <f>IFERROR(__xludf.DUMMYFUNCTION("""COMPUTED_VALUE"""),45301.0)</f>
        <v>45301</v>
      </c>
      <c r="F14" s="1429">
        <f>IFERROR(__xludf.DUMMYFUNCTION("""COMPUTED_VALUE"""),45332.0)</f>
        <v>45332</v>
      </c>
      <c r="G14" s="1164">
        <f>IFERROR(__xludf.DUMMYFUNCTION("""COMPUTED_VALUE"""),31.0)</f>
        <v>31</v>
      </c>
      <c r="H14" s="94">
        <f>IFERROR(__xludf.DUMMYFUNCTION("""COMPUTED_VALUE"""),450.0)</f>
        <v>450</v>
      </c>
      <c r="I14" s="94"/>
      <c r="J14" s="94"/>
      <c r="K14" s="94">
        <f>IFERROR(__xludf.DUMMYFUNCTION("""COMPUTED_VALUE"""),55.0)</f>
        <v>55</v>
      </c>
      <c r="L14" s="94">
        <f>IFERROR(__xludf.DUMMYFUNCTION("""COMPUTED_VALUE"""),55.0)</f>
        <v>55</v>
      </c>
      <c r="M14" s="94">
        <f>IFERROR(__xludf.DUMMYFUNCTION("""COMPUTED_VALUE"""),0.0)</f>
        <v>0</v>
      </c>
      <c r="N14" s="94"/>
      <c r="O14" s="94"/>
      <c r="P14" s="94"/>
      <c r="Q14" s="1432">
        <f>IFERROR(__xludf.DUMMYFUNCTION("""COMPUTED_VALUE"""),1146.5)</f>
        <v>1146.5</v>
      </c>
    </row>
    <row r="15" ht="15.75" customHeight="1">
      <c r="A15" s="94"/>
      <c r="B15" s="94" t="str">
        <f>IFERROR(__xludf.DUMMYFUNCTION("""COMPUTED_VALUE"""),"С 1443")</f>
        <v>С 1443</v>
      </c>
      <c r="C15" s="94"/>
      <c r="D15" s="1432">
        <f>IFERROR(__xludf.DUMMYFUNCTION("""COMPUTED_VALUE"""),1.0)</f>
        <v>1</v>
      </c>
      <c r="E15" s="1429">
        <f>IFERROR(__xludf.DUMMYFUNCTION("""COMPUTED_VALUE"""),45300.0)</f>
        <v>45300</v>
      </c>
      <c r="F15" s="1429">
        <f>IFERROR(__xludf.DUMMYFUNCTION("""COMPUTED_VALUE"""),45302.0)</f>
        <v>45302</v>
      </c>
      <c r="G15" s="1164">
        <f>IFERROR(__xludf.DUMMYFUNCTION("""COMPUTED_VALUE"""),2.0)</f>
        <v>2</v>
      </c>
      <c r="H15" s="94">
        <f>IFERROR(__xludf.DUMMYFUNCTION("""COMPUTED_VALUE"""),50.0)</f>
        <v>50</v>
      </c>
      <c r="I15" s="94"/>
      <c r="J15" s="94"/>
      <c r="K15" s="94">
        <f>IFERROR(__xludf.DUMMYFUNCTION("""COMPUTED_VALUE"""),70.0)</f>
        <v>70</v>
      </c>
      <c r="L15" s="94">
        <f>IFERROR(__xludf.DUMMYFUNCTION("""COMPUTED_VALUE"""),70.0)</f>
        <v>70</v>
      </c>
      <c r="M15" s="94">
        <f>IFERROR(__xludf.DUMMYFUNCTION("""COMPUTED_VALUE"""),0.0)</f>
        <v>0</v>
      </c>
      <c r="N15" s="94"/>
      <c r="O15" s="94"/>
      <c r="P15" s="94"/>
      <c r="Q15" s="1432">
        <f>IFERROR(__xludf.DUMMYFUNCTION("""COMPUTED_VALUE"""),63.5)</f>
        <v>63.5</v>
      </c>
    </row>
    <row r="16" ht="15.75" customHeight="1">
      <c r="A16" s="94"/>
      <c r="B16" s="94" t="str">
        <f>IFERROR(__xludf.DUMMYFUNCTION("""COMPUTED_VALUE"""),"С 1443")</f>
        <v>С 1443</v>
      </c>
      <c r="C16" s="94"/>
      <c r="D16" s="1432">
        <f>IFERROR(__xludf.DUMMYFUNCTION("""COMPUTED_VALUE"""),1.0)</f>
        <v>1</v>
      </c>
      <c r="E16" s="1429">
        <f>IFERROR(__xludf.DUMMYFUNCTION("""COMPUTED_VALUE"""),45302.0)</f>
        <v>45302</v>
      </c>
      <c r="F16" s="1429">
        <f>IFERROR(__xludf.DUMMYFUNCTION("""COMPUTED_VALUE"""),45305.0)</f>
        <v>45305</v>
      </c>
      <c r="G16" s="1164">
        <f>IFERROR(__xludf.DUMMYFUNCTION("""COMPUTED_VALUE"""),3.0)</f>
        <v>3</v>
      </c>
      <c r="H16" s="94">
        <f>IFERROR(__xludf.DUMMYFUNCTION("""COMPUTED_VALUE"""),68.0)</f>
        <v>68</v>
      </c>
      <c r="I16" s="94"/>
      <c r="J16" s="94"/>
      <c r="K16" s="94">
        <f>IFERROR(__xludf.DUMMYFUNCTION("""COMPUTED_VALUE"""),70.0)</f>
        <v>70</v>
      </c>
      <c r="L16" s="94">
        <f>IFERROR(__xludf.DUMMYFUNCTION("""COMPUTED_VALUE"""),70.0)</f>
        <v>70</v>
      </c>
      <c r="M16" s="94">
        <f>IFERROR(__xludf.DUMMYFUNCTION("""COMPUTED_VALUE"""),0.0)</f>
        <v>0</v>
      </c>
      <c r="N16" s="94"/>
      <c r="O16" s="94"/>
      <c r="P16" s="94"/>
      <c r="Q16" s="1432">
        <f>IFERROR(__xludf.DUMMYFUNCTION("""COMPUTED_VALUE"""),111.56)</f>
        <v>111.56</v>
      </c>
    </row>
    <row r="17" ht="15.75" customHeight="1">
      <c r="A17" s="94" t="str">
        <f>IFERROR(__xludf.DUMMYFUNCTION("""COMPUTED_VALUE"""),"Итого неделя")</f>
        <v>Итого неделя</v>
      </c>
      <c r="B17" s="94" t="str">
        <f>IFERROR(__xludf.DUMMYFUNCTION("""COMPUTED_VALUE"""),"2 неделя")</f>
        <v>2 неделя</v>
      </c>
      <c r="C17" s="94"/>
      <c r="D17" s="1432" t="str">
        <f>IFERROR(__xludf.DUMMYFUNCTION("""COMPUTED_VALUE"""),"#VALUE!")</f>
        <v>#VALUE!</v>
      </c>
      <c r="E17" s="1429" t="str">
        <f>IFERROR(__xludf.DUMMYFUNCTION("""COMPUTED_VALUE"""),"8-14 января")</f>
        <v>8-14 января</v>
      </c>
      <c r="F17" s="94"/>
      <c r="G17" s="94"/>
      <c r="H17" s="94"/>
      <c r="I17" s="94"/>
      <c r="J17" s="94"/>
      <c r="K17" s="94"/>
      <c r="L17" s="94"/>
      <c r="M17" s="94">
        <f>IFERROR(__xludf.DUMMYFUNCTION("""COMPUTED_VALUE"""),0.0)</f>
        <v>0</v>
      </c>
      <c r="N17" s="94"/>
      <c r="O17" s="94"/>
      <c r="P17" s="94"/>
      <c r="Q17" s="1432">
        <f>IFERROR(__xludf.DUMMYFUNCTION("""COMPUTED_VALUE"""),1723.7399999999998)</f>
        <v>1723.74</v>
      </c>
    </row>
    <row r="18" ht="15.75" customHeight="1">
      <c r="A18" s="94"/>
      <c r="B18" s="94" t="str">
        <f>IFERROR(__xludf.DUMMYFUNCTION("""COMPUTED_VALUE"""),"A 2851")</f>
        <v>A 2851</v>
      </c>
      <c r="C18" s="94"/>
      <c r="D18" s="1432">
        <f>IFERROR(__xludf.DUMMYFUNCTION("""COMPUTED_VALUE"""),1.0)</f>
        <v>1</v>
      </c>
      <c r="E18" s="1429">
        <f>IFERROR(__xludf.DUMMYFUNCTION("""COMPUTED_VALUE"""),45307.0)</f>
        <v>45307</v>
      </c>
      <c r="F18" s="1429">
        <f>IFERROR(__xludf.DUMMYFUNCTION("""COMPUTED_VALUE"""),45338.0)</f>
        <v>45338</v>
      </c>
      <c r="G18" s="1164">
        <f>IFERROR(__xludf.DUMMYFUNCTION("""COMPUTED_VALUE"""),31.0)</f>
        <v>31</v>
      </c>
      <c r="H18" s="94">
        <f>IFERROR(__xludf.DUMMYFUNCTION("""COMPUTED_VALUE"""),350.0)</f>
        <v>350</v>
      </c>
      <c r="I18" s="94"/>
      <c r="J18" s="94"/>
      <c r="K18" s="94">
        <f>IFERROR(__xludf.DUMMYFUNCTION("""COMPUTED_VALUE"""),55.0)</f>
        <v>55</v>
      </c>
      <c r="L18" s="94">
        <f>IFERROR(__xludf.DUMMYFUNCTION("""COMPUTED_VALUE"""),55.0)</f>
        <v>55</v>
      </c>
      <c r="M18" s="94">
        <f>IFERROR(__xludf.DUMMYFUNCTION("""COMPUTED_VALUE"""),0.0)</f>
        <v>0</v>
      </c>
      <c r="N18" s="94"/>
      <c r="O18" s="94"/>
      <c r="P18" s="94"/>
      <c r="Q18" s="1432">
        <f>IFERROR(__xludf.DUMMYFUNCTION("""COMPUTED_VALUE"""),883.0)</f>
        <v>883</v>
      </c>
    </row>
    <row r="19" ht="15.75" customHeight="1">
      <c r="A19" s="94"/>
      <c r="B19" s="94" t="str">
        <f>IFERROR(__xludf.DUMMYFUNCTION("""COMPUTED_VALUE"""),"А 4049")</f>
        <v>А 4049</v>
      </c>
      <c r="C19" s="94"/>
      <c r="D19" s="1432">
        <f>IFERROR(__xludf.DUMMYFUNCTION("""COMPUTED_VALUE"""),1.0)</f>
        <v>1</v>
      </c>
      <c r="E19" s="1429">
        <f>IFERROR(__xludf.DUMMYFUNCTION("""COMPUTED_VALUE"""),45307.0)</f>
        <v>45307</v>
      </c>
      <c r="F19" s="1429">
        <f>IFERROR(__xludf.DUMMYFUNCTION("""COMPUTED_VALUE"""),45309.0)</f>
        <v>45309</v>
      </c>
      <c r="G19" s="1164">
        <f>IFERROR(__xludf.DUMMYFUNCTION("""COMPUTED_VALUE"""),2.0)</f>
        <v>2</v>
      </c>
      <c r="H19" s="94">
        <f>IFERROR(__xludf.DUMMYFUNCTION("""COMPUTED_VALUE"""),40.0)</f>
        <v>40</v>
      </c>
      <c r="I19" s="94"/>
      <c r="J19" s="94"/>
      <c r="K19" s="94">
        <f>IFERROR(__xludf.DUMMYFUNCTION("""COMPUTED_VALUE"""),55.0)</f>
        <v>55</v>
      </c>
      <c r="L19" s="94">
        <f>IFERROR(__xludf.DUMMYFUNCTION("""COMPUTED_VALUE"""),55.0)</f>
        <v>55</v>
      </c>
      <c r="M19" s="94">
        <f>IFERROR(__xludf.DUMMYFUNCTION("""COMPUTED_VALUE"""),0.0)</f>
        <v>0</v>
      </c>
      <c r="N19" s="94"/>
      <c r="O19" s="94"/>
      <c r="P19" s="94"/>
      <c r="Q19" s="1432">
        <f>IFERROR(__xludf.DUMMYFUNCTION("""COMPUTED_VALUE"""),51.8)</f>
        <v>51.8</v>
      </c>
    </row>
    <row r="20" ht="15.75" customHeight="1">
      <c r="A20" s="94"/>
      <c r="B20" s="94" t="str">
        <f>IFERROR(__xludf.DUMMYFUNCTION("""COMPUTED_VALUE"""),"Горизонт 2705")</f>
        <v>Горизонт 2705</v>
      </c>
      <c r="C20" s="94"/>
      <c r="D20" s="1432">
        <f>IFERROR(__xludf.DUMMYFUNCTION("""COMPUTED_VALUE"""),1.0)</f>
        <v>1</v>
      </c>
      <c r="E20" s="1429">
        <f>IFERROR(__xludf.DUMMYFUNCTION("""COMPUTED_VALUE"""),45310.0)</f>
        <v>45310</v>
      </c>
      <c r="F20" s="1429">
        <f>IFERROR(__xludf.DUMMYFUNCTION("""COMPUTED_VALUE"""),45341.0)</f>
        <v>45341</v>
      </c>
      <c r="G20" s="1164">
        <f>IFERROR(__xludf.DUMMYFUNCTION("""COMPUTED_VALUE"""),31.0)</f>
        <v>31</v>
      </c>
      <c r="H20" s="94">
        <f>IFERROR(__xludf.DUMMYFUNCTION("""COMPUTED_VALUE"""),320.0)</f>
        <v>320</v>
      </c>
      <c r="I20" s="94"/>
      <c r="J20" s="94"/>
      <c r="K20" s="94">
        <f>IFERROR(__xludf.DUMMYFUNCTION("""COMPUTED_VALUE"""),55.0)</f>
        <v>55</v>
      </c>
      <c r="L20" s="94">
        <f>IFERROR(__xludf.DUMMYFUNCTION("""COMPUTED_VALUE"""),55.0)</f>
        <v>55</v>
      </c>
      <c r="M20" s="94">
        <f>IFERROR(__xludf.DUMMYFUNCTION("""COMPUTED_VALUE"""),0.0)</f>
        <v>0</v>
      </c>
      <c r="N20" s="94"/>
      <c r="O20" s="94"/>
      <c r="P20" s="94"/>
      <c r="Q20" s="1432">
        <f>IFERROR(__xludf.DUMMYFUNCTION("""COMPUTED_VALUE"""),796.2)</f>
        <v>796.2</v>
      </c>
    </row>
    <row r="21" ht="15.75" customHeight="1">
      <c r="A21" s="94"/>
      <c r="B21" s="94"/>
      <c r="C21" s="94"/>
      <c r="D21" s="94"/>
      <c r="E21" s="94"/>
      <c r="F21" s="94"/>
      <c r="G21" s="94"/>
      <c r="H21" s="94"/>
      <c r="I21" s="94"/>
      <c r="J21" s="94"/>
      <c r="K21" s="94"/>
      <c r="L21" s="94"/>
      <c r="M21" s="94">
        <f>IFERROR(__xludf.DUMMYFUNCTION("""COMPUTED_VALUE"""),0.0)</f>
        <v>0</v>
      </c>
      <c r="N21" s="94"/>
      <c r="O21" s="94"/>
      <c r="P21" s="94"/>
      <c r="Q21" s="1432"/>
    </row>
    <row r="22" ht="15.75" customHeight="1">
      <c r="A22" s="94" t="str">
        <f>IFERROR(__xludf.DUMMYFUNCTION("""COMPUTED_VALUE"""),"Итого неделя")</f>
        <v>Итого неделя</v>
      </c>
      <c r="B22" s="94" t="str">
        <f>IFERROR(__xludf.DUMMYFUNCTION("""COMPUTED_VALUE"""),"3 неделя")</f>
        <v>3 неделя</v>
      </c>
      <c r="C22" s="94"/>
      <c r="D22" s="94"/>
      <c r="E22" s="1429" t="str">
        <f>IFERROR(__xludf.DUMMYFUNCTION("""COMPUTED_VALUE"""),"15-21 января")</f>
        <v>15-21 января</v>
      </c>
      <c r="F22" s="94"/>
      <c r="G22" s="94"/>
      <c r="H22" s="94"/>
      <c r="I22" s="94"/>
      <c r="J22" s="94"/>
      <c r="K22" s="94"/>
      <c r="L22" s="94"/>
      <c r="M22" s="94">
        <f>IFERROR(__xludf.DUMMYFUNCTION("""COMPUTED_VALUE"""),0.0)</f>
        <v>0</v>
      </c>
      <c r="N22" s="94"/>
      <c r="O22" s="94"/>
      <c r="P22" s="94"/>
      <c r="Q22" s="1432">
        <f>IFERROR(__xludf.DUMMYFUNCTION("""COMPUTED_VALUE"""),1731.0)</f>
        <v>1731</v>
      </c>
    </row>
    <row r="23" ht="15.75" customHeight="1">
      <c r="A23" s="94"/>
      <c r="B23" s="94" t="str">
        <f>IFERROR(__xludf.DUMMYFUNCTION("""COMPUTED_VALUE"""),"C 4245")</f>
        <v>C 4245</v>
      </c>
      <c r="C23" s="94"/>
      <c r="D23" s="1432">
        <f>IFERROR(__xludf.DUMMYFUNCTION("""COMPUTED_VALUE"""),1.0)</f>
        <v>1</v>
      </c>
      <c r="E23" s="1429">
        <f>IFERROR(__xludf.DUMMYFUNCTION("""COMPUTED_VALUE"""),45316.0)</f>
        <v>45316</v>
      </c>
      <c r="F23" s="1429">
        <f>IFERROR(__xludf.DUMMYFUNCTION("""COMPUTED_VALUE"""),45347.0)</f>
        <v>45347</v>
      </c>
      <c r="G23" s="1164">
        <f>IFERROR(__xludf.DUMMYFUNCTION("""COMPUTED_VALUE"""),31.0)</f>
        <v>31</v>
      </c>
      <c r="H23" s="94">
        <f>IFERROR(__xludf.DUMMYFUNCTION("""COMPUTED_VALUE"""),409.0)</f>
        <v>409</v>
      </c>
      <c r="I23" s="94"/>
      <c r="J23" s="94"/>
      <c r="K23" s="94">
        <f>IFERROR(__xludf.DUMMYFUNCTION("""COMPUTED_VALUE"""),70.0)</f>
        <v>70</v>
      </c>
      <c r="L23" s="94">
        <f>IFERROR(__xludf.DUMMYFUNCTION("""COMPUTED_VALUE"""),55.0)</f>
        <v>55</v>
      </c>
      <c r="M23" s="94">
        <f>IFERROR(__xludf.DUMMYFUNCTION("""COMPUTED_VALUE"""),15.0)</f>
        <v>15</v>
      </c>
      <c r="N23" s="94"/>
      <c r="O23" s="94"/>
      <c r="P23" s="1431">
        <f>IFERROR(__xludf.DUMMYFUNCTION("""COMPUTED_VALUE"""),2.67)</f>
        <v>2.67</v>
      </c>
      <c r="Q23" s="1432">
        <f>IFERROR(__xludf.DUMMYFUNCTION("""COMPUTED_VALUE"""),1037.03)</f>
        <v>1037.03</v>
      </c>
    </row>
    <row r="24" ht="15.75" customHeight="1">
      <c r="A24" s="94"/>
      <c r="B24" s="94" t="str">
        <f>IFERROR(__xludf.DUMMYFUNCTION("""COMPUTED_VALUE"""),"А 4049")</f>
        <v>А 4049</v>
      </c>
      <c r="C24" s="94"/>
      <c r="D24" s="1432">
        <f>IFERROR(__xludf.DUMMYFUNCTION("""COMPUTED_VALUE"""),1.0)</f>
        <v>1</v>
      </c>
      <c r="E24" s="1429">
        <f>IFERROR(__xludf.DUMMYFUNCTION("""COMPUTED_VALUE"""),45313.0)</f>
        <v>45313</v>
      </c>
      <c r="F24" s="1429">
        <f>IFERROR(__xludf.DUMMYFUNCTION("""COMPUTED_VALUE"""),45322.0)</f>
        <v>45322</v>
      </c>
      <c r="G24" s="1164">
        <f>IFERROR(__xludf.DUMMYFUNCTION("""COMPUTED_VALUE"""),9.0)</f>
        <v>9</v>
      </c>
      <c r="H24" s="94">
        <f>IFERROR(__xludf.DUMMYFUNCTION("""COMPUTED_VALUE"""),122.0)</f>
        <v>122</v>
      </c>
      <c r="I24" s="94"/>
      <c r="J24" s="94"/>
      <c r="K24" s="94">
        <f>IFERROR(__xludf.DUMMYFUNCTION("""COMPUTED_VALUE"""),55.0)</f>
        <v>55</v>
      </c>
      <c r="L24" s="94">
        <f>IFERROR(__xludf.DUMMYFUNCTION("""COMPUTED_VALUE"""),55.0)</f>
        <v>55</v>
      </c>
      <c r="M24" s="94">
        <f>IFERROR(__xludf.DUMMYFUNCTION("""COMPUTED_VALUE"""),0.0)</f>
        <v>0</v>
      </c>
      <c r="N24" s="94"/>
      <c r="O24" s="94"/>
      <c r="P24" s="1431">
        <f>IFERROR(__xludf.DUMMYFUNCTION("""COMPUTED_VALUE"""),2.67)</f>
        <v>2.67</v>
      </c>
      <c r="Q24" s="1432">
        <f>IFERROR(__xludf.DUMMYFUNCTION("""COMPUTED_VALUE"""),270.74)</f>
        <v>270.74</v>
      </c>
    </row>
    <row r="25" ht="15.75" customHeight="1">
      <c r="A25" s="94"/>
      <c r="B25" s="94" t="str">
        <f>IFERROR(__xludf.DUMMYFUNCTION("""COMPUTED_VALUE"""),"С 1443")</f>
        <v>С 1443</v>
      </c>
      <c r="C25" s="94"/>
      <c r="D25" s="1432">
        <f>IFERROR(__xludf.DUMMYFUNCTION("""COMPUTED_VALUE"""),1.0)</f>
        <v>1</v>
      </c>
      <c r="E25" s="1429">
        <f>IFERROR(__xludf.DUMMYFUNCTION("""COMPUTED_VALUE"""),45314.0)</f>
        <v>45314</v>
      </c>
      <c r="F25" s="1429">
        <f>IFERROR(__xludf.DUMMYFUNCTION("""COMPUTED_VALUE"""),45316.0)</f>
        <v>45316</v>
      </c>
      <c r="G25" s="1164">
        <f>IFERROR(__xludf.DUMMYFUNCTION("""COMPUTED_VALUE"""),2.0)</f>
        <v>2</v>
      </c>
      <c r="H25" s="94">
        <f>IFERROR(__xludf.DUMMYFUNCTION("""COMPUTED_VALUE"""),74.0)</f>
        <v>74</v>
      </c>
      <c r="I25" s="94"/>
      <c r="J25" s="94"/>
      <c r="K25" s="94">
        <f>IFERROR(__xludf.DUMMYFUNCTION("""COMPUTED_VALUE"""),70.0)</f>
        <v>70</v>
      </c>
      <c r="L25" s="94">
        <f>IFERROR(__xludf.DUMMYFUNCTION("""COMPUTED_VALUE"""),55.0)</f>
        <v>55</v>
      </c>
      <c r="M25" s="94">
        <f>IFERROR(__xludf.DUMMYFUNCTION("""COMPUTED_VALUE"""),15.0)</f>
        <v>15</v>
      </c>
      <c r="N25" s="94"/>
      <c r="O25" s="94"/>
      <c r="P25" s="1431">
        <f>IFERROR(__xludf.DUMMYFUNCTION("""COMPUTED_VALUE"""),2.67)</f>
        <v>2.67</v>
      </c>
      <c r="Q25" s="1432">
        <f>IFERROR(__xludf.DUMMYFUNCTION("""COMPUTED_VALUE"""),142.57999999999998)</f>
        <v>142.58</v>
      </c>
    </row>
    <row r="26" ht="15.75" customHeight="1">
      <c r="A26" s="94"/>
      <c r="B26" s="94" t="str">
        <f>IFERROR(__xludf.DUMMYFUNCTION("""COMPUTED_VALUE"""),"С 1443")</f>
        <v>С 1443</v>
      </c>
      <c r="C26" s="94"/>
      <c r="D26" s="1432">
        <f>IFERROR(__xludf.DUMMYFUNCTION("""COMPUTED_VALUE"""),1.0)</f>
        <v>1</v>
      </c>
      <c r="E26" s="1429">
        <f>IFERROR(__xludf.DUMMYFUNCTION("""COMPUTED_VALUE"""),45316.0)</f>
        <v>45316</v>
      </c>
      <c r="F26" s="1429">
        <f>IFERROR(__xludf.DUMMYFUNCTION("""COMPUTED_VALUE"""),45320.0)</f>
        <v>45320</v>
      </c>
      <c r="G26" s="1164">
        <f>IFERROR(__xludf.DUMMYFUNCTION("""COMPUTED_VALUE"""),4.0)</f>
        <v>4</v>
      </c>
      <c r="H26" s="94">
        <f>IFERROR(__xludf.DUMMYFUNCTION("""COMPUTED_VALUE"""),90.0)</f>
        <v>90</v>
      </c>
      <c r="I26" s="94"/>
      <c r="J26" s="94"/>
      <c r="K26" s="94">
        <f>IFERROR(__xludf.DUMMYFUNCTION("""COMPUTED_VALUE"""),70.0)</f>
        <v>70</v>
      </c>
      <c r="L26" s="94">
        <f>IFERROR(__xludf.DUMMYFUNCTION("""COMPUTED_VALUE"""),55.0)</f>
        <v>55</v>
      </c>
      <c r="M26" s="94">
        <f>IFERROR(__xludf.DUMMYFUNCTION("""COMPUTED_VALUE"""),15.0)</f>
        <v>15</v>
      </c>
      <c r="N26" s="94"/>
      <c r="O26" s="94"/>
      <c r="P26" s="1431">
        <f>IFERROR(__xludf.DUMMYFUNCTION("""COMPUTED_VALUE"""),2.67)</f>
        <v>2.67</v>
      </c>
      <c r="Q26" s="1432">
        <f>IFERROR(__xludf.DUMMYFUNCTION("""COMPUTED_VALUE"""),185.29999999999998)</f>
        <v>185.3</v>
      </c>
    </row>
    <row r="27" ht="15.75" customHeight="1">
      <c r="A27" s="94"/>
      <c r="B27" s="94"/>
      <c r="C27" s="94"/>
      <c r="D27" s="94"/>
      <c r="E27" s="94"/>
      <c r="F27" s="94"/>
      <c r="G27" s="94"/>
      <c r="H27" s="94"/>
      <c r="I27" s="94"/>
      <c r="J27" s="94"/>
      <c r="K27" s="94"/>
      <c r="L27" s="94"/>
      <c r="M27" s="94">
        <f>IFERROR(__xludf.DUMMYFUNCTION("""COMPUTED_VALUE"""),0.0)</f>
        <v>0</v>
      </c>
      <c r="N27" s="94"/>
      <c r="O27" s="94"/>
      <c r="P27" s="1431">
        <f>IFERROR(__xludf.DUMMYFUNCTION("""COMPUTED_VALUE"""),2.67)</f>
        <v>2.67</v>
      </c>
      <c r="Q27" s="1432">
        <f>IFERROR(__xludf.DUMMYFUNCTION("""COMPUTED_VALUE"""),0.0)</f>
        <v>0</v>
      </c>
    </row>
    <row r="28" ht="15.75" customHeight="1">
      <c r="A28" s="94" t="str">
        <f>IFERROR(__xludf.DUMMYFUNCTION("""COMPUTED_VALUE"""),"Итого неделя")</f>
        <v>Итого неделя</v>
      </c>
      <c r="B28" s="94" t="str">
        <f>IFERROR(__xludf.DUMMYFUNCTION("""COMPUTED_VALUE"""),"4 неделя")</f>
        <v>4 неделя</v>
      </c>
      <c r="C28" s="94"/>
      <c r="D28" s="94"/>
      <c r="E28" s="1429" t="str">
        <f>IFERROR(__xludf.DUMMYFUNCTION("""COMPUTED_VALUE"""),"22-28 января")</f>
        <v>22-28 января</v>
      </c>
      <c r="F28" s="94"/>
      <c r="G28" s="94"/>
      <c r="H28" s="94"/>
      <c r="I28" s="94"/>
      <c r="J28" s="94"/>
      <c r="K28" s="94"/>
      <c r="L28" s="94"/>
      <c r="M28" s="94">
        <f>IFERROR(__xludf.DUMMYFUNCTION("""COMPUTED_VALUE"""),0.0)</f>
        <v>0</v>
      </c>
      <c r="N28" s="94"/>
      <c r="O28" s="94"/>
      <c r="P28" s="94"/>
      <c r="Q28" s="1432">
        <f>IFERROR(__xludf.DUMMYFUNCTION("""COMPUTED_VALUE"""),1635.6499999999999)</f>
        <v>1635.65</v>
      </c>
    </row>
    <row r="29" ht="15.75" customHeight="1">
      <c r="A29" s="94"/>
      <c r="B29" s="94" t="str">
        <f>IFERROR(__xludf.DUMMYFUNCTION("""COMPUTED_VALUE"""),"Int 2905")</f>
        <v>Int 2905</v>
      </c>
      <c r="C29" s="94"/>
      <c r="D29" s="1432">
        <f>IFERROR(__xludf.DUMMYFUNCTION("""COMPUTED_VALUE"""),1.0)</f>
        <v>1</v>
      </c>
      <c r="E29" s="1429">
        <f>IFERROR(__xludf.DUMMYFUNCTION("""COMPUTED_VALUE"""),45319.0)</f>
        <v>45319</v>
      </c>
      <c r="F29" s="1429">
        <f>IFERROR(__xludf.DUMMYFUNCTION("""COMPUTED_VALUE"""),45333.0)</f>
        <v>45333</v>
      </c>
      <c r="G29" s="1164">
        <f>IFERROR(__xludf.DUMMYFUNCTION("""COMPUTED_VALUE"""),14.0)</f>
        <v>14</v>
      </c>
      <c r="H29" s="94">
        <f>IFERROR(__xludf.DUMMYFUNCTION("""COMPUTED_VALUE"""),388.0)</f>
        <v>388</v>
      </c>
      <c r="I29" s="94"/>
      <c r="J29" s="94"/>
      <c r="K29" s="94">
        <f>IFERROR(__xludf.DUMMYFUNCTION("""COMPUTED_VALUE"""),55.0)</f>
        <v>55</v>
      </c>
      <c r="L29" s="94">
        <f>IFERROR(__xludf.DUMMYFUNCTION("""COMPUTED_VALUE"""),55.0)</f>
        <v>55</v>
      </c>
      <c r="M29" s="94">
        <f>IFERROR(__xludf.DUMMYFUNCTION("""COMPUTED_VALUE"""),0.0)</f>
        <v>0</v>
      </c>
      <c r="N29" s="94"/>
      <c r="O29" s="94"/>
      <c r="P29" s="1431">
        <f>IFERROR(__xludf.DUMMYFUNCTION("""COMPUTED_VALUE"""),2.67)</f>
        <v>2.67</v>
      </c>
      <c r="Q29" s="1432">
        <f>IFERROR(__xludf.DUMMYFUNCTION("""COMPUTED_VALUE"""),980.96)</f>
        <v>980.96</v>
      </c>
    </row>
    <row r="30" ht="15.75" customHeight="1">
      <c r="A30" s="94"/>
      <c r="B30" s="94" t="str">
        <f>IFERROR(__xludf.DUMMYFUNCTION("""COMPUTED_VALUE"""),"А 4049")</f>
        <v>А 4049</v>
      </c>
      <c r="C30" s="94"/>
      <c r="D30" s="1432">
        <f>IFERROR(__xludf.DUMMYFUNCTION("""COMPUTED_VALUE"""),1.0)</f>
        <v>1</v>
      </c>
      <c r="E30" s="1429">
        <f>IFERROR(__xludf.DUMMYFUNCTION("""COMPUTED_VALUE"""),45322.0)</f>
        <v>45322</v>
      </c>
      <c r="F30" s="1429">
        <f>IFERROR(__xludf.DUMMYFUNCTION("""COMPUTED_VALUE"""),45335.0)</f>
        <v>45335</v>
      </c>
      <c r="G30" s="1164">
        <f>IFERROR(__xludf.DUMMYFUNCTION("""COMPUTED_VALUE"""),13.0)</f>
        <v>13</v>
      </c>
      <c r="H30" s="94">
        <f>IFERROR(__xludf.DUMMYFUNCTION("""COMPUTED_VALUE"""),188.0)</f>
        <v>188</v>
      </c>
      <c r="I30" s="94"/>
      <c r="J30" s="94"/>
      <c r="K30" s="94">
        <f>IFERROR(__xludf.DUMMYFUNCTION("""COMPUTED_VALUE"""),55.0)</f>
        <v>55</v>
      </c>
      <c r="L30" s="94">
        <f>IFERROR(__xludf.DUMMYFUNCTION("""COMPUTED_VALUE"""),55.0)</f>
        <v>55</v>
      </c>
      <c r="M30" s="94">
        <f>IFERROR(__xludf.DUMMYFUNCTION("""COMPUTED_VALUE"""),0.0)</f>
        <v>0</v>
      </c>
      <c r="N30" s="94"/>
      <c r="O30" s="94"/>
      <c r="P30" s="1431">
        <f>IFERROR(__xludf.DUMMYFUNCTION("""COMPUTED_VALUE"""),2.67)</f>
        <v>2.67</v>
      </c>
      <c r="Q30" s="1432">
        <f>IFERROR(__xludf.DUMMYFUNCTION("""COMPUTED_VALUE"""),446.96)</f>
        <v>446.96</v>
      </c>
    </row>
    <row r="31" ht="15.75" customHeight="1">
      <c r="A31" s="94"/>
      <c r="B31" s="94" t="str">
        <f>IFERROR(__xludf.DUMMYFUNCTION("""COMPUTED_VALUE"""),"С 1443")</f>
        <v>С 1443</v>
      </c>
      <c r="C31" s="94"/>
      <c r="D31" s="1432">
        <f>IFERROR(__xludf.DUMMYFUNCTION("""COMPUTED_VALUE"""),2.0)</f>
        <v>2</v>
      </c>
      <c r="E31" s="1429">
        <f>IFERROR(__xludf.DUMMYFUNCTION("""COMPUTED_VALUE"""),45324.0)</f>
        <v>45324</v>
      </c>
      <c r="F31" s="1429">
        <f>IFERROR(__xludf.DUMMYFUNCTION("""COMPUTED_VALUE"""),45328.0)</f>
        <v>45328</v>
      </c>
      <c r="G31" s="1164">
        <f>IFERROR(__xludf.DUMMYFUNCTION("""COMPUTED_VALUE"""),4.0)</f>
        <v>4</v>
      </c>
      <c r="H31" s="94">
        <f>IFERROR(__xludf.DUMMYFUNCTION("""COMPUTED_VALUE"""),89.0)</f>
        <v>89</v>
      </c>
      <c r="I31" s="94"/>
      <c r="J31" s="94"/>
      <c r="K31" s="94">
        <f>IFERROR(__xludf.DUMMYFUNCTION("""COMPUTED_VALUE"""),70.0)</f>
        <v>70</v>
      </c>
      <c r="L31" s="94">
        <f>IFERROR(__xludf.DUMMYFUNCTION("""COMPUTED_VALUE"""),55.0)</f>
        <v>55</v>
      </c>
      <c r="M31" s="94">
        <f>IFERROR(__xludf.DUMMYFUNCTION("""COMPUTED_VALUE"""),15.0)</f>
        <v>15</v>
      </c>
      <c r="N31" s="94"/>
      <c r="O31" s="94"/>
      <c r="P31" s="1431">
        <f>IFERROR(__xludf.DUMMYFUNCTION("""COMPUTED_VALUE"""),2.67)</f>
        <v>2.67</v>
      </c>
      <c r="Q31" s="1432">
        <f>IFERROR(__xludf.DUMMYFUNCTION("""COMPUTED_VALUE"""),182.63)</f>
        <v>182.63</v>
      </c>
    </row>
    <row r="32" ht="15.75" customHeight="1">
      <c r="A32" s="94"/>
      <c r="B32" s="94" t="str">
        <f>IFERROR(__xludf.DUMMYFUNCTION("""COMPUTED_VALUE"""),"WS А 908")</f>
        <v>WS А 908</v>
      </c>
      <c r="C32" s="94"/>
      <c r="D32" s="1432">
        <f>IFERROR(__xludf.DUMMYFUNCTION("""COMPUTED_VALUE"""),1.0)</f>
        <v>1</v>
      </c>
      <c r="E32" s="1429">
        <f>IFERROR(__xludf.DUMMYFUNCTION("""COMPUTED_VALUE"""),45321.0)</f>
        <v>45321</v>
      </c>
      <c r="F32" s="1429">
        <f>IFERROR(__xludf.DUMMYFUNCTION("""COMPUTED_VALUE"""),45328.0)</f>
        <v>45328</v>
      </c>
      <c r="G32" s="1164">
        <f>IFERROR(__xludf.DUMMYFUNCTION("""COMPUTED_VALUE"""),7.0)</f>
        <v>7</v>
      </c>
      <c r="H32" s="94">
        <f>IFERROR(__xludf.DUMMYFUNCTION("""COMPUTED_VALUE"""),480.0)</f>
        <v>480</v>
      </c>
      <c r="I32" s="94"/>
      <c r="J32" s="94"/>
      <c r="K32" s="94">
        <f>IFERROR(__xludf.DUMMYFUNCTION("""COMPUTED_VALUE"""),55.0)</f>
        <v>55</v>
      </c>
      <c r="L32" s="94">
        <f>IFERROR(__xludf.DUMMYFUNCTION("""COMPUTED_VALUE"""),55.0)</f>
        <v>55</v>
      </c>
      <c r="M32" s="94">
        <f>IFERROR(__xludf.DUMMYFUNCTION("""COMPUTED_VALUE"""),0.0)</f>
        <v>0</v>
      </c>
      <c r="N32" s="94"/>
      <c r="O32" s="94"/>
      <c r="P32" s="1431">
        <f>IFERROR(__xludf.DUMMYFUNCTION("""COMPUTED_VALUE"""),2.67)</f>
        <v>2.67</v>
      </c>
      <c r="Q32" s="1432">
        <f>IFERROR(__xludf.DUMMYFUNCTION("""COMPUTED_VALUE"""),1226.6)</f>
        <v>1226.6</v>
      </c>
    </row>
    <row r="33" ht="15.75" customHeight="1">
      <c r="A33" s="94" t="str">
        <f>IFERROR(__xludf.DUMMYFUNCTION("""COMPUTED_VALUE"""),"Итого неделя")</f>
        <v>Итого неделя</v>
      </c>
      <c r="B33" s="94" t="str">
        <f>IFERROR(__xludf.DUMMYFUNCTION("""COMPUTED_VALUE"""),"5 неделя")</f>
        <v>5 неделя</v>
      </c>
      <c r="C33" s="94"/>
      <c r="D33" s="1432" t="str">
        <f>IFERROR(__xludf.DUMMYFUNCTION("""COMPUTED_VALUE"""),"#VALUE!")</f>
        <v>#VALUE!</v>
      </c>
      <c r="E33" s="1429" t="str">
        <f>IFERROR(__xludf.DUMMYFUNCTION("""COMPUTED_VALUE"""),"29 янв - 4 февраля")</f>
        <v>29 янв - 4 февраля</v>
      </c>
      <c r="F33" s="94"/>
      <c r="G33" s="94"/>
      <c r="H33" s="94"/>
      <c r="I33" s="94"/>
      <c r="J33" s="94"/>
      <c r="K33" s="94"/>
      <c r="L33" s="94"/>
      <c r="M33" s="94">
        <f>IFERROR(__xludf.DUMMYFUNCTION("""COMPUTED_VALUE"""),0.0)</f>
        <v>0</v>
      </c>
      <c r="N33" s="94"/>
      <c r="O33" s="94"/>
      <c r="P33" s="94"/>
      <c r="Q33" s="1432">
        <f>IFERROR(__xludf.DUMMYFUNCTION("""COMPUTED_VALUE"""),2837.15)</f>
        <v>2837.15</v>
      </c>
    </row>
    <row r="34" ht="15.75" customHeight="1">
      <c r="A34" s="94"/>
      <c r="B34" s="94" t="str">
        <f>IFERROR(__xludf.DUMMYFUNCTION("""COMPUTED_VALUE"""),"С 1443")</f>
        <v>С 1443</v>
      </c>
      <c r="C34" s="94"/>
      <c r="D34" s="1432">
        <f>IFERROR(__xludf.DUMMYFUNCTION("""COMPUTED_VALUE"""),2.0)</f>
        <v>2</v>
      </c>
      <c r="E34" s="1429">
        <f>IFERROR(__xludf.DUMMYFUNCTION("""COMPUTED_VALUE"""),45332.0)</f>
        <v>45332</v>
      </c>
      <c r="F34" s="1429">
        <f>IFERROR(__xludf.DUMMYFUNCTION("""COMPUTED_VALUE"""),45335.0)</f>
        <v>45335</v>
      </c>
      <c r="G34" s="1164">
        <f>IFERROR(__xludf.DUMMYFUNCTION("""COMPUTED_VALUE"""),3.0)</f>
        <v>3</v>
      </c>
      <c r="H34" s="94">
        <f>IFERROR(__xludf.DUMMYFUNCTION("""COMPUTED_VALUE"""),88.0)</f>
        <v>88</v>
      </c>
      <c r="I34" s="94"/>
      <c r="J34" s="94"/>
      <c r="K34" s="94">
        <f>IFERROR(__xludf.DUMMYFUNCTION("""COMPUTED_VALUE"""),70.0)</f>
        <v>70</v>
      </c>
      <c r="L34" s="94">
        <f>IFERROR(__xludf.DUMMYFUNCTION("""COMPUTED_VALUE"""),55.0)</f>
        <v>55</v>
      </c>
      <c r="M34" s="94">
        <f>IFERROR(__xludf.DUMMYFUNCTION("""COMPUTED_VALUE"""),15.0)</f>
        <v>15</v>
      </c>
      <c r="N34" s="94"/>
      <c r="O34" s="94"/>
      <c r="P34" s="1431">
        <f>IFERROR(__xludf.DUMMYFUNCTION("""COMPUTED_VALUE"""),2.67)</f>
        <v>2.67</v>
      </c>
      <c r="Q34" s="1432">
        <f>IFERROR(__xludf.DUMMYFUNCTION("""COMPUTED_VALUE"""),179.95999999999998)</f>
        <v>179.96</v>
      </c>
    </row>
    <row r="35" ht="15.75" customHeight="1">
      <c r="A35" s="94"/>
      <c r="B35" s="94" t="str">
        <f>IFERROR(__xludf.DUMMYFUNCTION("""COMPUTED_VALUE"""),"С 2756")</f>
        <v>С 2756</v>
      </c>
      <c r="C35" s="94"/>
      <c r="D35" s="1432">
        <f>IFERROR(__xludf.DUMMYFUNCTION("""COMPUTED_VALUE"""),2.0)</f>
        <v>2</v>
      </c>
      <c r="E35" s="1429">
        <f>IFERROR(__xludf.DUMMYFUNCTION("""COMPUTED_VALUE"""),45329.0)</f>
        <v>45329</v>
      </c>
      <c r="F35" s="1429">
        <f>IFERROR(__xludf.DUMMYFUNCTION("""COMPUTED_VALUE"""),45334.0)</f>
        <v>45334</v>
      </c>
      <c r="G35" s="1164">
        <f>IFERROR(__xludf.DUMMYFUNCTION("""COMPUTED_VALUE"""),5.0)</f>
        <v>5</v>
      </c>
      <c r="H35" s="94">
        <f>IFERROR(__xludf.DUMMYFUNCTION("""COMPUTED_VALUE"""),62.0)</f>
        <v>62</v>
      </c>
      <c r="I35" s="94"/>
      <c r="J35" s="94"/>
      <c r="K35" s="94">
        <f>IFERROR(__xludf.DUMMYFUNCTION("""COMPUTED_VALUE"""),55.0)</f>
        <v>55</v>
      </c>
      <c r="L35" s="94">
        <f>IFERROR(__xludf.DUMMYFUNCTION("""COMPUTED_VALUE"""),55.0)</f>
        <v>55</v>
      </c>
      <c r="M35" s="94">
        <f>IFERROR(__xludf.DUMMYFUNCTION("""COMPUTED_VALUE"""),0.0)</f>
        <v>0</v>
      </c>
      <c r="N35" s="94"/>
      <c r="O35" s="94"/>
      <c r="P35" s="1431">
        <f>IFERROR(__xludf.DUMMYFUNCTION("""COMPUTED_VALUE"""),2.66)</f>
        <v>2.66</v>
      </c>
      <c r="Q35" s="1432">
        <f>IFERROR(__xludf.DUMMYFUNCTION("""COMPUTED_VALUE"""),109.92000000000002)</f>
        <v>109.92</v>
      </c>
    </row>
    <row r="36" ht="15.75" customHeight="1">
      <c r="A36" s="94"/>
      <c r="B36" s="94" t="str">
        <f>IFERROR(__xludf.DUMMYFUNCTION("""COMPUTED_VALUE"""),"С 1443")</f>
        <v>С 1443</v>
      </c>
      <c r="C36" s="94"/>
      <c r="D36" s="1432">
        <f>IFERROR(__xludf.DUMMYFUNCTION("""COMPUTED_VALUE"""),2.0)</f>
        <v>2</v>
      </c>
      <c r="E36" s="1429">
        <f>IFERROR(__xludf.DUMMYFUNCTION("""COMPUTED_VALUE"""),45328.0)</f>
        <v>45328</v>
      </c>
      <c r="F36" s="1429">
        <f>IFERROR(__xludf.DUMMYFUNCTION("""COMPUTED_VALUE"""),45332.0)</f>
        <v>45332</v>
      </c>
      <c r="G36" s="1164">
        <f>IFERROR(__xludf.DUMMYFUNCTION("""COMPUTED_VALUE"""),4.0)</f>
        <v>4</v>
      </c>
      <c r="H36" s="94">
        <f>IFERROR(__xludf.DUMMYFUNCTION("""COMPUTED_VALUE"""),89.0)</f>
        <v>89</v>
      </c>
      <c r="I36" s="94"/>
      <c r="J36" s="94"/>
      <c r="K36" s="94">
        <f>IFERROR(__xludf.DUMMYFUNCTION("""COMPUTED_VALUE"""),70.0)</f>
        <v>70</v>
      </c>
      <c r="L36" s="94">
        <f>IFERROR(__xludf.DUMMYFUNCTION("""COMPUTED_VALUE"""),55.0)</f>
        <v>55</v>
      </c>
      <c r="M36" s="94">
        <f>IFERROR(__xludf.DUMMYFUNCTION("""COMPUTED_VALUE"""),15.0)</f>
        <v>15</v>
      </c>
      <c r="N36" s="94"/>
      <c r="O36" s="94"/>
      <c r="P36" s="1431">
        <f>IFERROR(__xludf.DUMMYFUNCTION("""COMPUTED_VALUE"""),2.66)</f>
        <v>2.66</v>
      </c>
      <c r="Q36" s="1432">
        <f>IFERROR(__xludf.DUMMYFUNCTION("""COMPUTED_VALUE"""),181.74)</f>
        <v>181.74</v>
      </c>
    </row>
    <row r="37" ht="15.75" customHeight="1">
      <c r="A37" s="94"/>
      <c r="B37" s="94" t="str">
        <f>IFERROR(__xludf.DUMMYFUNCTION("""COMPUTED_VALUE"""),"WS F 907")</f>
        <v>WS F 907</v>
      </c>
      <c r="C37" s="94"/>
      <c r="D37" s="1432">
        <f>IFERROR(__xludf.DUMMYFUNCTION("""COMPUTED_VALUE"""),2.0)</f>
        <v>2</v>
      </c>
      <c r="E37" s="1429">
        <f>IFERROR(__xludf.DUMMYFUNCTION("""COMPUTED_VALUE"""),45329.0)</f>
        <v>45329</v>
      </c>
      <c r="F37" s="1429">
        <f>IFERROR(__xludf.DUMMYFUNCTION("""COMPUTED_VALUE"""),45358.0)</f>
        <v>45358</v>
      </c>
      <c r="G37" s="1164">
        <f>IFERROR(__xludf.DUMMYFUNCTION("""COMPUTED_VALUE"""),29.0)</f>
        <v>29</v>
      </c>
      <c r="H37" s="94">
        <f>IFERROR(__xludf.DUMMYFUNCTION("""COMPUTED_VALUE"""),450.0)</f>
        <v>450</v>
      </c>
      <c r="I37" s="94"/>
      <c r="J37" s="94"/>
      <c r="K37" s="94">
        <f>IFERROR(__xludf.DUMMYFUNCTION("""COMPUTED_VALUE"""),55.0)</f>
        <v>55</v>
      </c>
      <c r="L37" s="94">
        <f>IFERROR(__xludf.DUMMYFUNCTION("""COMPUTED_VALUE"""),55.0)</f>
        <v>55</v>
      </c>
      <c r="M37" s="94">
        <f>IFERROR(__xludf.DUMMYFUNCTION("""COMPUTED_VALUE"""),0.0)</f>
        <v>0</v>
      </c>
      <c r="N37" s="94"/>
      <c r="O37" s="94"/>
      <c r="P37" s="1431">
        <f>IFERROR(__xludf.DUMMYFUNCTION("""COMPUTED_VALUE"""),2.66)</f>
        <v>2.66</v>
      </c>
      <c r="Q37" s="1432">
        <f>IFERROR(__xludf.DUMMYFUNCTION("""COMPUTED_VALUE"""),1142.0)</f>
        <v>1142</v>
      </c>
    </row>
    <row r="38" ht="15.75" customHeight="1">
      <c r="A38" s="94"/>
      <c r="B38" s="94" t="str">
        <f>IFERROR(__xludf.DUMMYFUNCTION("""COMPUTED_VALUE"""),"WS  B 405")</f>
        <v>WS  B 405</v>
      </c>
      <c r="C38" s="94"/>
      <c r="D38" s="1432">
        <f>IFERROR(__xludf.DUMMYFUNCTION("""COMPUTED_VALUE"""),2.0)</f>
        <v>2</v>
      </c>
      <c r="E38" s="1429">
        <f>IFERROR(__xludf.DUMMYFUNCTION("""COMPUTED_VALUE"""),45332.0)</f>
        <v>45332</v>
      </c>
      <c r="F38" s="1429">
        <f>IFERROR(__xludf.DUMMYFUNCTION("""COMPUTED_VALUE"""),45361.0)</f>
        <v>45361</v>
      </c>
      <c r="G38" s="1164">
        <f>IFERROR(__xludf.DUMMYFUNCTION("""COMPUTED_VALUE"""),29.0)</f>
        <v>29</v>
      </c>
      <c r="H38" s="94">
        <f>IFERROR(__xludf.DUMMYFUNCTION("""COMPUTED_VALUE"""),450.0)</f>
        <v>450</v>
      </c>
      <c r="I38" s="94"/>
      <c r="J38" s="94"/>
      <c r="K38" s="94">
        <f>IFERROR(__xludf.DUMMYFUNCTION("""COMPUTED_VALUE"""),55.0)</f>
        <v>55</v>
      </c>
      <c r="L38" s="94">
        <f>IFERROR(__xludf.DUMMYFUNCTION("""COMPUTED_VALUE"""),55.0)</f>
        <v>55</v>
      </c>
      <c r="M38" s="94">
        <f>IFERROR(__xludf.DUMMYFUNCTION("""COMPUTED_VALUE"""),0.0)</f>
        <v>0</v>
      </c>
      <c r="N38" s="94"/>
      <c r="O38" s="94"/>
      <c r="P38" s="1431">
        <f>IFERROR(__xludf.DUMMYFUNCTION("""COMPUTED_VALUE"""),2.66)</f>
        <v>2.66</v>
      </c>
      <c r="Q38" s="1432">
        <f>IFERROR(__xludf.DUMMYFUNCTION("""COMPUTED_VALUE"""),1142.0)</f>
        <v>1142</v>
      </c>
    </row>
    <row r="39" ht="15.75" customHeight="1">
      <c r="A39" s="94"/>
      <c r="B39" s="94" t="str">
        <f>IFERROR(__xludf.DUMMYFUNCTION("""COMPUTED_VALUE"""),"WS E 1202")</f>
        <v>WS E 1202</v>
      </c>
      <c r="C39" s="94"/>
      <c r="D39" s="1432">
        <f>IFERROR(__xludf.DUMMYFUNCTION("""COMPUTED_VALUE"""),2.0)</f>
        <v>2</v>
      </c>
      <c r="E39" s="1429">
        <f>IFERROR(__xludf.DUMMYFUNCTION("""COMPUTED_VALUE"""),45329.0)</f>
        <v>45329</v>
      </c>
      <c r="F39" s="1429">
        <f>IFERROR(__xludf.DUMMYFUNCTION("""COMPUTED_VALUE"""),45331.0)</f>
        <v>45331</v>
      </c>
      <c r="G39" s="1164">
        <f>IFERROR(__xludf.DUMMYFUNCTION("""COMPUTED_VALUE"""),2.0)</f>
        <v>2</v>
      </c>
      <c r="H39" s="94">
        <f>IFERROR(__xludf.DUMMYFUNCTION("""COMPUTED_VALUE"""),82.0)</f>
        <v>82</v>
      </c>
      <c r="I39" s="94"/>
      <c r="J39" s="94"/>
      <c r="K39" s="94">
        <f>IFERROR(__xludf.DUMMYFUNCTION("""COMPUTED_VALUE"""),70.0)</f>
        <v>70</v>
      </c>
      <c r="L39" s="94">
        <f>IFERROR(__xludf.DUMMYFUNCTION("""COMPUTED_VALUE"""),55.0)</f>
        <v>55</v>
      </c>
      <c r="M39" s="94">
        <f>IFERROR(__xludf.DUMMYFUNCTION("""COMPUTED_VALUE"""),15.0)</f>
        <v>15</v>
      </c>
      <c r="N39" s="94"/>
      <c r="O39" s="94"/>
      <c r="P39" s="1431">
        <f>IFERROR(__xludf.DUMMYFUNCTION("""COMPUTED_VALUE"""),2.67)</f>
        <v>2.67</v>
      </c>
      <c r="Q39" s="1432">
        <f>IFERROR(__xludf.DUMMYFUNCTION("""COMPUTED_VALUE"""),163.94)</f>
        <v>163.94</v>
      </c>
    </row>
    <row r="40" ht="15.75" customHeight="1">
      <c r="A40" s="94" t="str">
        <f>IFERROR(__xludf.DUMMYFUNCTION("""COMPUTED_VALUE"""),"Итого неделя")</f>
        <v>Итого неделя</v>
      </c>
      <c r="B40" s="94" t="str">
        <f>IFERROR(__xludf.DUMMYFUNCTION("""COMPUTED_VALUE"""),"6 неделя")</f>
        <v>6 неделя</v>
      </c>
      <c r="C40" s="94"/>
      <c r="D40" s="94"/>
      <c r="E40" s="1429" t="str">
        <f>IFERROR(__xludf.DUMMYFUNCTION("""COMPUTED_VALUE"""),"5 - 11 февр")</f>
        <v>5 - 11 февр</v>
      </c>
      <c r="F40" s="94"/>
      <c r="G40" s="94"/>
      <c r="H40" s="94"/>
      <c r="I40" s="94"/>
      <c r="J40" s="94"/>
      <c r="K40" s="94"/>
      <c r="L40" s="94"/>
      <c r="M40" s="94">
        <f>IFERROR(__xludf.DUMMYFUNCTION("""COMPUTED_VALUE"""),0.0)</f>
        <v>0</v>
      </c>
      <c r="N40" s="94"/>
      <c r="O40" s="94"/>
      <c r="P40" s="94"/>
      <c r="Q40" s="1432">
        <f>IFERROR(__xludf.DUMMYFUNCTION("""COMPUTED_VALUE"""),2919.56)</f>
        <v>2919.56</v>
      </c>
    </row>
    <row r="41" ht="15.75" customHeight="1">
      <c r="A41" s="94"/>
      <c r="B41" s="94" t="str">
        <f>IFERROR(__xludf.DUMMYFUNCTION("""COMPUTED_VALUE"""),"С 2756")</f>
        <v>С 2756</v>
      </c>
      <c r="C41" s="94"/>
      <c r="D41" s="1432">
        <f>IFERROR(__xludf.DUMMYFUNCTION("""COMPUTED_VALUE"""),1.0)</f>
        <v>1</v>
      </c>
      <c r="E41" s="1429">
        <f>IFERROR(__xludf.DUMMYFUNCTION("""COMPUTED_VALUE"""),12.0)</f>
        <v>12</v>
      </c>
      <c r="F41" s="1429">
        <f>IFERROR(__xludf.DUMMYFUNCTION("""COMPUTED_VALUE"""),15.0)</f>
        <v>15</v>
      </c>
      <c r="G41" s="1164">
        <f>IFERROR(__xludf.DUMMYFUNCTION("""COMPUTED_VALUE"""),3.0)</f>
        <v>3</v>
      </c>
      <c r="H41" s="94">
        <f>IFERROR(__xludf.DUMMYFUNCTION("""COMPUTED_VALUE"""),37.0)</f>
        <v>37</v>
      </c>
      <c r="I41" s="94"/>
      <c r="J41" s="94"/>
      <c r="K41" s="94">
        <f>IFERROR(__xludf.DUMMYFUNCTION("""COMPUTED_VALUE"""),55.0)</f>
        <v>55</v>
      </c>
      <c r="L41" s="94">
        <f>IFERROR(__xludf.DUMMYFUNCTION("""COMPUTED_VALUE"""),55.0)</f>
        <v>55</v>
      </c>
      <c r="M41" s="94">
        <f>IFERROR(__xludf.DUMMYFUNCTION("""COMPUTED_VALUE"""),0.0)</f>
        <v>0</v>
      </c>
      <c r="N41" s="94"/>
      <c r="O41" s="94"/>
      <c r="P41" s="1431">
        <f>IFERROR(__xludf.DUMMYFUNCTION("""COMPUTED_VALUE"""),2.64)</f>
        <v>2.64</v>
      </c>
      <c r="Q41" s="1432">
        <f>IFERROR(__xludf.DUMMYFUNCTION("""COMPUTED_VALUE"""),42.68000000000001)</f>
        <v>42.68</v>
      </c>
    </row>
    <row r="42" ht="15.75" customHeight="1">
      <c r="A42" s="94"/>
      <c r="B42" s="94" t="str">
        <f>IFERROR(__xludf.DUMMYFUNCTION("""COMPUTED_VALUE"""),"С 2756")</f>
        <v>С 2756</v>
      </c>
      <c r="C42" s="94"/>
      <c r="D42" s="1432">
        <f>IFERROR(__xludf.DUMMYFUNCTION("""COMPUTED_VALUE"""),1.0)</f>
        <v>1</v>
      </c>
      <c r="E42" s="1429">
        <f>IFERROR(__xludf.DUMMYFUNCTION("""COMPUTED_VALUE"""),16.0)</f>
        <v>16</v>
      </c>
      <c r="F42" s="1429">
        <f>IFERROR(__xludf.DUMMYFUNCTION("""COMPUTED_VALUE"""),24.0)</f>
        <v>24</v>
      </c>
      <c r="G42" s="1164">
        <f>IFERROR(__xludf.DUMMYFUNCTION("""COMPUTED_VALUE"""),8.0)</f>
        <v>8</v>
      </c>
      <c r="H42" s="94">
        <f>IFERROR(__xludf.DUMMYFUNCTION("""COMPUTED_VALUE"""),91.0)</f>
        <v>91</v>
      </c>
      <c r="I42" s="94"/>
      <c r="J42" s="94"/>
      <c r="K42" s="94">
        <f>IFERROR(__xludf.DUMMYFUNCTION("""COMPUTED_VALUE"""),55.0)</f>
        <v>55</v>
      </c>
      <c r="L42" s="94">
        <f>IFERROR(__xludf.DUMMYFUNCTION("""COMPUTED_VALUE"""),55.0)</f>
        <v>55</v>
      </c>
      <c r="M42" s="94">
        <f>IFERROR(__xludf.DUMMYFUNCTION("""COMPUTED_VALUE"""),0.0)</f>
        <v>0</v>
      </c>
      <c r="N42" s="94"/>
      <c r="O42" s="94"/>
      <c r="P42" s="1431">
        <f>IFERROR(__xludf.DUMMYFUNCTION("""COMPUTED_VALUE"""),2.64)</f>
        <v>2.64</v>
      </c>
      <c r="Q42" s="1432">
        <f>IFERROR(__xludf.DUMMYFUNCTION("""COMPUTED_VALUE"""),185.24)</f>
        <v>185.24</v>
      </c>
    </row>
    <row r="43" ht="15.75" customHeight="1">
      <c r="A43" s="94"/>
      <c r="B43" s="94" t="str">
        <f>IFERROR(__xludf.DUMMYFUNCTION("""COMPUTED_VALUE"""),"А 4049")</f>
        <v>А 4049</v>
      </c>
      <c r="C43" s="94"/>
      <c r="D43" s="1432">
        <f>IFERROR(__xludf.DUMMYFUNCTION("""COMPUTED_VALUE"""),1.0)</f>
        <v>1</v>
      </c>
      <c r="E43" s="1429">
        <f>IFERROR(__xludf.DUMMYFUNCTION("""COMPUTED_VALUE"""),13.0)</f>
        <v>13</v>
      </c>
      <c r="F43" s="1429">
        <f>IFERROR(__xludf.DUMMYFUNCTION("""COMPUTED_VALUE"""),17.0)</f>
        <v>17</v>
      </c>
      <c r="G43" s="1164">
        <f>IFERROR(__xludf.DUMMYFUNCTION("""COMPUTED_VALUE"""),4.0)</f>
        <v>4</v>
      </c>
      <c r="H43" s="94">
        <f>IFERROR(__xludf.DUMMYFUNCTION("""COMPUTED_VALUE"""),58.0)</f>
        <v>58</v>
      </c>
      <c r="I43" s="94"/>
      <c r="J43" s="94"/>
      <c r="K43" s="94">
        <f>IFERROR(__xludf.DUMMYFUNCTION("""COMPUTED_VALUE"""),55.0)</f>
        <v>55</v>
      </c>
      <c r="L43" s="94">
        <f>IFERROR(__xludf.DUMMYFUNCTION("""COMPUTED_VALUE"""),55.0)</f>
        <v>55</v>
      </c>
      <c r="M43" s="94">
        <f>IFERROR(__xludf.DUMMYFUNCTION("""COMPUTED_VALUE"""),0.0)</f>
        <v>0</v>
      </c>
      <c r="N43" s="94"/>
      <c r="O43" s="94"/>
      <c r="P43" s="1431">
        <f>IFERROR(__xludf.DUMMYFUNCTION("""COMPUTED_VALUE"""),2.64)</f>
        <v>2.64</v>
      </c>
      <c r="Q43" s="1432">
        <f>IFERROR(__xludf.DUMMYFUNCTION("""COMPUTED_VALUE"""),98.12)</f>
        <v>98.12</v>
      </c>
    </row>
    <row r="44" ht="15.75" customHeight="1">
      <c r="A44" s="94"/>
      <c r="B44" s="94" t="str">
        <f>IFERROR(__xludf.DUMMYFUNCTION("""COMPUTED_VALUE"""),"С 1125")</f>
        <v>С 1125</v>
      </c>
      <c r="C44" s="94"/>
      <c r="D44" s="1432">
        <f>IFERROR(__xludf.DUMMYFUNCTION("""COMPUTED_VALUE"""),1.0)</f>
        <v>1</v>
      </c>
      <c r="E44" s="1429">
        <f>IFERROR(__xludf.DUMMYFUNCTION("""COMPUTED_VALUE"""),11.0)</f>
        <v>11</v>
      </c>
      <c r="F44" s="1429">
        <f>IFERROR(__xludf.DUMMYFUNCTION("""COMPUTED_VALUE"""),16.0)</f>
        <v>16</v>
      </c>
      <c r="G44" s="1164">
        <f>IFERROR(__xludf.DUMMYFUNCTION("""COMPUTED_VALUE"""),5.0)</f>
        <v>5</v>
      </c>
      <c r="H44" s="94">
        <f>IFERROR(__xludf.DUMMYFUNCTION("""COMPUTED_VALUE"""),72.0)</f>
        <v>72</v>
      </c>
      <c r="I44" s="94"/>
      <c r="J44" s="94"/>
      <c r="K44" s="94">
        <f>IFERROR(__xludf.DUMMYFUNCTION("""COMPUTED_VALUE"""),55.0)</f>
        <v>55</v>
      </c>
      <c r="L44" s="94">
        <f>IFERROR(__xludf.DUMMYFUNCTION("""COMPUTED_VALUE"""),55.0)</f>
        <v>55</v>
      </c>
      <c r="M44" s="94">
        <f>IFERROR(__xludf.DUMMYFUNCTION("""COMPUTED_VALUE"""),0.0)</f>
        <v>0</v>
      </c>
      <c r="N44" s="94"/>
      <c r="O44" s="94"/>
      <c r="P44" s="1431">
        <f>IFERROR(__xludf.DUMMYFUNCTION("""COMPUTED_VALUE"""),2.64)</f>
        <v>2.64</v>
      </c>
      <c r="Q44" s="1432">
        <f>IFERROR(__xludf.DUMMYFUNCTION("""COMPUTED_VALUE"""),135.08)</f>
        <v>135.08</v>
      </c>
    </row>
    <row r="45" ht="15.75" customHeight="1">
      <c r="A45" s="94"/>
      <c r="B45" s="94" t="str">
        <f>IFERROR(__xludf.DUMMYFUNCTION("""COMPUTED_VALUE"""),"WS В 1510")</f>
        <v>WS В 1510</v>
      </c>
      <c r="C45" s="94"/>
      <c r="D45" s="1432">
        <f>IFERROR(__xludf.DUMMYFUNCTION("""COMPUTED_VALUE"""),1.0)</f>
        <v>1</v>
      </c>
      <c r="E45" s="1429">
        <f>IFERROR(__xludf.DUMMYFUNCTION("""COMPUTED_VALUE"""),11.0)</f>
        <v>11</v>
      </c>
      <c r="F45" s="1429">
        <f>IFERROR(__xludf.DUMMYFUNCTION("""COMPUTED_VALUE"""),25.0)</f>
        <v>25</v>
      </c>
      <c r="G45" s="1164">
        <f>IFERROR(__xludf.DUMMYFUNCTION("""COMPUTED_VALUE"""),14.0)</f>
        <v>14</v>
      </c>
      <c r="H45" s="94">
        <f>IFERROR(__xludf.DUMMYFUNCTION("""COMPUTED_VALUE"""),279.0)</f>
        <v>279</v>
      </c>
      <c r="I45" s="94"/>
      <c r="J45" s="94"/>
      <c r="K45" s="94">
        <f>IFERROR(__xludf.DUMMYFUNCTION("""COMPUTED_VALUE"""),55.0)</f>
        <v>55</v>
      </c>
      <c r="L45" s="94">
        <f>IFERROR(__xludf.DUMMYFUNCTION("""COMPUTED_VALUE"""),55.0)</f>
        <v>55</v>
      </c>
      <c r="M45" s="94">
        <f>IFERROR(__xludf.DUMMYFUNCTION("""COMPUTED_VALUE"""),0.0)</f>
        <v>0</v>
      </c>
      <c r="N45" s="94"/>
      <c r="O45" s="94"/>
      <c r="P45" s="1431">
        <f>IFERROR(__xludf.DUMMYFUNCTION("""COMPUTED_VALUE"""),2.64)</f>
        <v>2.64</v>
      </c>
      <c r="Q45" s="1432">
        <f>IFERROR(__xludf.DUMMYFUNCTION("""COMPUTED_VALUE"""),681.5600000000001)</f>
        <v>681.56</v>
      </c>
    </row>
    <row r="46" ht="15.75" customHeight="1">
      <c r="A46" s="94"/>
      <c r="B46" s="94" t="str">
        <f>IFERROR(__xludf.DUMMYFUNCTION("""COMPUTED_VALUE"""),"С 1443")</f>
        <v>С 1443</v>
      </c>
      <c r="C46" s="94"/>
      <c r="D46" s="1432">
        <f>IFERROR(__xludf.DUMMYFUNCTION("""COMPUTED_VALUE"""),1.0)</f>
        <v>1</v>
      </c>
      <c r="E46" s="1429">
        <f>IFERROR(__xludf.DUMMYFUNCTION("""COMPUTED_VALUE"""),15.0)</f>
        <v>15</v>
      </c>
      <c r="F46" s="1429">
        <f>IFERROR(__xludf.DUMMYFUNCTION("""COMPUTED_VALUE"""),19.0)</f>
        <v>19</v>
      </c>
      <c r="G46" s="1164">
        <f>IFERROR(__xludf.DUMMYFUNCTION("""COMPUTED_VALUE"""),4.0)</f>
        <v>4</v>
      </c>
      <c r="H46" s="94">
        <f>IFERROR(__xludf.DUMMYFUNCTION("""COMPUTED_VALUE"""),79.0)</f>
        <v>79</v>
      </c>
      <c r="I46" s="94"/>
      <c r="J46" s="94"/>
      <c r="K46" s="94">
        <f>IFERROR(__xludf.DUMMYFUNCTION("""COMPUTED_VALUE"""),70.0)</f>
        <v>70</v>
      </c>
      <c r="L46" s="94">
        <f>IFERROR(__xludf.DUMMYFUNCTION("""COMPUTED_VALUE"""),55.0)</f>
        <v>55</v>
      </c>
      <c r="M46" s="94">
        <f>IFERROR(__xludf.DUMMYFUNCTION("""COMPUTED_VALUE"""),15.0)</f>
        <v>15</v>
      </c>
      <c r="N46" s="94"/>
      <c r="O46" s="94"/>
      <c r="P46" s="1431">
        <f>IFERROR(__xludf.DUMMYFUNCTION("""COMPUTED_VALUE"""),2.64)</f>
        <v>2.64</v>
      </c>
      <c r="Q46" s="1432">
        <f>IFERROR(__xludf.DUMMYFUNCTION("""COMPUTED_VALUE"""),153.56)</f>
        <v>153.56</v>
      </c>
    </row>
    <row r="47" ht="15.75" customHeight="1">
      <c r="A47" s="94"/>
      <c r="B47" s="94" t="str">
        <f>IFERROR(__xludf.DUMMYFUNCTION("""COMPUTED_VALUE"""),"С 1125")</f>
        <v>С 1125</v>
      </c>
      <c r="C47" s="94"/>
      <c r="D47" s="1432">
        <f>IFERROR(__xludf.DUMMYFUNCTION("""COMPUTED_VALUE"""),1.0)</f>
        <v>1</v>
      </c>
      <c r="E47" s="1429">
        <f>IFERROR(__xludf.DUMMYFUNCTION("""COMPUTED_VALUE"""),16.0)</f>
        <v>16</v>
      </c>
      <c r="F47" s="1429">
        <f>IFERROR(__xludf.DUMMYFUNCTION("""COMPUTED_VALUE"""),19.0)</f>
        <v>19</v>
      </c>
      <c r="G47" s="1164">
        <f>IFERROR(__xludf.DUMMYFUNCTION("""COMPUTED_VALUE"""),3.0)</f>
        <v>3</v>
      </c>
      <c r="H47" s="94">
        <f>IFERROR(__xludf.DUMMYFUNCTION("""COMPUTED_VALUE"""),44.0)</f>
        <v>44</v>
      </c>
      <c r="I47" s="94"/>
      <c r="J47" s="94"/>
      <c r="K47" s="94">
        <f>IFERROR(__xludf.DUMMYFUNCTION("""COMPUTED_VALUE"""),55.0)</f>
        <v>55</v>
      </c>
      <c r="L47" s="94">
        <f>IFERROR(__xludf.DUMMYFUNCTION("""COMPUTED_VALUE"""),55.0)</f>
        <v>55</v>
      </c>
      <c r="M47" s="94">
        <f>IFERROR(__xludf.DUMMYFUNCTION("""COMPUTED_VALUE"""),0.0)</f>
        <v>0</v>
      </c>
      <c r="N47" s="94"/>
      <c r="O47" s="94"/>
      <c r="P47" s="1431">
        <f>IFERROR(__xludf.DUMMYFUNCTION("""COMPUTED_VALUE"""),2.64)</f>
        <v>2.64</v>
      </c>
      <c r="Q47" s="1432">
        <f>IFERROR(__xludf.DUMMYFUNCTION("""COMPUTED_VALUE"""),61.16000000000001)</f>
        <v>61.16</v>
      </c>
    </row>
    <row r="48" ht="15.75" customHeight="1">
      <c r="A48" s="94"/>
      <c r="B48" s="94" t="str">
        <f>IFERROR(__xludf.DUMMYFUNCTION("""COMPUTED_VALUE"""),"D 1321")</f>
        <v>D 1321</v>
      </c>
      <c r="C48" s="94"/>
      <c r="D48" s="1432">
        <f>IFERROR(__xludf.DUMMYFUNCTION("""COMPUTED_VALUE"""),1.0)</f>
        <v>1</v>
      </c>
      <c r="E48" s="1429">
        <f>IFERROR(__xludf.DUMMYFUNCTION("""COMPUTED_VALUE"""),16.0)</f>
        <v>16</v>
      </c>
      <c r="F48" s="1429">
        <f>IFERROR(__xludf.DUMMYFUNCTION("""COMPUTED_VALUE"""),26.0)</f>
        <v>26</v>
      </c>
      <c r="G48" s="1164">
        <f>IFERROR(__xludf.DUMMYFUNCTION("""COMPUTED_VALUE"""),10.0)</f>
        <v>10</v>
      </c>
      <c r="H48" s="94">
        <f>IFERROR(__xludf.DUMMYFUNCTION("""COMPUTED_VALUE"""),149.0)</f>
        <v>149</v>
      </c>
      <c r="I48" s="94"/>
      <c r="J48" s="94"/>
      <c r="K48" s="94">
        <f>IFERROR(__xludf.DUMMYFUNCTION("""COMPUTED_VALUE"""),55.0)</f>
        <v>55</v>
      </c>
      <c r="L48" s="94">
        <f>IFERROR(__xludf.DUMMYFUNCTION("""COMPUTED_VALUE"""),55.0)</f>
        <v>55</v>
      </c>
      <c r="M48" s="94">
        <f>IFERROR(__xludf.DUMMYFUNCTION("""COMPUTED_VALUE"""),0.0)</f>
        <v>0</v>
      </c>
      <c r="N48" s="94"/>
      <c r="O48" s="94"/>
      <c r="P48" s="1431">
        <f>IFERROR(__xludf.DUMMYFUNCTION("""COMPUTED_VALUE"""),2.66)</f>
        <v>2.66</v>
      </c>
      <c r="Q48" s="1432">
        <f>IFERROR(__xludf.DUMMYFUNCTION("""COMPUTED_VALUE"""),341.34000000000003)</f>
        <v>341.34</v>
      </c>
    </row>
    <row r="49" ht="15.75" customHeight="1">
      <c r="A49" s="94"/>
      <c r="B49" s="94" t="str">
        <f>IFERROR(__xludf.DUMMYFUNCTION("""COMPUTED_VALUE"""),"OST 1202")</f>
        <v>OST 1202</v>
      </c>
      <c r="C49" s="94"/>
      <c r="D49" s="1432">
        <f>IFERROR(__xludf.DUMMYFUNCTION("""COMPUTED_VALUE"""),2.0)</f>
        <v>2</v>
      </c>
      <c r="E49" s="1429">
        <f>IFERROR(__xludf.DUMMYFUNCTION("""COMPUTED_VALUE"""),45338.0)</f>
        <v>45338</v>
      </c>
      <c r="F49" s="1429">
        <f>IFERROR(__xludf.DUMMYFUNCTION("""COMPUTED_VALUE"""),45367.0)</f>
        <v>45367</v>
      </c>
      <c r="G49" s="1164">
        <f>IFERROR(__xludf.DUMMYFUNCTION("""COMPUTED_VALUE"""),29.0)</f>
        <v>29</v>
      </c>
      <c r="H49" s="94">
        <f>IFERROR(__xludf.DUMMYFUNCTION("""COMPUTED_VALUE"""),301.0)</f>
        <v>301</v>
      </c>
      <c r="I49" s="94"/>
      <c r="J49" s="94"/>
      <c r="K49" s="94">
        <f>IFERROR(__xludf.DUMMYFUNCTION("""COMPUTED_VALUE"""),55.0)</f>
        <v>55</v>
      </c>
      <c r="L49" s="94">
        <f>IFERROR(__xludf.DUMMYFUNCTION("""COMPUTED_VALUE"""),55.0)</f>
        <v>55</v>
      </c>
      <c r="M49" s="94">
        <f>IFERROR(__xludf.DUMMYFUNCTION("""COMPUTED_VALUE"""),0.0)</f>
        <v>0</v>
      </c>
      <c r="N49" s="94"/>
      <c r="O49" s="94"/>
      <c r="P49" s="1431">
        <f>IFERROR(__xludf.DUMMYFUNCTION("""COMPUTED_VALUE"""),2.66)</f>
        <v>2.66</v>
      </c>
      <c r="Q49" s="1432">
        <f>IFERROR(__xludf.DUMMYFUNCTION("""COMPUTED_VALUE"""),745.6600000000001)</f>
        <v>745.66</v>
      </c>
    </row>
    <row r="50" ht="15.75" customHeight="1">
      <c r="A50" s="94"/>
      <c r="B50" s="94"/>
      <c r="C50" s="94"/>
      <c r="D50" s="94"/>
      <c r="E50" s="94"/>
      <c r="F50" s="94"/>
      <c r="G50" s="1164">
        <f>IFERROR(__xludf.DUMMYFUNCTION("""COMPUTED_VALUE"""),0.0)</f>
        <v>0</v>
      </c>
      <c r="H50" s="94"/>
      <c r="I50" s="94"/>
      <c r="J50" s="94"/>
      <c r="K50" s="94"/>
      <c r="L50" s="94">
        <f>IFERROR(__xludf.DUMMYFUNCTION("""COMPUTED_VALUE"""),0.0)</f>
        <v>0</v>
      </c>
      <c r="M50" s="94">
        <f>IFERROR(__xludf.DUMMYFUNCTION("""COMPUTED_VALUE"""),0.0)</f>
        <v>0</v>
      </c>
      <c r="N50" s="94"/>
      <c r="O50" s="94"/>
      <c r="P50" s="1431">
        <f>IFERROR(__xludf.DUMMYFUNCTION("""COMPUTED_VALUE"""),2.64)</f>
        <v>2.64</v>
      </c>
      <c r="Q50" s="1432">
        <f>IFERROR(__xludf.DUMMYFUNCTION("""COMPUTED_VALUE"""),0.0)</f>
        <v>0</v>
      </c>
    </row>
    <row r="51" ht="15.75" customHeight="1">
      <c r="A51" s="94" t="str">
        <f>IFERROR(__xludf.DUMMYFUNCTION("""COMPUTED_VALUE"""),"Итого неделя")</f>
        <v>Итого неделя</v>
      </c>
      <c r="B51" s="94" t="str">
        <f>IFERROR(__xludf.DUMMYFUNCTION("""COMPUTED_VALUE"""),"7 неделя")</f>
        <v>7 неделя</v>
      </c>
      <c r="C51" s="94"/>
      <c r="D51" s="94"/>
      <c r="E51" s="1429" t="str">
        <f>IFERROR(__xludf.DUMMYFUNCTION("""COMPUTED_VALUE"""),"12-18")</f>
        <v>12-18</v>
      </c>
      <c r="F51" s="94"/>
      <c r="G51" s="94"/>
      <c r="H51" s="1430">
        <f>IFERROR(__xludf.DUMMYFUNCTION("""COMPUTED_VALUE"""),1110.0)</f>
        <v>1110</v>
      </c>
      <c r="I51" s="94"/>
      <c r="J51" s="94"/>
      <c r="K51" s="94"/>
      <c r="L51" s="1430">
        <f>IFERROR(__xludf.DUMMYFUNCTION("""COMPUTED_VALUE"""),495.0)</f>
        <v>495</v>
      </c>
      <c r="M51" s="1430">
        <f>IFERROR(__xludf.DUMMYFUNCTION("""COMPUTED_VALUE"""),-495.0)</f>
        <v>-495</v>
      </c>
      <c r="N51" s="94"/>
      <c r="O51" s="94"/>
      <c r="P51" s="94"/>
      <c r="Q51" s="1432">
        <f>IFERROR(__xludf.DUMMYFUNCTION("""COMPUTED_VALUE"""),2444.4000000000005)</f>
        <v>2444.4</v>
      </c>
    </row>
    <row r="52" ht="15.75" customHeight="1">
      <c r="A52" s="94"/>
      <c r="B52" s="94" t="str">
        <f>IFERROR(__xludf.DUMMYFUNCTION("""COMPUTED_VALUE"""),"С 1443")</f>
        <v>С 1443</v>
      </c>
      <c r="C52" s="94"/>
      <c r="D52" s="1432">
        <f>IFERROR(__xludf.DUMMYFUNCTION("""COMPUTED_VALUE"""),2.0)</f>
        <v>2</v>
      </c>
      <c r="E52" s="1429">
        <f>IFERROR(__xludf.DUMMYFUNCTION("""COMPUTED_VALUE"""),45344.0)</f>
        <v>45344</v>
      </c>
      <c r="F52" s="1429">
        <f>IFERROR(__xludf.DUMMYFUNCTION("""COMPUTED_VALUE"""),45347.0)</f>
        <v>45347</v>
      </c>
      <c r="G52" s="1164">
        <f>IFERROR(__xludf.DUMMYFUNCTION("""COMPUTED_VALUE"""),3.0)</f>
        <v>3</v>
      </c>
      <c r="H52" s="94">
        <f>IFERROR(__xludf.DUMMYFUNCTION("""COMPUTED_VALUE"""),63.0)</f>
        <v>63</v>
      </c>
      <c r="I52" s="94"/>
      <c r="J52" s="94"/>
      <c r="K52" s="94">
        <f>IFERROR(__xludf.DUMMYFUNCTION("""COMPUTED_VALUE"""),55.0)</f>
        <v>55</v>
      </c>
      <c r="L52" s="94">
        <f>IFERROR(__xludf.DUMMYFUNCTION("""COMPUTED_VALUE"""),55.0)</f>
        <v>55</v>
      </c>
      <c r="M52" s="94">
        <f>IFERROR(__xludf.DUMMYFUNCTION("""COMPUTED_VALUE"""),0.0)</f>
        <v>0</v>
      </c>
      <c r="N52" s="94"/>
      <c r="O52" s="94"/>
      <c r="P52" s="1431">
        <f>IFERROR(__xludf.DUMMYFUNCTION("""COMPUTED_VALUE"""),2.66)</f>
        <v>2.66</v>
      </c>
      <c r="Q52" s="1432">
        <f>IFERROR(__xludf.DUMMYFUNCTION("""COMPUTED_VALUE"""),112.58000000000001)</f>
        <v>112.58</v>
      </c>
    </row>
    <row r="53" ht="15.75" customHeight="1">
      <c r="A53" s="94"/>
      <c r="B53" s="94" t="str">
        <f>IFERROR(__xludf.DUMMYFUNCTION("""COMPUTED_VALUE"""),"С 1125")</f>
        <v>С 1125</v>
      </c>
      <c r="C53" s="94"/>
      <c r="D53" s="1432">
        <f>IFERROR(__xludf.DUMMYFUNCTION("""COMPUTED_VALUE"""),2.0)</f>
        <v>2</v>
      </c>
      <c r="E53" s="1429">
        <f>IFERROR(__xludf.DUMMYFUNCTION("""COMPUTED_VALUE"""),45341.0)</f>
        <v>45341</v>
      </c>
      <c r="F53" s="1429">
        <f>IFERROR(__xludf.DUMMYFUNCTION("""COMPUTED_VALUE"""),45346.0)</f>
        <v>45346</v>
      </c>
      <c r="G53" s="1164">
        <f>IFERROR(__xludf.DUMMYFUNCTION("""COMPUTED_VALUE"""),5.0)</f>
        <v>5</v>
      </c>
      <c r="H53" s="94">
        <f>IFERROR(__xludf.DUMMYFUNCTION("""COMPUTED_VALUE"""),78.0)</f>
        <v>78</v>
      </c>
      <c r="I53" s="94"/>
      <c r="J53" s="94"/>
      <c r="K53" s="94">
        <f>IFERROR(__xludf.DUMMYFUNCTION("""COMPUTED_VALUE"""),55.0)</f>
        <v>55</v>
      </c>
      <c r="L53" s="94">
        <f>IFERROR(__xludf.DUMMYFUNCTION("""COMPUTED_VALUE"""),55.0)</f>
        <v>55</v>
      </c>
      <c r="M53" s="94">
        <f>IFERROR(__xludf.DUMMYFUNCTION("""COMPUTED_VALUE"""),0.0)</f>
        <v>0</v>
      </c>
      <c r="N53" s="94"/>
      <c r="O53" s="94"/>
      <c r="P53" s="1431">
        <f>IFERROR(__xludf.DUMMYFUNCTION("""COMPUTED_VALUE"""),2.66)</f>
        <v>2.66</v>
      </c>
      <c r="Q53" s="1432">
        <f>IFERROR(__xludf.DUMMYFUNCTION("""COMPUTED_VALUE"""),152.48000000000002)</f>
        <v>152.48</v>
      </c>
    </row>
    <row r="54" ht="15.75" customHeight="1">
      <c r="A54" s="94"/>
      <c r="B54" s="94" t="str">
        <f>IFERROR(__xludf.DUMMYFUNCTION("""COMPUTED_VALUE"""),"WS В 212")</f>
        <v>WS В 212</v>
      </c>
      <c r="C54" s="94"/>
      <c r="D54" s="1432">
        <f>IFERROR(__xludf.DUMMYFUNCTION("""COMPUTED_VALUE"""),2.0)</f>
        <v>2</v>
      </c>
      <c r="E54" s="1429">
        <f>IFERROR(__xludf.DUMMYFUNCTION("""COMPUTED_VALUE"""),45342.0)</f>
        <v>45342</v>
      </c>
      <c r="F54" s="1429">
        <f>IFERROR(__xludf.DUMMYFUNCTION("""COMPUTED_VALUE"""),45343.0)</f>
        <v>45343</v>
      </c>
      <c r="G54" s="1164">
        <f>IFERROR(__xludf.DUMMYFUNCTION("""COMPUTED_VALUE"""),1.0)</f>
        <v>1</v>
      </c>
      <c r="H54" s="94">
        <f>IFERROR(__xludf.DUMMYFUNCTION("""COMPUTED_VALUE"""),50.0)</f>
        <v>50</v>
      </c>
      <c r="I54" s="94"/>
      <c r="J54" s="94"/>
      <c r="K54" s="94">
        <f>IFERROR(__xludf.DUMMYFUNCTION("""COMPUTED_VALUE"""),55.0)</f>
        <v>55</v>
      </c>
      <c r="L54" s="94">
        <f>IFERROR(__xludf.DUMMYFUNCTION("""COMPUTED_VALUE"""),55.0)</f>
        <v>55</v>
      </c>
      <c r="M54" s="94">
        <f>IFERROR(__xludf.DUMMYFUNCTION("""COMPUTED_VALUE"""),0.0)</f>
        <v>0</v>
      </c>
      <c r="N54" s="94"/>
      <c r="O54" s="94"/>
      <c r="P54" s="1431">
        <f>IFERROR(__xludf.DUMMYFUNCTION("""COMPUTED_VALUE"""),2.66)</f>
        <v>2.66</v>
      </c>
      <c r="Q54" s="1432">
        <f>IFERROR(__xludf.DUMMYFUNCTION("""COMPUTED_VALUE"""),78.0)</f>
        <v>78</v>
      </c>
    </row>
    <row r="55" ht="15.75" customHeight="1">
      <c r="A55" s="94"/>
      <c r="B55" s="94" t="str">
        <f>IFERROR(__xludf.DUMMYFUNCTION("""COMPUTED_VALUE"""),"WS А 908")</f>
        <v>WS А 908</v>
      </c>
      <c r="C55" s="94"/>
      <c r="D55" s="1432">
        <f>IFERROR(__xludf.DUMMYFUNCTION("""COMPUTED_VALUE"""),2.0)</f>
        <v>2</v>
      </c>
      <c r="E55" s="1429">
        <f>IFERROR(__xludf.DUMMYFUNCTION("""COMPUTED_VALUE"""),45341.0)</f>
        <v>45341</v>
      </c>
      <c r="F55" s="1429">
        <f>IFERROR(__xludf.DUMMYFUNCTION("""COMPUTED_VALUE"""),45342.0)</f>
        <v>45342</v>
      </c>
      <c r="G55" s="1164">
        <f>IFERROR(__xludf.DUMMYFUNCTION("""COMPUTED_VALUE"""),1.0)</f>
        <v>1</v>
      </c>
      <c r="H55" s="94">
        <f>IFERROR(__xludf.DUMMYFUNCTION("""COMPUTED_VALUE"""),36.0)</f>
        <v>36</v>
      </c>
      <c r="I55" s="94"/>
      <c r="J55" s="94"/>
      <c r="K55" s="94">
        <f>IFERROR(__xludf.DUMMYFUNCTION("""COMPUTED_VALUE"""),60.0)</f>
        <v>60</v>
      </c>
      <c r="L55" s="94">
        <f>IFERROR(__xludf.DUMMYFUNCTION("""COMPUTED_VALUE"""),60.0)</f>
        <v>60</v>
      </c>
      <c r="M55" s="94">
        <f>IFERROR(__xludf.DUMMYFUNCTION("""COMPUTED_VALUE"""),0.0)</f>
        <v>0</v>
      </c>
      <c r="N55" s="94"/>
      <c r="O55" s="94"/>
      <c r="P55" s="1431">
        <f>IFERROR(__xludf.DUMMYFUNCTION("""COMPUTED_VALUE"""),2.66)</f>
        <v>2.66</v>
      </c>
      <c r="Q55" s="1432">
        <f>IFERROR(__xludf.DUMMYFUNCTION("""COMPUTED_VALUE"""),35.760000000000005)</f>
        <v>35.76</v>
      </c>
    </row>
    <row r="56" ht="15.75" customHeight="1">
      <c r="A56" s="94"/>
      <c r="B56" s="94" t="str">
        <f>IFERROR(__xludf.DUMMYFUNCTION("""COMPUTED_VALUE"""),"A 2851")</f>
        <v>A 2851</v>
      </c>
      <c r="C56" s="94"/>
      <c r="D56" s="1432">
        <f>IFERROR(__xludf.DUMMYFUNCTION("""COMPUTED_VALUE"""),2.0)</f>
        <v>2</v>
      </c>
      <c r="E56" s="1429">
        <f>IFERROR(__xludf.DUMMYFUNCTION("""COMPUTED_VALUE"""),45346.0)</f>
        <v>45346</v>
      </c>
      <c r="F56" s="1429">
        <f>IFERROR(__xludf.DUMMYFUNCTION("""COMPUTED_VALUE"""),45350.0)</f>
        <v>45350</v>
      </c>
      <c r="G56" s="1164">
        <f>IFERROR(__xludf.DUMMYFUNCTION("""COMPUTED_VALUE"""),4.0)</f>
        <v>4</v>
      </c>
      <c r="H56" s="94">
        <f>IFERROR(__xludf.DUMMYFUNCTION("""COMPUTED_VALUE"""),48.0)</f>
        <v>48</v>
      </c>
      <c r="I56" s="94"/>
      <c r="J56" s="94"/>
      <c r="K56" s="94">
        <f>IFERROR(__xludf.DUMMYFUNCTION("""COMPUTED_VALUE"""),40.0)</f>
        <v>40</v>
      </c>
      <c r="L56" s="94">
        <f>IFERROR(__xludf.DUMMYFUNCTION("""COMPUTED_VALUE"""),40.0)</f>
        <v>40</v>
      </c>
      <c r="M56" s="94">
        <f>IFERROR(__xludf.DUMMYFUNCTION("""COMPUTED_VALUE"""),0.0)</f>
        <v>0</v>
      </c>
      <c r="N56" s="94"/>
      <c r="O56" s="94"/>
      <c r="P56" s="1431">
        <f>IFERROR(__xludf.DUMMYFUNCTION("""COMPUTED_VALUE"""),2.66)</f>
        <v>2.66</v>
      </c>
      <c r="Q56" s="1432">
        <f>IFERROR(__xludf.DUMMYFUNCTION("""COMPUTED_VALUE"""),87.68)</f>
        <v>87.68</v>
      </c>
    </row>
    <row r="57" ht="15.75" customHeight="1">
      <c r="A57" s="94"/>
      <c r="B57" s="94"/>
      <c r="C57" s="94"/>
      <c r="D57" s="94"/>
      <c r="E57" s="94"/>
      <c r="F57" s="94"/>
      <c r="G57" s="1164">
        <f>IFERROR(__xludf.DUMMYFUNCTION("""COMPUTED_VALUE"""),0.0)</f>
        <v>0</v>
      </c>
      <c r="H57" s="94"/>
      <c r="I57" s="94"/>
      <c r="J57" s="94"/>
      <c r="K57" s="94">
        <f>IFERROR(__xludf.DUMMYFUNCTION("""COMPUTED_VALUE"""),0.0)</f>
        <v>0</v>
      </c>
      <c r="L57" s="94">
        <f>IFERROR(__xludf.DUMMYFUNCTION("""COMPUTED_VALUE"""),0.0)</f>
        <v>0</v>
      </c>
      <c r="M57" s="94">
        <f>IFERROR(__xludf.DUMMYFUNCTION("""COMPUTED_VALUE"""),0.0)</f>
        <v>0</v>
      </c>
      <c r="N57" s="94"/>
      <c r="O57" s="94"/>
      <c r="P57" s="94"/>
      <c r="Q57" s="1432">
        <f>IFERROR(__xludf.DUMMYFUNCTION("""COMPUTED_VALUE"""),0.0)</f>
        <v>0</v>
      </c>
    </row>
    <row r="58" ht="15.75" customHeight="1">
      <c r="A58" s="94" t="str">
        <f>IFERROR(__xludf.DUMMYFUNCTION("""COMPUTED_VALUE"""),"Итого неделя")</f>
        <v>Итого неделя</v>
      </c>
      <c r="B58" s="94" t="str">
        <f>IFERROR(__xludf.DUMMYFUNCTION("""COMPUTED_VALUE"""),"8 неделя")</f>
        <v>8 неделя</v>
      </c>
      <c r="C58" s="94"/>
      <c r="D58" s="94"/>
      <c r="E58" s="1429" t="str">
        <f>IFERROR(__xludf.DUMMYFUNCTION("""COMPUTED_VALUE"""),"19-25")</f>
        <v>19-25</v>
      </c>
      <c r="F58" s="94"/>
      <c r="G58" s="94"/>
      <c r="H58" s="1430">
        <f>IFERROR(__xludf.DUMMYFUNCTION("""COMPUTED_VALUE"""),275.0)</f>
        <v>275</v>
      </c>
      <c r="I58" s="94"/>
      <c r="J58" s="94"/>
      <c r="K58" s="94"/>
      <c r="L58" s="1430">
        <f>IFERROR(__xludf.DUMMYFUNCTION("""COMPUTED_VALUE"""),265.0)</f>
        <v>265</v>
      </c>
      <c r="M58" s="1430">
        <f>IFERROR(__xludf.DUMMYFUNCTION("""COMPUTED_VALUE"""),-265.0)</f>
        <v>-265</v>
      </c>
      <c r="N58" s="94"/>
      <c r="O58" s="94"/>
      <c r="P58" s="94"/>
      <c r="Q58" s="1432">
        <f>IFERROR(__xludf.DUMMYFUNCTION("""COMPUTED_VALUE"""),466.50000000000006)</f>
        <v>466.5</v>
      </c>
    </row>
    <row r="59" ht="15.75" customHeight="1">
      <c r="A59" s="94"/>
      <c r="B59" s="94" t="str">
        <f>IFERROR(__xludf.DUMMYFUNCTION("""COMPUTED_VALUE"""),"C 4245")</f>
        <v>C 4245</v>
      </c>
      <c r="C59" s="94"/>
      <c r="D59" s="1432">
        <f>IFERROR(__xludf.DUMMYFUNCTION("""COMPUTED_VALUE"""),3.0)</f>
        <v>3</v>
      </c>
      <c r="E59" s="1429">
        <f>IFERROR(__xludf.DUMMYFUNCTION("""COMPUTED_VALUE"""),45354.0)</f>
        <v>45354</v>
      </c>
      <c r="F59" s="1429">
        <f>IFERROR(__xludf.DUMMYFUNCTION("""COMPUTED_VALUE"""),45360.0)</f>
        <v>45360</v>
      </c>
      <c r="G59" s="1164">
        <f>IFERROR(__xludf.DUMMYFUNCTION("""COMPUTED_VALUE"""),6.0)</f>
        <v>6</v>
      </c>
      <c r="H59" s="94">
        <f>IFERROR(__xludf.DUMMYFUNCTION("""COMPUTED_VALUE"""),178.0)</f>
        <v>178</v>
      </c>
      <c r="I59" s="94"/>
      <c r="J59" s="94"/>
      <c r="K59" s="94">
        <f>IFERROR(__xludf.DUMMYFUNCTION("""COMPUTED_VALUE"""),60.0)</f>
        <v>60</v>
      </c>
      <c r="L59" s="94">
        <f>IFERROR(__xludf.DUMMYFUNCTION("""COMPUTED_VALUE"""),60.0)</f>
        <v>60</v>
      </c>
      <c r="M59" s="94">
        <f>IFERROR(__xludf.DUMMYFUNCTION("""COMPUTED_VALUE"""),0.0)</f>
        <v>0</v>
      </c>
      <c r="N59" s="94"/>
      <c r="O59" s="94"/>
      <c r="P59" s="1431">
        <f>IFERROR(__xludf.DUMMYFUNCTION("""COMPUTED_VALUE"""),2.66)</f>
        <v>2.66</v>
      </c>
      <c r="Q59" s="1432">
        <f>IFERROR(__xludf.DUMMYFUNCTION("""COMPUTED_VALUE"""),413.48)</f>
        <v>413.48</v>
      </c>
    </row>
    <row r="60" ht="15.75" customHeight="1">
      <c r="A60" s="94"/>
      <c r="B60" s="94" t="str">
        <f>IFERROR(__xludf.DUMMYFUNCTION("""COMPUTED_VALUE"""),"С 1125")</f>
        <v>С 1125</v>
      </c>
      <c r="C60" s="94"/>
      <c r="D60" s="1432">
        <f>IFERROR(__xludf.DUMMYFUNCTION("""COMPUTED_VALUE"""),2.0)</f>
        <v>2</v>
      </c>
      <c r="E60" s="1429">
        <f>IFERROR(__xludf.DUMMYFUNCTION("""COMPUTED_VALUE"""),45348.0)</f>
        <v>45348</v>
      </c>
      <c r="F60" s="1429">
        <f>IFERROR(__xludf.DUMMYFUNCTION("""COMPUTED_VALUE"""),45351.0)</f>
        <v>45351</v>
      </c>
      <c r="G60" s="1164">
        <f>IFERROR(__xludf.DUMMYFUNCTION("""COMPUTED_VALUE"""),3.0)</f>
        <v>3</v>
      </c>
      <c r="H60" s="94">
        <f>IFERROR(__xludf.DUMMYFUNCTION("""COMPUTED_VALUE"""),56.0)</f>
        <v>56</v>
      </c>
      <c r="I60" s="94"/>
      <c r="J60" s="94"/>
      <c r="K60" s="94">
        <f>IFERROR(__xludf.DUMMYFUNCTION("""COMPUTED_VALUE"""),40.0)</f>
        <v>40</v>
      </c>
      <c r="L60" s="94">
        <f>IFERROR(__xludf.DUMMYFUNCTION("""COMPUTED_VALUE"""),40.0)</f>
        <v>40</v>
      </c>
      <c r="M60" s="94">
        <f>IFERROR(__xludf.DUMMYFUNCTION("""COMPUTED_VALUE"""),0.0)</f>
        <v>0</v>
      </c>
      <c r="N60" s="94"/>
      <c r="O60" s="94"/>
      <c r="P60" s="1431">
        <f>IFERROR(__xludf.DUMMYFUNCTION("""COMPUTED_VALUE"""),2.66)</f>
        <v>2.66</v>
      </c>
      <c r="Q60" s="1432">
        <f>IFERROR(__xludf.DUMMYFUNCTION("""COMPUTED_VALUE"""),108.96000000000001)</f>
        <v>108.96</v>
      </c>
    </row>
    <row r="61" ht="15.75" customHeight="1">
      <c r="A61" s="94"/>
      <c r="B61" s="94" t="str">
        <f>IFERROR(__xludf.DUMMYFUNCTION("""COMPUTED_VALUE"""),"WS В 212")</f>
        <v>WS В 212</v>
      </c>
      <c r="C61" s="94"/>
      <c r="D61" s="1432">
        <f>IFERROR(__xludf.DUMMYFUNCTION("""COMPUTED_VALUE"""),3.0)</f>
        <v>3</v>
      </c>
      <c r="E61" s="1429">
        <f>IFERROR(__xludf.DUMMYFUNCTION("""COMPUTED_VALUE"""),45353.0)</f>
        <v>45353</v>
      </c>
      <c r="F61" s="1429">
        <f>IFERROR(__xludf.DUMMYFUNCTION("""COMPUTED_VALUE"""),45389.0)</f>
        <v>45389</v>
      </c>
      <c r="G61" s="1164">
        <f>IFERROR(__xludf.DUMMYFUNCTION("""COMPUTED_VALUE"""),36.0)</f>
        <v>36</v>
      </c>
      <c r="H61" s="94">
        <f>IFERROR(__xludf.DUMMYFUNCTION("""COMPUTED_VALUE"""),781.0)</f>
        <v>781</v>
      </c>
      <c r="I61" s="94"/>
      <c r="J61" s="94"/>
      <c r="K61" s="94">
        <f>IFERROR(__xludf.DUMMYFUNCTION("""COMPUTED_VALUE"""),70.0)</f>
        <v>70</v>
      </c>
      <c r="L61" s="94">
        <f>IFERROR(__xludf.DUMMYFUNCTION("""COMPUTED_VALUE"""),70.0)</f>
        <v>70</v>
      </c>
      <c r="M61" s="94">
        <f>IFERROR(__xludf.DUMMYFUNCTION("""COMPUTED_VALUE"""),0.0)</f>
        <v>0</v>
      </c>
      <c r="N61" s="94"/>
      <c r="O61" s="94"/>
      <c r="P61" s="1431">
        <f>IFERROR(__xludf.DUMMYFUNCTION("""COMPUTED_VALUE"""),2.66)</f>
        <v>2.66</v>
      </c>
      <c r="Q61" s="1432">
        <f>IFERROR(__xludf.DUMMYFUNCTION("""COMPUTED_VALUE"""),2007.46)</f>
        <v>2007.46</v>
      </c>
    </row>
    <row r="62" ht="15.75" customHeight="1">
      <c r="A62" s="94"/>
      <c r="B62" s="94" t="str">
        <f>IFERROR(__xludf.DUMMYFUNCTION("""COMPUTED_VALUE"""),"Int 2905")</f>
        <v>Int 2905</v>
      </c>
      <c r="C62" s="94"/>
      <c r="D62" s="1432">
        <f>IFERROR(__xludf.DUMMYFUNCTION("""COMPUTED_VALUE"""),2.0)</f>
        <v>2</v>
      </c>
      <c r="E62" s="1429">
        <f>IFERROR(__xludf.DUMMYFUNCTION("""COMPUTED_VALUE"""),45348.0)</f>
        <v>45348</v>
      </c>
      <c r="F62" s="1429">
        <f>IFERROR(__xludf.DUMMYFUNCTION("""COMPUTED_VALUE"""),45377.0)</f>
        <v>45377</v>
      </c>
      <c r="G62" s="1164">
        <f>IFERROR(__xludf.DUMMYFUNCTION("""COMPUTED_VALUE"""),29.0)</f>
        <v>29</v>
      </c>
      <c r="H62" s="94">
        <f>IFERROR(__xludf.DUMMYFUNCTION("""COMPUTED_VALUE"""),726.0)</f>
        <v>726</v>
      </c>
      <c r="I62" s="94"/>
      <c r="J62" s="94"/>
      <c r="K62" s="94">
        <f>IFERROR(__xludf.DUMMYFUNCTION("""COMPUTED_VALUE"""),60.0)</f>
        <v>60</v>
      </c>
      <c r="L62" s="94">
        <f>IFERROR(__xludf.DUMMYFUNCTION("""COMPUTED_VALUE"""),60.0)</f>
        <v>60</v>
      </c>
      <c r="M62" s="94">
        <f>IFERROR(__xludf.DUMMYFUNCTION("""COMPUTED_VALUE"""),0.0)</f>
        <v>0</v>
      </c>
      <c r="N62" s="94"/>
      <c r="O62" s="94"/>
      <c r="P62" s="1431">
        <f>IFERROR(__xludf.DUMMYFUNCTION("""COMPUTED_VALUE"""),2.66)</f>
        <v>2.66</v>
      </c>
      <c r="Q62" s="1432">
        <f>IFERROR(__xludf.DUMMYFUNCTION("""COMPUTED_VALUE"""),1871.16)</f>
        <v>1871.16</v>
      </c>
    </row>
    <row r="63" ht="15.75" customHeight="1">
      <c r="A63" s="94"/>
      <c r="B63" s="94" t="str">
        <f>IFERROR(__xludf.DUMMYFUNCTION("""COMPUTED_VALUE"""),"WS E 1202")</f>
        <v>WS E 1202</v>
      </c>
      <c r="C63" s="94"/>
      <c r="D63" s="1432">
        <f>IFERROR(__xludf.DUMMYFUNCTION("""COMPUTED_VALUE"""),2.0)</f>
        <v>2</v>
      </c>
      <c r="E63" s="1429">
        <f>IFERROR(__xludf.DUMMYFUNCTION("""COMPUTED_VALUE"""),45324.0)</f>
        <v>45324</v>
      </c>
      <c r="F63" s="1429">
        <f>IFERROR(__xludf.DUMMYFUNCTION("""COMPUTED_VALUE"""),45340.0)</f>
        <v>45340</v>
      </c>
      <c r="G63" s="1164">
        <f>IFERROR(__xludf.DUMMYFUNCTION("""COMPUTED_VALUE"""),16.0)</f>
        <v>16</v>
      </c>
      <c r="H63" s="94">
        <f>IFERROR(__xludf.DUMMYFUNCTION("""COMPUTED_VALUE"""),373.0)</f>
        <v>373</v>
      </c>
      <c r="I63" s="94"/>
      <c r="J63" s="94"/>
      <c r="K63" s="94">
        <f>IFERROR(__xludf.DUMMYFUNCTION("""COMPUTED_VALUE"""),60.0)</f>
        <v>60</v>
      </c>
      <c r="L63" s="94">
        <f>IFERROR(__xludf.DUMMYFUNCTION("""COMPUTED_VALUE"""),60.0)</f>
        <v>60</v>
      </c>
      <c r="M63" s="94">
        <f>IFERROR(__xludf.DUMMYFUNCTION("""COMPUTED_VALUE"""),0.0)</f>
        <v>0</v>
      </c>
      <c r="N63" s="94"/>
      <c r="O63" s="94"/>
      <c r="P63" s="1431">
        <f>IFERROR(__xludf.DUMMYFUNCTION("""COMPUTED_VALUE"""),2.66)</f>
        <v>2.66</v>
      </c>
      <c r="Q63" s="1432">
        <f>IFERROR(__xludf.DUMMYFUNCTION("""COMPUTED_VALUE"""),932.1800000000001)</f>
        <v>932.18</v>
      </c>
    </row>
    <row r="64" ht="15.75" customHeight="1">
      <c r="A64" s="94"/>
      <c r="B64" s="94" t="str">
        <f>IFERROR(__xludf.DUMMYFUNCTION("""COMPUTED_VALUE"""),"С 2756")</f>
        <v>С 2756</v>
      </c>
      <c r="C64" s="94"/>
      <c r="D64" s="1432">
        <f>IFERROR(__xludf.DUMMYFUNCTION("""COMPUTED_VALUE"""),2.0)</f>
        <v>2</v>
      </c>
      <c r="E64" s="1429">
        <f>IFERROR(__xludf.DUMMYFUNCTION("""COMPUTED_VALUE"""),45350.0)</f>
        <v>45350</v>
      </c>
      <c r="F64" s="1429">
        <f>IFERROR(__xludf.DUMMYFUNCTION("""COMPUTED_VALUE"""),45352.0)</f>
        <v>45352</v>
      </c>
      <c r="G64" s="1164">
        <f>IFERROR(__xludf.DUMMYFUNCTION("""COMPUTED_VALUE"""),2.0)</f>
        <v>2</v>
      </c>
      <c r="H64" s="94">
        <f>IFERROR(__xludf.DUMMYFUNCTION("""COMPUTED_VALUE"""),28.0)</f>
        <v>28</v>
      </c>
      <c r="I64" s="94"/>
      <c r="J64" s="94"/>
      <c r="K64" s="94">
        <f>IFERROR(__xludf.DUMMYFUNCTION("""COMPUTED_VALUE"""),40.0)</f>
        <v>40</v>
      </c>
      <c r="L64" s="94">
        <f>IFERROR(__xludf.DUMMYFUNCTION("""COMPUTED_VALUE"""),40.0)</f>
        <v>40</v>
      </c>
      <c r="M64" s="94">
        <f>IFERROR(__xludf.DUMMYFUNCTION("""COMPUTED_VALUE"""),0.0)</f>
        <v>0</v>
      </c>
      <c r="N64" s="94"/>
      <c r="O64" s="94"/>
      <c r="P64" s="1431">
        <f>IFERROR(__xludf.DUMMYFUNCTION("""COMPUTED_VALUE"""),2.66)</f>
        <v>2.66</v>
      </c>
      <c r="Q64" s="1432">
        <f>IFERROR(__xludf.DUMMYFUNCTION("""COMPUTED_VALUE"""),34.480000000000004)</f>
        <v>34.48</v>
      </c>
    </row>
    <row r="65" ht="15.75" customHeight="1">
      <c r="A65" s="94"/>
      <c r="B65" s="94" t="str">
        <f>IFERROR(__xludf.DUMMYFUNCTION("""COMPUTED_VALUE"""),"С 1125")</f>
        <v>С 1125</v>
      </c>
      <c r="C65" s="94"/>
      <c r="D65" s="1432">
        <f>IFERROR(__xludf.DUMMYFUNCTION("""COMPUTED_VALUE"""),3.0)</f>
        <v>3</v>
      </c>
      <c r="E65" s="1429">
        <f>IFERROR(__xludf.DUMMYFUNCTION("""COMPUTED_VALUE"""),45352.0)</f>
        <v>45352</v>
      </c>
      <c r="F65" s="1429">
        <f>IFERROR(__xludf.DUMMYFUNCTION("""COMPUTED_VALUE"""),45354.0)</f>
        <v>45354</v>
      </c>
      <c r="G65" s="1164">
        <f>IFERROR(__xludf.DUMMYFUNCTION("""COMPUTED_VALUE"""),2.0)</f>
        <v>2</v>
      </c>
      <c r="H65" s="94"/>
      <c r="I65" s="94">
        <f>IFERROR(__xludf.DUMMYFUNCTION("""COMPUTED_VALUE"""),145.0)</f>
        <v>145</v>
      </c>
      <c r="J65" s="94"/>
      <c r="K65" s="94">
        <f>IFERROR(__xludf.DUMMYFUNCTION("""COMPUTED_VALUE"""),40.0)</f>
        <v>40</v>
      </c>
      <c r="L65" s="94">
        <f>IFERROR(__xludf.DUMMYFUNCTION("""COMPUTED_VALUE"""),40.0)</f>
        <v>40</v>
      </c>
      <c r="M65" s="94">
        <f>IFERROR(__xludf.DUMMYFUNCTION("""COMPUTED_VALUE"""),0.0)</f>
        <v>0</v>
      </c>
      <c r="N65" s="94"/>
      <c r="O65" s="94"/>
      <c r="P65" s="94"/>
      <c r="Q65" s="1432">
        <f>IFERROR(__xludf.DUMMYFUNCTION("""COMPUTED_VALUE"""),105.0)</f>
        <v>105</v>
      </c>
    </row>
    <row r="66" ht="15.75" customHeight="1">
      <c r="A66" s="94" t="str">
        <f>IFERROR(__xludf.DUMMYFUNCTION("""COMPUTED_VALUE"""),"Итого неделя")</f>
        <v>Итого неделя</v>
      </c>
      <c r="B66" s="94" t="str">
        <f>IFERROR(__xludf.DUMMYFUNCTION("""COMPUTED_VALUE"""),"9 неделя")</f>
        <v>9 неделя</v>
      </c>
      <c r="C66" s="94"/>
      <c r="D66" s="94"/>
      <c r="E66" s="1429">
        <f>IFERROR(__xludf.DUMMYFUNCTION("""COMPUTED_VALUE"""),45348.0)</f>
        <v>45348</v>
      </c>
      <c r="F66" s="1429">
        <f>IFERROR(__xludf.DUMMYFUNCTION("""COMPUTED_VALUE"""),45354.0)</f>
        <v>45354</v>
      </c>
      <c r="G66" s="94"/>
      <c r="H66" s="94"/>
      <c r="I66" s="94"/>
      <c r="J66" s="94"/>
      <c r="K66" s="94"/>
      <c r="L66" s="94"/>
      <c r="M66" s="94">
        <f>IFERROR(__xludf.DUMMYFUNCTION("""COMPUTED_VALUE"""),0.0)</f>
        <v>0</v>
      </c>
      <c r="N66" s="94"/>
      <c r="O66" s="94"/>
      <c r="P66" s="94"/>
      <c r="Q66" s="1432">
        <f>IFERROR(__xludf.DUMMYFUNCTION("""COMPUTED_VALUE"""),5333.240000000001)</f>
        <v>5333.24</v>
      </c>
    </row>
    <row r="67" ht="15.75" customHeight="1">
      <c r="A67" s="94"/>
      <c r="B67" s="94" t="str">
        <f>IFERROR(__xludf.DUMMYFUNCTION("""COMPUTED_VALUE"""),"WS А 908")</f>
        <v>WS А 908</v>
      </c>
      <c r="C67" s="94"/>
      <c r="D67" s="1432">
        <f>IFERROR(__xludf.DUMMYFUNCTION("""COMPUTED_VALUE"""),3.0)</f>
        <v>3</v>
      </c>
      <c r="E67" s="1429">
        <f>IFERROR(__xludf.DUMMYFUNCTION("""COMPUTED_VALUE"""),45353.0)</f>
        <v>45353</v>
      </c>
      <c r="F67" s="1429">
        <f>IFERROR(__xludf.DUMMYFUNCTION("""COMPUTED_VALUE"""),45363.0)</f>
        <v>45363</v>
      </c>
      <c r="G67" s="1164">
        <f>IFERROR(__xludf.DUMMYFUNCTION("""COMPUTED_VALUE"""),10.0)</f>
        <v>10</v>
      </c>
      <c r="H67" s="1430">
        <f>IFERROR(__xludf.DUMMYFUNCTION("""COMPUTED_VALUE"""),215.0)</f>
        <v>215</v>
      </c>
      <c r="I67" s="94"/>
      <c r="J67" s="94"/>
      <c r="K67" s="94">
        <f>IFERROR(__xludf.DUMMYFUNCTION("""COMPUTED_VALUE"""),70.0)</f>
        <v>70</v>
      </c>
      <c r="L67" s="94">
        <f>IFERROR(__xludf.DUMMYFUNCTION("""COMPUTED_VALUE"""),70.0)</f>
        <v>70</v>
      </c>
      <c r="M67" s="94">
        <f>IFERROR(__xludf.DUMMYFUNCTION("""COMPUTED_VALUE"""),0.0)</f>
        <v>0</v>
      </c>
      <c r="N67" s="94"/>
      <c r="O67" s="94"/>
      <c r="P67" s="1431">
        <f>IFERROR(__xludf.DUMMYFUNCTION("""COMPUTED_VALUE"""),2.65)</f>
        <v>2.65</v>
      </c>
      <c r="Q67" s="1432">
        <f>IFERROR(__xludf.DUMMYFUNCTION("""COMPUTED_VALUE"""),499.75)</f>
        <v>499.75</v>
      </c>
    </row>
    <row r="68" ht="15.75" customHeight="1">
      <c r="A68" s="94"/>
      <c r="B68" s="94" t="str">
        <f>IFERROR(__xludf.DUMMYFUNCTION("""COMPUTED_VALUE"""),"С 1443")</f>
        <v>С 1443</v>
      </c>
      <c r="C68" s="94"/>
      <c r="D68" s="1432">
        <f>IFERROR(__xludf.DUMMYFUNCTION("""COMPUTED_VALUE"""),3.0)</f>
        <v>3</v>
      </c>
      <c r="E68" s="1429">
        <f>IFERROR(__xludf.DUMMYFUNCTION("""COMPUTED_VALUE"""),45359.0)</f>
        <v>45359</v>
      </c>
      <c r="F68" s="1429">
        <f>IFERROR(__xludf.DUMMYFUNCTION("""COMPUTED_VALUE"""),45366.0)</f>
        <v>45366</v>
      </c>
      <c r="G68" s="1164">
        <f>IFERROR(__xludf.DUMMYFUNCTION("""COMPUTED_VALUE"""),7.0)</f>
        <v>7</v>
      </c>
      <c r="H68" s="1430">
        <f>IFERROR(__xludf.DUMMYFUNCTION("""COMPUTED_VALUE"""),149.0)</f>
        <v>149</v>
      </c>
      <c r="I68" s="94"/>
      <c r="J68" s="94"/>
      <c r="K68" s="94">
        <f>IFERROR(__xludf.DUMMYFUNCTION("""COMPUTED_VALUE"""),70.0)</f>
        <v>70</v>
      </c>
      <c r="L68" s="94">
        <f>IFERROR(__xludf.DUMMYFUNCTION("""COMPUTED_VALUE"""),70.0)</f>
        <v>70</v>
      </c>
      <c r="M68" s="94">
        <f>IFERROR(__xludf.DUMMYFUNCTION("""COMPUTED_VALUE"""),0.0)</f>
        <v>0</v>
      </c>
      <c r="N68" s="94"/>
      <c r="O68" s="94"/>
      <c r="P68" s="1431">
        <f>IFERROR(__xludf.DUMMYFUNCTION("""COMPUTED_VALUE"""),2.65)</f>
        <v>2.65</v>
      </c>
      <c r="Q68" s="1432">
        <f>IFERROR(__xludf.DUMMYFUNCTION("""COMPUTED_VALUE"""),324.84999999999997)</f>
        <v>324.85</v>
      </c>
    </row>
    <row r="69" ht="15.75" customHeight="1">
      <c r="A69" s="94"/>
      <c r="B69" s="94" t="str">
        <f>IFERROR(__xludf.DUMMYFUNCTION("""COMPUTED_VALUE"""),"С 1443")</f>
        <v>С 1443</v>
      </c>
      <c r="C69" s="94"/>
      <c r="D69" s="1432">
        <f>IFERROR(__xludf.DUMMYFUNCTION("""COMPUTED_VALUE"""),2.0)</f>
        <v>2</v>
      </c>
      <c r="E69" s="1429">
        <f>IFERROR(__xludf.DUMMYFUNCTION("""COMPUTED_VALUE"""),45347.0)</f>
        <v>45347</v>
      </c>
      <c r="F69" s="1429">
        <f>IFERROR(__xludf.DUMMYFUNCTION("""COMPUTED_VALUE"""),45358.0)</f>
        <v>45358</v>
      </c>
      <c r="G69" s="1164">
        <f>IFERROR(__xludf.DUMMYFUNCTION("""COMPUTED_VALUE"""),11.0)</f>
        <v>11</v>
      </c>
      <c r="H69" s="1430">
        <f>IFERROR(__xludf.DUMMYFUNCTION("""COMPUTED_VALUE"""),229.0)</f>
        <v>229</v>
      </c>
      <c r="I69" s="94"/>
      <c r="J69" s="94"/>
      <c r="K69" s="94">
        <f>IFERROR(__xludf.DUMMYFUNCTION("""COMPUTED_VALUE"""),70.0)</f>
        <v>70</v>
      </c>
      <c r="L69" s="94">
        <f>IFERROR(__xludf.DUMMYFUNCTION("""COMPUTED_VALUE"""),70.0)</f>
        <v>70</v>
      </c>
      <c r="M69" s="94">
        <f>IFERROR(__xludf.DUMMYFUNCTION("""COMPUTED_VALUE"""),0.0)</f>
        <v>0</v>
      </c>
      <c r="N69" s="94"/>
      <c r="O69" s="94"/>
      <c r="P69" s="1431">
        <f>IFERROR(__xludf.DUMMYFUNCTION("""COMPUTED_VALUE"""),2.65)</f>
        <v>2.65</v>
      </c>
      <c r="Q69" s="1432">
        <f>IFERROR(__xludf.DUMMYFUNCTION("""COMPUTED_VALUE"""),536.85)</f>
        <v>536.85</v>
      </c>
    </row>
    <row r="70" ht="15.75" customHeight="1">
      <c r="A70" s="94"/>
      <c r="B70" s="94" t="str">
        <f>IFERROR(__xludf.DUMMYFUNCTION("""COMPUTED_VALUE"""),"С 2756")</f>
        <v>С 2756</v>
      </c>
      <c r="C70" s="94"/>
      <c r="D70" s="1432">
        <f>IFERROR(__xludf.DUMMYFUNCTION("""COMPUTED_VALUE"""),3.0)</f>
        <v>3</v>
      </c>
      <c r="E70" s="1429">
        <f>IFERROR(__xludf.DUMMYFUNCTION("""COMPUTED_VALUE"""),45352.0)</f>
        <v>45352</v>
      </c>
      <c r="F70" s="1429">
        <f>IFERROR(__xludf.DUMMYFUNCTION("""COMPUTED_VALUE"""),45356.0)</f>
        <v>45356</v>
      </c>
      <c r="G70" s="1164">
        <f>IFERROR(__xludf.DUMMYFUNCTION("""COMPUTED_VALUE"""),4.0)</f>
        <v>4</v>
      </c>
      <c r="H70" s="1430">
        <f>IFERROR(__xludf.DUMMYFUNCTION("""COMPUTED_VALUE"""),52.0)</f>
        <v>52</v>
      </c>
      <c r="I70" s="94"/>
      <c r="J70" s="94"/>
      <c r="K70" s="94">
        <f>IFERROR(__xludf.DUMMYFUNCTION("""COMPUTED_VALUE"""),50.0)</f>
        <v>50</v>
      </c>
      <c r="L70" s="94">
        <f>IFERROR(__xludf.DUMMYFUNCTION("""COMPUTED_VALUE"""),50.0)</f>
        <v>50</v>
      </c>
      <c r="M70" s="94">
        <f>IFERROR(__xludf.DUMMYFUNCTION("""COMPUTED_VALUE"""),0.0)</f>
        <v>0</v>
      </c>
      <c r="N70" s="94"/>
      <c r="O70" s="94"/>
      <c r="P70" s="1431">
        <f>IFERROR(__xludf.DUMMYFUNCTION("""COMPUTED_VALUE"""),2.65)</f>
        <v>2.65</v>
      </c>
      <c r="Q70" s="1432">
        <f>IFERROR(__xludf.DUMMYFUNCTION("""COMPUTED_VALUE"""),87.79999999999998)</f>
        <v>87.8</v>
      </c>
    </row>
    <row r="71" ht="15.75" customHeight="1">
      <c r="A71" s="94"/>
      <c r="B71" s="94" t="str">
        <f>IFERROR(__xludf.DUMMYFUNCTION("""COMPUTED_VALUE"""),"WS F 907")</f>
        <v>WS F 907</v>
      </c>
      <c r="C71" s="94"/>
      <c r="D71" s="1432">
        <f>IFERROR(__xludf.DUMMYFUNCTION("""COMPUTED_VALUE"""),2.0)</f>
        <v>2</v>
      </c>
      <c r="E71" s="1429">
        <f>IFERROR(__xludf.DUMMYFUNCTION("""COMPUTED_VALUE"""),45329.0)</f>
        <v>45329</v>
      </c>
      <c r="F71" s="1429">
        <f>IFERROR(__xludf.DUMMYFUNCTION("""COMPUTED_VALUE"""),45358.0)</f>
        <v>45358</v>
      </c>
      <c r="G71" s="1164">
        <f>IFERROR(__xludf.DUMMYFUNCTION("""COMPUTED_VALUE"""),29.0)</f>
        <v>29</v>
      </c>
      <c r="H71" s="1430">
        <f>IFERROR(__xludf.DUMMYFUNCTION("""COMPUTED_VALUE"""),450.0)</f>
        <v>450</v>
      </c>
      <c r="I71" s="94"/>
      <c r="J71" s="94"/>
      <c r="K71" s="94">
        <f>IFERROR(__xludf.DUMMYFUNCTION("""COMPUTED_VALUE"""),0.0)</f>
        <v>0</v>
      </c>
      <c r="L71" s="94">
        <f>IFERROR(__xludf.DUMMYFUNCTION("""COMPUTED_VALUE"""),0.0)</f>
        <v>0</v>
      </c>
      <c r="M71" s="94">
        <f>IFERROR(__xludf.DUMMYFUNCTION("""COMPUTED_VALUE"""),0.0)</f>
        <v>0</v>
      </c>
      <c r="N71" s="94"/>
      <c r="O71" s="94"/>
      <c r="P71" s="1431">
        <f>IFERROR(__xludf.DUMMYFUNCTION("""COMPUTED_VALUE"""),2.65)</f>
        <v>2.65</v>
      </c>
      <c r="Q71" s="1432">
        <f>IFERROR(__xludf.DUMMYFUNCTION("""COMPUTED_VALUE"""),1192.5)</f>
        <v>1192.5</v>
      </c>
    </row>
    <row r="72" ht="15.75" customHeight="1">
      <c r="A72" s="94"/>
      <c r="B72" s="94"/>
      <c r="C72" s="94"/>
      <c r="D72" s="94"/>
      <c r="E72" s="94"/>
      <c r="F72" s="94"/>
      <c r="G72" s="94"/>
      <c r="H72" s="94"/>
      <c r="I72" s="94"/>
      <c r="J72" s="94"/>
      <c r="K72" s="94"/>
      <c r="L72" s="94"/>
      <c r="M72" s="94">
        <f>IFERROR(__xludf.DUMMYFUNCTION("""COMPUTED_VALUE"""),0.0)</f>
        <v>0</v>
      </c>
      <c r="N72" s="94"/>
      <c r="O72" s="94"/>
      <c r="P72" s="94"/>
      <c r="Q72" s="1432">
        <f>IFERROR(__xludf.DUMMYFUNCTION("""COMPUTED_VALUE"""),0.0)</f>
        <v>0</v>
      </c>
    </row>
    <row r="73" ht="15.75" customHeight="1">
      <c r="A73" s="94"/>
      <c r="B73" s="94" t="str">
        <f>IFERROR(__xludf.DUMMYFUNCTION("""COMPUTED_VALUE"""),"D 1321")</f>
        <v>D 1321</v>
      </c>
      <c r="C73" s="94"/>
      <c r="D73" s="1432">
        <f>IFERROR(__xludf.DUMMYFUNCTION("""COMPUTED_VALUE"""),3.0)</f>
        <v>3</v>
      </c>
      <c r="E73" s="1429">
        <f>IFERROR(__xludf.DUMMYFUNCTION("""COMPUTED_VALUE"""),45359.0)</f>
        <v>45359</v>
      </c>
      <c r="F73" s="1429">
        <f>IFERROR(__xludf.DUMMYFUNCTION("""COMPUTED_VALUE"""),45362.0)</f>
        <v>45362</v>
      </c>
      <c r="G73" s="1164">
        <f>IFERROR(__xludf.DUMMYFUNCTION("""COMPUTED_VALUE"""),3.0)</f>
        <v>3</v>
      </c>
      <c r="H73" s="1430">
        <f>IFERROR(__xludf.DUMMYFUNCTION("""COMPUTED_VALUE"""),46.0)</f>
        <v>46</v>
      </c>
      <c r="I73" s="94"/>
      <c r="J73" s="94"/>
      <c r="K73" s="94">
        <f>IFERROR(__xludf.DUMMYFUNCTION("""COMPUTED_VALUE"""),50.0)</f>
        <v>50</v>
      </c>
      <c r="L73" s="94">
        <f>IFERROR(__xludf.DUMMYFUNCTION("""COMPUTED_VALUE"""),50.0)</f>
        <v>50</v>
      </c>
      <c r="M73" s="94">
        <f>IFERROR(__xludf.DUMMYFUNCTION("""COMPUTED_VALUE"""),0.0)</f>
        <v>0</v>
      </c>
      <c r="N73" s="94"/>
      <c r="O73" s="94"/>
      <c r="P73" s="1431">
        <f>IFERROR(__xludf.DUMMYFUNCTION("""COMPUTED_VALUE"""),2.65)</f>
        <v>2.65</v>
      </c>
      <c r="Q73" s="1432">
        <f>IFERROR(__xludf.DUMMYFUNCTION("""COMPUTED_VALUE"""),71.89999999999999)</f>
        <v>71.9</v>
      </c>
    </row>
    <row r="74" ht="15.75" customHeight="1">
      <c r="A74" s="94"/>
      <c r="B74" s="94" t="str">
        <f>IFERROR(__xludf.DUMMYFUNCTION("""COMPUTED_VALUE"""),"С 2756")</f>
        <v>С 2756</v>
      </c>
      <c r="C74" s="94"/>
      <c r="D74" s="1432">
        <f>IFERROR(__xludf.DUMMYFUNCTION("""COMPUTED_VALUE"""),3.0)</f>
        <v>3</v>
      </c>
      <c r="E74" s="1429">
        <f>IFERROR(__xludf.DUMMYFUNCTION("""COMPUTED_VALUE"""),45358.0)</f>
        <v>45358</v>
      </c>
      <c r="F74" s="1429">
        <f>IFERROR(__xludf.DUMMYFUNCTION("""COMPUTED_VALUE"""),45362.0)</f>
        <v>45362</v>
      </c>
      <c r="G74" s="1164">
        <f>IFERROR(__xludf.DUMMYFUNCTION("""COMPUTED_VALUE"""),4.0)</f>
        <v>4</v>
      </c>
      <c r="H74" s="1430">
        <f>IFERROR(__xludf.DUMMYFUNCTION("""COMPUTED_VALUE"""),62.0)</f>
        <v>62</v>
      </c>
      <c r="I74" s="94"/>
      <c r="J74" s="94"/>
      <c r="K74" s="94">
        <f>IFERROR(__xludf.DUMMYFUNCTION("""COMPUTED_VALUE"""),50.0)</f>
        <v>50</v>
      </c>
      <c r="L74" s="94">
        <f>IFERROR(__xludf.DUMMYFUNCTION("""COMPUTED_VALUE"""),50.0)</f>
        <v>50</v>
      </c>
      <c r="M74" s="94">
        <f>IFERROR(__xludf.DUMMYFUNCTION("""COMPUTED_VALUE"""),0.0)</f>
        <v>0</v>
      </c>
      <c r="N74" s="94"/>
      <c r="O74" s="94"/>
      <c r="P74" s="1431">
        <f>IFERROR(__xludf.DUMMYFUNCTION("""COMPUTED_VALUE"""),2.65)</f>
        <v>2.65</v>
      </c>
      <c r="Q74" s="1432">
        <f>IFERROR(__xludf.DUMMYFUNCTION("""COMPUTED_VALUE"""),114.29999999999998)</f>
        <v>114.3</v>
      </c>
    </row>
    <row r="75" ht="15.75" customHeight="1">
      <c r="A75" s="94" t="str">
        <f>IFERROR(__xludf.DUMMYFUNCTION("""COMPUTED_VALUE"""),"Итого неделя")</f>
        <v>Итого неделя</v>
      </c>
      <c r="B75" s="94" t="str">
        <f>IFERROR(__xludf.DUMMYFUNCTION("""COMPUTED_VALUE"""),"10 неделя")</f>
        <v>10 неделя</v>
      </c>
      <c r="C75" s="94"/>
      <c r="D75" s="94"/>
      <c r="E75" s="1429">
        <f>IFERROR(__xludf.DUMMYFUNCTION("""COMPUTED_VALUE"""),45355.0)</f>
        <v>45355</v>
      </c>
      <c r="F75" s="1429">
        <f>IFERROR(__xludf.DUMMYFUNCTION("""COMPUTED_VALUE"""),45361.0)</f>
        <v>45361</v>
      </c>
      <c r="G75" s="94"/>
      <c r="H75" s="1430">
        <f>IFERROR(__xludf.DUMMYFUNCTION("""COMPUTED_VALUE"""),1203.0)</f>
        <v>1203</v>
      </c>
      <c r="I75" s="94"/>
      <c r="J75" s="94"/>
      <c r="K75" s="94"/>
      <c r="L75" s="94"/>
      <c r="M75" s="94">
        <f>IFERROR(__xludf.DUMMYFUNCTION("""COMPUTED_VALUE"""),0.0)</f>
        <v>0</v>
      </c>
      <c r="N75" s="94"/>
      <c r="O75" s="94"/>
      <c r="P75" s="94"/>
      <c r="Q75" s="1432">
        <f>IFERROR(__xludf.DUMMYFUNCTION("""COMPUTED_VALUE"""),2827.9500000000003)</f>
        <v>2827.95</v>
      </c>
    </row>
    <row r="76" ht="15.75" customHeight="1">
      <c r="A76" s="94"/>
      <c r="B76" s="94" t="str">
        <f>IFERROR(__xludf.DUMMYFUNCTION("""COMPUTED_VALUE"""),"C 4245")</f>
        <v>C 4245</v>
      </c>
      <c r="C76" s="94"/>
      <c r="D76" s="1432">
        <f>IFERROR(__xludf.DUMMYFUNCTION("""COMPUTED_VALUE"""),3.0)</f>
        <v>3</v>
      </c>
      <c r="E76" s="1429">
        <f>IFERROR(__xludf.DUMMYFUNCTION("""COMPUTED_VALUE"""),45366.0)</f>
        <v>45366</v>
      </c>
      <c r="F76" s="1429">
        <f>IFERROR(__xludf.DUMMYFUNCTION("""COMPUTED_VALUE"""),45369.0)</f>
        <v>45369</v>
      </c>
      <c r="G76" s="1164">
        <f>IFERROR(__xludf.DUMMYFUNCTION("""COMPUTED_VALUE"""),3.0)</f>
        <v>3</v>
      </c>
      <c r="H76" s="1430">
        <f>IFERROR(__xludf.DUMMYFUNCTION("""COMPUTED_VALUE"""),84.0)</f>
        <v>84</v>
      </c>
      <c r="I76" s="94"/>
      <c r="J76" s="94"/>
      <c r="K76" s="94">
        <f>IFERROR(__xludf.DUMMYFUNCTION("""COMPUTED_VALUE"""),70.0)</f>
        <v>70</v>
      </c>
      <c r="L76" s="94">
        <f>IFERROR(__xludf.DUMMYFUNCTION("""COMPUTED_VALUE"""),70.0)</f>
        <v>70</v>
      </c>
      <c r="M76" s="94">
        <f>IFERROR(__xludf.DUMMYFUNCTION("""COMPUTED_VALUE"""),0.0)</f>
        <v>0</v>
      </c>
      <c r="N76" s="94"/>
      <c r="O76" s="94"/>
      <c r="P76" s="1431">
        <f>IFERROR(__xludf.DUMMYFUNCTION("""COMPUTED_VALUE"""),2.65)</f>
        <v>2.65</v>
      </c>
      <c r="Q76" s="1432">
        <f>IFERROR(__xludf.DUMMYFUNCTION("""COMPUTED_VALUE"""),152.6)</f>
        <v>152.6</v>
      </c>
    </row>
    <row r="77" ht="15.75" customHeight="1">
      <c r="A77" s="94"/>
      <c r="B77" s="94" t="str">
        <f>IFERROR(__xludf.DUMMYFUNCTION("""COMPUTED_VALUE"""),"WS А 908")</f>
        <v>WS А 908</v>
      </c>
      <c r="C77" s="94"/>
      <c r="D77" s="1432">
        <f>IFERROR(__xludf.DUMMYFUNCTION("""COMPUTED_VALUE"""),3.0)</f>
        <v>3</v>
      </c>
      <c r="E77" s="1429">
        <f>IFERROR(__xludf.DUMMYFUNCTION("""COMPUTED_VALUE"""),45370.0)</f>
        <v>45370</v>
      </c>
      <c r="F77" s="1429">
        <f>IFERROR(__xludf.DUMMYFUNCTION("""COMPUTED_VALUE"""),45373.0)</f>
        <v>45373</v>
      </c>
      <c r="G77" s="1164">
        <f>IFERROR(__xludf.DUMMYFUNCTION("""COMPUTED_VALUE"""),3.0)</f>
        <v>3</v>
      </c>
      <c r="H77" s="1430">
        <f>IFERROR(__xludf.DUMMYFUNCTION("""COMPUTED_VALUE"""),77.0)</f>
        <v>77</v>
      </c>
      <c r="I77" s="94"/>
      <c r="J77" s="94"/>
      <c r="K77" s="94">
        <f>IFERROR(__xludf.DUMMYFUNCTION("""COMPUTED_VALUE"""),50.0)</f>
        <v>50</v>
      </c>
      <c r="L77" s="94">
        <f>IFERROR(__xludf.DUMMYFUNCTION("""COMPUTED_VALUE"""),50.0)</f>
        <v>50</v>
      </c>
      <c r="M77" s="94">
        <f>IFERROR(__xludf.DUMMYFUNCTION("""COMPUTED_VALUE"""),0.0)</f>
        <v>0</v>
      </c>
      <c r="N77" s="94"/>
      <c r="O77" s="94"/>
      <c r="P77" s="1431">
        <f>IFERROR(__xludf.DUMMYFUNCTION("""COMPUTED_VALUE"""),2.65)</f>
        <v>2.65</v>
      </c>
      <c r="Q77" s="1432">
        <f>IFERROR(__xludf.DUMMYFUNCTION("""COMPUTED_VALUE"""),154.04999999999998)</f>
        <v>154.05</v>
      </c>
    </row>
    <row r="78" ht="15.75" customHeight="1">
      <c r="A78" s="94"/>
      <c r="B78" s="94" t="str">
        <f>IFERROR(__xludf.DUMMYFUNCTION("""COMPUTED_VALUE"""),"WS В 1510")</f>
        <v>WS В 1510</v>
      </c>
      <c r="C78" s="94"/>
      <c r="D78" s="1432">
        <f>IFERROR(__xludf.DUMMYFUNCTION("""COMPUTED_VALUE"""),3.0)</f>
        <v>3</v>
      </c>
      <c r="E78" s="1429">
        <f>IFERROR(__xludf.DUMMYFUNCTION("""COMPUTED_VALUE"""),45365.0)</f>
        <v>45365</v>
      </c>
      <c r="F78" s="1429">
        <f>IFERROR(__xludf.DUMMYFUNCTION("""COMPUTED_VALUE"""),45368.0)</f>
        <v>45368</v>
      </c>
      <c r="G78" s="1164">
        <f>IFERROR(__xludf.DUMMYFUNCTION("""COMPUTED_VALUE"""),3.0)</f>
        <v>3</v>
      </c>
      <c r="H78" s="1430">
        <f>IFERROR(__xludf.DUMMYFUNCTION("""COMPUTED_VALUE"""),60.0)</f>
        <v>60</v>
      </c>
      <c r="I78" s="94"/>
      <c r="J78" s="94"/>
      <c r="K78" s="94">
        <f>IFERROR(__xludf.DUMMYFUNCTION("""COMPUTED_VALUE"""),50.0)</f>
        <v>50</v>
      </c>
      <c r="L78" s="94">
        <f>IFERROR(__xludf.DUMMYFUNCTION("""COMPUTED_VALUE"""),50.0)</f>
        <v>50</v>
      </c>
      <c r="M78" s="94">
        <f>IFERROR(__xludf.DUMMYFUNCTION("""COMPUTED_VALUE"""),0.0)</f>
        <v>0</v>
      </c>
      <c r="N78" s="94"/>
      <c r="O78" s="94"/>
      <c r="P78" s="1431">
        <f>IFERROR(__xludf.DUMMYFUNCTION("""COMPUTED_VALUE"""),2.65)</f>
        <v>2.65</v>
      </c>
      <c r="Q78" s="1432">
        <f>IFERROR(__xludf.DUMMYFUNCTION("""COMPUTED_VALUE"""),109.0)</f>
        <v>109</v>
      </c>
    </row>
    <row r="79" ht="15.75" customHeight="1">
      <c r="A79" s="94"/>
      <c r="B79" s="94" t="str">
        <f>IFERROR(__xludf.DUMMYFUNCTION("""COMPUTED_VALUE"""),"D 1321")</f>
        <v>D 1321</v>
      </c>
      <c r="C79" s="94"/>
      <c r="D79" s="1432">
        <f>IFERROR(__xludf.DUMMYFUNCTION("""COMPUTED_VALUE"""),3.0)</f>
        <v>3</v>
      </c>
      <c r="E79" s="1429">
        <f>IFERROR(__xludf.DUMMYFUNCTION("""COMPUTED_VALUE"""),45362.0)</f>
        <v>45362</v>
      </c>
      <c r="F79" s="1429">
        <f>IFERROR(__xludf.DUMMYFUNCTION("""COMPUTED_VALUE"""),45378.0)</f>
        <v>45378</v>
      </c>
      <c r="G79" s="1164">
        <f>IFERROR(__xludf.DUMMYFUNCTION("""COMPUTED_VALUE"""),16.0)</f>
        <v>16</v>
      </c>
      <c r="H79" s="1430">
        <f>IFERROR(__xludf.DUMMYFUNCTION("""COMPUTED_VALUE"""),288.0)</f>
        <v>288</v>
      </c>
      <c r="I79" s="94"/>
      <c r="J79" s="94"/>
      <c r="K79" s="94">
        <f>IFERROR(__xludf.DUMMYFUNCTION("""COMPUTED_VALUE"""),50.0)</f>
        <v>50</v>
      </c>
      <c r="L79" s="94">
        <f>IFERROR(__xludf.DUMMYFUNCTION("""COMPUTED_VALUE"""),50.0)</f>
        <v>50</v>
      </c>
      <c r="M79" s="94">
        <f>IFERROR(__xludf.DUMMYFUNCTION("""COMPUTED_VALUE"""),0.0)</f>
        <v>0</v>
      </c>
      <c r="N79" s="94"/>
      <c r="O79" s="94"/>
      <c r="P79" s="1431">
        <f>IFERROR(__xludf.DUMMYFUNCTION("""COMPUTED_VALUE"""),2.65)</f>
        <v>2.65</v>
      </c>
      <c r="Q79" s="1432">
        <f>IFERROR(__xludf.DUMMYFUNCTION("""COMPUTED_VALUE"""),713.1999999999999)</f>
        <v>713.2</v>
      </c>
    </row>
    <row r="80" ht="15.75" customHeight="1">
      <c r="A80" s="94"/>
      <c r="B80" s="94" t="str">
        <f>IFERROR(__xludf.DUMMYFUNCTION("""COMPUTED_VALUE"""),"WS В 503")</f>
        <v>WS В 503</v>
      </c>
      <c r="C80" s="94"/>
      <c r="D80" s="1432">
        <f>IFERROR(__xludf.DUMMYFUNCTION("""COMPUTED_VALUE"""),3.0)</f>
        <v>3</v>
      </c>
      <c r="E80" s="1429">
        <f>IFERROR(__xludf.DUMMYFUNCTION("""COMPUTED_VALUE"""),45365.0)</f>
        <v>45365</v>
      </c>
      <c r="F80" s="1429">
        <f>IFERROR(__xludf.DUMMYFUNCTION("""COMPUTED_VALUE"""),45370.0)</f>
        <v>45370</v>
      </c>
      <c r="G80" s="1164">
        <f>IFERROR(__xludf.DUMMYFUNCTION("""COMPUTED_VALUE"""),5.0)</f>
        <v>5</v>
      </c>
      <c r="H80" s="1430">
        <f>IFERROR(__xludf.DUMMYFUNCTION("""COMPUTED_VALUE"""),272.0)</f>
        <v>272</v>
      </c>
      <c r="I80" s="94"/>
      <c r="J80" s="94"/>
      <c r="K80" s="94">
        <f>IFERROR(__xludf.DUMMYFUNCTION("""COMPUTED_VALUE"""),50.0)</f>
        <v>50</v>
      </c>
      <c r="L80" s="94">
        <f>IFERROR(__xludf.DUMMYFUNCTION("""COMPUTED_VALUE"""),50.0)</f>
        <v>50</v>
      </c>
      <c r="M80" s="94">
        <f>IFERROR(__xludf.DUMMYFUNCTION("""COMPUTED_VALUE"""),0.0)</f>
        <v>0</v>
      </c>
      <c r="N80" s="94"/>
      <c r="O80" s="94"/>
      <c r="P80" s="1431">
        <f>IFERROR(__xludf.DUMMYFUNCTION("""COMPUTED_VALUE"""),2.69)</f>
        <v>2.69</v>
      </c>
      <c r="Q80" s="1432">
        <f>IFERROR(__xludf.DUMMYFUNCTION("""COMPUTED_VALUE"""),681.68)</f>
        <v>681.68</v>
      </c>
    </row>
    <row r="81" ht="15.75" customHeight="1">
      <c r="A81" s="94"/>
      <c r="B81" s="94" t="str">
        <f>IFERROR(__xludf.DUMMYFUNCTION("""COMPUTED_VALUE"""),"CM 1604")</f>
        <v>CM 1604</v>
      </c>
      <c r="C81" s="94"/>
      <c r="D81" s="1432">
        <f>IFERROR(__xludf.DUMMYFUNCTION("""COMPUTED_VALUE"""),3.0)</f>
        <v>3</v>
      </c>
      <c r="E81" s="1429">
        <f>IFERROR(__xludf.DUMMYFUNCTION("""COMPUTED_VALUE"""),45368.0)</f>
        <v>45368</v>
      </c>
      <c r="F81" s="1429">
        <f>IFERROR(__xludf.DUMMYFUNCTION("""COMPUTED_VALUE"""),45371.0)</f>
        <v>45371</v>
      </c>
      <c r="G81" s="1164">
        <f>IFERROR(__xludf.DUMMYFUNCTION("""COMPUTED_VALUE"""),3.0)</f>
        <v>3</v>
      </c>
      <c r="H81" s="1430">
        <f>IFERROR(__xludf.DUMMYFUNCTION("""COMPUTED_VALUE"""),100.0)</f>
        <v>100</v>
      </c>
      <c r="I81" s="94"/>
      <c r="J81" s="94"/>
      <c r="K81" s="94">
        <f>IFERROR(__xludf.DUMMYFUNCTION("""COMPUTED_VALUE"""),50.0)</f>
        <v>50</v>
      </c>
      <c r="L81" s="94">
        <f>IFERROR(__xludf.DUMMYFUNCTION("""COMPUTED_VALUE"""),50.0)</f>
        <v>50</v>
      </c>
      <c r="M81" s="94">
        <f>IFERROR(__xludf.DUMMYFUNCTION("""COMPUTED_VALUE"""),0.0)</f>
        <v>0</v>
      </c>
      <c r="N81" s="94"/>
      <c r="O81" s="94"/>
      <c r="P81" s="1431">
        <f>IFERROR(__xludf.DUMMYFUNCTION("""COMPUTED_VALUE"""),2.69)</f>
        <v>2.69</v>
      </c>
      <c r="Q81" s="1432">
        <f>IFERROR(__xludf.DUMMYFUNCTION("""COMPUTED_VALUE"""),219.0)</f>
        <v>219</v>
      </c>
    </row>
    <row r="82" ht="15.75" customHeight="1">
      <c r="A82" s="94"/>
      <c r="B82" s="94" t="str">
        <f>IFERROR(__xludf.DUMMYFUNCTION("""COMPUTED_VALUE"""),"A 2851")</f>
        <v>A 2851</v>
      </c>
      <c r="C82" s="94"/>
      <c r="D82" s="1432">
        <f>IFERROR(__xludf.DUMMYFUNCTION("""COMPUTED_VALUE"""),3.0)</f>
        <v>3</v>
      </c>
      <c r="E82" s="1429">
        <f>IFERROR(__xludf.DUMMYFUNCTION("""COMPUTED_VALUE"""),45367.0)</f>
        <v>45367</v>
      </c>
      <c r="F82" s="1429">
        <f>IFERROR(__xludf.DUMMYFUNCTION("""COMPUTED_VALUE"""),45398.0)</f>
        <v>45398</v>
      </c>
      <c r="G82" s="1164">
        <f>IFERROR(__xludf.DUMMYFUNCTION("""COMPUTED_VALUE"""),31.0)</f>
        <v>31</v>
      </c>
      <c r="H82" s="1430">
        <f>IFERROR(__xludf.DUMMYFUNCTION("""COMPUTED_VALUE"""),350.0)</f>
        <v>350</v>
      </c>
      <c r="I82" s="94"/>
      <c r="J82" s="94"/>
      <c r="K82" s="94"/>
      <c r="L82" s="94">
        <f>IFERROR(__xludf.DUMMYFUNCTION("""COMPUTED_VALUE"""),0.0)</f>
        <v>0</v>
      </c>
      <c r="M82" s="94">
        <f>IFERROR(__xludf.DUMMYFUNCTION("""COMPUTED_VALUE"""),0.0)</f>
        <v>0</v>
      </c>
      <c r="N82" s="94"/>
      <c r="O82" s="94"/>
      <c r="P82" s="1431">
        <f>IFERROR(__xludf.DUMMYFUNCTION("""COMPUTED_VALUE"""),2.69)</f>
        <v>2.69</v>
      </c>
      <c r="Q82" s="1432">
        <f>IFERROR(__xludf.DUMMYFUNCTION("""COMPUTED_VALUE"""),941.5)</f>
        <v>941.5</v>
      </c>
    </row>
    <row r="83" ht="15.75" customHeight="1">
      <c r="A83" s="94" t="str">
        <f>IFERROR(__xludf.DUMMYFUNCTION("""COMPUTED_VALUE"""),"Итого неделя")</f>
        <v>Итого неделя</v>
      </c>
      <c r="B83" s="94" t="str">
        <f>IFERROR(__xludf.DUMMYFUNCTION("""COMPUTED_VALUE"""),"11 неделя")</f>
        <v>11 неделя</v>
      </c>
      <c r="C83" s="94"/>
      <c r="D83" s="94"/>
      <c r="E83" s="1429">
        <f>IFERROR(__xludf.DUMMYFUNCTION("""COMPUTED_VALUE"""),45362.0)</f>
        <v>45362</v>
      </c>
      <c r="F83" s="1429">
        <f>IFERROR(__xludf.DUMMYFUNCTION("""COMPUTED_VALUE"""),45368.0)</f>
        <v>45368</v>
      </c>
      <c r="G83" s="94"/>
      <c r="H83" s="1430">
        <f>IFERROR(__xludf.DUMMYFUNCTION("""COMPUTED_VALUE"""),1231.0)</f>
        <v>1231</v>
      </c>
      <c r="I83" s="94"/>
      <c r="J83" s="94"/>
      <c r="K83" s="94"/>
      <c r="L83" s="94"/>
      <c r="M83" s="1430">
        <f>IFERROR(__xludf.DUMMYFUNCTION("""COMPUTED_VALUE"""),0.0)</f>
        <v>0</v>
      </c>
      <c r="N83" s="94"/>
      <c r="O83" s="94"/>
      <c r="P83" s="94"/>
      <c r="Q83" s="1432">
        <f>IFERROR(__xludf.DUMMYFUNCTION("""COMPUTED_VALUE"""),2971.0299999999997)</f>
        <v>2971.03</v>
      </c>
    </row>
    <row r="84" ht="15.75" customHeight="1">
      <c r="A84" s="94"/>
      <c r="B84" s="94" t="str">
        <f>IFERROR(__xludf.DUMMYFUNCTION("""COMPUTED_VALUE"""),"C 4245")</f>
        <v>C 4245</v>
      </c>
      <c r="C84" s="94"/>
      <c r="D84" s="1432">
        <f>IFERROR(__xludf.DUMMYFUNCTION("""COMPUTED_VALUE"""),3.0)</f>
        <v>3</v>
      </c>
      <c r="E84" s="1429">
        <f>IFERROR(__xludf.DUMMYFUNCTION("""COMPUTED_VALUE"""),45370.0)</f>
        <v>45370</v>
      </c>
      <c r="F84" s="1429">
        <f>IFERROR(__xludf.DUMMYFUNCTION("""COMPUTED_VALUE"""),45372.0)</f>
        <v>45372</v>
      </c>
      <c r="G84" s="1164">
        <f>IFERROR(__xludf.DUMMYFUNCTION("""COMPUTED_VALUE"""),2.0)</f>
        <v>2</v>
      </c>
      <c r="H84" s="1430">
        <f>IFERROR(__xludf.DUMMYFUNCTION("""COMPUTED_VALUE"""),100.0)</f>
        <v>100</v>
      </c>
      <c r="I84" s="94"/>
      <c r="J84" s="94"/>
      <c r="K84" s="94">
        <f>IFERROR(__xludf.DUMMYFUNCTION("""COMPUTED_VALUE"""),50.0)</f>
        <v>50</v>
      </c>
      <c r="L84" s="94">
        <f>IFERROR(__xludf.DUMMYFUNCTION("""COMPUTED_VALUE"""),50.0)</f>
        <v>50</v>
      </c>
      <c r="M84" s="94">
        <f>IFERROR(__xludf.DUMMYFUNCTION("""COMPUTED_VALUE"""),0.0)</f>
        <v>0</v>
      </c>
      <c r="N84" s="94"/>
      <c r="O84" s="1430">
        <f>IFERROR(__xludf.DUMMYFUNCTION("""COMPUTED_VALUE"""),-82.5)</f>
        <v>-82.5</v>
      </c>
      <c r="P84" s="1431">
        <f>IFERROR(__xludf.DUMMYFUNCTION("""COMPUTED_VALUE"""),2.65)</f>
        <v>2.65</v>
      </c>
      <c r="Q84" s="1432">
        <f>IFERROR(__xludf.DUMMYFUNCTION("""COMPUTED_VALUE"""),215.0)</f>
        <v>215</v>
      </c>
    </row>
    <row r="85" ht="15.75" customHeight="1">
      <c r="A85" s="94"/>
      <c r="B85" s="94" t="str">
        <f>IFERROR(__xludf.DUMMYFUNCTION("""COMPUTED_VALUE"""),"С 2756")</f>
        <v>С 2756</v>
      </c>
      <c r="C85" s="94"/>
      <c r="D85" s="1432">
        <f>IFERROR(__xludf.DUMMYFUNCTION("""COMPUTED_VALUE"""),3.0)</f>
        <v>3</v>
      </c>
      <c r="E85" s="1429">
        <f>IFERROR(__xludf.DUMMYFUNCTION("""COMPUTED_VALUE"""),45373.0)</f>
        <v>45373</v>
      </c>
      <c r="F85" s="1429">
        <f>IFERROR(__xludf.DUMMYFUNCTION("""COMPUTED_VALUE"""),45394.0)</f>
        <v>45394</v>
      </c>
      <c r="G85" s="1164">
        <f>IFERROR(__xludf.DUMMYFUNCTION("""COMPUTED_VALUE"""),21.0)</f>
        <v>21</v>
      </c>
      <c r="H85" s="94">
        <f>IFERROR(__xludf.DUMMYFUNCTION("""COMPUTED_VALUE"""),295.0)</f>
        <v>295</v>
      </c>
      <c r="I85" s="94"/>
      <c r="J85" s="94"/>
      <c r="K85" s="94">
        <f>IFERROR(__xludf.DUMMYFUNCTION("""COMPUTED_VALUE"""),50.0)</f>
        <v>50</v>
      </c>
      <c r="L85" s="94">
        <f>IFERROR(__xludf.DUMMYFUNCTION("""COMPUTED_VALUE"""),50.0)</f>
        <v>50</v>
      </c>
      <c r="M85" s="94">
        <f>IFERROR(__xludf.DUMMYFUNCTION("""COMPUTED_VALUE"""),0.0)</f>
        <v>0</v>
      </c>
      <c r="N85" s="94"/>
      <c r="O85" s="1430">
        <f>IFERROR(__xludf.DUMMYFUNCTION("""COMPUTED_VALUE"""),-82.5)</f>
        <v>-82.5</v>
      </c>
      <c r="P85" s="1431">
        <f>IFERROR(__xludf.DUMMYFUNCTION("""COMPUTED_VALUE"""),2.65)</f>
        <v>2.65</v>
      </c>
      <c r="Q85" s="1432">
        <f>IFERROR(__xludf.DUMMYFUNCTION("""COMPUTED_VALUE"""),731.75)</f>
        <v>731.75</v>
      </c>
    </row>
    <row r="86" ht="15.75" customHeight="1">
      <c r="A86" s="94"/>
      <c r="B86" s="94" t="str">
        <f>IFERROR(__xludf.DUMMYFUNCTION("""COMPUTED_VALUE"""),"WS В 503")</f>
        <v>WS В 503</v>
      </c>
      <c r="C86" s="94"/>
      <c r="D86" s="1432">
        <f>IFERROR(__xludf.DUMMYFUNCTION("""COMPUTED_VALUE"""),3.0)</f>
        <v>3</v>
      </c>
      <c r="E86" s="1429">
        <f>IFERROR(__xludf.DUMMYFUNCTION("""COMPUTED_VALUE"""),45375.0)</f>
        <v>45375</v>
      </c>
      <c r="F86" s="1429">
        <f>IFERROR(__xludf.DUMMYFUNCTION("""COMPUTED_VALUE"""),45381.0)</f>
        <v>45381</v>
      </c>
      <c r="G86" s="1164">
        <f>IFERROR(__xludf.DUMMYFUNCTION("""COMPUTED_VALUE"""),6.0)</f>
        <v>6</v>
      </c>
      <c r="H86" s="1430">
        <f>IFERROR(__xludf.DUMMYFUNCTION("""COMPUTED_VALUE"""),230.0)</f>
        <v>230</v>
      </c>
      <c r="I86" s="94"/>
      <c r="J86" s="94"/>
      <c r="K86" s="94">
        <f>IFERROR(__xludf.DUMMYFUNCTION("""COMPUTED_VALUE"""),50.0)</f>
        <v>50</v>
      </c>
      <c r="L86" s="94">
        <f>IFERROR(__xludf.DUMMYFUNCTION("""COMPUTED_VALUE"""),50.0)</f>
        <v>50</v>
      </c>
      <c r="M86" s="94">
        <f>IFERROR(__xludf.DUMMYFUNCTION("""COMPUTED_VALUE"""),0.0)</f>
        <v>0</v>
      </c>
      <c r="N86" s="94"/>
      <c r="O86" s="1430">
        <f>IFERROR(__xludf.DUMMYFUNCTION("""COMPUTED_VALUE"""),-82.5)</f>
        <v>-82.5</v>
      </c>
      <c r="P86" s="1431">
        <f>IFERROR(__xludf.DUMMYFUNCTION("""COMPUTED_VALUE"""),2.65)</f>
        <v>2.65</v>
      </c>
      <c r="Q86" s="1432">
        <f>IFERROR(__xludf.DUMMYFUNCTION("""COMPUTED_VALUE"""),559.5)</f>
        <v>559.5</v>
      </c>
    </row>
    <row r="87" ht="15.75" customHeight="1">
      <c r="A87" s="94"/>
      <c r="B87" s="94" t="str">
        <f>IFERROR(__xludf.DUMMYFUNCTION("""COMPUTED_VALUE"""),"CM 1606")</f>
        <v>CM 1606</v>
      </c>
      <c r="C87" s="94"/>
      <c r="D87" s="1432">
        <f>IFERROR(__xludf.DUMMYFUNCTION("""COMPUTED_VALUE"""),3.0)</f>
        <v>3</v>
      </c>
      <c r="E87" s="1429">
        <f>IFERROR(__xludf.DUMMYFUNCTION("""COMPUTED_VALUE"""),45370.0)</f>
        <v>45370</v>
      </c>
      <c r="F87" s="1429">
        <f>IFERROR(__xludf.DUMMYFUNCTION("""COMPUTED_VALUE"""),45374.0)</f>
        <v>45374</v>
      </c>
      <c r="G87" s="1164">
        <f>IFERROR(__xludf.DUMMYFUNCTION("""COMPUTED_VALUE"""),4.0)</f>
        <v>4</v>
      </c>
      <c r="H87" s="1430">
        <f>IFERROR(__xludf.DUMMYFUNCTION("""COMPUTED_VALUE"""),81.0)</f>
        <v>81</v>
      </c>
      <c r="I87" s="94"/>
      <c r="J87" s="94"/>
      <c r="K87" s="94">
        <f>IFERROR(__xludf.DUMMYFUNCTION("""COMPUTED_VALUE"""),50.0)</f>
        <v>50</v>
      </c>
      <c r="L87" s="94">
        <f>IFERROR(__xludf.DUMMYFUNCTION("""COMPUTED_VALUE"""),50.0)</f>
        <v>50</v>
      </c>
      <c r="M87" s="94">
        <f>IFERROR(__xludf.DUMMYFUNCTION("""COMPUTED_VALUE"""),0.0)</f>
        <v>0</v>
      </c>
      <c r="N87" s="94"/>
      <c r="O87" s="1430">
        <f>IFERROR(__xludf.DUMMYFUNCTION("""COMPUTED_VALUE"""),-82.5)</f>
        <v>-82.5</v>
      </c>
      <c r="P87" s="1431">
        <f>IFERROR(__xludf.DUMMYFUNCTION("""COMPUTED_VALUE"""),2.65)</f>
        <v>2.65</v>
      </c>
      <c r="Q87" s="1432">
        <f>IFERROR(__xludf.DUMMYFUNCTION("""COMPUTED_VALUE"""),164.65)</f>
        <v>164.65</v>
      </c>
    </row>
    <row r="88" ht="15.75" customHeight="1">
      <c r="A88" s="94"/>
      <c r="B88" s="94" t="str">
        <f>IFERROR(__xludf.DUMMYFUNCTION("""COMPUTED_VALUE"""),"C 4245")</f>
        <v>C 4245</v>
      </c>
      <c r="C88" s="94"/>
      <c r="D88" s="1432">
        <f>IFERROR(__xludf.DUMMYFUNCTION("""COMPUTED_VALUE"""),3.0)</f>
        <v>3</v>
      </c>
      <c r="E88" s="1429">
        <f>IFERROR(__xludf.DUMMYFUNCTION("""COMPUTED_VALUE"""),45374.0)</f>
        <v>45374</v>
      </c>
      <c r="F88" s="1429">
        <f>IFERROR(__xludf.DUMMYFUNCTION("""COMPUTED_VALUE"""),45377.0)</f>
        <v>45377</v>
      </c>
      <c r="G88" s="1164">
        <f>IFERROR(__xludf.DUMMYFUNCTION("""COMPUTED_VALUE"""),3.0)</f>
        <v>3</v>
      </c>
      <c r="H88" s="1430">
        <f>IFERROR(__xludf.DUMMYFUNCTION("""COMPUTED_VALUE"""),84.0)</f>
        <v>84</v>
      </c>
      <c r="I88" s="94"/>
      <c r="J88" s="94"/>
      <c r="K88" s="94">
        <f>IFERROR(__xludf.DUMMYFUNCTION("""COMPUTED_VALUE"""),50.0)</f>
        <v>50</v>
      </c>
      <c r="L88" s="94">
        <f>IFERROR(__xludf.DUMMYFUNCTION("""COMPUTED_VALUE"""),50.0)</f>
        <v>50</v>
      </c>
      <c r="M88" s="94">
        <f>IFERROR(__xludf.DUMMYFUNCTION("""COMPUTED_VALUE"""),0.0)</f>
        <v>0</v>
      </c>
      <c r="N88" s="94"/>
      <c r="O88" s="1430">
        <f>IFERROR(__xludf.DUMMYFUNCTION("""COMPUTED_VALUE"""),-82.5)</f>
        <v>-82.5</v>
      </c>
      <c r="P88" s="1431">
        <f>IFERROR(__xludf.DUMMYFUNCTION("""COMPUTED_VALUE"""),2.65)</f>
        <v>2.65</v>
      </c>
      <c r="Q88" s="1432">
        <f>IFERROR(__xludf.DUMMYFUNCTION("""COMPUTED_VALUE"""),172.6)</f>
        <v>172.6</v>
      </c>
    </row>
    <row r="89" ht="15.75" customHeight="1">
      <c r="A89" s="94"/>
      <c r="B89" s="94" t="str">
        <f>IFERROR(__xludf.DUMMYFUNCTION("""COMPUTED_VALUE"""),"WS А 908")</f>
        <v>WS А 908</v>
      </c>
      <c r="C89" s="94"/>
      <c r="D89" s="1432">
        <f>IFERROR(__xludf.DUMMYFUNCTION("""COMPUTED_VALUE"""),3.0)</f>
        <v>3</v>
      </c>
      <c r="E89" s="1429">
        <f>IFERROR(__xludf.DUMMYFUNCTION("""COMPUTED_VALUE"""),45370.0)</f>
        <v>45370</v>
      </c>
      <c r="F89" s="1429">
        <f>IFERROR(__xludf.DUMMYFUNCTION("""COMPUTED_VALUE"""),45373.0)</f>
        <v>45373</v>
      </c>
      <c r="G89" s="1164">
        <f>IFERROR(__xludf.DUMMYFUNCTION("""COMPUTED_VALUE"""),3.0)</f>
        <v>3</v>
      </c>
      <c r="H89" s="1430">
        <f>IFERROR(__xludf.DUMMYFUNCTION("""COMPUTED_VALUE"""),77.0)</f>
        <v>77</v>
      </c>
      <c r="I89" s="94"/>
      <c r="J89" s="94"/>
      <c r="K89" s="94">
        <f>IFERROR(__xludf.DUMMYFUNCTION("""COMPUTED_VALUE"""),50.0)</f>
        <v>50</v>
      </c>
      <c r="L89" s="94">
        <f>IFERROR(__xludf.DUMMYFUNCTION("""COMPUTED_VALUE"""),50.0)</f>
        <v>50</v>
      </c>
      <c r="M89" s="94">
        <f>IFERROR(__xludf.DUMMYFUNCTION("""COMPUTED_VALUE"""),0.0)</f>
        <v>0</v>
      </c>
      <c r="N89" s="94"/>
      <c r="O89" s="1430">
        <f>IFERROR(__xludf.DUMMYFUNCTION("""COMPUTED_VALUE"""),-82.5)</f>
        <v>-82.5</v>
      </c>
      <c r="P89" s="1431">
        <f>IFERROR(__xludf.DUMMYFUNCTION("""COMPUTED_VALUE"""),2.65)</f>
        <v>2.65</v>
      </c>
      <c r="Q89" s="1432">
        <f>IFERROR(__xludf.DUMMYFUNCTION("""COMPUTED_VALUE"""),154.04999999999998)</f>
        <v>154.05</v>
      </c>
    </row>
    <row r="90" ht="15.75" customHeight="1">
      <c r="A90" s="94"/>
      <c r="B90" s="94" t="str">
        <f>IFERROR(__xludf.DUMMYFUNCTION("""COMPUTED_VALUE"""),"А 4049")</f>
        <v>А 4049</v>
      </c>
      <c r="C90" s="94"/>
      <c r="D90" s="1432">
        <f>IFERROR(__xludf.DUMMYFUNCTION("""COMPUTED_VALUE"""),3.0)</f>
        <v>3</v>
      </c>
      <c r="E90" s="1429">
        <f>IFERROR(__xludf.DUMMYFUNCTION("""COMPUTED_VALUE"""),45370.0)</f>
        <v>45370</v>
      </c>
      <c r="F90" s="1429">
        <f>IFERROR(__xludf.DUMMYFUNCTION("""COMPUTED_VALUE"""),45375.0)</f>
        <v>45375</v>
      </c>
      <c r="G90" s="1164">
        <f>IFERROR(__xludf.DUMMYFUNCTION("""COMPUTED_VALUE"""),5.0)</f>
        <v>5</v>
      </c>
      <c r="H90" s="1430">
        <f>IFERROR(__xludf.DUMMYFUNCTION("""COMPUTED_VALUE"""),63.0)</f>
        <v>63</v>
      </c>
      <c r="I90" s="94"/>
      <c r="J90" s="94"/>
      <c r="K90" s="94">
        <f>IFERROR(__xludf.DUMMYFUNCTION("""COMPUTED_VALUE"""),50.0)</f>
        <v>50</v>
      </c>
      <c r="L90" s="94">
        <f>IFERROR(__xludf.DUMMYFUNCTION("""COMPUTED_VALUE"""),50.0)</f>
        <v>50</v>
      </c>
      <c r="M90" s="94">
        <f>IFERROR(__xludf.DUMMYFUNCTION("""COMPUTED_VALUE"""),0.0)</f>
        <v>0</v>
      </c>
      <c r="N90" s="94"/>
      <c r="O90" s="1430">
        <f>IFERROR(__xludf.DUMMYFUNCTION("""COMPUTED_VALUE"""),-82.5)</f>
        <v>-82.5</v>
      </c>
      <c r="P90" s="1431">
        <f>IFERROR(__xludf.DUMMYFUNCTION("""COMPUTED_VALUE"""),2.65)</f>
        <v>2.65</v>
      </c>
      <c r="Q90" s="1432">
        <f>IFERROR(__xludf.DUMMYFUNCTION("""COMPUTED_VALUE"""),116.94999999999999)</f>
        <v>116.95</v>
      </c>
    </row>
    <row r="91" ht="15.75" customHeight="1">
      <c r="A91" s="94"/>
      <c r="B91" s="94" t="str">
        <f>IFERROR(__xludf.DUMMYFUNCTION("""COMPUTED_VALUE"""),"CM 1604")</f>
        <v>CM 1604</v>
      </c>
      <c r="C91" s="94"/>
      <c r="D91" s="1432">
        <f>IFERROR(__xludf.DUMMYFUNCTION("""COMPUTED_VALUE"""),3.0)</f>
        <v>3</v>
      </c>
      <c r="E91" s="1429">
        <f>IFERROR(__xludf.DUMMYFUNCTION("""COMPUTED_VALUE"""),45374.0)</f>
        <v>45374</v>
      </c>
      <c r="F91" s="1429">
        <f>IFERROR(__xludf.DUMMYFUNCTION("""COMPUTED_VALUE"""),45380.0)</f>
        <v>45380</v>
      </c>
      <c r="G91" s="1164">
        <f>IFERROR(__xludf.DUMMYFUNCTION("""COMPUTED_VALUE"""),6.0)</f>
        <v>6</v>
      </c>
      <c r="H91" s="1430">
        <f>IFERROR(__xludf.DUMMYFUNCTION("""COMPUTED_VALUE"""),166.0)</f>
        <v>166</v>
      </c>
      <c r="I91" s="94"/>
      <c r="J91" s="94"/>
      <c r="K91" s="94">
        <f>IFERROR(__xludf.DUMMYFUNCTION("""COMPUTED_VALUE"""),50.0)</f>
        <v>50</v>
      </c>
      <c r="L91" s="94">
        <f>IFERROR(__xludf.DUMMYFUNCTION("""COMPUTED_VALUE"""),50.0)</f>
        <v>50</v>
      </c>
      <c r="M91" s="94">
        <f>IFERROR(__xludf.DUMMYFUNCTION("""COMPUTED_VALUE"""),0.0)</f>
        <v>0</v>
      </c>
      <c r="N91" s="94"/>
      <c r="O91" s="1430">
        <f>IFERROR(__xludf.DUMMYFUNCTION("""COMPUTED_VALUE"""),-82.5)</f>
        <v>-82.5</v>
      </c>
      <c r="P91" s="1431">
        <f>IFERROR(__xludf.DUMMYFUNCTION("""COMPUTED_VALUE"""),2.65)</f>
        <v>2.65</v>
      </c>
      <c r="Q91" s="1432">
        <f>IFERROR(__xludf.DUMMYFUNCTION("""COMPUTED_VALUE"""),389.9)</f>
        <v>389.9</v>
      </c>
    </row>
    <row r="92" ht="15.75" customHeight="1">
      <c r="A92" s="94"/>
      <c r="B92" s="94" t="str">
        <f>IFERROR(__xludf.DUMMYFUNCTION("""COMPUTED_VALUE"""),"WS В 1510")</f>
        <v>WS В 1510</v>
      </c>
      <c r="C92" s="94"/>
      <c r="D92" s="1432">
        <f>IFERROR(__xludf.DUMMYFUNCTION("""COMPUTED_VALUE"""),3.0)</f>
        <v>3</v>
      </c>
      <c r="E92" s="1429">
        <f>IFERROR(__xludf.DUMMYFUNCTION("""COMPUTED_VALUE"""),45373.0)</f>
        <v>45373</v>
      </c>
      <c r="F92" s="1429">
        <f>IFERROR(__xludf.DUMMYFUNCTION("""COMPUTED_VALUE"""),45377.0)</f>
        <v>45377</v>
      </c>
      <c r="G92" s="1164">
        <f>IFERROR(__xludf.DUMMYFUNCTION("""COMPUTED_VALUE"""),4.0)</f>
        <v>4</v>
      </c>
      <c r="H92" s="1430">
        <f>IFERROR(__xludf.DUMMYFUNCTION("""COMPUTED_VALUE"""),75.0)</f>
        <v>75</v>
      </c>
      <c r="I92" s="94"/>
      <c r="J92" s="94"/>
      <c r="K92" s="94">
        <f>IFERROR(__xludf.DUMMYFUNCTION("""COMPUTED_VALUE"""),50.0)</f>
        <v>50</v>
      </c>
      <c r="L92" s="94">
        <f>IFERROR(__xludf.DUMMYFUNCTION("""COMPUTED_VALUE"""),50.0)</f>
        <v>50</v>
      </c>
      <c r="M92" s="94">
        <f>IFERROR(__xludf.DUMMYFUNCTION("""COMPUTED_VALUE"""),0.0)</f>
        <v>0</v>
      </c>
      <c r="N92" s="94"/>
      <c r="O92" s="1430">
        <f>IFERROR(__xludf.DUMMYFUNCTION("""COMPUTED_VALUE"""),-82.5)</f>
        <v>-82.5</v>
      </c>
      <c r="P92" s="1431">
        <f>IFERROR(__xludf.DUMMYFUNCTION("""COMPUTED_VALUE"""),2.65)</f>
        <v>2.65</v>
      </c>
      <c r="Q92" s="1432">
        <f>IFERROR(__xludf.DUMMYFUNCTION("""COMPUTED_VALUE"""),148.75)</f>
        <v>148.75</v>
      </c>
    </row>
    <row r="93" ht="15.75" customHeight="1">
      <c r="A93" s="94"/>
      <c r="B93" s="94" t="str">
        <f>IFERROR(__xludf.DUMMYFUNCTION("""COMPUTED_VALUE"""),"Горизонт 2705")</f>
        <v>Горизонт 2705</v>
      </c>
      <c r="C93" s="94"/>
      <c r="D93" s="1432">
        <f>IFERROR(__xludf.DUMMYFUNCTION("""COMPUTED_VALUE"""),3.0)</f>
        <v>3</v>
      </c>
      <c r="E93" s="1429">
        <f>IFERROR(__xludf.DUMMYFUNCTION("""COMPUTED_VALUE"""),45375.0)</f>
        <v>45375</v>
      </c>
      <c r="F93" s="1429">
        <f>IFERROR(__xludf.DUMMYFUNCTION("""COMPUTED_VALUE"""),45382.0)</f>
        <v>45382</v>
      </c>
      <c r="G93" s="1164">
        <f>IFERROR(__xludf.DUMMYFUNCTION("""COMPUTED_VALUE"""),7.0)</f>
        <v>7</v>
      </c>
      <c r="H93" s="1430">
        <f>IFERROR(__xludf.DUMMYFUNCTION("""COMPUTED_VALUE"""),121.0)</f>
        <v>121</v>
      </c>
      <c r="I93" s="94"/>
      <c r="J93" s="94"/>
      <c r="K93" s="94">
        <f>IFERROR(__xludf.DUMMYFUNCTION("""COMPUTED_VALUE"""),60.0)</f>
        <v>60</v>
      </c>
      <c r="L93" s="94">
        <f>IFERROR(__xludf.DUMMYFUNCTION("""COMPUTED_VALUE"""),60.0)</f>
        <v>60</v>
      </c>
      <c r="M93" s="94">
        <f>IFERROR(__xludf.DUMMYFUNCTION("""COMPUTED_VALUE"""),0.0)</f>
        <v>0</v>
      </c>
      <c r="N93" s="94"/>
      <c r="O93" s="1430">
        <f>IFERROR(__xludf.DUMMYFUNCTION("""COMPUTED_VALUE"""),-99.0)</f>
        <v>-99</v>
      </c>
      <c r="P93" s="1431">
        <f>IFERROR(__xludf.DUMMYFUNCTION("""COMPUTED_VALUE"""),2.65)</f>
        <v>2.65</v>
      </c>
      <c r="Q93" s="1432">
        <f>IFERROR(__xludf.DUMMYFUNCTION("""COMPUTED_VALUE"""),260.65)</f>
        <v>260.65</v>
      </c>
    </row>
    <row r="94" ht="15.75" customHeight="1">
      <c r="A94" s="94" t="str">
        <f>IFERROR(__xludf.DUMMYFUNCTION("""COMPUTED_VALUE"""),"Итого неделя")</f>
        <v>Итого неделя</v>
      </c>
      <c r="B94" s="94" t="str">
        <f>IFERROR(__xludf.DUMMYFUNCTION("""COMPUTED_VALUE"""),"12 неделя")</f>
        <v>12 неделя</v>
      </c>
      <c r="C94" s="94"/>
      <c r="D94" s="94"/>
      <c r="E94" s="1429">
        <f>IFERROR(__xludf.DUMMYFUNCTION("""COMPUTED_VALUE"""),45369.0)</f>
        <v>45369</v>
      </c>
      <c r="F94" s="1429">
        <f>IFERROR(__xludf.DUMMYFUNCTION("""COMPUTED_VALUE"""),45375.0)</f>
        <v>45375</v>
      </c>
      <c r="G94" s="1164">
        <f>IFERROR(__xludf.DUMMYFUNCTION("""COMPUTED_VALUE"""),6.0)</f>
        <v>6</v>
      </c>
      <c r="H94" s="1430">
        <f>IFERROR(__xludf.DUMMYFUNCTION("""COMPUTED_VALUE"""),1292.0)</f>
        <v>1292</v>
      </c>
      <c r="I94" s="94"/>
      <c r="J94" s="94"/>
      <c r="K94" s="1430">
        <f>IFERROR(__xludf.DUMMYFUNCTION("""COMPUTED_VALUE"""),510.0)</f>
        <v>510</v>
      </c>
      <c r="L94" s="1430">
        <f>IFERROR(__xludf.DUMMYFUNCTION("""COMPUTED_VALUE"""),510.0)</f>
        <v>510</v>
      </c>
      <c r="M94" s="1430">
        <f>IFERROR(__xludf.DUMMYFUNCTION("""COMPUTED_VALUE"""),0.0)</f>
        <v>0</v>
      </c>
      <c r="N94" s="94"/>
      <c r="O94" s="1430">
        <f>IFERROR(__xludf.DUMMYFUNCTION("""COMPUTED_VALUE"""),-841.5)</f>
        <v>-841.5</v>
      </c>
      <c r="P94" s="94"/>
      <c r="Q94" s="1432">
        <f>IFERROR(__xludf.DUMMYFUNCTION("""COMPUTED_VALUE"""),2913.8)</f>
        <v>2913.8</v>
      </c>
    </row>
    <row r="95" ht="15.75" customHeight="1">
      <c r="A95" s="94"/>
      <c r="B95" s="94" t="str">
        <f>IFERROR(__xludf.DUMMYFUNCTION("""COMPUTED_VALUE"""),"C 4245")</f>
        <v>C 4245</v>
      </c>
      <c r="C95" s="94"/>
      <c r="D95" s="1432">
        <f>IFERROR(__xludf.DUMMYFUNCTION("""COMPUTED_VALUE"""),3.0)</f>
        <v>3</v>
      </c>
      <c r="E95" s="1429">
        <f>IFERROR(__xludf.DUMMYFUNCTION("""COMPUTED_VALUE"""),45380.0)</f>
        <v>45380</v>
      </c>
      <c r="F95" s="1429">
        <f>IFERROR(__xludf.DUMMYFUNCTION("""COMPUTED_VALUE"""),45383.0)</f>
        <v>45383</v>
      </c>
      <c r="G95" s="1164">
        <f>IFERROR(__xludf.DUMMYFUNCTION("""COMPUTED_VALUE"""),3.0)</f>
        <v>3</v>
      </c>
      <c r="H95" s="1430">
        <f>IFERROR(__xludf.DUMMYFUNCTION("""COMPUTED_VALUE"""),102.0)</f>
        <v>102</v>
      </c>
      <c r="I95" s="94"/>
      <c r="J95" s="94"/>
      <c r="K95" s="94">
        <f>IFERROR(__xludf.DUMMYFUNCTION("""COMPUTED_VALUE"""),50.0)</f>
        <v>50</v>
      </c>
      <c r="L95" s="94">
        <f>IFERROR(__xludf.DUMMYFUNCTION("""COMPUTED_VALUE"""),50.0)</f>
        <v>50</v>
      </c>
      <c r="M95" s="94">
        <f>IFERROR(__xludf.DUMMYFUNCTION("""COMPUTED_VALUE"""),0.0)</f>
        <v>0</v>
      </c>
      <c r="N95" s="94"/>
      <c r="O95" s="1430">
        <f>IFERROR(__xludf.DUMMYFUNCTION("""COMPUTED_VALUE"""),-82.5)</f>
        <v>-82.5</v>
      </c>
      <c r="P95" s="1431">
        <f>IFERROR(__xludf.DUMMYFUNCTION("""COMPUTED_VALUE"""),2.65)</f>
        <v>2.65</v>
      </c>
      <c r="Q95" s="1432">
        <f>IFERROR(__xludf.DUMMYFUNCTION("""COMPUTED_VALUE"""),220.3)</f>
        <v>220.3</v>
      </c>
    </row>
    <row r="96" ht="15.75" customHeight="1">
      <c r="A96" s="94"/>
      <c r="B96" s="94" t="str">
        <f>IFERROR(__xludf.DUMMYFUNCTION("""COMPUTED_VALUE"""),"А 4049")</f>
        <v>А 4049</v>
      </c>
      <c r="C96" s="94"/>
      <c r="D96" s="1432">
        <f>IFERROR(__xludf.DUMMYFUNCTION("""COMPUTED_VALUE"""),3.0)</f>
        <v>3</v>
      </c>
      <c r="E96" s="1429">
        <f>IFERROR(__xludf.DUMMYFUNCTION("""COMPUTED_VALUE"""),45376.0)</f>
        <v>45376</v>
      </c>
      <c r="F96" s="1429">
        <f>IFERROR(__xludf.DUMMYFUNCTION("""COMPUTED_VALUE"""),45382.0)</f>
        <v>45382</v>
      </c>
      <c r="G96" s="1164">
        <f>IFERROR(__xludf.DUMMYFUNCTION("""COMPUTED_VALUE"""),6.0)</f>
        <v>6</v>
      </c>
      <c r="H96" s="1430">
        <f>IFERROR(__xludf.DUMMYFUNCTION("""COMPUTED_VALUE"""),82.0)</f>
        <v>82</v>
      </c>
      <c r="I96" s="94"/>
      <c r="J96" s="94"/>
      <c r="K96" s="94">
        <f>IFERROR(__xludf.DUMMYFUNCTION("""COMPUTED_VALUE"""),50.0)</f>
        <v>50</v>
      </c>
      <c r="L96" s="94">
        <f>IFERROR(__xludf.DUMMYFUNCTION("""COMPUTED_VALUE"""),50.0)</f>
        <v>50</v>
      </c>
      <c r="M96" s="94">
        <f>IFERROR(__xludf.DUMMYFUNCTION("""COMPUTED_VALUE"""),0.0)</f>
        <v>0</v>
      </c>
      <c r="N96" s="94"/>
      <c r="O96" s="1430">
        <f>IFERROR(__xludf.DUMMYFUNCTION("""COMPUTED_VALUE"""),-82.5)</f>
        <v>-82.5</v>
      </c>
      <c r="P96" s="1431">
        <f>IFERROR(__xludf.DUMMYFUNCTION("""COMPUTED_VALUE"""),2.65)</f>
        <v>2.65</v>
      </c>
      <c r="Q96" s="1432">
        <f>IFERROR(__xludf.DUMMYFUNCTION("""COMPUTED_VALUE"""),167.29999999999998)</f>
        <v>167.3</v>
      </c>
    </row>
    <row r="97" ht="15.75" customHeight="1">
      <c r="A97" s="94"/>
      <c r="B97" s="94" t="str">
        <f>IFERROR(__xludf.DUMMYFUNCTION("""COMPUTED_VALUE"""),"WS В 1510")</f>
        <v>WS В 1510</v>
      </c>
      <c r="C97" s="94"/>
      <c r="D97" s="1432">
        <f>IFERROR(__xludf.DUMMYFUNCTION("""COMPUTED_VALUE"""),3.0)</f>
        <v>3</v>
      </c>
      <c r="E97" s="1429">
        <f>IFERROR(__xludf.DUMMYFUNCTION("""COMPUTED_VALUE"""),45381.0)</f>
        <v>45381</v>
      </c>
      <c r="F97" s="1429">
        <f>IFERROR(__xludf.DUMMYFUNCTION("""COMPUTED_VALUE"""),45385.0)</f>
        <v>45385</v>
      </c>
      <c r="G97" s="1164">
        <f>IFERROR(__xludf.DUMMYFUNCTION("""COMPUTED_VALUE"""),4.0)</f>
        <v>4</v>
      </c>
      <c r="H97" s="1430">
        <f>IFERROR(__xludf.DUMMYFUNCTION("""COMPUTED_VALUE"""),75.0)</f>
        <v>75</v>
      </c>
      <c r="I97" s="94"/>
      <c r="J97" s="94"/>
      <c r="K97" s="94">
        <f>IFERROR(__xludf.DUMMYFUNCTION("""COMPUTED_VALUE"""),50.0)</f>
        <v>50</v>
      </c>
      <c r="L97" s="94">
        <f>IFERROR(__xludf.DUMMYFUNCTION("""COMPUTED_VALUE"""),50.0)</f>
        <v>50</v>
      </c>
      <c r="M97" s="94">
        <f>IFERROR(__xludf.DUMMYFUNCTION("""COMPUTED_VALUE"""),0.0)</f>
        <v>0</v>
      </c>
      <c r="N97" s="94"/>
      <c r="O97" s="1430">
        <f>IFERROR(__xludf.DUMMYFUNCTION("""COMPUTED_VALUE"""),-82.5)</f>
        <v>-82.5</v>
      </c>
      <c r="P97" s="1431">
        <f>IFERROR(__xludf.DUMMYFUNCTION("""COMPUTED_VALUE"""),2.65)</f>
        <v>2.65</v>
      </c>
      <c r="Q97" s="1432">
        <f>IFERROR(__xludf.DUMMYFUNCTION("""COMPUTED_VALUE"""),148.75)</f>
        <v>148.75</v>
      </c>
    </row>
    <row r="98" ht="15.75" customHeight="1">
      <c r="A98" s="94"/>
      <c r="B98" s="94" t="str">
        <f>IFERROR(__xludf.DUMMYFUNCTION("""COMPUTED_VALUE"""),"WS E 1202")</f>
        <v>WS E 1202</v>
      </c>
      <c r="C98" s="94"/>
      <c r="D98" s="1432">
        <f>IFERROR(__xludf.DUMMYFUNCTION("""COMPUTED_VALUE"""),3.0)</f>
        <v>3</v>
      </c>
      <c r="E98" s="1429">
        <f>IFERROR(__xludf.DUMMYFUNCTION("""COMPUTED_VALUE"""),45380.0)</f>
        <v>45380</v>
      </c>
      <c r="F98" s="1429">
        <f>IFERROR(__xludf.DUMMYFUNCTION("""COMPUTED_VALUE"""),45384.0)</f>
        <v>45384</v>
      </c>
      <c r="G98" s="1164">
        <f>IFERROR(__xludf.DUMMYFUNCTION("""COMPUTED_VALUE"""),4.0)</f>
        <v>4</v>
      </c>
      <c r="H98" s="1430">
        <f>IFERROR(__xludf.DUMMYFUNCTION("""COMPUTED_VALUE"""),158.0)</f>
        <v>158</v>
      </c>
      <c r="I98" s="94"/>
      <c r="J98" s="94"/>
      <c r="K98" s="94">
        <f>IFERROR(__xludf.DUMMYFUNCTION("""COMPUTED_VALUE"""),50.0)</f>
        <v>50</v>
      </c>
      <c r="L98" s="94">
        <f>IFERROR(__xludf.DUMMYFUNCTION("""COMPUTED_VALUE"""),50.0)</f>
        <v>50</v>
      </c>
      <c r="M98" s="94">
        <f>IFERROR(__xludf.DUMMYFUNCTION("""COMPUTED_VALUE"""),0.0)</f>
        <v>0</v>
      </c>
      <c r="N98" s="94"/>
      <c r="O98" s="1430">
        <f>IFERROR(__xludf.DUMMYFUNCTION("""COMPUTED_VALUE"""),-82.5)</f>
        <v>-82.5</v>
      </c>
      <c r="P98" s="1431">
        <f>IFERROR(__xludf.DUMMYFUNCTION("""COMPUTED_VALUE"""),2.65)</f>
        <v>2.65</v>
      </c>
      <c r="Q98" s="1432">
        <f>IFERROR(__xludf.DUMMYFUNCTION("""COMPUTED_VALUE"""),368.7)</f>
        <v>368.7</v>
      </c>
    </row>
    <row r="99" ht="15.75" customHeight="1">
      <c r="A99" s="94"/>
      <c r="B99" s="94" t="str">
        <f>IFERROR(__xludf.DUMMYFUNCTION("""COMPUTED_VALUE"""),"CM 1604")</f>
        <v>CM 1604</v>
      </c>
      <c r="C99" s="94"/>
      <c r="D99" s="1432">
        <f>IFERROR(__xludf.DUMMYFUNCTION("""COMPUTED_VALUE"""),3.0)</f>
        <v>3</v>
      </c>
      <c r="E99" s="1429">
        <f>IFERROR(__xludf.DUMMYFUNCTION("""COMPUTED_VALUE"""),45374.0)</f>
        <v>45374</v>
      </c>
      <c r="F99" s="1429">
        <f>IFERROR(__xludf.DUMMYFUNCTION("""COMPUTED_VALUE"""),45380.0)</f>
        <v>45380</v>
      </c>
      <c r="G99" s="1164">
        <f>IFERROR(__xludf.DUMMYFUNCTION("""COMPUTED_VALUE"""),6.0)</f>
        <v>6</v>
      </c>
      <c r="H99" s="1430">
        <f>IFERROR(__xludf.DUMMYFUNCTION("""COMPUTED_VALUE"""),164.0)</f>
        <v>164</v>
      </c>
      <c r="I99" s="94"/>
      <c r="J99" s="94"/>
      <c r="K99" s="94">
        <f>IFERROR(__xludf.DUMMYFUNCTION("""COMPUTED_VALUE"""),50.0)</f>
        <v>50</v>
      </c>
      <c r="L99" s="94">
        <f>IFERROR(__xludf.DUMMYFUNCTION("""COMPUTED_VALUE"""),50.0)</f>
        <v>50</v>
      </c>
      <c r="M99" s="94">
        <f>IFERROR(__xludf.DUMMYFUNCTION("""COMPUTED_VALUE"""),0.0)</f>
        <v>0</v>
      </c>
      <c r="N99" s="94"/>
      <c r="O99" s="1430">
        <f>IFERROR(__xludf.DUMMYFUNCTION("""COMPUTED_VALUE"""),-82.5)</f>
        <v>-82.5</v>
      </c>
      <c r="P99" s="1431">
        <f>IFERROR(__xludf.DUMMYFUNCTION("""COMPUTED_VALUE"""),2.65)</f>
        <v>2.65</v>
      </c>
      <c r="Q99" s="1432">
        <f>IFERROR(__xludf.DUMMYFUNCTION("""COMPUTED_VALUE"""),384.59999999999997)</f>
        <v>384.6</v>
      </c>
    </row>
    <row r="100" ht="15.75" customHeight="1">
      <c r="A100" s="94"/>
      <c r="B100" s="94" t="str">
        <f>IFERROR(__xludf.DUMMYFUNCTION("""COMPUTED_VALUE"""),"Горизонт 2705")</f>
        <v>Горизонт 2705</v>
      </c>
      <c r="C100" s="94"/>
      <c r="D100" s="1432">
        <f>IFERROR(__xludf.DUMMYFUNCTION("""COMPUTED_VALUE"""),3.0)</f>
        <v>3</v>
      </c>
      <c r="E100" s="1429">
        <f>IFERROR(__xludf.DUMMYFUNCTION("""COMPUTED_VALUE"""),45375.0)</f>
        <v>45375</v>
      </c>
      <c r="F100" s="1429">
        <f>IFERROR(__xludf.DUMMYFUNCTION("""COMPUTED_VALUE"""),45382.0)</f>
        <v>45382</v>
      </c>
      <c r="G100" s="1164">
        <f>IFERROR(__xludf.DUMMYFUNCTION("""COMPUTED_VALUE"""),7.0)</f>
        <v>7</v>
      </c>
      <c r="H100" s="1430">
        <f>IFERROR(__xludf.DUMMYFUNCTION("""COMPUTED_VALUE"""),121.0)</f>
        <v>121</v>
      </c>
      <c r="I100" s="94"/>
      <c r="J100" s="94"/>
      <c r="K100" s="94">
        <f>IFERROR(__xludf.DUMMYFUNCTION("""COMPUTED_VALUE"""),60.0)</f>
        <v>60</v>
      </c>
      <c r="L100" s="94">
        <f>IFERROR(__xludf.DUMMYFUNCTION("""COMPUTED_VALUE"""),60.0)</f>
        <v>60</v>
      </c>
      <c r="M100" s="94">
        <f>IFERROR(__xludf.DUMMYFUNCTION("""COMPUTED_VALUE"""),0.0)</f>
        <v>0</v>
      </c>
      <c r="N100" s="94"/>
      <c r="O100" s="1430">
        <f>IFERROR(__xludf.DUMMYFUNCTION("""COMPUTED_VALUE"""),-99.0)</f>
        <v>-99</v>
      </c>
      <c r="P100" s="1431">
        <f>IFERROR(__xludf.DUMMYFUNCTION("""COMPUTED_VALUE"""),2.65)</f>
        <v>2.65</v>
      </c>
      <c r="Q100" s="1432">
        <f>IFERROR(__xludf.DUMMYFUNCTION("""COMPUTED_VALUE"""),260.65)</f>
        <v>260.65</v>
      </c>
    </row>
    <row r="101" ht="15.75" customHeight="1">
      <c r="A101" s="94"/>
      <c r="B101" s="94" t="str">
        <f>IFERROR(__xludf.DUMMYFUNCTION("""COMPUTED_VALUE"""),"D 1321")</f>
        <v>D 1321</v>
      </c>
      <c r="C101" s="94"/>
      <c r="D101" s="1432">
        <f>IFERROR(__xludf.DUMMYFUNCTION("""COMPUTED_VALUE"""),3.0)</f>
        <v>3</v>
      </c>
      <c r="E101" s="1429">
        <f>IFERROR(__xludf.DUMMYFUNCTION("""COMPUTED_VALUE"""),45381.0)</f>
        <v>45381</v>
      </c>
      <c r="F101" s="1429">
        <f>IFERROR(__xludf.DUMMYFUNCTION("""COMPUTED_VALUE"""),45386.0)</f>
        <v>45386</v>
      </c>
      <c r="G101" s="1164">
        <f>IFERROR(__xludf.DUMMYFUNCTION("""COMPUTED_VALUE"""),5.0)</f>
        <v>5</v>
      </c>
      <c r="H101" s="1430">
        <f>IFERROR(__xludf.DUMMYFUNCTION("""COMPUTED_VALUE"""),85.0)</f>
        <v>85</v>
      </c>
      <c r="I101" s="94"/>
      <c r="J101" s="94"/>
      <c r="K101" s="94">
        <f>IFERROR(__xludf.DUMMYFUNCTION("""COMPUTED_VALUE"""),50.0)</f>
        <v>50</v>
      </c>
      <c r="L101" s="94">
        <f>IFERROR(__xludf.DUMMYFUNCTION("""COMPUTED_VALUE"""),50.0)</f>
        <v>50</v>
      </c>
      <c r="M101" s="94">
        <f>IFERROR(__xludf.DUMMYFUNCTION("""COMPUTED_VALUE"""),0.0)</f>
        <v>0</v>
      </c>
      <c r="N101" s="94"/>
      <c r="O101" s="1430">
        <f>IFERROR(__xludf.DUMMYFUNCTION("""COMPUTED_VALUE"""),-82.5)</f>
        <v>-82.5</v>
      </c>
      <c r="P101" s="1431">
        <f>IFERROR(__xludf.DUMMYFUNCTION("""COMPUTED_VALUE"""),2.65)</f>
        <v>2.65</v>
      </c>
      <c r="Q101" s="1432">
        <f>IFERROR(__xludf.DUMMYFUNCTION("""COMPUTED_VALUE"""),175.25)</f>
        <v>175.25</v>
      </c>
    </row>
    <row r="102" ht="15.75" customHeight="1">
      <c r="A102" s="94"/>
      <c r="B102" s="94" t="str">
        <f>IFERROR(__xludf.DUMMYFUNCTION("""COMPUTED_VALUE"""),"WS  E 1405")</f>
        <v>WS  E 1405</v>
      </c>
      <c r="C102" s="94"/>
      <c r="D102" s="1432">
        <f>IFERROR(__xludf.DUMMYFUNCTION("""COMPUTED_VALUE"""),3.0)</f>
        <v>3</v>
      </c>
      <c r="E102" s="1429">
        <f>IFERROR(__xludf.DUMMYFUNCTION("""COMPUTED_VALUE"""),45377.0)</f>
        <v>45377</v>
      </c>
      <c r="F102" s="1429">
        <f>IFERROR(__xludf.DUMMYFUNCTION("""COMPUTED_VALUE"""),45379.0)</f>
        <v>45379</v>
      </c>
      <c r="G102" s="1164">
        <f>IFERROR(__xludf.DUMMYFUNCTION("""COMPUTED_VALUE"""),2.0)</f>
        <v>2</v>
      </c>
      <c r="H102" s="1430">
        <f>IFERROR(__xludf.DUMMYFUNCTION("""COMPUTED_VALUE"""),40.0)</f>
        <v>40</v>
      </c>
      <c r="I102" s="94"/>
      <c r="J102" s="94"/>
      <c r="K102" s="94">
        <f>IFERROR(__xludf.DUMMYFUNCTION("""COMPUTED_VALUE"""),50.0)</f>
        <v>50</v>
      </c>
      <c r="L102" s="94">
        <f>IFERROR(__xludf.DUMMYFUNCTION("""COMPUTED_VALUE"""),50.0)</f>
        <v>50</v>
      </c>
      <c r="M102" s="94">
        <f>IFERROR(__xludf.DUMMYFUNCTION("""COMPUTED_VALUE"""),0.0)</f>
        <v>0</v>
      </c>
      <c r="N102" s="94"/>
      <c r="O102" s="1430">
        <f>IFERROR(__xludf.DUMMYFUNCTION("""COMPUTED_VALUE"""),-82.5)</f>
        <v>-82.5</v>
      </c>
      <c r="P102" s="1431">
        <f>IFERROR(__xludf.DUMMYFUNCTION("""COMPUTED_VALUE"""),2.65)</f>
        <v>2.65</v>
      </c>
      <c r="Q102" s="1432">
        <f>IFERROR(__xludf.DUMMYFUNCTION("""COMPUTED_VALUE"""),56.0)</f>
        <v>56</v>
      </c>
    </row>
    <row r="103" ht="15.75" customHeight="1">
      <c r="A103" s="94"/>
      <c r="B103" s="94" t="str">
        <f>IFERROR(__xludf.DUMMYFUNCTION("""COMPUTED_VALUE"""),"CM 1606")</f>
        <v>CM 1606</v>
      </c>
      <c r="C103" s="94"/>
      <c r="D103" s="1432">
        <f>IFERROR(__xludf.DUMMYFUNCTION("""COMPUTED_VALUE"""),3.0)</f>
        <v>3</v>
      </c>
      <c r="E103" s="1429">
        <f>IFERROR(__xludf.DUMMYFUNCTION("""COMPUTED_VALUE"""),45379.0)</f>
        <v>45379</v>
      </c>
      <c r="F103" s="1429">
        <f>IFERROR(__xludf.DUMMYFUNCTION("""COMPUTED_VALUE"""),45382.0)</f>
        <v>45382</v>
      </c>
      <c r="G103" s="1164">
        <f>IFERROR(__xludf.DUMMYFUNCTION("""COMPUTED_VALUE"""),3.0)</f>
        <v>3</v>
      </c>
      <c r="H103" s="1430">
        <f>IFERROR(__xludf.DUMMYFUNCTION("""COMPUTED_VALUE"""),77.0)</f>
        <v>77</v>
      </c>
      <c r="I103" s="94"/>
      <c r="J103" s="94"/>
      <c r="K103" s="94">
        <f>IFERROR(__xludf.DUMMYFUNCTION("""COMPUTED_VALUE"""),50.0)</f>
        <v>50</v>
      </c>
      <c r="L103" s="94">
        <f>IFERROR(__xludf.DUMMYFUNCTION("""COMPUTED_VALUE"""),50.0)</f>
        <v>50</v>
      </c>
      <c r="M103" s="94">
        <f>IFERROR(__xludf.DUMMYFUNCTION("""COMPUTED_VALUE"""),0.0)</f>
        <v>0</v>
      </c>
      <c r="N103" s="94"/>
      <c r="O103" s="1430">
        <f>IFERROR(__xludf.DUMMYFUNCTION("""COMPUTED_VALUE"""),-82.5)</f>
        <v>-82.5</v>
      </c>
      <c r="P103" s="1431">
        <f>IFERROR(__xludf.DUMMYFUNCTION("""COMPUTED_VALUE"""),2.65)</f>
        <v>2.65</v>
      </c>
      <c r="Q103" s="1432">
        <f>IFERROR(__xludf.DUMMYFUNCTION("""COMPUTED_VALUE"""),154.04999999999998)</f>
        <v>154.05</v>
      </c>
    </row>
    <row r="104" ht="15.75" customHeight="1">
      <c r="A104" s="94"/>
      <c r="B104" s="94" t="str">
        <f>IFERROR(__xludf.DUMMYFUNCTION("""COMPUTED_VALUE"""),"С 1125")</f>
        <v>С 1125</v>
      </c>
      <c r="C104" s="94"/>
      <c r="D104" s="1432">
        <f>IFERROR(__xludf.DUMMYFUNCTION("""COMPUTED_VALUE"""),3.0)</f>
        <v>3</v>
      </c>
      <c r="E104" s="1429">
        <f>IFERROR(__xludf.DUMMYFUNCTION("""COMPUTED_VALUE"""),45380.0)</f>
        <v>45380</v>
      </c>
      <c r="F104" s="1429">
        <f>IFERROR(__xludf.DUMMYFUNCTION("""COMPUTED_VALUE"""),45383.0)</f>
        <v>45383</v>
      </c>
      <c r="G104" s="1164">
        <f>IFERROR(__xludf.DUMMYFUNCTION("""COMPUTED_VALUE"""),3.0)</f>
        <v>3</v>
      </c>
      <c r="H104" s="1430">
        <f>IFERROR(__xludf.DUMMYFUNCTION("""COMPUTED_VALUE"""),50.0)</f>
        <v>50</v>
      </c>
      <c r="I104" s="94"/>
      <c r="J104" s="94"/>
      <c r="K104" s="94">
        <f>IFERROR(__xludf.DUMMYFUNCTION("""COMPUTED_VALUE"""),50.0)</f>
        <v>50</v>
      </c>
      <c r="L104" s="94">
        <f>IFERROR(__xludf.DUMMYFUNCTION("""COMPUTED_VALUE"""),50.0)</f>
        <v>50</v>
      </c>
      <c r="M104" s="94">
        <f>IFERROR(__xludf.DUMMYFUNCTION("""COMPUTED_VALUE"""),0.0)</f>
        <v>0</v>
      </c>
      <c r="N104" s="94"/>
      <c r="O104" s="1430">
        <f>IFERROR(__xludf.DUMMYFUNCTION("""COMPUTED_VALUE"""),-82.5)</f>
        <v>-82.5</v>
      </c>
      <c r="P104" s="1431">
        <f>IFERROR(__xludf.DUMMYFUNCTION("""COMPUTED_VALUE"""),2.65)</f>
        <v>2.65</v>
      </c>
      <c r="Q104" s="1432">
        <f>IFERROR(__xludf.DUMMYFUNCTION("""COMPUTED_VALUE"""),82.5)</f>
        <v>82.5</v>
      </c>
    </row>
    <row r="105" ht="15.75" customHeight="1">
      <c r="A105" s="94"/>
      <c r="B105" s="94" t="str">
        <f>IFERROR(__xludf.DUMMYFUNCTION("""COMPUTED_VALUE"""),"Шар 2505")</f>
        <v>Шар 2505</v>
      </c>
      <c r="C105" s="94"/>
      <c r="D105" s="1432">
        <f>IFERROR(__xludf.DUMMYFUNCTION("""COMPUTED_VALUE"""),3.0)</f>
        <v>3</v>
      </c>
      <c r="E105" s="1429">
        <f>IFERROR(__xludf.DUMMYFUNCTION("""COMPUTED_VALUE"""),45379.0)</f>
        <v>45379</v>
      </c>
      <c r="F105" s="1429">
        <f>IFERROR(__xludf.DUMMYFUNCTION("""COMPUTED_VALUE"""),45385.0)</f>
        <v>45385</v>
      </c>
      <c r="G105" s="1164">
        <f>IFERROR(__xludf.DUMMYFUNCTION("""COMPUTED_VALUE"""),6.0)</f>
        <v>6</v>
      </c>
      <c r="H105" s="1430">
        <f>IFERROR(__xludf.DUMMYFUNCTION("""COMPUTED_VALUE"""),123.0)</f>
        <v>123</v>
      </c>
      <c r="I105" s="94"/>
      <c r="J105" s="94"/>
      <c r="K105" s="94">
        <f>IFERROR(__xludf.DUMMYFUNCTION("""COMPUTED_VALUE"""),50.0)</f>
        <v>50</v>
      </c>
      <c r="L105" s="94">
        <f>IFERROR(__xludf.DUMMYFUNCTION("""COMPUTED_VALUE"""),50.0)</f>
        <v>50</v>
      </c>
      <c r="M105" s="94">
        <f>IFERROR(__xludf.DUMMYFUNCTION("""COMPUTED_VALUE"""),0.0)</f>
        <v>0</v>
      </c>
      <c r="N105" s="94"/>
      <c r="O105" s="1430">
        <f>IFERROR(__xludf.DUMMYFUNCTION("""COMPUTED_VALUE"""),-82.5)</f>
        <v>-82.5</v>
      </c>
      <c r="P105" s="1431">
        <f>IFERROR(__xludf.DUMMYFUNCTION("""COMPUTED_VALUE"""),2.65)</f>
        <v>2.65</v>
      </c>
      <c r="Q105" s="1432">
        <f>IFERROR(__xludf.DUMMYFUNCTION("""COMPUTED_VALUE"""),275.95)</f>
        <v>275.95</v>
      </c>
    </row>
    <row r="106" ht="15.75" customHeight="1">
      <c r="A106" s="94"/>
      <c r="B106" s="94" t="str">
        <f>IFERROR(__xludf.DUMMYFUNCTION("""COMPUTED_VALUE"""),"CM 1604")</f>
        <v>CM 1604</v>
      </c>
      <c r="C106" s="94"/>
      <c r="D106" s="1432">
        <f>IFERROR(__xludf.DUMMYFUNCTION("""COMPUTED_VALUE"""),3.0)</f>
        <v>3</v>
      </c>
      <c r="E106" s="1429">
        <f>IFERROR(__xludf.DUMMYFUNCTION("""COMPUTED_VALUE"""),45380.0)</f>
        <v>45380</v>
      </c>
      <c r="F106" s="1429">
        <f>IFERROR(__xludf.DUMMYFUNCTION("""COMPUTED_VALUE"""),45384.0)</f>
        <v>45384</v>
      </c>
      <c r="G106" s="1164">
        <f>IFERROR(__xludf.DUMMYFUNCTION("""COMPUTED_VALUE"""),4.0)</f>
        <v>4</v>
      </c>
      <c r="H106" s="94">
        <f>IFERROR(__xludf.DUMMYFUNCTION("""COMPUTED_VALUE"""),116.0)</f>
        <v>116</v>
      </c>
      <c r="I106" s="94"/>
      <c r="J106" s="94"/>
      <c r="K106" s="94">
        <f>IFERROR(__xludf.DUMMYFUNCTION("""COMPUTED_VALUE"""),50.0)</f>
        <v>50</v>
      </c>
      <c r="L106" s="94">
        <f>IFERROR(__xludf.DUMMYFUNCTION("""COMPUTED_VALUE"""),50.0)</f>
        <v>50</v>
      </c>
      <c r="M106" s="94">
        <f>IFERROR(__xludf.DUMMYFUNCTION("""COMPUTED_VALUE"""),0.0)</f>
        <v>0</v>
      </c>
      <c r="N106" s="94"/>
      <c r="O106" s="1430">
        <f>IFERROR(__xludf.DUMMYFUNCTION("""COMPUTED_VALUE"""),-82.5)</f>
        <v>-82.5</v>
      </c>
      <c r="P106" s="1431">
        <f>IFERROR(__xludf.DUMMYFUNCTION("""COMPUTED_VALUE"""),2.65)</f>
        <v>2.65</v>
      </c>
      <c r="Q106" s="1432">
        <f>IFERROR(__xludf.DUMMYFUNCTION("""COMPUTED_VALUE"""),257.4)</f>
        <v>257.4</v>
      </c>
    </row>
    <row r="107" ht="15.75" customHeight="1">
      <c r="A107" s="94"/>
      <c r="B107" s="94"/>
      <c r="C107" s="94"/>
      <c r="D107" s="94"/>
      <c r="E107" s="94"/>
      <c r="F107" s="94"/>
      <c r="G107" s="1164">
        <f>IFERROR(__xludf.DUMMYFUNCTION("""COMPUTED_VALUE"""),0.0)</f>
        <v>0</v>
      </c>
      <c r="H107" s="94"/>
      <c r="I107" s="94"/>
      <c r="J107" s="94"/>
      <c r="K107" s="94">
        <f>IFERROR(__xludf.DUMMYFUNCTION("""COMPUTED_VALUE"""),0.0)</f>
        <v>0</v>
      </c>
      <c r="L107" s="94">
        <f>IFERROR(__xludf.DUMMYFUNCTION("""COMPUTED_VALUE"""),0.0)</f>
        <v>0</v>
      </c>
      <c r="M107" s="94">
        <f>IFERROR(__xludf.DUMMYFUNCTION("""COMPUTED_VALUE"""),0.0)</f>
        <v>0</v>
      </c>
      <c r="N107" s="94"/>
      <c r="O107" s="1430">
        <f>IFERROR(__xludf.DUMMYFUNCTION("""COMPUTED_VALUE"""),0.0)</f>
        <v>0</v>
      </c>
      <c r="P107" s="1431">
        <f>IFERROR(__xludf.DUMMYFUNCTION("""COMPUTED_VALUE"""),2.65)</f>
        <v>2.65</v>
      </c>
      <c r="Q107" s="1432">
        <f>IFERROR(__xludf.DUMMYFUNCTION("""COMPUTED_VALUE"""),0.0)</f>
        <v>0</v>
      </c>
    </row>
    <row r="108" ht="15.75" customHeight="1">
      <c r="A108" s="94"/>
      <c r="B108" s="94"/>
      <c r="C108" s="94"/>
      <c r="D108" s="94"/>
      <c r="E108" s="94"/>
      <c r="F108" s="94"/>
      <c r="G108" s="1164">
        <f>IFERROR(__xludf.DUMMYFUNCTION("""COMPUTED_VALUE"""),0.0)</f>
        <v>0</v>
      </c>
      <c r="H108" s="94"/>
      <c r="I108" s="94"/>
      <c r="J108" s="94"/>
      <c r="K108" s="94"/>
      <c r="L108" s="94">
        <f>IFERROR(__xludf.DUMMYFUNCTION("""COMPUTED_VALUE"""),0.0)</f>
        <v>0</v>
      </c>
      <c r="M108" s="94">
        <f>IFERROR(__xludf.DUMMYFUNCTION("""COMPUTED_VALUE"""),0.0)</f>
        <v>0</v>
      </c>
      <c r="N108" s="94"/>
      <c r="O108" s="1430">
        <f>IFERROR(__xludf.DUMMYFUNCTION("""COMPUTED_VALUE"""),0.0)</f>
        <v>0</v>
      </c>
      <c r="P108" s="1431">
        <f>IFERROR(__xludf.DUMMYFUNCTION("""COMPUTED_VALUE"""),2.65)</f>
        <v>2.65</v>
      </c>
      <c r="Q108" s="1432">
        <f>IFERROR(__xludf.DUMMYFUNCTION("""COMPUTED_VALUE"""),0.0)</f>
        <v>0</v>
      </c>
    </row>
    <row r="109" ht="15.75" customHeight="1">
      <c r="A109" s="94" t="str">
        <f>IFERROR(__xludf.DUMMYFUNCTION("""COMPUTED_VALUE"""),"Итого неделя")</f>
        <v>Итого неделя</v>
      </c>
      <c r="B109" s="94" t="str">
        <f>IFERROR(__xludf.DUMMYFUNCTION("""COMPUTED_VALUE"""),"13 неделя")</f>
        <v>13 неделя</v>
      </c>
      <c r="C109" s="94"/>
      <c r="D109" s="94"/>
      <c r="E109" s="94"/>
      <c r="F109" s="94"/>
      <c r="G109" s="1164">
        <f>IFERROR(__xludf.DUMMYFUNCTION("""COMPUTED_VALUE"""),0.0)</f>
        <v>0</v>
      </c>
      <c r="H109" s="1430">
        <f>IFERROR(__xludf.DUMMYFUNCTION("""COMPUTED_VALUE"""),1193.0)</f>
        <v>1193</v>
      </c>
      <c r="I109" s="94"/>
      <c r="J109" s="94"/>
      <c r="K109" s="94"/>
      <c r="L109" s="94"/>
      <c r="M109" s="1430">
        <f>IFERROR(__xludf.DUMMYFUNCTION("""COMPUTED_VALUE"""),0.0)</f>
        <v>0</v>
      </c>
      <c r="N109" s="94"/>
      <c r="O109" s="1430">
        <f>IFERROR(__xludf.DUMMYFUNCTION("""COMPUTED_VALUE"""),-1006.5)</f>
        <v>-1006.5</v>
      </c>
      <c r="P109" s="94"/>
      <c r="Q109" s="1432">
        <f>IFERROR(__xludf.DUMMYFUNCTION("""COMPUTED_VALUE"""),2551.45)</f>
        <v>2551.45</v>
      </c>
    </row>
    <row r="110" ht="15.75" customHeight="1">
      <c r="A110" s="94"/>
      <c r="B110" s="94" t="str">
        <f>IFERROR(__xludf.DUMMYFUNCTION("""COMPUTED_VALUE"""),"WS  E 1405")</f>
        <v>WS  E 1405</v>
      </c>
      <c r="C110" s="94"/>
      <c r="D110" s="1432">
        <f>IFERROR(__xludf.DUMMYFUNCTION("""COMPUTED_VALUE"""),3.0)</f>
        <v>3</v>
      </c>
      <c r="E110" s="1429">
        <f>IFERROR(__xludf.DUMMYFUNCTION("""COMPUTED_VALUE"""),45382.0)</f>
        <v>45382</v>
      </c>
      <c r="F110" s="1429">
        <f>IFERROR(__xludf.DUMMYFUNCTION("""COMPUTED_VALUE"""),45396.0)</f>
        <v>45396</v>
      </c>
      <c r="G110" s="1164">
        <f>IFERROR(__xludf.DUMMYFUNCTION("""COMPUTED_VALUE"""),14.0)</f>
        <v>14</v>
      </c>
      <c r="H110" s="1430">
        <f>IFERROR(__xludf.DUMMYFUNCTION("""COMPUTED_VALUE"""),217.0)</f>
        <v>217</v>
      </c>
      <c r="I110" s="94"/>
      <c r="J110" s="94"/>
      <c r="K110" s="94">
        <f>IFERROR(__xludf.DUMMYFUNCTION("""COMPUTED_VALUE"""),60.0)</f>
        <v>60</v>
      </c>
      <c r="L110" s="94">
        <f>IFERROR(__xludf.DUMMYFUNCTION("""COMPUTED_VALUE"""),50.0)</f>
        <v>50</v>
      </c>
      <c r="M110" s="94">
        <f>IFERROR(__xludf.DUMMYFUNCTION("""COMPUTED_VALUE"""),10.0)</f>
        <v>10</v>
      </c>
      <c r="N110" s="94"/>
      <c r="O110" s="1430">
        <f>IFERROR(__xludf.DUMMYFUNCTION("""COMPUTED_VALUE"""),-109.0)</f>
        <v>-109</v>
      </c>
      <c r="P110" s="1431">
        <f>IFERROR(__xludf.DUMMYFUNCTION("""COMPUTED_VALUE"""),2.65)</f>
        <v>2.65</v>
      </c>
      <c r="Q110" s="1432">
        <f>IFERROR(__xludf.DUMMYFUNCTION("""COMPUTED_VALUE"""),525.05)</f>
        <v>525.05</v>
      </c>
    </row>
    <row r="111" ht="15.75" customHeight="1">
      <c r="A111" s="94"/>
      <c r="B111" s="94" t="str">
        <f>IFERROR(__xludf.DUMMYFUNCTION("""COMPUTED_VALUE"""),"Горизонт 2705")</f>
        <v>Горизонт 2705</v>
      </c>
      <c r="C111" s="94"/>
      <c r="D111" s="1432">
        <f>IFERROR(__xludf.DUMMYFUNCTION("""COMPUTED_VALUE"""),4.0)</f>
        <v>4</v>
      </c>
      <c r="E111" s="1429">
        <f>IFERROR(__xludf.DUMMYFUNCTION("""COMPUTED_VALUE"""),45383.0)</f>
        <v>45383</v>
      </c>
      <c r="F111" s="1429">
        <f>IFERROR(__xludf.DUMMYFUNCTION("""COMPUTED_VALUE"""),45390.0)</f>
        <v>45390</v>
      </c>
      <c r="G111" s="1164">
        <f>IFERROR(__xludf.DUMMYFUNCTION("""COMPUTED_VALUE"""),7.0)</f>
        <v>7</v>
      </c>
      <c r="H111" s="1430">
        <f>IFERROR(__xludf.DUMMYFUNCTION("""COMPUTED_VALUE"""),121.0)</f>
        <v>121</v>
      </c>
      <c r="I111" s="94"/>
      <c r="J111" s="94"/>
      <c r="K111" s="94">
        <f>IFERROR(__xludf.DUMMYFUNCTION("""COMPUTED_VALUE"""),60.0)</f>
        <v>60</v>
      </c>
      <c r="L111" s="94">
        <f>IFERROR(__xludf.DUMMYFUNCTION("""COMPUTED_VALUE"""),50.0)</f>
        <v>50</v>
      </c>
      <c r="M111" s="94">
        <f>IFERROR(__xludf.DUMMYFUNCTION("""COMPUTED_VALUE"""),10.0)</f>
        <v>10</v>
      </c>
      <c r="N111" s="94"/>
      <c r="O111" s="1430">
        <f>IFERROR(__xludf.DUMMYFUNCTION("""COMPUTED_VALUE"""),-109.0)</f>
        <v>-109</v>
      </c>
      <c r="P111" s="1431">
        <f>IFERROR(__xludf.DUMMYFUNCTION("""COMPUTED_VALUE"""),2.65)</f>
        <v>2.65</v>
      </c>
      <c r="Q111" s="1432">
        <f>IFERROR(__xludf.DUMMYFUNCTION("""COMPUTED_VALUE"""),270.65)</f>
        <v>270.65</v>
      </c>
    </row>
    <row r="112" ht="15.75" customHeight="1">
      <c r="A112" s="94"/>
      <c r="B112" s="94" t="str">
        <f>IFERROR(__xludf.DUMMYFUNCTION("""COMPUTED_VALUE"""),"С 1125")</f>
        <v>С 1125</v>
      </c>
      <c r="C112" s="94"/>
      <c r="D112" s="1432">
        <f>IFERROR(__xludf.DUMMYFUNCTION("""COMPUTED_VALUE"""),4.0)</f>
        <v>4</v>
      </c>
      <c r="E112" s="1429">
        <f>IFERROR(__xludf.DUMMYFUNCTION("""COMPUTED_VALUE"""),45383.0)</f>
        <v>45383</v>
      </c>
      <c r="F112" s="1429">
        <f>IFERROR(__xludf.DUMMYFUNCTION("""COMPUTED_VALUE"""),45390.0)</f>
        <v>45390</v>
      </c>
      <c r="G112" s="1164">
        <f>IFERROR(__xludf.DUMMYFUNCTION("""COMPUTED_VALUE"""),7.0)</f>
        <v>7</v>
      </c>
      <c r="H112" s="1430">
        <f>IFERROR(__xludf.DUMMYFUNCTION("""COMPUTED_VALUE"""),94.0)</f>
        <v>94</v>
      </c>
      <c r="I112" s="94"/>
      <c r="J112" s="94"/>
      <c r="K112" s="94">
        <f>IFERROR(__xludf.DUMMYFUNCTION("""COMPUTED_VALUE"""),60.0)</f>
        <v>60</v>
      </c>
      <c r="L112" s="94">
        <f>IFERROR(__xludf.DUMMYFUNCTION("""COMPUTED_VALUE"""),50.0)</f>
        <v>50</v>
      </c>
      <c r="M112" s="94">
        <f>IFERROR(__xludf.DUMMYFUNCTION("""COMPUTED_VALUE"""),10.0)</f>
        <v>10</v>
      </c>
      <c r="N112" s="94"/>
      <c r="O112" s="1430">
        <f>IFERROR(__xludf.DUMMYFUNCTION("""COMPUTED_VALUE"""),-109.0)</f>
        <v>-109</v>
      </c>
      <c r="P112" s="1431">
        <f>IFERROR(__xludf.DUMMYFUNCTION("""COMPUTED_VALUE"""),2.65)</f>
        <v>2.65</v>
      </c>
      <c r="Q112" s="1432">
        <f>IFERROR(__xludf.DUMMYFUNCTION("""COMPUTED_VALUE"""),199.1)</f>
        <v>199.1</v>
      </c>
    </row>
    <row r="113" ht="15.75" customHeight="1">
      <c r="A113" s="94"/>
      <c r="B113" s="94" t="str">
        <f>IFERROR(__xludf.DUMMYFUNCTION("""COMPUTED_VALUE"""),"C 4245")</f>
        <v>C 4245</v>
      </c>
      <c r="C113" s="94"/>
      <c r="D113" s="1432">
        <f>IFERROR(__xludf.DUMMYFUNCTION("""COMPUTED_VALUE"""),4.0)</f>
        <v>4</v>
      </c>
      <c r="E113" s="1429">
        <f>IFERROR(__xludf.DUMMYFUNCTION("""COMPUTED_VALUE"""),45383.0)</f>
        <v>45383</v>
      </c>
      <c r="F113" s="1429">
        <f>IFERROR(__xludf.DUMMYFUNCTION("""COMPUTED_VALUE"""),45386.0)</f>
        <v>45386</v>
      </c>
      <c r="G113" s="1164">
        <f>IFERROR(__xludf.DUMMYFUNCTION("""COMPUTED_VALUE"""),3.0)</f>
        <v>3</v>
      </c>
      <c r="H113" s="1430">
        <f>IFERROR(__xludf.DUMMYFUNCTION("""COMPUTED_VALUE"""),115.0)</f>
        <v>115</v>
      </c>
      <c r="I113" s="94"/>
      <c r="J113" s="94"/>
      <c r="K113" s="94">
        <f>IFERROR(__xludf.DUMMYFUNCTION("""COMPUTED_VALUE"""),60.0)</f>
        <v>60</v>
      </c>
      <c r="L113" s="94">
        <f>IFERROR(__xludf.DUMMYFUNCTION("""COMPUTED_VALUE"""),50.0)</f>
        <v>50</v>
      </c>
      <c r="M113" s="94">
        <f>IFERROR(__xludf.DUMMYFUNCTION("""COMPUTED_VALUE"""),10.0)</f>
        <v>10</v>
      </c>
      <c r="N113" s="94"/>
      <c r="O113" s="1430">
        <f>IFERROR(__xludf.DUMMYFUNCTION("""COMPUTED_VALUE"""),-109.0)</f>
        <v>-109</v>
      </c>
      <c r="P113" s="1431">
        <f>IFERROR(__xludf.DUMMYFUNCTION("""COMPUTED_VALUE"""),2.65)</f>
        <v>2.65</v>
      </c>
      <c r="Q113" s="1432">
        <f>IFERROR(__xludf.DUMMYFUNCTION("""COMPUTED_VALUE"""),254.75)</f>
        <v>254.75</v>
      </c>
    </row>
    <row r="114" ht="15.75" customHeight="1">
      <c r="A114" s="94"/>
      <c r="B114" s="94" t="str">
        <f>IFERROR(__xludf.DUMMYFUNCTION("""COMPUTED_VALUE"""),"А 4049")</f>
        <v>А 4049</v>
      </c>
      <c r="C114" s="94"/>
      <c r="D114" s="1432">
        <f>IFERROR(__xludf.DUMMYFUNCTION("""COMPUTED_VALUE"""),4.0)</f>
        <v>4</v>
      </c>
      <c r="E114" s="1429">
        <f>IFERROR(__xludf.DUMMYFUNCTION("""COMPUTED_VALUE"""),45384.0)</f>
        <v>45384</v>
      </c>
      <c r="F114" s="1429">
        <f>IFERROR(__xludf.DUMMYFUNCTION("""COMPUTED_VALUE"""),45393.0)</f>
        <v>45393</v>
      </c>
      <c r="G114" s="1164">
        <f>IFERROR(__xludf.DUMMYFUNCTION("""COMPUTED_VALUE"""),9.0)</f>
        <v>9</v>
      </c>
      <c r="H114" s="1430">
        <f>IFERROR(__xludf.DUMMYFUNCTION("""COMPUTED_VALUE"""),113.0)</f>
        <v>113</v>
      </c>
      <c r="I114" s="94"/>
      <c r="J114" s="94"/>
      <c r="K114" s="94">
        <f>IFERROR(__xludf.DUMMYFUNCTION("""COMPUTED_VALUE"""),60.0)</f>
        <v>60</v>
      </c>
      <c r="L114" s="94">
        <f>IFERROR(__xludf.DUMMYFUNCTION("""COMPUTED_VALUE"""),50.0)</f>
        <v>50</v>
      </c>
      <c r="M114" s="94">
        <f>IFERROR(__xludf.DUMMYFUNCTION("""COMPUTED_VALUE"""),10.0)</f>
        <v>10</v>
      </c>
      <c r="N114" s="94"/>
      <c r="O114" s="1430">
        <f>IFERROR(__xludf.DUMMYFUNCTION("""COMPUTED_VALUE"""),-109.0)</f>
        <v>-109</v>
      </c>
      <c r="P114" s="1431">
        <f>IFERROR(__xludf.DUMMYFUNCTION("""COMPUTED_VALUE"""),2.65)</f>
        <v>2.65</v>
      </c>
      <c r="Q114" s="1432">
        <f>IFERROR(__xludf.DUMMYFUNCTION("""COMPUTED_VALUE"""),249.45)</f>
        <v>249.45</v>
      </c>
    </row>
    <row r="115" ht="15.75" customHeight="1">
      <c r="A115" s="94"/>
      <c r="B115" s="94" t="str">
        <f>IFERROR(__xludf.DUMMYFUNCTION("""COMPUTED_VALUE"""),"Шар 2505")</f>
        <v>Шар 2505</v>
      </c>
      <c r="C115" s="94"/>
      <c r="D115" s="1432">
        <f>IFERROR(__xludf.DUMMYFUNCTION("""COMPUTED_VALUE"""),4.0)</f>
        <v>4</v>
      </c>
      <c r="E115" s="1429">
        <f>IFERROR(__xludf.DUMMYFUNCTION("""COMPUTED_VALUE"""),45385.0)</f>
        <v>45385</v>
      </c>
      <c r="F115" s="1429">
        <f>IFERROR(__xludf.DUMMYFUNCTION("""COMPUTED_VALUE"""),45391.0)</f>
        <v>45391</v>
      </c>
      <c r="G115" s="1164">
        <f>IFERROR(__xludf.DUMMYFUNCTION("""COMPUTED_VALUE"""),6.0)</f>
        <v>6</v>
      </c>
      <c r="H115" s="1430">
        <f>IFERROR(__xludf.DUMMYFUNCTION("""COMPUTED_VALUE"""),123.0)</f>
        <v>123</v>
      </c>
      <c r="I115" s="94"/>
      <c r="J115" s="94"/>
      <c r="K115" s="94">
        <f>IFERROR(__xludf.DUMMYFUNCTION("""COMPUTED_VALUE"""),60.0)</f>
        <v>60</v>
      </c>
      <c r="L115" s="94">
        <f>IFERROR(__xludf.DUMMYFUNCTION("""COMPUTED_VALUE"""),50.0)</f>
        <v>50</v>
      </c>
      <c r="M115" s="94">
        <f>IFERROR(__xludf.DUMMYFUNCTION("""COMPUTED_VALUE"""),10.0)</f>
        <v>10</v>
      </c>
      <c r="N115" s="94"/>
      <c r="O115" s="1430">
        <f>IFERROR(__xludf.DUMMYFUNCTION("""COMPUTED_VALUE"""),-109.0)</f>
        <v>-109</v>
      </c>
      <c r="P115" s="1431">
        <f>IFERROR(__xludf.DUMMYFUNCTION("""COMPUTED_VALUE"""),2.65)</f>
        <v>2.65</v>
      </c>
      <c r="Q115" s="1432">
        <f>IFERROR(__xludf.DUMMYFUNCTION("""COMPUTED_VALUE"""),275.95)</f>
        <v>275.95</v>
      </c>
    </row>
    <row r="116" ht="15.75" customHeight="1">
      <c r="A116" s="94"/>
      <c r="B116" s="94" t="str">
        <f>IFERROR(__xludf.DUMMYFUNCTION("""COMPUTED_VALUE"""),"С 1443")</f>
        <v>С 1443</v>
      </c>
      <c r="C116" s="94"/>
      <c r="D116" s="1432">
        <f>IFERROR(__xludf.DUMMYFUNCTION("""COMPUTED_VALUE"""),4.0)</f>
        <v>4</v>
      </c>
      <c r="E116" s="1429">
        <f>IFERROR(__xludf.DUMMYFUNCTION("""COMPUTED_VALUE"""),45386.0)</f>
        <v>45386</v>
      </c>
      <c r="F116" s="1429">
        <f>IFERROR(__xludf.DUMMYFUNCTION("""COMPUTED_VALUE"""),45390.0)</f>
        <v>45390</v>
      </c>
      <c r="G116" s="1164">
        <f>IFERROR(__xludf.DUMMYFUNCTION("""COMPUTED_VALUE"""),4.0)</f>
        <v>4</v>
      </c>
      <c r="H116" s="1430">
        <f>IFERROR(__xludf.DUMMYFUNCTION("""COMPUTED_VALUE"""),115.0)</f>
        <v>115</v>
      </c>
      <c r="I116" s="94"/>
      <c r="J116" s="94"/>
      <c r="K116" s="94">
        <f>IFERROR(__xludf.DUMMYFUNCTION("""COMPUTED_VALUE"""),60.0)</f>
        <v>60</v>
      </c>
      <c r="L116" s="94">
        <f>IFERROR(__xludf.DUMMYFUNCTION("""COMPUTED_VALUE"""),50.0)</f>
        <v>50</v>
      </c>
      <c r="M116" s="94">
        <f>IFERROR(__xludf.DUMMYFUNCTION("""COMPUTED_VALUE"""),10.0)</f>
        <v>10</v>
      </c>
      <c r="N116" s="94"/>
      <c r="O116" s="1430">
        <f>IFERROR(__xludf.DUMMYFUNCTION("""COMPUTED_VALUE"""),-109.0)</f>
        <v>-109</v>
      </c>
      <c r="P116" s="1431">
        <f>IFERROR(__xludf.DUMMYFUNCTION("""COMPUTED_VALUE"""),2.65)</f>
        <v>2.65</v>
      </c>
      <c r="Q116" s="1432">
        <f>IFERROR(__xludf.DUMMYFUNCTION("""COMPUTED_VALUE"""),254.75)</f>
        <v>254.75</v>
      </c>
    </row>
    <row r="117" ht="15.75" customHeight="1">
      <c r="A117" s="94"/>
      <c r="B117" s="94" t="str">
        <f>IFERROR(__xludf.DUMMYFUNCTION("""COMPUTED_VALUE"""),"CM 1604")</f>
        <v>CM 1604</v>
      </c>
      <c r="C117" s="94"/>
      <c r="D117" s="1432">
        <f>IFERROR(__xludf.DUMMYFUNCTION("""COMPUTED_VALUE"""),4.0)</f>
        <v>4</v>
      </c>
      <c r="E117" s="1429">
        <f>IFERROR(__xludf.DUMMYFUNCTION("""COMPUTED_VALUE"""),45386.0)</f>
        <v>45386</v>
      </c>
      <c r="F117" s="1429">
        <f>IFERROR(__xludf.DUMMYFUNCTION("""COMPUTED_VALUE"""),45390.0)</f>
        <v>45390</v>
      </c>
      <c r="G117" s="1164">
        <f>IFERROR(__xludf.DUMMYFUNCTION("""COMPUTED_VALUE"""),4.0)</f>
        <v>4</v>
      </c>
      <c r="H117" s="1430">
        <f>IFERROR(__xludf.DUMMYFUNCTION("""COMPUTED_VALUE"""),116.0)</f>
        <v>116</v>
      </c>
      <c r="I117" s="94"/>
      <c r="J117" s="94"/>
      <c r="K117" s="94">
        <f>IFERROR(__xludf.DUMMYFUNCTION("""COMPUTED_VALUE"""),60.0)</f>
        <v>60</v>
      </c>
      <c r="L117" s="94">
        <f>IFERROR(__xludf.DUMMYFUNCTION("""COMPUTED_VALUE"""),50.0)</f>
        <v>50</v>
      </c>
      <c r="M117" s="94">
        <f>IFERROR(__xludf.DUMMYFUNCTION("""COMPUTED_VALUE"""),10.0)</f>
        <v>10</v>
      </c>
      <c r="N117" s="94"/>
      <c r="O117" s="1430">
        <f>IFERROR(__xludf.DUMMYFUNCTION("""COMPUTED_VALUE"""),-109.0)</f>
        <v>-109</v>
      </c>
      <c r="P117" s="1431">
        <f>IFERROR(__xludf.DUMMYFUNCTION("""COMPUTED_VALUE"""),2.65)</f>
        <v>2.65</v>
      </c>
      <c r="Q117" s="1432">
        <f>IFERROR(__xludf.DUMMYFUNCTION("""COMPUTED_VALUE"""),257.4)</f>
        <v>257.4</v>
      </c>
    </row>
    <row r="118" ht="15.75" customHeight="1">
      <c r="A118" s="94"/>
      <c r="B118" s="94" t="str">
        <f>IFERROR(__xludf.DUMMYFUNCTION("""COMPUTED_VALUE"""),"WS E 1202")</f>
        <v>WS E 1202</v>
      </c>
      <c r="C118" s="94"/>
      <c r="D118" s="1432">
        <f>IFERROR(__xludf.DUMMYFUNCTION("""COMPUTED_VALUE"""),4.0)</f>
        <v>4</v>
      </c>
      <c r="E118" s="1429">
        <f>IFERROR(__xludf.DUMMYFUNCTION("""COMPUTED_VALUE"""),45386.0)</f>
        <v>45386</v>
      </c>
      <c r="F118" s="1429">
        <f>IFERROR(__xludf.DUMMYFUNCTION("""COMPUTED_VALUE"""),45389.0)</f>
        <v>45389</v>
      </c>
      <c r="G118" s="1164">
        <f>IFERROR(__xludf.DUMMYFUNCTION("""COMPUTED_VALUE"""),3.0)</f>
        <v>3</v>
      </c>
      <c r="H118" s="1430">
        <f>IFERROR(__xludf.DUMMYFUNCTION("""COMPUTED_VALUE"""),102.0)</f>
        <v>102</v>
      </c>
      <c r="I118" s="94"/>
      <c r="J118" s="94"/>
      <c r="K118" s="94">
        <f>IFERROR(__xludf.DUMMYFUNCTION("""COMPUTED_VALUE"""),60.0)</f>
        <v>60</v>
      </c>
      <c r="L118" s="94">
        <f>IFERROR(__xludf.DUMMYFUNCTION("""COMPUTED_VALUE"""),50.0)</f>
        <v>50</v>
      </c>
      <c r="M118" s="94">
        <f>IFERROR(__xludf.DUMMYFUNCTION("""COMPUTED_VALUE"""),10.0)</f>
        <v>10</v>
      </c>
      <c r="N118" s="94"/>
      <c r="O118" s="1430">
        <f>IFERROR(__xludf.DUMMYFUNCTION("""COMPUTED_VALUE"""),-109.0)</f>
        <v>-109</v>
      </c>
      <c r="P118" s="1431">
        <f>IFERROR(__xludf.DUMMYFUNCTION("""COMPUTED_VALUE"""),2.65)</f>
        <v>2.65</v>
      </c>
      <c r="Q118" s="1432">
        <f>IFERROR(__xludf.DUMMYFUNCTION("""COMPUTED_VALUE"""),220.3)</f>
        <v>220.3</v>
      </c>
    </row>
    <row r="119" ht="15.75" customHeight="1">
      <c r="A119" s="94"/>
      <c r="B119" s="94" t="str">
        <f>IFERROR(__xludf.DUMMYFUNCTION("""COMPUTED_VALUE"""),"C 4245")</f>
        <v>C 4245</v>
      </c>
      <c r="C119" s="94"/>
      <c r="D119" s="1432">
        <f>IFERROR(__xludf.DUMMYFUNCTION("""COMPUTED_VALUE"""),4.0)</f>
        <v>4</v>
      </c>
      <c r="E119" s="1429">
        <f>IFERROR(__xludf.DUMMYFUNCTION("""COMPUTED_VALUE"""),45388.0)</f>
        <v>45388</v>
      </c>
      <c r="F119" s="1429">
        <f>IFERROR(__xludf.DUMMYFUNCTION("""COMPUTED_VALUE"""),45391.0)</f>
        <v>45391</v>
      </c>
      <c r="G119" s="1164">
        <f>IFERROR(__xludf.DUMMYFUNCTION("""COMPUTED_VALUE"""),3.0)</f>
        <v>3</v>
      </c>
      <c r="H119" s="1430">
        <f>IFERROR(__xludf.DUMMYFUNCTION("""COMPUTED_VALUE"""),115.0)</f>
        <v>115</v>
      </c>
      <c r="I119" s="94"/>
      <c r="J119" s="94"/>
      <c r="K119" s="94">
        <f>IFERROR(__xludf.DUMMYFUNCTION("""COMPUTED_VALUE"""),60.0)</f>
        <v>60</v>
      </c>
      <c r="L119" s="94">
        <f>IFERROR(__xludf.DUMMYFUNCTION("""COMPUTED_VALUE"""),50.0)</f>
        <v>50</v>
      </c>
      <c r="M119" s="94">
        <f>IFERROR(__xludf.DUMMYFUNCTION("""COMPUTED_VALUE"""),10.0)</f>
        <v>10</v>
      </c>
      <c r="N119" s="94"/>
      <c r="O119" s="1430">
        <f>IFERROR(__xludf.DUMMYFUNCTION("""COMPUTED_VALUE"""),-109.0)</f>
        <v>-109</v>
      </c>
      <c r="P119" s="1431">
        <f>IFERROR(__xludf.DUMMYFUNCTION("""COMPUTED_VALUE"""),2.65)</f>
        <v>2.65</v>
      </c>
      <c r="Q119" s="1432">
        <f>IFERROR(__xludf.DUMMYFUNCTION("""COMPUTED_VALUE"""),254.75)</f>
        <v>254.75</v>
      </c>
    </row>
    <row r="120" ht="15.75" customHeight="1">
      <c r="A120" s="94"/>
      <c r="B120" s="94" t="str">
        <f>IFERROR(__xludf.DUMMYFUNCTION("""COMPUTED_VALUE"""),"CM 1606")</f>
        <v>CM 1606</v>
      </c>
      <c r="C120" s="94"/>
      <c r="D120" s="1432">
        <f>IFERROR(__xludf.DUMMYFUNCTION("""COMPUTED_VALUE"""),4.0)</f>
        <v>4</v>
      </c>
      <c r="E120" s="1429">
        <f>IFERROR(__xludf.DUMMYFUNCTION("""COMPUTED_VALUE"""),45388.0)</f>
        <v>45388</v>
      </c>
      <c r="F120" s="1429">
        <f>IFERROR(__xludf.DUMMYFUNCTION("""COMPUTED_VALUE"""),45392.0)</f>
        <v>45392</v>
      </c>
      <c r="G120" s="1164">
        <f>IFERROR(__xludf.DUMMYFUNCTION("""COMPUTED_VALUE"""),4.0)</f>
        <v>4</v>
      </c>
      <c r="H120" s="1430">
        <f>IFERROR(__xludf.DUMMYFUNCTION("""COMPUTED_VALUE"""),80.0)</f>
        <v>80</v>
      </c>
      <c r="I120" s="94"/>
      <c r="J120" s="94"/>
      <c r="K120" s="94">
        <f>IFERROR(__xludf.DUMMYFUNCTION("""COMPUTED_VALUE"""),60.0)</f>
        <v>60</v>
      </c>
      <c r="L120" s="94">
        <f>IFERROR(__xludf.DUMMYFUNCTION("""COMPUTED_VALUE"""),50.0)</f>
        <v>50</v>
      </c>
      <c r="M120" s="94">
        <f>IFERROR(__xludf.DUMMYFUNCTION("""COMPUTED_VALUE"""),10.0)</f>
        <v>10</v>
      </c>
      <c r="N120" s="94"/>
      <c r="O120" s="1430">
        <f>IFERROR(__xludf.DUMMYFUNCTION("""COMPUTED_VALUE"""),-109.0)</f>
        <v>-109</v>
      </c>
      <c r="P120" s="1431">
        <f>IFERROR(__xludf.DUMMYFUNCTION("""COMPUTED_VALUE"""),2.65)</f>
        <v>2.65</v>
      </c>
      <c r="Q120" s="1432">
        <f>IFERROR(__xludf.DUMMYFUNCTION("""COMPUTED_VALUE"""),162.0)</f>
        <v>162</v>
      </c>
    </row>
    <row r="121" ht="15.75" customHeight="1">
      <c r="A121" s="94"/>
      <c r="B121" s="94" t="str">
        <f>IFERROR(__xludf.DUMMYFUNCTION("""COMPUTED_VALUE"""),"WS В 1510")</f>
        <v>WS В 1510</v>
      </c>
      <c r="C121" s="94"/>
      <c r="D121" s="1432">
        <f>IFERROR(__xludf.DUMMYFUNCTION("""COMPUTED_VALUE"""),4.0)</f>
        <v>4</v>
      </c>
      <c r="E121" s="1429">
        <f>IFERROR(__xludf.DUMMYFUNCTION("""COMPUTED_VALUE"""),45388.0)</f>
        <v>45388</v>
      </c>
      <c r="F121" s="1429">
        <f>IFERROR(__xludf.DUMMYFUNCTION("""COMPUTED_VALUE"""),45390.0)</f>
        <v>45390</v>
      </c>
      <c r="G121" s="1164">
        <f>IFERROR(__xludf.DUMMYFUNCTION("""COMPUTED_VALUE"""),2.0)</f>
        <v>2</v>
      </c>
      <c r="H121" s="1430">
        <f>IFERROR(__xludf.DUMMYFUNCTION("""COMPUTED_VALUE"""),35.0)</f>
        <v>35</v>
      </c>
      <c r="I121" s="94"/>
      <c r="J121" s="94"/>
      <c r="K121" s="94">
        <f>IFERROR(__xludf.DUMMYFUNCTION("""COMPUTED_VALUE"""),60.0)</f>
        <v>60</v>
      </c>
      <c r="L121" s="94">
        <f>IFERROR(__xludf.DUMMYFUNCTION("""COMPUTED_VALUE"""),50.0)</f>
        <v>50</v>
      </c>
      <c r="M121" s="94">
        <f>IFERROR(__xludf.DUMMYFUNCTION("""COMPUTED_VALUE"""),10.0)</f>
        <v>10</v>
      </c>
      <c r="N121" s="94"/>
      <c r="O121" s="1430">
        <f>IFERROR(__xludf.DUMMYFUNCTION("""COMPUTED_VALUE"""),-109.0)</f>
        <v>-109</v>
      </c>
      <c r="P121" s="1431">
        <f>IFERROR(__xludf.DUMMYFUNCTION("""COMPUTED_VALUE"""),2.65)</f>
        <v>2.65</v>
      </c>
      <c r="Q121" s="1432">
        <f>IFERROR(__xludf.DUMMYFUNCTION("""COMPUTED_VALUE"""),42.75)</f>
        <v>42.75</v>
      </c>
    </row>
    <row r="122" ht="15.75" customHeight="1">
      <c r="A122" s="94"/>
      <c r="B122" s="94" t="str">
        <f>IFERROR(__xludf.DUMMYFUNCTION("""COMPUTED_VALUE"""),"WS В 503")</f>
        <v>WS В 503</v>
      </c>
      <c r="C122" s="94"/>
      <c r="D122" s="1432">
        <f>IFERROR(__xludf.DUMMYFUNCTION("""COMPUTED_VALUE"""),4.0)</f>
        <v>4</v>
      </c>
      <c r="E122" s="1429">
        <f>IFERROR(__xludf.DUMMYFUNCTION("""COMPUTED_VALUE"""),45389.0)</f>
        <v>45389</v>
      </c>
      <c r="F122" s="1429">
        <f>IFERROR(__xludf.DUMMYFUNCTION("""COMPUTED_VALUE"""),45404.0)</f>
        <v>45404</v>
      </c>
      <c r="G122" s="1164">
        <f>IFERROR(__xludf.DUMMYFUNCTION("""COMPUTED_VALUE"""),15.0)</f>
        <v>15</v>
      </c>
      <c r="H122" s="1430">
        <f>IFERROR(__xludf.DUMMYFUNCTION("""COMPUTED_VALUE"""),448.0)</f>
        <v>448</v>
      </c>
      <c r="I122" s="94"/>
      <c r="J122" s="94"/>
      <c r="K122" s="94">
        <f>IFERROR(__xludf.DUMMYFUNCTION("""COMPUTED_VALUE"""),60.0)</f>
        <v>60</v>
      </c>
      <c r="L122" s="94">
        <f>IFERROR(__xludf.DUMMYFUNCTION("""COMPUTED_VALUE"""),50.0)</f>
        <v>50</v>
      </c>
      <c r="M122" s="94">
        <f>IFERROR(__xludf.DUMMYFUNCTION("""COMPUTED_VALUE"""),10.0)</f>
        <v>10</v>
      </c>
      <c r="N122" s="94"/>
      <c r="O122" s="1430">
        <f>IFERROR(__xludf.DUMMYFUNCTION("""COMPUTED_VALUE"""),-109.0)</f>
        <v>-109</v>
      </c>
      <c r="P122" s="1431">
        <f>IFERROR(__xludf.DUMMYFUNCTION("""COMPUTED_VALUE"""),2.65)</f>
        <v>2.65</v>
      </c>
      <c r="Q122" s="1432">
        <f>IFERROR(__xludf.DUMMYFUNCTION("""COMPUTED_VALUE"""),1137.2)</f>
        <v>1137.2</v>
      </c>
    </row>
    <row r="123" ht="15.75" customHeight="1">
      <c r="A123" s="94"/>
      <c r="B123" s="94" t="str">
        <f>IFERROR(__xludf.DUMMYFUNCTION("""COMPUTED_VALUE"""),"WS В 212")</f>
        <v>WS В 212</v>
      </c>
      <c r="C123" s="94"/>
      <c r="D123" s="1432">
        <f>IFERROR(__xludf.DUMMYFUNCTION("""COMPUTED_VALUE"""),4.0)</f>
        <v>4</v>
      </c>
      <c r="E123" s="1429">
        <f>IFERROR(__xludf.DUMMYFUNCTION("""COMPUTED_VALUE"""),45389.0)</f>
        <v>45389</v>
      </c>
      <c r="F123" s="1429">
        <f>IFERROR(__xludf.DUMMYFUNCTION("""COMPUTED_VALUE"""),45402.0)</f>
        <v>45402</v>
      </c>
      <c r="G123" s="1164">
        <f>IFERROR(__xludf.DUMMYFUNCTION("""COMPUTED_VALUE"""),13.0)</f>
        <v>13</v>
      </c>
      <c r="H123" s="1430">
        <f>IFERROR(__xludf.DUMMYFUNCTION("""COMPUTED_VALUE"""),600.0)</f>
        <v>600</v>
      </c>
      <c r="I123" s="94"/>
      <c r="J123" s="94"/>
      <c r="K123" s="94">
        <f>IFERROR(__xludf.DUMMYFUNCTION("""COMPUTED_VALUE"""),60.0)</f>
        <v>60</v>
      </c>
      <c r="L123" s="94">
        <f>IFERROR(__xludf.DUMMYFUNCTION("""COMPUTED_VALUE"""),50.0)</f>
        <v>50</v>
      </c>
      <c r="M123" s="94">
        <f>IFERROR(__xludf.DUMMYFUNCTION("""COMPUTED_VALUE"""),10.0)</f>
        <v>10</v>
      </c>
      <c r="N123" s="94"/>
      <c r="O123" s="1430">
        <f>IFERROR(__xludf.DUMMYFUNCTION("""COMPUTED_VALUE"""),-109.0)</f>
        <v>-109</v>
      </c>
      <c r="P123" s="1431">
        <f>IFERROR(__xludf.DUMMYFUNCTION("""COMPUTED_VALUE"""),2.65)</f>
        <v>2.65</v>
      </c>
      <c r="Q123" s="1432">
        <f>IFERROR(__xludf.DUMMYFUNCTION("""COMPUTED_VALUE"""),1540.0)</f>
        <v>1540</v>
      </c>
    </row>
    <row r="124" ht="15.75" customHeight="1">
      <c r="A124" s="94"/>
      <c r="B124" s="94"/>
      <c r="C124" s="94"/>
      <c r="D124" s="94"/>
      <c r="E124" s="94"/>
      <c r="F124" s="94"/>
      <c r="G124" s="1164">
        <f>IFERROR(__xludf.DUMMYFUNCTION("""COMPUTED_VALUE"""),0.0)</f>
        <v>0</v>
      </c>
      <c r="H124" s="94"/>
      <c r="I124" s="94"/>
      <c r="J124" s="94"/>
      <c r="K124" s="94"/>
      <c r="L124" s="94">
        <f>IFERROR(__xludf.DUMMYFUNCTION("""COMPUTED_VALUE"""),0.0)</f>
        <v>0</v>
      </c>
      <c r="M124" s="94">
        <f>IFERROR(__xludf.DUMMYFUNCTION("""COMPUTED_VALUE"""),0.0)</f>
        <v>0</v>
      </c>
      <c r="N124" s="94"/>
      <c r="O124" s="1430">
        <f>IFERROR(__xludf.DUMMYFUNCTION("""COMPUTED_VALUE"""),0.0)</f>
        <v>0</v>
      </c>
      <c r="P124" s="1431">
        <f>IFERROR(__xludf.DUMMYFUNCTION("""COMPUTED_VALUE"""),2.65)</f>
        <v>2.65</v>
      </c>
      <c r="Q124" s="1432">
        <f>IFERROR(__xludf.DUMMYFUNCTION("""COMPUTED_VALUE"""),0.0)</f>
        <v>0</v>
      </c>
    </row>
    <row r="125" ht="15.75" customHeight="1">
      <c r="A125" s="94"/>
      <c r="B125" s="94"/>
      <c r="C125" s="94"/>
      <c r="D125" s="94"/>
      <c r="E125" s="94"/>
      <c r="F125" s="94"/>
      <c r="G125" s="1164">
        <f>IFERROR(__xludf.DUMMYFUNCTION("""COMPUTED_VALUE"""),0.0)</f>
        <v>0</v>
      </c>
      <c r="H125" s="94"/>
      <c r="I125" s="94"/>
      <c r="J125" s="94"/>
      <c r="K125" s="94"/>
      <c r="L125" s="94">
        <f>IFERROR(__xludf.DUMMYFUNCTION("""COMPUTED_VALUE"""),0.0)</f>
        <v>0</v>
      </c>
      <c r="M125" s="94">
        <f>IFERROR(__xludf.DUMMYFUNCTION("""COMPUTED_VALUE"""),0.0)</f>
        <v>0</v>
      </c>
      <c r="N125" s="94"/>
      <c r="O125" s="1430">
        <f>IFERROR(__xludf.DUMMYFUNCTION("""COMPUTED_VALUE"""),0.0)</f>
        <v>0</v>
      </c>
      <c r="P125" s="1431">
        <f>IFERROR(__xludf.DUMMYFUNCTION("""COMPUTED_VALUE"""),2.65)</f>
        <v>2.65</v>
      </c>
      <c r="Q125" s="1432">
        <f>IFERROR(__xludf.DUMMYFUNCTION("""COMPUTED_VALUE"""),0.0)</f>
        <v>0</v>
      </c>
    </row>
    <row r="126" ht="15.75" customHeight="1">
      <c r="A126" s="94" t="str">
        <f>IFERROR(__xludf.DUMMYFUNCTION("""COMPUTED_VALUE"""),"Итого неделя")</f>
        <v>Итого неделя</v>
      </c>
      <c r="B126" s="94" t="str">
        <f>IFERROR(__xludf.DUMMYFUNCTION("""COMPUTED_VALUE"""),"14 неделя")</f>
        <v>14 неделя</v>
      </c>
      <c r="C126" s="94"/>
      <c r="D126" s="94"/>
      <c r="E126" s="94"/>
      <c r="F126" s="94"/>
      <c r="G126" s="1164">
        <f>IFERROR(__xludf.DUMMYFUNCTION("""COMPUTED_VALUE"""),0.0)</f>
        <v>0</v>
      </c>
      <c r="H126" s="1430">
        <f>IFERROR(__xludf.DUMMYFUNCTION("""COMPUTED_VALUE"""),2394.0)</f>
        <v>2394</v>
      </c>
      <c r="I126" s="94"/>
      <c r="J126" s="94"/>
      <c r="K126" s="1430">
        <f>IFERROR(__xludf.DUMMYFUNCTION("""COMPUTED_VALUE"""),840.0)</f>
        <v>840</v>
      </c>
      <c r="L126" s="1430">
        <f>IFERROR(__xludf.DUMMYFUNCTION("""COMPUTED_VALUE"""),700.0)</f>
        <v>700</v>
      </c>
      <c r="M126" s="1430">
        <f>IFERROR(__xludf.DUMMYFUNCTION("""COMPUTED_VALUE"""),140.0)</f>
        <v>140</v>
      </c>
      <c r="N126" s="94"/>
      <c r="O126" s="1430">
        <f>IFERROR(__xludf.DUMMYFUNCTION("""COMPUTED_VALUE"""),-1526.0)</f>
        <v>-1526</v>
      </c>
      <c r="P126" s="94"/>
      <c r="Q126" s="1432">
        <f>IFERROR(__xludf.DUMMYFUNCTION("""COMPUTED_VALUE"""),5644.1)</f>
        <v>5644.1</v>
      </c>
    </row>
    <row r="127" ht="15.75" customHeight="1">
      <c r="A127" s="94"/>
      <c r="B127" s="94" t="str">
        <f>IFERROR(__xludf.DUMMYFUNCTION("""COMPUTED_VALUE"""),"WS А 908")</f>
        <v>WS А 908</v>
      </c>
      <c r="C127" s="94"/>
      <c r="D127" s="1432">
        <f>IFERROR(__xludf.DUMMYFUNCTION("""COMPUTED_VALUE"""),4.0)</f>
        <v>4</v>
      </c>
      <c r="E127" s="1429">
        <f>IFERROR(__xludf.DUMMYFUNCTION("""COMPUTED_VALUE"""),45390.0)</f>
        <v>45390</v>
      </c>
      <c r="F127" s="1433">
        <f>IFERROR(__xludf.DUMMYFUNCTION("""COMPUTED_VALUE"""),45394.0)</f>
        <v>45394</v>
      </c>
      <c r="G127" s="1164">
        <f>IFERROR(__xludf.DUMMYFUNCTION("""COMPUTED_VALUE"""),4.0)</f>
        <v>4</v>
      </c>
      <c r="H127" s="1430">
        <f>IFERROR(__xludf.DUMMYFUNCTION("""COMPUTED_VALUE"""),96.0)</f>
        <v>96</v>
      </c>
      <c r="I127" s="94"/>
      <c r="J127" s="94"/>
      <c r="K127" s="94">
        <f>IFERROR(__xludf.DUMMYFUNCTION("""COMPUTED_VALUE"""),60.0)</f>
        <v>60</v>
      </c>
      <c r="L127" s="94">
        <f>IFERROR(__xludf.DUMMYFUNCTION("""COMPUTED_VALUE"""),50.0)</f>
        <v>50</v>
      </c>
      <c r="M127" s="94">
        <f>IFERROR(__xludf.DUMMYFUNCTION("""COMPUTED_VALUE"""),10.0)</f>
        <v>10</v>
      </c>
      <c r="N127" s="94"/>
      <c r="O127" s="1430">
        <f>IFERROR(__xludf.DUMMYFUNCTION("""COMPUTED_VALUE"""),0.0)</f>
        <v>0</v>
      </c>
      <c r="P127" s="1431">
        <f>IFERROR(__xludf.DUMMYFUNCTION("""COMPUTED_VALUE"""),2.65)</f>
        <v>2.65</v>
      </c>
      <c r="Q127" s="1432">
        <f>IFERROR(__xludf.DUMMYFUNCTION("""COMPUTED_VALUE"""),204.39999999999998)</f>
        <v>204.4</v>
      </c>
    </row>
    <row r="128" ht="15.75" customHeight="1">
      <c r="A128" s="94"/>
      <c r="B128" s="94" t="str">
        <f>IFERROR(__xludf.DUMMYFUNCTION("""COMPUTED_VALUE"""),"С 1125")</f>
        <v>С 1125</v>
      </c>
      <c r="C128" s="94"/>
      <c r="D128" s="1432">
        <f>IFERROR(__xludf.DUMMYFUNCTION("""COMPUTED_VALUE"""),4.0)</f>
        <v>4</v>
      </c>
      <c r="E128" s="1429">
        <f>IFERROR(__xludf.DUMMYFUNCTION("""COMPUTED_VALUE"""),45390.0)</f>
        <v>45390</v>
      </c>
      <c r="F128" s="1433">
        <f>IFERROR(__xludf.DUMMYFUNCTION("""COMPUTED_VALUE"""),45395.0)</f>
        <v>45395</v>
      </c>
      <c r="G128" s="1164">
        <f>IFERROR(__xludf.DUMMYFUNCTION("""COMPUTED_VALUE"""),5.0)</f>
        <v>5</v>
      </c>
      <c r="H128" s="1430">
        <f>IFERROR(__xludf.DUMMYFUNCTION("""COMPUTED_VALUE"""),74.0)</f>
        <v>74</v>
      </c>
      <c r="I128" s="94"/>
      <c r="J128" s="94"/>
      <c r="K128" s="94">
        <f>IFERROR(__xludf.DUMMYFUNCTION("""COMPUTED_VALUE"""),60.0)</f>
        <v>60</v>
      </c>
      <c r="L128" s="94">
        <f>IFERROR(__xludf.DUMMYFUNCTION("""COMPUTED_VALUE"""),50.0)</f>
        <v>50</v>
      </c>
      <c r="M128" s="94">
        <f>IFERROR(__xludf.DUMMYFUNCTION("""COMPUTED_VALUE"""),10.0)</f>
        <v>10</v>
      </c>
      <c r="N128" s="94"/>
      <c r="O128" s="1430">
        <f>IFERROR(__xludf.DUMMYFUNCTION("""COMPUTED_VALUE"""),0.0)</f>
        <v>0</v>
      </c>
      <c r="P128" s="1431">
        <f>IFERROR(__xludf.DUMMYFUNCTION("""COMPUTED_VALUE"""),2.65)</f>
        <v>2.65</v>
      </c>
      <c r="Q128" s="1432">
        <f>IFERROR(__xludf.DUMMYFUNCTION("""COMPUTED_VALUE"""),146.1)</f>
        <v>146.1</v>
      </c>
    </row>
    <row r="129" ht="15.75" customHeight="1">
      <c r="A129" s="94"/>
      <c r="B129" s="94" t="str">
        <f>IFERROR(__xludf.DUMMYFUNCTION("""COMPUTED_VALUE"""),"WS E 1202")</f>
        <v>WS E 1202</v>
      </c>
      <c r="C129" s="94"/>
      <c r="D129" s="1432">
        <f>IFERROR(__xludf.DUMMYFUNCTION("""COMPUTED_VALUE"""),4.0)</f>
        <v>4</v>
      </c>
      <c r="E129" s="1429">
        <f>IFERROR(__xludf.DUMMYFUNCTION("""COMPUTED_VALUE"""),45390.0)</f>
        <v>45390</v>
      </c>
      <c r="F129" s="1433">
        <f>IFERROR(__xludf.DUMMYFUNCTION("""COMPUTED_VALUE"""),45402.0)</f>
        <v>45402</v>
      </c>
      <c r="G129" s="1164">
        <f>IFERROR(__xludf.DUMMYFUNCTION("""COMPUTED_VALUE"""),12.0)</f>
        <v>12</v>
      </c>
      <c r="H129" s="1430">
        <f>IFERROR(__xludf.DUMMYFUNCTION("""COMPUTED_VALUE"""),415.0)</f>
        <v>415</v>
      </c>
      <c r="I129" s="94"/>
      <c r="J129" s="94"/>
      <c r="K129" s="94">
        <f>IFERROR(__xludf.DUMMYFUNCTION("""COMPUTED_VALUE"""),60.0)</f>
        <v>60</v>
      </c>
      <c r="L129" s="94">
        <f>IFERROR(__xludf.DUMMYFUNCTION("""COMPUTED_VALUE"""),50.0)</f>
        <v>50</v>
      </c>
      <c r="M129" s="94">
        <f>IFERROR(__xludf.DUMMYFUNCTION("""COMPUTED_VALUE"""),10.0)</f>
        <v>10</v>
      </c>
      <c r="N129" s="94"/>
      <c r="O129" s="1430">
        <f>IFERROR(__xludf.DUMMYFUNCTION("""COMPUTED_VALUE"""),0.0)</f>
        <v>0</v>
      </c>
      <c r="P129" s="1431">
        <f>IFERROR(__xludf.DUMMYFUNCTION("""COMPUTED_VALUE"""),2.65)</f>
        <v>2.65</v>
      </c>
      <c r="Q129" s="1432">
        <f>IFERROR(__xludf.DUMMYFUNCTION("""COMPUTED_VALUE"""),1049.75)</f>
        <v>1049.75</v>
      </c>
    </row>
    <row r="130" ht="15.75" customHeight="1">
      <c r="A130" s="94"/>
      <c r="B130" s="94" t="str">
        <f>IFERROR(__xludf.DUMMYFUNCTION("""COMPUTED_VALUE"""),"С 1443")</f>
        <v>С 1443</v>
      </c>
      <c r="C130" s="94"/>
      <c r="D130" s="1432">
        <f>IFERROR(__xludf.DUMMYFUNCTION("""COMPUTED_VALUE"""),4.0)</f>
        <v>4</v>
      </c>
      <c r="E130" s="1429">
        <f>IFERROR(__xludf.DUMMYFUNCTION("""COMPUTED_VALUE"""),45391.0)</f>
        <v>45391</v>
      </c>
      <c r="F130" s="1434">
        <f>IFERROR(__xludf.DUMMYFUNCTION("""COMPUTED_VALUE"""),45395.0)</f>
        <v>45395</v>
      </c>
      <c r="G130" s="1164">
        <f>IFERROR(__xludf.DUMMYFUNCTION("""COMPUTED_VALUE"""),4.0)</f>
        <v>4</v>
      </c>
      <c r="H130" s="1430">
        <f>IFERROR(__xludf.DUMMYFUNCTION("""COMPUTED_VALUE"""),125.0)</f>
        <v>125</v>
      </c>
      <c r="I130" s="94"/>
      <c r="J130" s="94"/>
      <c r="K130" s="94">
        <f>IFERROR(__xludf.DUMMYFUNCTION("""COMPUTED_VALUE"""),60.0)</f>
        <v>60</v>
      </c>
      <c r="L130" s="94">
        <f>IFERROR(__xludf.DUMMYFUNCTION("""COMPUTED_VALUE"""),50.0)</f>
        <v>50</v>
      </c>
      <c r="M130" s="94">
        <f>IFERROR(__xludf.DUMMYFUNCTION("""COMPUTED_VALUE"""),10.0)</f>
        <v>10</v>
      </c>
      <c r="N130" s="94"/>
      <c r="O130" s="1430">
        <f>IFERROR(__xludf.DUMMYFUNCTION("""COMPUTED_VALUE"""),0.0)</f>
        <v>0</v>
      </c>
      <c r="P130" s="1431">
        <f>IFERROR(__xludf.DUMMYFUNCTION("""COMPUTED_VALUE"""),2.65)</f>
        <v>2.65</v>
      </c>
      <c r="Q130" s="1432">
        <f>IFERROR(__xludf.DUMMYFUNCTION("""COMPUTED_VALUE"""),281.25)</f>
        <v>281.25</v>
      </c>
    </row>
    <row r="131" ht="15.75" customHeight="1">
      <c r="A131" s="94"/>
      <c r="B131" s="94" t="str">
        <f>IFERROR(__xludf.DUMMYFUNCTION("""COMPUTED_VALUE"""),"C 4245")</f>
        <v>C 4245</v>
      </c>
      <c r="C131" s="94"/>
      <c r="D131" s="1432">
        <f>IFERROR(__xludf.DUMMYFUNCTION("""COMPUTED_VALUE"""),4.0)</f>
        <v>4</v>
      </c>
      <c r="E131" s="1429">
        <f>IFERROR(__xludf.DUMMYFUNCTION("""COMPUTED_VALUE"""),45392.0)</f>
        <v>45392</v>
      </c>
      <c r="F131" s="1434">
        <f>IFERROR(__xludf.DUMMYFUNCTION("""COMPUTED_VALUE"""),45394.0)</f>
        <v>45394</v>
      </c>
      <c r="G131" s="1164">
        <f>IFERROR(__xludf.DUMMYFUNCTION("""COMPUTED_VALUE"""),2.0)</f>
        <v>2</v>
      </c>
      <c r="H131" s="1430">
        <f>IFERROR(__xludf.DUMMYFUNCTION("""COMPUTED_VALUE"""),74.0)</f>
        <v>74</v>
      </c>
      <c r="I131" s="94"/>
      <c r="J131" s="94"/>
      <c r="K131" s="94">
        <f>IFERROR(__xludf.DUMMYFUNCTION("""COMPUTED_VALUE"""),60.0)</f>
        <v>60</v>
      </c>
      <c r="L131" s="94">
        <f>IFERROR(__xludf.DUMMYFUNCTION("""COMPUTED_VALUE"""),50.0)</f>
        <v>50</v>
      </c>
      <c r="M131" s="94">
        <f>IFERROR(__xludf.DUMMYFUNCTION("""COMPUTED_VALUE"""),10.0)</f>
        <v>10</v>
      </c>
      <c r="N131" s="94"/>
      <c r="O131" s="1430">
        <f>IFERROR(__xludf.DUMMYFUNCTION("""COMPUTED_VALUE"""),0.0)</f>
        <v>0</v>
      </c>
      <c r="P131" s="1431">
        <f>IFERROR(__xludf.DUMMYFUNCTION("""COMPUTED_VALUE"""),2.65)</f>
        <v>2.65</v>
      </c>
      <c r="Q131" s="1432">
        <f>IFERROR(__xludf.DUMMYFUNCTION("""COMPUTED_VALUE"""),146.1)</f>
        <v>146.1</v>
      </c>
    </row>
    <row r="132" ht="15.75" customHeight="1">
      <c r="A132" s="94"/>
      <c r="B132" s="94" t="str">
        <f>IFERROR(__xludf.DUMMYFUNCTION("""COMPUTED_VALUE"""),"Шар 2505")</f>
        <v>Шар 2505</v>
      </c>
      <c r="C132" s="94"/>
      <c r="D132" s="1432">
        <f>IFERROR(__xludf.DUMMYFUNCTION("""COMPUTED_VALUE"""),4.0)</f>
        <v>4</v>
      </c>
      <c r="E132" s="1429">
        <f>IFERROR(__xludf.DUMMYFUNCTION("""COMPUTED_VALUE"""),45392.0)</f>
        <v>45392</v>
      </c>
      <c r="F132" s="1434">
        <f>IFERROR(__xludf.DUMMYFUNCTION("""COMPUTED_VALUE"""),45395.0)</f>
        <v>45395</v>
      </c>
      <c r="G132" s="1164">
        <f>IFERROR(__xludf.DUMMYFUNCTION("""COMPUTED_VALUE"""),3.0)</f>
        <v>3</v>
      </c>
      <c r="H132" s="1430">
        <f>IFERROR(__xludf.DUMMYFUNCTION("""COMPUTED_VALUE"""),68.0)</f>
        <v>68</v>
      </c>
      <c r="I132" s="94"/>
      <c r="J132" s="94"/>
      <c r="K132" s="94">
        <f>IFERROR(__xludf.DUMMYFUNCTION("""COMPUTED_VALUE"""),60.0)</f>
        <v>60</v>
      </c>
      <c r="L132" s="94">
        <f>IFERROR(__xludf.DUMMYFUNCTION("""COMPUTED_VALUE"""),50.0)</f>
        <v>50</v>
      </c>
      <c r="M132" s="94">
        <f>IFERROR(__xludf.DUMMYFUNCTION("""COMPUTED_VALUE"""),10.0)</f>
        <v>10</v>
      </c>
      <c r="N132" s="94"/>
      <c r="O132" s="1430">
        <f>IFERROR(__xludf.DUMMYFUNCTION("""COMPUTED_VALUE"""),0.0)</f>
        <v>0</v>
      </c>
      <c r="P132" s="1431">
        <f>IFERROR(__xludf.DUMMYFUNCTION("""COMPUTED_VALUE"""),2.65)</f>
        <v>2.65</v>
      </c>
      <c r="Q132" s="1432">
        <f>IFERROR(__xludf.DUMMYFUNCTION("""COMPUTED_VALUE"""),130.2)</f>
        <v>130.2</v>
      </c>
    </row>
    <row r="133" ht="15.75" customHeight="1">
      <c r="A133" s="94"/>
      <c r="B133" s="94" t="str">
        <f>IFERROR(__xludf.DUMMYFUNCTION("""COMPUTED_VALUE"""),"WS В 1510")</f>
        <v>WS В 1510</v>
      </c>
      <c r="C133" s="94"/>
      <c r="D133" s="1432">
        <f>IFERROR(__xludf.DUMMYFUNCTION("""COMPUTED_VALUE"""),4.0)</f>
        <v>4</v>
      </c>
      <c r="E133" s="1429">
        <f>IFERROR(__xludf.DUMMYFUNCTION("""COMPUTED_VALUE"""),45392.0)</f>
        <v>45392</v>
      </c>
      <c r="F133" s="1433">
        <f>IFERROR(__xludf.DUMMYFUNCTION("""COMPUTED_VALUE"""),45394.0)</f>
        <v>45394</v>
      </c>
      <c r="G133" s="1164">
        <f>IFERROR(__xludf.DUMMYFUNCTION("""COMPUTED_VALUE"""),2.0)</f>
        <v>2</v>
      </c>
      <c r="H133" s="94">
        <f>IFERROR(__xludf.DUMMYFUNCTION("""COMPUTED_VALUE"""),40.0)</f>
        <v>40</v>
      </c>
      <c r="I133" s="94"/>
      <c r="J133" s="94"/>
      <c r="K133" s="94">
        <f>IFERROR(__xludf.DUMMYFUNCTION("""COMPUTED_VALUE"""),60.0)</f>
        <v>60</v>
      </c>
      <c r="L133" s="94">
        <f>IFERROR(__xludf.DUMMYFUNCTION("""COMPUTED_VALUE"""),50.0)</f>
        <v>50</v>
      </c>
      <c r="M133" s="94">
        <f>IFERROR(__xludf.DUMMYFUNCTION("""COMPUTED_VALUE"""),10.0)</f>
        <v>10</v>
      </c>
      <c r="N133" s="94"/>
      <c r="O133" s="1430">
        <f>IFERROR(__xludf.DUMMYFUNCTION("""COMPUTED_VALUE"""),0.0)</f>
        <v>0</v>
      </c>
      <c r="P133" s="1431">
        <f>IFERROR(__xludf.DUMMYFUNCTION("""COMPUTED_VALUE"""),2.65)</f>
        <v>2.65</v>
      </c>
      <c r="Q133" s="1432">
        <f>IFERROR(__xludf.DUMMYFUNCTION("""COMPUTED_VALUE"""),56.0)</f>
        <v>56</v>
      </c>
    </row>
    <row r="134" ht="15.75" customHeight="1">
      <c r="A134" s="94"/>
      <c r="B134" s="94" t="str">
        <f>IFERROR(__xludf.DUMMYFUNCTION("""COMPUTED_VALUE"""),"CM 1604")</f>
        <v>CM 1604</v>
      </c>
      <c r="C134" s="94"/>
      <c r="D134" s="1432">
        <f>IFERROR(__xludf.DUMMYFUNCTION("""COMPUTED_VALUE"""),4.0)</f>
        <v>4</v>
      </c>
      <c r="E134" s="1429">
        <f>IFERROR(__xludf.DUMMYFUNCTION("""COMPUTED_VALUE"""),45392.0)</f>
        <v>45392</v>
      </c>
      <c r="F134" s="1433">
        <f>IFERROR(__xludf.DUMMYFUNCTION("""COMPUTED_VALUE"""),45396.0)</f>
        <v>45396</v>
      </c>
      <c r="G134" s="1164">
        <f>IFERROR(__xludf.DUMMYFUNCTION("""COMPUTED_VALUE"""),4.0)</f>
        <v>4</v>
      </c>
      <c r="H134" s="1430">
        <f>IFERROR(__xludf.DUMMYFUNCTION("""COMPUTED_VALUE"""),104.0)</f>
        <v>104</v>
      </c>
      <c r="I134" s="94"/>
      <c r="J134" s="94"/>
      <c r="K134" s="94">
        <f>IFERROR(__xludf.DUMMYFUNCTION("""COMPUTED_VALUE"""),60.0)</f>
        <v>60</v>
      </c>
      <c r="L134" s="94">
        <f>IFERROR(__xludf.DUMMYFUNCTION("""COMPUTED_VALUE"""),50.0)</f>
        <v>50</v>
      </c>
      <c r="M134" s="94">
        <f>IFERROR(__xludf.DUMMYFUNCTION("""COMPUTED_VALUE"""),10.0)</f>
        <v>10</v>
      </c>
      <c r="N134" s="94"/>
      <c r="O134" s="1430">
        <f>IFERROR(__xludf.DUMMYFUNCTION("""COMPUTED_VALUE"""),0.0)</f>
        <v>0</v>
      </c>
      <c r="P134" s="1431">
        <f>IFERROR(__xludf.DUMMYFUNCTION("""COMPUTED_VALUE"""),2.65)</f>
        <v>2.65</v>
      </c>
      <c r="Q134" s="1432">
        <f>IFERROR(__xludf.DUMMYFUNCTION("""COMPUTED_VALUE"""),225.59999999999997)</f>
        <v>225.6</v>
      </c>
    </row>
    <row r="135" ht="15.75" customHeight="1">
      <c r="A135" s="94"/>
      <c r="B135" s="94" t="str">
        <f>IFERROR(__xludf.DUMMYFUNCTION("""COMPUTED_VALUE"""),"А 4049")</f>
        <v>А 4049</v>
      </c>
      <c r="C135" s="94"/>
      <c r="D135" s="1432">
        <f>IFERROR(__xludf.DUMMYFUNCTION("""COMPUTED_VALUE"""),4.0)</f>
        <v>4</v>
      </c>
      <c r="E135" s="1429">
        <f>IFERROR(__xludf.DUMMYFUNCTION("""COMPUTED_VALUE"""),45393.0)</f>
        <v>45393</v>
      </c>
      <c r="F135" s="1434">
        <f>IFERROR(__xludf.DUMMYFUNCTION("""COMPUTED_VALUE"""),45395.0)</f>
        <v>45395</v>
      </c>
      <c r="G135" s="1164">
        <f>IFERROR(__xludf.DUMMYFUNCTION("""COMPUTED_VALUE"""),2.0)</f>
        <v>2</v>
      </c>
      <c r="H135" s="1430">
        <f>IFERROR(__xludf.DUMMYFUNCTION("""COMPUTED_VALUE"""),37.0)</f>
        <v>37</v>
      </c>
      <c r="I135" s="94"/>
      <c r="J135" s="94"/>
      <c r="K135" s="94">
        <f>IFERROR(__xludf.DUMMYFUNCTION("""COMPUTED_VALUE"""),60.0)</f>
        <v>60</v>
      </c>
      <c r="L135" s="94">
        <f>IFERROR(__xludf.DUMMYFUNCTION("""COMPUTED_VALUE"""),50.0)</f>
        <v>50</v>
      </c>
      <c r="M135" s="94">
        <f>IFERROR(__xludf.DUMMYFUNCTION("""COMPUTED_VALUE"""),10.0)</f>
        <v>10</v>
      </c>
      <c r="N135" s="94"/>
      <c r="O135" s="1430">
        <f>IFERROR(__xludf.DUMMYFUNCTION("""COMPUTED_VALUE"""),0.0)</f>
        <v>0</v>
      </c>
      <c r="P135" s="1431">
        <f>IFERROR(__xludf.DUMMYFUNCTION("""COMPUTED_VALUE"""),2.65)</f>
        <v>2.65</v>
      </c>
      <c r="Q135" s="1432">
        <f>IFERROR(__xludf.DUMMYFUNCTION("""COMPUTED_VALUE"""),48.05)</f>
        <v>48.05</v>
      </c>
    </row>
    <row r="136" ht="15.75" customHeight="1">
      <c r="A136" s="94"/>
      <c r="B136" s="94" t="str">
        <f>IFERROR(__xludf.DUMMYFUNCTION("""COMPUTED_VALUE"""),"CM 1606")</f>
        <v>CM 1606</v>
      </c>
      <c r="C136" s="94"/>
      <c r="D136" s="1432">
        <f>IFERROR(__xludf.DUMMYFUNCTION("""COMPUTED_VALUE"""),4.0)</f>
        <v>4</v>
      </c>
      <c r="E136" s="1429">
        <f>IFERROR(__xludf.DUMMYFUNCTION("""COMPUTED_VALUE"""),45393.0)</f>
        <v>45393</v>
      </c>
      <c r="F136" s="1434">
        <f>IFERROR(__xludf.DUMMYFUNCTION("""COMPUTED_VALUE"""),45396.0)</f>
        <v>45396</v>
      </c>
      <c r="G136" s="1164">
        <f>IFERROR(__xludf.DUMMYFUNCTION("""COMPUTED_VALUE"""),3.0)</f>
        <v>3</v>
      </c>
      <c r="H136" s="1430">
        <f>IFERROR(__xludf.DUMMYFUNCTION("""COMPUTED_VALUE"""),69.0)</f>
        <v>69</v>
      </c>
      <c r="I136" s="94"/>
      <c r="J136" s="94"/>
      <c r="K136" s="94">
        <f>IFERROR(__xludf.DUMMYFUNCTION("""COMPUTED_VALUE"""),60.0)</f>
        <v>60</v>
      </c>
      <c r="L136" s="94">
        <f>IFERROR(__xludf.DUMMYFUNCTION("""COMPUTED_VALUE"""),50.0)</f>
        <v>50</v>
      </c>
      <c r="M136" s="94">
        <f>IFERROR(__xludf.DUMMYFUNCTION("""COMPUTED_VALUE"""),10.0)</f>
        <v>10</v>
      </c>
      <c r="N136" s="94"/>
      <c r="O136" s="1430">
        <f>IFERROR(__xludf.DUMMYFUNCTION("""COMPUTED_VALUE"""),0.0)</f>
        <v>0</v>
      </c>
      <c r="P136" s="1431">
        <f>IFERROR(__xludf.DUMMYFUNCTION("""COMPUTED_VALUE"""),2.65)</f>
        <v>2.65</v>
      </c>
      <c r="Q136" s="1432">
        <f>IFERROR(__xludf.DUMMYFUNCTION("""COMPUTED_VALUE"""),132.85)</f>
        <v>132.85</v>
      </c>
    </row>
    <row r="137" ht="15.75" customHeight="1">
      <c r="A137" s="94"/>
      <c r="B137" s="94" t="str">
        <f>IFERROR(__xludf.DUMMYFUNCTION("""COMPUTED_VALUE"""),"C 4245")</f>
        <v>C 4245</v>
      </c>
      <c r="C137" s="94"/>
      <c r="D137" s="1432">
        <f>IFERROR(__xludf.DUMMYFUNCTION("""COMPUTED_VALUE"""),4.0)</f>
        <v>4</v>
      </c>
      <c r="E137" s="1429">
        <f>IFERROR(__xludf.DUMMYFUNCTION("""COMPUTED_VALUE"""),45394.0)</f>
        <v>45394</v>
      </c>
      <c r="F137" s="1434">
        <f>IFERROR(__xludf.DUMMYFUNCTION("""COMPUTED_VALUE"""),45396.0)</f>
        <v>45396</v>
      </c>
      <c r="G137" s="1164">
        <f>IFERROR(__xludf.DUMMYFUNCTION("""COMPUTED_VALUE"""),2.0)</f>
        <v>2</v>
      </c>
      <c r="H137" s="1430">
        <f>IFERROR(__xludf.DUMMYFUNCTION("""COMPUTED_VALUE"""),65.0)</f>
        <v>65</v>
      </c>
      <c r="I137" s="94"/>
      <c r="J137" s="94"/>
      <c r="K137" s="94">
        <f>IFERROR(__xludf.DUMMYFUNCTION("""COMPUTED_VALUE"""),60.0)</f>
        <v>60</v>
      </c>
      <c r="L137" s="94">
        <f>IFERROR(__xludf.DUMMYFUNCTION("""COMPUTED_VALUE"""),50.0)</f>
        <v>50</v>
      </c>
      <c r="M137" s="94">
        <f>IFERROR(__xludf.DUMMYFUNCTION("""COMPUTED_VALUE"""),10.0)</f>
        <v>10</v>
      </c>
      <c r="N137" s="94"/>
      <c r="O137" s="1430">
        <f>IFERROR(__xludf.DUMMYFUNCTION("""COMPUTED_VALUE"""),0.0)</f>
        <v>0</v>
      </c>
      <c r="P137" s="1431">
        <f>IFERROR(__xludf.DUMMYFUNCTION("""COMPUTED_VALUE"""),2.65)</f>
        <v>2.65</v>
      </c>
      <c r="Q137" s="1432">
        <f>IFERROR(__xludf.DUMMYFUNCTION("""COMPUTED_VALUE"""),122.25)</f>
        <v>122.25</v>
      </c>
    </row>
    <row r="138" ht="15.75" customHeight="1">
      <c r="A138" s="94"/>
      <c r="B138" s="94" t="str">
        <f>IFERROR(__xludf.DUMMYFUNCTION("""COMPUTED_VALUE"""),"D 1321")</f>
        <v>D 1321</v>
      </c>
      <c r="C138" s="94"/>
      <c r="D138" s="1432">
        <f>IFERROR(__xludf.DUMMYFUNCTION("""COMPUTED_VALUE"""),4.0)</f>
        <v>4</v>
      </c>
      <c r="E138" s="1429">
        <f>IFERROR(__xludf.DUMMYFUNCTION("""COMPUTED_VALUE"""),45394.0)</f>
        <v>45394</v>
      </c>
      <c r="F138" s="1433">
        <f>IFERROR(__xludf.DUMMYFUNCTION("""COMPUTED_VALUE"""),45401.0)</f>
        <v>45401</v>
      </c>
      <c r="G138" s="1164">
        <f>IFERROR(__xludf.DUMMYFUNCTION("""COMPUTED_VALUE"""),7.0)</f>
        <v>7</v>
      </c>
      <c r="H138" s="1430">
        <f>IFERROR(__xludf.DUMMYFUNCTION("""COMPUTED_VALUE"""),161.0)</f>
        <v>161</v>
      </c>
      <c r="I138" s="94"/>
      <c r="J138" s="94"/>
      <c r="K138" s="94">
        <f>IFERROR(__xludf.DUMMYFUNCTION("""COMPUTED_VALUE"""),60.0)</f>
        <v>60</v>
      </c>
      <c r="L138" s="94">
        <f>IFERROR(__xludf.DUMMYFUNCTION("""COMPUTED_VALUE"""),50.0)</f>
        <v>50</v>
      </c>
      <c r="M138" s="94">
        <f>IFERROR(__xludf.DUMMYFUNCTION("""COMPUTED_VALUE"""),10.0)</f>
        <v>10</v>
      </c>
      <c r="N138" s="94"/>
      <c r="O138" s="1430">
        <f>IFERROR(__xludf.DUMMYFUNCTION("""COMPUTED_VALUE"""),0.0)</f>
        <v>0</v>
      </c>
      <c r="P138" s="1431">
        <f>IFERROR(__xludf.DUMMYFUNCTION("""COMPUTED_VALUE"""),2.65)</f>
        <v>2.65</v>
      </c>
      <c r="Q138" s="1432">
        <f>IFERROR(__xludf.DUMMYFUNCTION("""COMPUTED_VALUE"""),376.65)</f>
        <v>376.65</v>
      </c>
    </row>
    <row r="139" ht="15.75" customHeight="1">
      <c r="A139" s="94"/>
      <c r="B139" s="94" t="str">
        <f>IFERROR(__xludf.DUMMYFUNCTION("""COMPUTED_VALUE"""),"WS В 1510")</f>
        <v>WS В 1510</v>
      </c>
      <c r="C139" s="94"/>
      <c r="D139" s="1432">
        <f>IFERROR(__xludf.DUMMYFUNCTION("""COMPUTED_VALUE"""),4.0)</f>
        <v>4</v>
      </c>
      <c r="E139" s="1429">
        <f>IFERROR(__xludf.DUMMYFUNCTION("""COMPUTED_VALUE"""),45394.0)</f>
        <v>45394</v>
      </c>
      <c r="F139" s="1433">
        <f>IFERROR(__xludf.DUMMYFUNCTION("""COMPUTED_VALUE"""),45397.0)</f>
        <v>45397</v>
      </c>
      <c r="G139" s="1164">
        <f>IFERROR(__xludf.DUMMYFUNCTION("""COMPUTED_VALUE"""),3.0)</f>
        <v>3</v>
      </c>
      <c r="H139" s="1430">
        <f>IFERROR(__xludf.DUMMYFUNCTION("""COMPUTED_VALUE"""),67.0)</f>
        <v>67</v>
      </c>
      <c r="I139" s="94"/>
      <c r="J139" s="94"/>
      <c r="K139" s="94">
        <f>IFERROR(__xludf.DUMMYFUNCTION("""COMPUTED_VALUE"""),60.0)</f>
        <v>60</v>
      </c>
      <c r="L139" s="94">
        <f>IFERROR(__xludf.DUMMYFUNCTION("""COMPUTED_VALUE"""),50.0)</f>
        <v>50</v>
      </c>
      <c r="M139" s="94">
        <f>IFERROR(__xludf.DUMMYFUNCTION("""COMPUTED_VALUE"""),10.0)</f>
        <v>10</v>
      </c>
      <c r="N139" s="94"/>
      <c r="O139" s="1430">
        <f>IFERROR(__xludf.DUMMYFUNCTION("""COMPUTED_VALUE"""),0.0)</f>
        <v>0</v>
      </c>
      <c r="P139" s="1431">
        <f>IFERROR(__xludf.DUMMYFUNCTION("""COMPUTED_VALUE"""),2.65)</f>
        <v>2.65</v>
      </c>
      <c r="Q139" s="1432">
        <f>IFERROR(__xludf.DUMMYFUNCTION("""COMPUTED_VALUE"""),127.54999999999998)</f>
        <v>127.55</v>
      </c>
    </row>
    <row r="140" ht="15.75" customHeight="1">
      <c r="A140" s="94"/>
      <c r="B140" s="94" t="str">
        <f>IFERROR(__xludf.DUMMYFUNCTION("""COMPUTED_VALUE"""),"С 1443")</f>
        <v>С 1443</v>
      </c>
      <c r="C140" s="94"/>
      <c r="D140" s="1432">
        <f>IFERROR(__xludf.DUMMYFUNCTION("""COMPUTED_VALUE"""),4.0)</f>
        <v>4</v>
      </c>
      <c r="E140" s="1429">
        <f>IFERROR(__xludf.DUMMYFUNCTION("""COMPUTED_VALUE"""),45395.0)</f>
        <v>45395</v>
      </c>
      <c r="F140" s="1434">
        <f>IFERROR(__xludf.DUMMYFUNCTION("""COMPUTED_VALUE"""),45400.0)</f>
        <v>45400</v>
      </c>
      <c r="G140" s="1164">
        <f>IFERROR(__xludf.DUMMYFUNCTION("""COMPUTED_VALUE"""),5.0)</f>
        <v>5</v>
      </c>
      <c r="H140" s="1430">
        <f>IFERROR(__xludf.DUMMYFUNCTION("""COMPUTED_VALUE"""),114.0)</f>
        <v>114</v>
      </c>
      <c r="I140" s="94"/>
      <c r="J140" s="94"/>
      <c r="K140" s="94">
        <f>IFERROR(__xludf.DUMMYFUNCTION("""COMPUTED_VALUE"""),60.0)</f>
        <v>60</v>
      </c>
      <c r="L140" s="94">
        <f>IFERROR(__xludf.DUMMYFUNCTION("""COMPUTED_VALUE"""),50.0)</f>
        <v>50</v>
      </c>
      <c r="M140" s="94">
        <f>IFERROR(__xludf.DUMMYFUNCTION("""COMPUTED_VALUE"""),10.0)</f>
        <v>10</v>
      </c>
      <c r="N140" s="94"/>
      <c r="O140" s="1430">
        <f>IFERROR(__xludf.DUMMYFUNCTION("""COMPUTED_VALUE"""),0.0)</f>
        <v>0</v>
      </c>
      <c r="P140" s="1431">
        <f>IFERROR(__xludf.DUMMYFUNCTION("""COMPUTED_VALUE"""),2.65)</f>
        <v>2.65</v>
      </c>
      <c r="Q140" s="1432">
        <f>IFERROR(__xludf.DUMMYFUNCTION("""COMPUTED_VALUE"""),252.09999999999997)</f>
        <v>252.1</v>
      </c>
    </row>
    <row r="141" ht="15.75" customHeight="1">
      <c r="A141" s="94"/>
      <c r="B141" s="94" t="str">
        <f>IFERROR(__xludf.DUMMYFUNCTION("""COMPUTED_VALUE"""),"С 2756")</f>
        <v>С 2756</v>
      </c>
      <c r="C141" s="94"/>
      <c r="D141" s="1432">
        <f>IFERROR(__xludf.DUMMYFUNCTION("""COMPUTED_VALUE"""),4.0)</f>
        <v>4</v>
      </c>
      <c r="E141" s="1429">
        <f>IFERROR(__xludf.DUMMYFUNCTION("""COMPUTED_VALUE"""),45395.0)</f>
        <v>45395</v>
      </c>
      <c r="F141" s="1433">
        <f>IFERROR(__xludf.DUMMYFUNCTION("""COMPUTED_VALUE"""),45399.0)</f>
        <v>45399</v>
      </c>
      <c r="G141" s="1164">
        <f>IFERROR(__xludf.DUMMYFUNCTION("""COMPUTED_VALUE"""),4.0)</f>
        <v>4</v>
      </c>
      <c r="H141" s="1430">
        <f>IFERROR(__xludf.DUMMYFUNCTION("""COMPUTED_VALUE"""),59.0)</f>
        <v>59</v>
      </c>
      <c r="I141" s="94"/>
      <c r="J141" s="94"/>
      <c r="K141" s="94">
        <f>IFERROR(__xludf.DUMMYFUNCTION("""COMPUTED_VALUE"""),60.0)</f>
        <v>60</v>
      </c>
      <c r="L141" s="94">
        <f>IFERROR(__xludf.DUMMYFUNCTION("""COMPUTED_VALUE"""),50.0)</f>
        <v>50</v>
      </c>
      <c r="M141" s="94">
        <f>IFERROR(__xludf.DUMMYFUNCTION("""COMPUTED_VALUE"""),10.0)</f>
        <v>10</v>
      </c>
      <c r="N141" s="94"/>
      <c r="O141" s="1430">
        <f>IFERROR(__xludf.DUMMYFUNCTION("""COMPUTED_VALUE"""),0.0)</f>
        <v>0</v>
      </c>
      <c r="P141" s="1431">
        <f>IFERROR(__xludf.DUMMYFUNCTION("""COMPUTED_VALUE"""),2.65)</f>
        <v>2.65</v>
      </c>
      <c r="Q141" s="1432">
        <f>IFERROR(__xludf.DUMMYFUNCTION("""COMPUTED_VALUE"""),106.35)</f>
        <v>106.35</v>
      </c>
    </row>
    <row r="142" ht="15.75" customHeight="1">
      <c r="A142" s="94"/>
      <c r="B142" s="94" t="str">
        <f>IFERROR(__xludf.DUMMYFUNCTION("""COMPUTED_VALUE"""),"C 4245")</f>
        <v>C 4245</v>
      </c>
      <c r="C142" s="94"/>
      <c r="D142" s="1432">
        <f>IFERROR(__xludf.DUMMYFUNCTION("""COMPUTED_VALUE"""),4.0)</f>
        <v>4</v>
      </c>
      <c r="E142" s="1429">
        <f>IFERROR(__xludf.DUMMYFUNCTION("""COMPUTED_VALUE"""),45396.0)</f>
        <v>45396</v>
      </c>
      <c r="F142" s="1434">
        <f>IFERROR(__xludf.DUMMYFUNCTION("""COMPUTED_VALUE"""),45403.0)</f>
        <v>45403</v>
      </c>
      <c r="G142" s="1164">
        <f>IFERROR(__xludf.DUMMYFUNCTION("""COMPUTED_VALUE"""),7.0)</f>
        <v>7</v>
      </c>
      <c r="H142" s="1430">
        <f>IFERROR(__xludf.DUMMYFUNCTION("""COMPUTED_VALUE"""),158.0)</f>
        <v>158</v>
      </c>
      <c r="I142" s="94"/>
      <c r="J142" s="94"/>
      <c r="K142" s="94">
        <f>IFERROR(__xludf.DUMMYFUNCTION("""COMPUTED_VALUE"""),60.0)</f>
        <v>60</v>
      </c>
      <c r="L142" s="94">
        <f>IFERROR(__xludf.DUMMYFUNCTION("""COMPUTED_VALUE"""),50.0)</f>
        <v>50</v>
      </c>
      <c r="M142" s="94">
        <f>IFERROR(__xludf.DUMMYFUNCTION("""COMPUTED_VALUE"""),10.0)</f>
        <v>10</v>
      </c>
      <c r="N142" s="94"/>
      <c r="O142" s="1430">
        <f>IFERROR(__xludf.DUMMYFUNCTION("""COMPUTED_VALUE"""),0.0)</f>
        <v>0</v>
      </c>
      <c r="P142" s="1431">
        <f>IFERROR(__xludf.DUMMYFUNCTION("""COMPUTED_VALUE"""),2.65)</f>
        <v>2.65</v>
      </c>
      <c r="Q142" s="1432">
        <f>IFERROR(__xludf.DUMMYFUNCTION("""COMPUTED_VALUE"""),368.7)</f>
        <v>368.7</v>
      </c>
    </row>
    <row r="143" ht="15.75" customHeight="1">
      <c r="A143" s="94"/>
      <c r="B143" s="94" t="str">
        <f>IFERROR(__xludf.DUMMYFUNCTION("""COMPUTED_VALUE"""),"А 4049")</f>
        <v>А 4049</v>
      </c>
      <c r="C143" s="94"/>
      <c r="D143" s="1432">
        <f>IFERROR(__xludf.DUMMYFUNCTION("""COMPUTED_VALUE"""),4.0)</f>
        <v>4</v>
      </c>
      <c r="E143" s="1429">
        <f>IFERROR(__xludf.DUMMYFUNCTION("""COMPUTED_VALUE"""),45396.0)</f>
        <v>45396</v>
      </c>
      <c r="F143" s="1434">
        <f>IFERROR(__xludf.DUMMYFUNCTION("""COMPUTED_VALUE"""),45398.0)</f>
        <v>45398</v>
      </c>
      <c r="G143" s="1164">
        <f>IFERROR(__xludf.DUMMYFUNCTION("""COMPUTED_VALUE"""),2.0)</f>
        <v>2</v>
      </c>
      <c r="H143" s="1430">
        <f>IFERROR(__xludf.DUMMYFUNCTION("""COMPUTED_VALUE"""),50.0)</f>
        <v>50</v>
      </c>
      <c r="I143" s="94"/>
      <c r="J143" s="94"/>
      <c r="K143" s="94">
        <f>IFERROR(__xludf.DUMMYFUNCTION("""COMPUTED_VALUE"""),60.0)</f>
        <v>60</v>
      </c>
      <c r="L143" s="94">
        <f>IFERROR(__xludf.DUMMYFUNCTION("""COMPUTED_VALUE"""),50.0)</f>
        <v>50</v>
      </c>
      <c r="M143" s="94">
        <f>IFERROR(__xludf.DUMMYFUNCTION("""COMPUTED_VALUE"""),10.0)</f>
        <v>10</v>
      </c>
      <c r="N143" s="94"/>
      <c r="O143" s="1430">
        <f>IFERROR(__xludf.DUMMYFUNCTION("""COMPUTED_VALUE"""),0.0)</f>
        <v>0</v>
      </c>
      <c r="P143" s="1431">
        <f>IFERROR(__xludf.DUMMYFUNCTION("""COMPUTED_VALUE"""),2.65)</f>
        <v>2.65</v>
      </c>
      <c r="Q143" s="1432">
        <f>IFERROR(__xludf.DUMMYFUNCTION("""COMPUTED_VALUE"""),82.5)</f>
        <v>82.5</v>
      </c>
    </row>
    <row r="144" ht="15.75" customHeight="1">
      <c r="A144" s="94"/>
      <c r="B144" s="94" t="str">
        <f>IFERROR(__xludf.DUMMYFUNCTION("""COMPUTED_VALUE"""),"CM 1604")</f>
        <v>CM 1604</v>
      </c>
      <c r="C144" s="94"/>
      <c r="D144" s="1432">
        <f>IFERROR(__xludf.DUMMYFUNCTION("""COMPUTED_VALUE"""),4.0)</f>
        <v>4</v>
      </c>
      <c r="E144" s="1429">
        <f>IFERROR(__xludf.DUMMYFUNCTION("""COMPUTED_VALUE"""),45396.0)</f>
        <v>45396</v>
      </c>
      <c r="F144" s="1434">
        <f>IFERROR(__xludf.DUMMYFUNCTION("""COMPUTED_VALUE"""),45401.0)</f>
        <v>45401</v>
      </c>
      <c r="G144" s="1164">
        <f>IFERROR(__xludf.DUMMYFUNCTION("""COMPUTED_VALUE"""),5.0)</f>
        <v>5</v>
      </c>
      <c r="H144" s="1430">
        <f>IFERROR(__xludf.DUMMYFUNCTION("""COMPUTED_VALUE"""),130.0)</f>
        <v>130</v>
      </c>
      <c r="I144" s="94"/>
      <c r="J144" s="94"/>
      <c r="K144" s="94">
        <f>IFERROR(__xludf.DUMMYFUNCTION("""COMPUTED_VALUE"""),60.0)</f>
        <v>60</v>
      </c>
      <c r="L144" s="94">
        <f>IFERROR(__xludf.DUMMYFUNCTION("""COMPUTED_VALUE"""),50.0)</f>
        <v>50</v>
      </c>
      <c r="M144" s="94">
        <f>IFERROR(__xludf.DUMMYFUNCTION("""COMPUTED_VALUE"""),10.0)</f>
        <v>10</v>
      </c>
      <c r="N144" s="94"/>
      <c r="O144" s="1430">
        <f>IFERROR(__xludf.DUMMYFUNCTION("""COMPUTED_VALUE"""),0.0)</f>
        <v>0</v>
      </c>
      <c r="P144" s="1431">
        <f>IFERROR(__xludf.DUMMYFUNCTION("""COMPUTED_VALUE"""),2.65)</f>
        <v>2.65</v>
      </c>
      <c r="Q144" s="1432">
        <f>IFERROR(__xludf.DUMMYFUNCTION("""COMPUTED_VALUE"""),294.5)</f>
        <v>294.5</v>
      </c>
    </row>
    <row r="145" ht="15.75" customHeight="1">
      <c r="A145" s="94"/>
      <c r="B145" s="94"/>
      <c r="C145" s="94"/>
      <c r="D145" s="94"/>
      <c r="E145" s="94"/>
      <c r="F145" s="94"/>
      <c r="G145" s="1164">
        <f>IFERROR(__xludf.DUMMYFUNCTION("""COMPUTED_VALUE"""),0.0)</f>
        <v>0</v>
      </c>
      <c r="H145" s="94"/>
      <c r="I145" s="94"/>
      <c r="J145" s="94"/>
      <c r="K145" s="94"/>
      <c r="L145" s="94">
        <f>IFERROR(__xludf.DUMMYFUNCTION("""COMPUTED_VALUE"""),0.0)</f>
        <v>0</v>
      </c>
      <c r="M145" s="94">
        <f>IFERROR(__xludf.DUMMYFUNCTION("""COMPUTED_VALUE"""),0.0)</f>
        <v>0</v>
      </c>
      <c r="N145" s="94"/>
      <c r="O145" s="1430">
        <f>IFERROR(__xludf.DUMMYFUNCTION("""COMPUTED_VALUE"""),0.0)</f>
        <v>0</v>
      </c>
      <c r="P145" s="1431">
        <f>IFERROR(__xludf.DUMMYFUNCTION("""COMPUTED_VALUE"""),2.65)</f>
        <v>2.65</v>
      </c>
      <c r="Q145" s="1432">
        <f>IFERROR(__xludf.DUMMYFUNCTION("""COMPUTED_VALUE"""),0.0)</f>
        <v>0</v>
      </c>
    </row>
    <row r="146" ht="15.75" customHeight="1">
      <c r="A146" s="94" t="str">
        <f>IFERROR(__xludf.DUMMYFUNCTION("""COMPUTED_VALUE"""),"Итого неделя")</f>
        <v>Итого неделя</v>
      </c>
      <c r="B146" s="94" t="str">
        <f>IFERROR(__xludf.DUMMYFUNCTION("""COMPUTED_VALUE"""),"15 неделя")</f>
        <v>15 неделя</v>
      </c>
      <c r="C146" s="94"/>
      <c r="D146" s="94"/>
      <c r="E146" s="94"/>
      <c r="F146" s="94"/>
      <c r="G146" s="1164">
        <f>IFERROR(__xludf.DUMMYFUNCTION("""COMPUTED_VALUE"""),0.0)</f>
        <v>0</v>
      </c>
      <c r="H146" s="1430">
        <f>IFERROR(__xludf.DUMMYFUNCTION("""COMPUTED_VALUE"""),1906.0)</f>
        <v>1906</v>
      </c>
      <c r="I146" s="94"/>
      <c r="J146" s="94"/>
      <c r="K146" s="1430">
        <f>IFERROR(__xludf.DUMMYFUNCTION("""COMPUTED_VALUE"""),1080.0)</f>
        <v>1080</v>
      </c>
      <c r="L146" s="1430">
        <f>IFERROR(__xludf.DUMMYFUNCTION("""COMPUTED_VALUE"""),900.0)</f>
        <v>900</v>
      </c>
      <c r="M146" s="1430">
        <f>IFERROR(__xludf.DUMMYFUNCTION("""COMPUTED_VALUE"""),180.0)</f>
        <v>180</v>
      </c>
      <c r="N146" s="94"/>
      <c r="O146" s="1430">
        <f>IFERROR(__xludf.DUMMYFUNCTION("""COMPUTED_VALUE"""),0.0)</f>
        <v>0</v>
      </c>
      <c r="P146" s="94"/>
      <c r="Q146" s="1432">
        <f>IFERROR(__xludf.DUMMYFUNCTION("""COMPUTED_VALUE"""),4150.9)</f>
        <v>4150.9</v>
      </c>
    </row>
    <row r="147" ht="15.75" customHeight="1">
      <c r="A147" s="94"/>
      <c r="B147" s="94" t="str">
        <f>IFERROR(__xludf.DUMMYFUNCTION("""COMPUTED_VALUE"""),"С 1125")</f>
        <v>С 1125</v>
      </c>
      <c r="C147" s="94"/>
      <c r="D147" s="1432">
        <f>IFERROR(__xludf.DUMMYFUNCTION("""COMPUTED_VALUE"""),4.0)</f>
        <v>4</v>
      </c>
      <c r="E147" s="1429">
        <f>IFERROR(__xludf.DUMMYFUNCTION("""COMPUTED_VALUE"""),45397.0)</f>
        <v>45397</v>
      </c>
      <c r="F147" s="1433">
        <f>IFERROR(__xludf.DUMMYFUNCTION("""COMPUTED_VALUE"""),45401.0)</f>
        <v>45401</v>
      </c>
      <c r="G147" s="1164">
        <f>IFERROR(__xludf.DUMMYFUNCTION("""COMPUTED_VALUE"""),4.0)</f>
        <v>4</v>
      </c>
      <c r="H147" s="1430">
        <f>IFERROR(__xludf.DUMMYFUNCTION("""COMPUTED_VALUE"""),65.0)</f>
        <v>65</v>
      </c>
      <c r="I147" s="94"/>
      <c r="J147" s="94"/>
      <c r="K147" s="94">
        <f>IFERROR(__xludf.DUMMYFUNCTION("""COMPUTED_VALUE"""),60.0)</f>
        <v>60</v>
      </c>
      <c r="L147" s="94">
        <f>IFERROR(__xludf.DUMMYFUNCTION("""COMPUTED_VALUE"""),50.0)</f>
        <v>50</v>
      </c>
      <c r="M147" s="94">
        <f>IFERROR(__xludf.DUMMYFUNCTION("""COMPUTED_VALUE"""),10.0)</f>
        <v>10</v>
      </c>
      <c r="N147" s="94"/>
      <c r="O147" s="1430">
        <f>IFERROR(__xludf.DUMMYFUNCTION("""COMPUTED_VALUE"""),109.0)</f>
        <v>109</v>
      </c>
      <c r="P147" s="1431">
        <f>IFERROR(__xludf.DUMMYFUNCTION("""COMPUTED_VALUE"""),2.65)</f>
        <v>2.65</v>
      </c>
      <c r="Q147" s="1432">
        <f>IFERROR(__xludf.DUMMYFUNCTION("""COMPUTED_VALUE"""),172.25)</f>
        <v>172.25</v>
      </c>
    </row>
    <row r="148" ht="15.75" customHeight="1">
      <c r="A148" s="94"/>
      <c r="B148" s="94" t="str">
        <f>IFERROR(__xludf.DUMMYFUNCTION("""COMPUTED_VALUE"""),"CM 1606")</f>
        <v>CM 1606</v>
      </c>
      <c r="C148" s="94"/>
      <c r="D148" s="1432">
        <f>IFERROR(__xludf.DUMMYFUNCTION("""COMPUTED_VALUE"""),4.0)</f>
        <v>4</v>
      </c>
      <c r="E148" s="1429">
        <f>IFERROR(__xludf.DUMMYFUNCTION("""COMPUTED_VALUE"""),45397.0)</f>
        <v>45397</v>
      </c>
      <c r="F148" s="1433">
        <f>IFERROR(__xludf.DUMMYFUNCTION("""COMPUTED_VALUE"""),45401.0)</f>
        <v>45401</v>
      </c>
      <c r="G148" s="1164">
        <f>IFERROR(__xludf.DUMMYFUNCTION("""COMPUTED_VALUE"""),4.0)</f>
        <v>4</v>
      </c>
      <c r="H148" s="1430">
        <f>IFERROR(__xludf.DUMMYFUNCTION("""COMPUTED_VALUE"""),96.0)</f>
        <v>96</v>
      </c>
      <c r="I148" s="94"/>
      <c r="J148" s="94"/>
      <c r="K148" s="94">
        <f>IFERROR(__xludf.DUMMYFUNCTION("""COMPUTED_VALUE"""),60.0)</f>
        <v>60</v>
      </c>
      <c r="L148" s="94">
        <f>IFERROR(__xludf.DUMMYFUNCTION("""COMPUTED_VALUE"""),50.0)</f>
        <v>50</v>
      </c>
      <c r="M148" s="94">
        <f>IFERROR(__xludf.DUMMYFUNCTION("""COMPUTED_VALUE"""),10.0)</f>
        <v>10</v>
      </c>
      <c r="N148" s="94"/>
      <c r="O148" s="1430">
        <f>IFERROR(__xludf.DUMMYFUNCTION("""COMPUTED_VALUE"""),109.0)</f>
        <v>109</v>
      </c>
      <c r="P148" s="1431">
        <f>IFERROR(__xludf.DUMMYFUNCTION("""COMPUTED_VALUE"""),2.65)</f>
        <v>2.65</v>
      </c>
      <c r="Q148" s="1432">
        <f>IFERROR(__xludf.DUMMYFUNCTION("""COMPUTED_VALUE"""),254.39999999999998)</f>
        <v>254.4</v>
      </c>
    </row>
    <row r="149" ht="15.75" customHeight="1">
      <c r="A149" s="94"/>
      <c r="B149" s="94" t="str">
        <f>IFERROR(__xludf.DUMMYFUNCTION("""COMPUTED_VALUE"""),"WS А 908")</f>
        <v>WS А 908</v>
      </c>
      <c r="C149" s="94"/>
      <c r="D149" s="1432">
        <f>IFERROR(__xludf.DUMMYFUNCTION("""COMPUTED_VALUE"""),4.0)</f>
        <v>4</v>
      </c>
      <c r="E149" s="1429">
        <f>IFERROR(__xludf.DUMMYFUNCTION("""COMPUTED_VALUE"""),45397.0)</f>
        <v>45397</v>
      </c>
      <c r="F149" s="1433">
        <f>IFERROR(__xludf.DUMMYFUNCTION("""COMPUTED_VALUE"""),45405.0)</f>
        <v>45405</v>
      </c>
      <c r="G149" s="1164">
        <f>IFERROR(__xludf.DUMMYFUNCTION("""COMPUTED_VALUE"""),8.0)</f>
        <v>8</v>
      </c>
      <c r="H149" s="1430">
        <f>IFERROR(__xludf.DUMMYFUNCTION("""COMPUTED_VALUE"""),170.0)</f>
        <v>170</v>
      </c>
      <c r="I149" s="94"/>
      <c r="J149" s="94"/>
      <c r="K149" s="94">
        <f>IFERROR(__xludf.DUMMYFUNCTION("""COMPUTED_VALUE"""),60.0)</f>
        <v>60</v>
      </c>
      <c r="L149" s="94">
        <f>IFERROR(__xludf.DUMMYFUNCTION("""COMPUTED_VALUE"""),50.0)</f>
        <v>50</v>
      </c>
      <c r="M149" s="94">
        <f>IFERROR(__xludf.DUMMYFUNCTION("""COMPUTED_VALUE"""),10.0)</f>
        <v>10</v>
      </c>
      <c r="N149" s="94"/>
      <c r="O149" s="1430">
        <f>IFERROR(__xludf.DUMMYFUNCTION("""COMPUTED_VALUE"""),109.0)</f>
        <v>109</v>
      </c>
      <c r="P149" s="1431">
        <f>IFERROR(__xludf.DUMMYFUNCTION("""COMPUTED_VALUE"""),2.65)</f>
        <v>2.65</v>
      </c>
      <c r="Q149" s="1432">
        <f>IFERROR(__xludf.DUMMYFUNCTION("""COMPUTED_VALUE"""),450.5)</f>
        <v>450.5</v>
      </c>
    </row>
    <row r="150" ht="15.75" customHeight="1">
      <c r="A150" s="94"/>
      <c r="B150" s="94" t="str">
        <f>IFERROR(__xludf.DUMMYFUNCTION("""COMPUTED_VALUE"""),"WS В 1510")</f>
        <v>WS В 1510</v>
      </c>
      <c r="C150" s="94"/>
      <c r="D150" s="1432">
        <f>IFERROR(__xludf.DUMMYFUNCTION("""COMPUTED_VALUE"""),4.0)</f>
        <v>4</v>
      </c>
      <c r="E150" s="1429">
        <f>IFERROR(__xludf.DUMMYFUNCTION("""COMPUTED_VALUE"""),45397.0)</f>
        <v>45397</v>
      </c>
      <c r="F150" s="1434">
        <f>IFERROR(__xludf.DUMMYFUNCTION("""COMPUTED_VALUE"""),45400.0)</f>
        <v>45400</v>
      </c>
      <c r="G150" s="1164">
        <f>IFERROR(__xludf.DUMMYFUNCTION("""COMPUTED_VALUE"""),3.0)</f>
        <v>3</v>
      </c>
      <c r="H150" s="1430">
        <f>IFERROR(__xludf.DUMMYFUNCTION("""COMPUTED_VALUE"""),58.0)</f>
        <v>58</v>
      </c>
      <c r="I150" s="94"/>
      <c r="J150" s="94"/>
      <c r="K150" s="94">
        <f>IFERROR(__xludf.DUMMYFUNCTION("""COMPUTED_VALUE"""),60.0)</f>
        <v>60</v>
      </c>
      <c r="L150" s="94">
        <f>IFERROR(__xludf.DUMMYFUNCTION("""COMPUTED_VALUE"""),50.0)</f>
        <v>50</v>
      </c>
      <c r="M150" s="94">
        <f>IFERROR(__xludf.DUMMYFUNCTION("""COMPUTED_VALUE"""),10.0)</f>
        <v>10</v>
      </c>
      <c r="N150" s="94"/>
      <c r="O150" s="1430">
        <f>IFERROR(__xludf.DUMMYFUNCTION("""COMPUTED_VALUE"""),109.0)</f>
        <v>109</v>
      </c>
      <c r="P150" s="1431">
        <f>IFERROR(__xludf.DUMMYFUNCTION("""COMPUTED_VALUE"""),2.65)</f>
        <v>2.65</v>
      </c>
      <c r="Q150" s="1432">
        <f>IFERROR(__xludf.DUMMYFUNCTION("""COMPUTED_VALUE"""),153.7)</f>
        <v>153.7</v>
      </c>
    </row>
    <row r="151" ht="15.75" customHeight="1">
      <c r="A151" s="94"/>
      <c r="B151" s="94" t="str">
        <f>IFERROR(__xludf.DUMMYFUNCTION("""COMPUTED_VALUE"""),"Шар 2505")</f>
        <v>Шар 2505</v>
      </c>
      <c r="C151" s="94"/>
      <c r="D151" s="1432">
        <f>IFERROR(__xludf.DUMMYFUNCTION("""COMPUTED_VALUE"""),4.0)</f>
        <v>4</v>
      </c>
      <c r="E151" s="1429">
        <f>IFERROR(__xludf.DUMMYFUNCTION("""COMPUTED_VALUE"""),45398.0)</f>
        <v>45398</v>
      </c>
      <c r="F151" s="1434">
        <f>IFERROR(__xludf.DUMMYFUNCTION("""COMPUTED_VALUE"""),45401.0)</f>
        <v>45401</v>
      </c>
      <c r="G151" s="1164">
        <f>IFERROR(__xludf.DUMMYFUNCTION("""COMPUTED_VALUE"""),3.0)</f>
        <v>3</v>
      </c>
      <c r="H151" s="1430">
        <f>IFERROR(__xludf.DUMMYFUNCTION("""COMPUTED_VALUE"""),64.0)</f>
        <v>64</v>
      </c>
      <c r="I151" s="94"/>
      <c r="J151" s="94"/>
      <c r="K151" s="94">
        <f>IFERROR(__xludf.DUMMYFUNCTION("""COMPUTED_VALUE"""),60.0)</f>
        <v>60</v>
      </c>
      <c r="L151" s="94">
        <f>IFERROR(__xludf.DUMMYFUNCTION("""COMPUTED_VALUE"""),50.0)</f>
        <v>50</v>
      </c>
      <c r="M151" s="94">
        <f>IFERROR(__xludf.DUMMYFUNCTION("""COMPUTED_VALUE"""),10.0)</f>
        <v>10</v>
      </c>
      <c r="N151" s="94"/>
      <c r="O151" s="1430">
        <f>IFERROR(__xludf.DUMMYFUNCTION("""COMPUTED_VALUE"""),109.0)</f>
        <v>109</v>
      </c>
      <c r="P151" s="1431">
        <f>IFERROR(__xludf.DUMMYFUNCTION("""COMPUTED_VALUE"""),2.65)</f>
        <v>2.65</v>
      </c>
      <c r="Q151" s="1432">
        <f>IFERROR(__xludf.DUMMYFUNCTION("""COMPUTED_VALUE"""),169.6)</f>
        <v>169.6</v>
      </c>
    </row>
    <row r="152" ht="15.75" customHeight="1">
      <c r="A152" s="94"/>
      <c r="B152" s="94" t="str">
        <f>IFERROR(__xludf.DUMMYFUNCTION("""COMPUTED_VALUE"""),"А 4049")</f>
        <v>А 4049</v>
      </c>
      <c r="C152" s="94"/>
      <c r="D152" s="1432">
        <f>IFERROR(__xludf.DUMMYFUNCTION("""COMPUTED_VALUE"""),4.0)</f>
        <v>4</v>
      </c>
      <c r="E152" s="1429">
        <f>IFERROR(__xludf.DUMMYFUNCTION("""COMPUTED_VALUE"""),45400.0)</f>
        <v>45400</v>
      </c>
      <c r="F152" s="1434">
        <f>IFERROR(__xludf.DUMMYFUNCTION("""COMPUTED_VALUE"""),45403.0)</f>
        <v>45403</v>
      </c>
      <c r="G152" s="1164">
        <f>IFERROR(__xludf.DUMMYFUNCTION("""COMPUTED_VALUE"""),3.0)</f>
        <v>3</v>
      </c>
      <c r="H152" s="1430">
        <f>IFERROR(__xludf.DUMMYFUNCTION("""COMPUTED_VALUE"""),49.0)</f>
        <v>49</v>
      </c>
      <c r="I152" s="94"/>
      <c r="J152" s="94"/>
      <c r="K152" s="94">
        <f>IFERROR(__xludf.DUMMYFUNCTION("""COMPUTED_VALUE"""),60.0)</f>
        <v>60</v>
      </c>
      <c r="L152" s="94">
        <f>IFERROR(__xludf.DUMMYFUNCTION("""COMPUTED_VALUE"""),50.0)</f>
        <v>50</v>
      </c>
      <c r="M152" s="94">
        <f>IFERROR(__xludf.DUMMYFUNCTION("""COMPUTED_VALUE"""),10.0)</f>
        <v>10</v>
      </c>
      <c r="N152" s="94"/>
      <c r="O152" s="1430">
        <f>IFERROR(__xludf.DUMMYFUNCTION("""COMPUTED_VALUE"""),109.0)</f>
        <v>109</v>
      </c>
      <c r="P152" s="1431">
        <f>IFERROR(__xludf.DUMMYFUNCTION("""COMPUTED_VALUE"""),2.65)</f>
        <v>2.65</v>
      </c>
      <c r="Q152" s="1432">
        <f>IFERROR(__xludf.DUMMYFUNCTION("""COMPUTED_VALUE"""),129.85)</f>
        <v>129.85</v>
      </c>
    </row>
    <row r="153" ht="15.75" customHeight="1">
      <c r="A153" s="94"/>
      <c r="B153" s="94" t="str">
        <f>IFERROR(__xludf.DUMMYFUNCTION("""COMPUTED_VALUE"""),"CM 1606")</f>
        <v>CM 1606</v>
      </c>
      <c r="C153" s="94"/>
      <c r="D153" s="1432">
        <f>IFERROR(__xludf.DUMMYFUNCTION("""COMPUTED_VALUE"""),4.0)</f>
        <v>4</v>
      </c>
      <c r="E153" s="1429">
        <f>IFERROR(__xludf.DUMMYFUNCTION("""COMPUTED_VALUE"""),45402.0)</f>
        <v>45402</v>
      </c>
      <c r="F153" s="1433">
        <f>IFERROR(__xludf.DUMMYFUNCTION("""COMPUTED_VALUE"""),45409.0)</f>
        <v>45409</v>
      </c>
      <c r="G153" s="1164">
        <f>IFERROR(__xludf.DUMMYFUNCTION("""COMPUTED_VALUE"""),7.0)</f>
        <v>7</v>
      </c>
      <c r="H153" s="1430">
        <f>IFERROR(__xludf.DUMMYFUNCTION("""COMPUTED_VALUE"""),130.0)</f>
        <v>130</v>
      </c>
      <c r="I153" s="94"/>
      <c r="J153" s="94"/>
      <c r="K153" s="94">
        <f>IFERROR(__xludf.DUMMYFUNCTION("""COMPUTED_VALUE"""),60.0)</f>
        <v>60</v>
      </c>
      <c r="L153" s="94">
        <f>IFERROR(__xludf.DUMMYFUNCTION("""COMPUTED_VALUE"""),50.0)</f>
        <v>50</v>
      </c>
      <c r="M153" s="94">
        <f>IFERROR(__xludf.DUMMYFUNCTION("""COMPUTED_VALUE"""),10.0)</f>
        <v>10</v>
      </c>
      <c r="N153" s="94"/>
      <c r="O153" s="1430">
        <f>IFERROR(__xludf.DUMMYFUNCTION("""COMPUTED_VALUE"""),109.0)</f>
        <v>109</v>
      </c>
      <c r="P153" s="1431">
        <f>IFERROR(__xludf.DUMMYFUNCTION("""COMPUTED_VALUE"""),2.65)</f>
        <v>2.65</v>
      </c>
      <c r="Q153" s="1432">
        <f>IFERROR(__xludf.DUMMYFUNCTION("""COMPUTED_VALUE"""),344.5)</f>
        <v>344.5</v>
      </c>
    </row>
    <row r="154" ht="15.75" customHeight="1">
      <c r="A154" s="94"/>
      <c r="B154" s="94" t="str">
        <f>IFERROR(__xludf.DUMMYFUNCTION("""COMPUTED_VALUE"""),"WS В 1510")</f>
        <v>WS В 1510</v>
      </c>
      <c r="C154" s="94"/>
      <c r="D154" s="1432">
        <f>IFERROR(__xludf.DUMMYFUNCTION("""COMPUTED_VALUE"""),4.0)</f>
        <v>4</v>
      </c>
      <c r="E154" s="1429">
        <f>IFERROR(__xludf.DUMMYFUNCTION("""COMPUTED_VALUE"""),45402.0)</f>
        <v>45402</v>
      </c>
      <c r="F154" s="1433">
        <f>IFERROR(__xludf.DUMMYFUNCTION("""COMPUTED_VALUE"""),45406.0)</f>
        <v>45406</v>
      </c>
      <c r="G154" s="1164">
        <f>IFERROR(__xludf.DUMMYFUNCTION("""COMPUTED_VALUE"""),4.0)</f>
        <v>4</v>
      </c>
      <c r="H154" s="1430">
        <f>IFERROR(__xludf.DUMMYFUNCTION("""COMPUTED_VALUE"""),97.0)</f>
        <v>97</v>
      </c>
      <c r="I154" s="94"/>
      <c r="J154" s="94"/>
      <c r="K154" s="94">
        <f>IFERROR(__xludf.DUMMYFUNCTION("""COMPUTED_VALUE"""),60.0)</f>
        <v>60</v>
      </c>
      <c r="L154" s="94">
        <f>IFERROR(__xludf.DUMMYFUNCTION("""COMPUTED_VALUE"""),50.0)</f>
        <v>50</v>
      </c>
      <c r="M154" s="94">
        <f>IFERROR(__xludf.DUMMYFUNCTION("""COMPUTED_VALUE"""),10.0)</f>
        <v>10</v>
      </c>
      <c r="N154" s="94"/>
      <c r="O154" s="1430">
        <f>IFERROR(__xludf.DUMMYFUNCTION("""COMPUTED_VALUE"""),109.0)</f>
        <v>109</v>
      </c>
      <c r="P154" s="1431">
        <f>IFERROR(__xludf.DUMMYFUNCTION("""COMPUTED_VALUE"""),2.65)</f>
        <v>2.65</v>
      </c>
      <c r="Q154" s="1432">
        <f>IFERROR(__xludf.DUMMYFUNCTION("""COMPUTED_VALUE"""),257.05)</f>
        <v>257.05</v>
      </c>
    </row>
    <row r="155" ht="15.75" customHeight="1">
      <c r="A155" s="94"/>
      <c r="B155" s="94" t="str">
        <f>IFERROR(__xludf.DUMMYFUNCTION("""COMPUTED_VALUE"""),"WS E 1202")</f>
        <v>WS E 1202</v>
      </c>
      <c r="C155" s="94"/>
      <c r="D155" s="1432">
        <f>IFERROR(__xludf.DUMMYFUNCTION("""COMPUTED_VALUE"""),4.0)</f>
        <v>4</v>
      </c>
      <c r="E155" s="1429">
        <f>IFERROR(__xludf.DUMMYFUNCTION("""COMPUTED_VALUE"""),45402.0)</f>
        <v>45402</v>
      </c>
      <c r="F155" s="1434">
        <f>IFERROR(__xludf.DUMMYFUNCTION("""COMPUTED_VALUE"""),45405.0)</f>
        <v>45405</v>
      </c>
      <c r="G155" s="1164">
        <f>IFERROR(__xludf.DUMMYFUNCTION("""COMPUTED_VALUE"""),3.0)</f>
        <v>3</v>
      </c>
      <c r="H155" s="1430">
        <f>IFERROR(__xludf.DUMMYFUNCTION("""COMPUTED_VALUE"""),129.0)</f>
        <v>129</v>
      </c>
      <c r="I155" s="94"/>
      <c r="J155" s="94"/>
      <c r="K155" s="94">
        <f>IFERROR(__xludf.DUMMYFUNCTION("""COMPUTED_VALUE"""),60.0)</f>
        <v>60</v>
      </c>
      <c r="L155" s="94">
        <f>IFERROR(__xludf.DUMMYFUNCTION("""COMPUTED_VALUE"""),50.0)</f>
        <v>50</v>
      </c>
      <c r="M155" s="94">
        <f>IFERROR(__xludf.DUMMYFUNCTION("""COMPUTED_VALUE"""),10.0)</f>
        <v>10</v>
      </c>
      <c r="N155" s="94"/>
      <c r="O155" s="1430">
        <f>IFERROR(__xludf.DUMMYFUNCTION("""COMPUTED_VALUE"""),109.0)</f>
        <v>109</v>
      </c>
      <c r="P155" s="1431">
        <f>IFERROR(__xludf.DUMMYFUNCTION("""COMPUTED_VALUE"""),2.65)</f>
        <v>2.65</v>
      </c>
      <c r="Q155" s="1432">
        <f>IFERROR(__xludf.DUMMYFUNCTION("""COMPUTED_VALUE"""),341.84999999999997)</f>
        <v>341.85</v>
      </c>
    </row>
    <row r="156" ht="15.75" customHeight="1">
      <c r="A156" s="94"/>
      <c r="B156" s="94" t="str">
        <f>IFERROR(__xludf.DUMMYFUNCTION("""COMPUTED_VALUE"""),"С 1443")</f>
        <v>С 1443</v>
      </c>
      <c r="C156" s="94"/>
      <c r="D156" s="1432">
        <f>IFERROR(__xludf.DUMMYFUNCTION("""COMPUTED_VALUE"""),4.0)</f>
        <v>4</v>
      </c>
      <c r="E156" s="1429">
        <f>IFERROR(__xludf.DUMMYFUNCTION("""COMPUTED_VALUE"""),45402.0)</f>
        <v>45402</v>
      </c>
      <c r="F156" s="1435">
        <f>IFERROR(__xludf.DUMMYFUNCTION("""COMPUTED_VALUE"""),45408.0)</f>
        <v>45408</v>
      </c>
      <c r="G156" s="1164">
        <f>IFERROR(__xludf.DUMMYFUNCTION("""COMPUTED_VALUE"""),6.0)</f>
        <v>6</v>
      </c>
      <c r="H156" s="1430">
        <f>IFERROR(__xludf.DUMMYFUNCTION("""COMPUTED_VALUE"""),166.0)</f>
        <v>166</v>
      </c>
      <c r="I156" s="94"/>
      <c r="J156" s="94"/>
      <c r="K156" s="94">
        <f>IFERROR(__xludf.DUMMYFUNCTION("""COMPUTED_VALUE"""),60.0)</f>
        <v>60</v>
      </c>
      <c r="L156" s="94">
        <f>IFERROR(__xludf.DUMMYFUNCTION("""COMPUTED_VALUE"""),50.0)</f>
        <v>50</v>
      </c>
      <c r="M156" s="94">
        <f>IFERROR(__xludf.DUMMYFUNCTION("""COMPUTED_VALUE"""),10.0)</f>
        <v>10</v>
      </c>
      <c r="N156" s="94"/>
      <c r="O156" s="1430">
        <f>IFERROR(__xludf.DUMMYFUNCTION("""COMPUTED_VALUE"""),109.0)</f>
        <v>109</v>
      </c>
      <c r="P156" s="1431">
        <f>IFERROR(__xludf.DUMMYFUNCTION("""COMPUTED_VALUE"""),2.65)</f>
        <v>2.65</v>
      </c>
      <c r="Q156" s="1432">
        <f>IFERROR(__xludf.DUMMYFUNCTION("""COMPUTED_VALUE"""),439.9)</f>
        <v>439.9</v>
      </c>
    </row>
    <row r="157" ht="15.75" customHeight="1">
      <c r="A157" s="94"/>
      <c r="B157" s="94" t="str">
        <f>IFERROR(__xludf.DUMMYFUNCTION("""COMPUTED_VALUE"""),"Горизонт 2705")</f>
        <v>Горизонт 2705</v>
      </c>
      <c r="C157" s="94"/>
      <c r="D157" s="1432">
        <f>IFERROR(__xludf.DUMMYFUNCTION("""COMPUTED_VALUE"""),4.0)</f>
        <v>4</v>
      </c>
      <c r="E157" s="1429">
        <f>IFERROR(__xludf.DUMMYFUNCTION("""COMPUTED_VALUE"""),45402.0)</f>
        <v>45402</v>
      </c>
      <c r="F157" s="1434">
        <f>IFERROR(__xludf.DUMMYFUNCTION("""COMPUTED_VALUE"""),45409.0)</f>
        <v>45409</v>
      </c>
      <c r="G157" s="1164">
        <f>IFERROR(__xludf.DUMMYFUNCTION("""COMPUTED_VALUE"""),7.0)</f>
        <v>7</v>
      </c>
      <c r="H157" s="1430">
        <f>IFERROR(__xludf.DUMMYFUNCTION("""COMPUTED_VALUE"""),118.0)</f>
        <v>118</v>
      </c>
      <c r="I157" s="94"/>
      <c r="J157" s="94"/>
      <c r="K157" s="94">
        <f>IFERROR(__xludf.DUMMYFUNCTION("""COMPUTED_VALUE"""),60.0)</f>
        <v>60</v>
      </c>
      <c r="L157" s="94">
        <f>IFERROR(__xludf.DUMMYFUNCTION("""COMPUTED_VALUE"""),50.0)</f>
        <v>50</v>
      </c>
      <c r="M157" s="94">
        <f>IFERROR(__xludf.DUMMYFUNCTION("""COMPUTED_VALUE"""),10.0)</f>
        <v>10</v>
      </c>
      <c r="N157" s="94"/>
      <c r="O157" s="1430">
        <f>IFERROR(__xludf.DUMMYFUNCTION("""COMPUTED_VALUE"""),109.0)</f>
        <v>109</v>
      </c>
      <c r="P157" s="1431">
        <f>IFERROR(__xludf.DUMMYFUNCTION("""COMPUTED_VALUE"""),2.65)</f>
        <v>2.65</v>
      </c>
      <c r="Q157" s="1432">
        <f>IFERROR(__xludf.DUMMYFUNCTION("""COMPUTED_VALUE"""),312.7)</f>
        <v>312.7</v>
      </c>
    </row>
    <row r="158" ht="15.75" customHeight="1">
      <c r="A158" s="94"/>
      <c r="B158" s="94" t="str">
        <f>IFERROR(__xludf.DUMMYFUNCTION("""COMPUTED_VALUE"""),"Int 2905")</f>
        <v>Int 2905</v>
      </c>
      <c r="C158" s="94"/>
      <c r="D158" s="1432">
        <f>IFERROR(__xludf.DUMMYFUNCTION("""COMPUTED_VALUE"""),4.0)</f>
        <v>4</v>
      </c>
      <c r="E158" s="1429">
        <f>IFERROR(__xludf.DUMMYFUNCTION("""COMPUTED_VALUE"""),45403.0)</f>
        <v>45403</v>
      </c>
      <c r="F158" s="1434">
        <f>IFERROR(__xludf.DUMMYFUNCTION("""COMPUTED_VALUE"""),45433.0)</f>
        <v>45433</v>
      </c>
      <c r="G158" s="1164">
        <f>IFERROR(__xludf.DUMMYFUNCTION("""COMPUTED_VALUE"""),30.0)</f>
        <v>30</v>
      </c>
      <c r="H158" s="1430">
        <f>IFERROR(__xludf.DUMMYFUNCTION("""COMPUTED_VALUE"""),768.0)</f>
        <v>768</v>
      </c>
      <c r="I158" s="94"/>
      <c r="J158" s="94"/>
      <c r="K158" s="94">
        <f>IFERROR(__xludf.DUMMYFUNCTION("""COMPUTED_VALUE"""),60.0)</f>
        <v>60</v>
      </c>
      <c r="L158" s="94">
        <f>IFERROR(__xludf.DUMMYFUNCTION("""COMPUTED_VALUE"""),50.0)</f>
        <v>50</v>
      </c>
      <c r="M158" s="94">
        <f>IFERROR(__xludf.DUMMYFUNCTION("""COMPUTED_VALUE"""),10.0)</f>
        <v>10</v>
      </c>
      <c r="N158" s="94"/>
      <c r="O158" s="1430">
        <f>IFERROR(__xludf.DUMMYFUNCTION("""COMPUTED_VALUE"""),109.0)</f>
        <v>109</v>
      </c>
      <c r="P158" s="1431">
        <f>IFERROR(__xludf.DUMMYFUNCTION("""COMPUTED_VALUE"""),2.65)</f>
        <v>2.65</v>
      </c>
      <c r="Q158" s="1432">
        <f>IFERROR(__xludf.DUMMYFUNCTION("""COMPUTED_VALUE"""),2035.1999999999998)</f>
        <v>2035.2</v>
      </c>
    </row>
    <row r="159" ht="15.75" customHeight="1">
      <c r="A159" s="94"/>
      <c r="B159" s="94" t="str">
        <f>IFERROR(__xludf.DUMMYFUNCTION("""COMPUTED_VALUE"""),"CM 1604")</f>
        <v>CM 1604</v>
      </c>
      <c r="C159" s="94"/>
      <c r="D159" s="1432">
        <f>IFERROR(__xludf.DUMMYFUNCTION("""COMPUTED_VALUE"""),4.0)</f>
        <v>4</v>
      </c>
      <c r="E159" s="1429">
        <f>IFERROR(__xludf.DUMMYFUNCTION("""COMPUTED_VALUE"""),45403.0)</f>
        <v>45403</v>
      </c>
      <c r="F159" s="1434">
        <f>IFERROR(__xludf.DUMMYFUNCTION("""COMPUTED_VALUE"""),45410.0)</f>
        <v>45410</v>
      </c>
      <c r="G159" s="1164">
        <f>IFERROR(__xludf.DUMMYFUNCTION("""COMPUTED_VALUE"""),7.0)</f>
        <v>7</v>
      </c>
      <c r="H159" s="1430">
        <f>IFERROR(__xludf.DUMMYFUNCTION("""COMPUTED_VALUE"""),175.0)</f>
        <v>175</v>
      </c>
      <c r="I159" s="94"/>
      <c r="J159" s="94"/>
      <c r="K159" s="94">
        <f>IFERROR(__xludf.DUMMYFUNCTION("""COMPUTED_VALUE"""),60.0)</f>
        <v>60</v>
      </c>
      <c r="L159" s="94">
        <f>IFERROR(__xludf.DUMMYFUNCTION("""COMPUTED_VALUE"""),50.0)</f>
        <v>50</v>
      </c>
      <c r="M159" s="94">
        <f>IFERROR(__xludf.DUMMYFUNCTION("""COMPUTED_VALUE"""),10.0)</f>
        <v>10</v>
      </c>
      <c r="N159" s="94"/>
      <c r="O159" s="1430">
        <f>IFERROR(__xludf.DUMMYFUNCTION("""COMPUTED_VALUE"""),109.0)</f>
        <v>109</v>
      </c>
      <c r="P159" s="1431">
        <f>IFERROR(__xludf.DUMMYFUNCTION("""COMPUTED_VALUE"""),2.65)</f>
        <v>2.65</v>
      </c>
      <c r="Q159" s="1432">
        <f>IFERROR(__xludf.DUMMYFUNCTION("""COMPUTED_VALUE"""),463.75)</f>
        <v>463.75</v>
      </c>
    </row>
    <row r="160" ht="15.75" customHeight="1">
      <c r="A160" s="94"/>
      <c r="B160" s="94" t="str">
        <f>IFERROR(__xludf.DUMMYFUNCTION("""COMPUTED_VALUE"""),"WS В 212")</f>
        <v>WS В 212</v>
      </c>
      <c r="C160" s="94"/>
      <c r="D160" s="1432">
        <f>IFERROR(__xludf.DUMMYFUNCTION("""COMPUTED_VALUE"""),4.0)</f>
        <v>4</v>
      </c>
      <c r="E160" s="1429">
        <f>IFERROR(__xludf.DUMMYFUNCTION("""COMPUTED_VALUE"""),45403.0)</f>
        <v>45403</v>
      </c>
      <c r="F160" s="1434">
        <f>IFERROR(__xludf.DUMMYFUNCTION("""COMPUTED_VALUE"""),45406.0)</f>
        <v>45406</v>
      </c>
      <c r="G160" s="1164">
        <f>IFERROR(__xludf.DUMMYFUNCTION("""COMPUTED_VALUE"""),3.0)</f>
        <v>3</v>
      </c>
      <c r="H160" s="1430">
        <f>IFERROR(__xludf.DUMMYFUNCTION("""COMPUTED_VALUE"""),108.0)</f>
        <v>108</v>
      </c>
      <c r="I160" s="94"/>
      <c r="J160" s="94"/>
      <c r="K160" s="94">
        <f>IFERROR(__xludf.DUMMYFUNCTION("""COMPUTED_VALUE"""),60.0)</f>
        <v>60</v>
      </c>
      <c r="L160" s="94">
        <f>IFERROR(__xludf.DUMMYFUNCTION("""COMPUTED_VALUE"""),50.0)</f>
        <v>50</v>
      </c>
      <c r="M160" s="94">
        <f>IFERROR(__xludf.DUMMYFUNCTION("""COMPUTED_VALUE"""),10.0)</f>
        <v>10</v>
      </c>
      <c r="N160" s="94"/>
      <c r="O160" s="1430">
        <f>IFERROR(__xludf.DUMMYFUNCTION("""COMPUTED_VALUE"""),109.0)</f>
        <v>109</v>
      </c>
      <c r="P160" s="1431">
        <f>IFERROR(__xludf.DUMMYFUNCTION("""COMPUTED_VALUE"""),2.65)</f>
        <v>2.65</v>
      </c>
      <c r="Q160" s="1432">
        <f>IFERROR(__xludf.DUMMYFUNCTION("""COMPUTED_VALUE"""),286.2)</f>
        <v>286.2</v>
      </c>
    </row>
    <row r="161" ht="15.75" customHeight="1">
      <c r="A161" s="94"/>
      <c r="B161" s="94" t="str">
        <f>IFERROR(__xludf.DUMMYFUNCTION("""COMPUTED_VALUE"""),"С 1125")</f>
        <v>С 1125</v>
      </c>
      <c r="C161" s="94"/>
      <c r="D161" s="1432">
        <f>IFERROR(__xludf.DUMMYFUNCTION("""COMPUTED_VALUE"""),4.0)</f>
        <v>4</v>
      </c>
      <c r="E161" s="1429">
        <f>IFERROR(__xludf.DUMMYFUNCTION("""COMPUTED_VALUE"""),45403.0)</f>
        <v>45403</v>
      </c>
      <c r="F161" s="1434">
        <f>IFERROR(__xludf.DUMMYFUNCTION("""COMPUTED_VALUE"""),45408.0)</f>
        <v>45408</v>
      </c>
      <c r="G161" s="1164">
        <f>IFERROR(__xludf.DUMMYFUNCTION("""COMPUTED_VALUE"""),5.0)</f>
        <v>5</v>
      </c>
      <c r="H161" s="1430">
        <f>IFERROR(__xludf.DUMMYFUNCTION("""COMPUTED_VALUE"""),111.0)</f>
        <v>111</v>
      </c>
      <c r="I161" s="94"/>
      <c r="J161" s="94"/>
      <c r="K161" s="94">
        <f>IFERROR(__xludf.DUMMYFUNCTION("""COMPUTED_VALUE"""),60.0)</f>
        <v>60</v>
      </c>
      <c r="L161" s="94">
        <f>IFERROR(__xludf.DUMMYFUNCTION("""COMPUTED_VALUE"""),50.0)</f>
        <v>50</v>
      </c>
      <c r="M161" s="94">
        <f>IFERROR(__xludf.DUMMYFUNCTION("""COMPUTED_VALUE"""),10.0)</f>
        <v>10</v>
      </c>
      <c r="N161" s="94"/>
      <c r="O161" s="1430">
        <f>IFERROR(__xludf.DUMMYFUNCTION("""COMPUTED_VALUE"""),109.0)</f>
        <v>109</v>
      </c>
      <c r="P161" s="1431">
        <f>IFERROR(__xludf.DUMMYFUNCTION("""COMPUTED_VALUE"""),2.65)</f>
        <v>2.65</v>
      </c>
      <c r="Q161" s="1432">
        <f>IFERROR(__xludf.DUMMYFUNCTION("""COMPUTED_VALUE"""),294.15)</f>
        <v>294.15</v>
      </c>
    </row>
    <row r="162" ht="15.75" customHeight="1">
      <c r="A162" s="94"/>
      <c r="B162" s="94" t="str">
        <f>IFERROR(__xludf.DUMMYFUNCTION("""COMPUTED_VALUE"""),"Шар 2505")</f>
        <v>Шар 2505</v>
      </c>
      <c r="C162" s="94"/>
      <c r="D162" s="1432">
        <f>IFERROR(__xludf.DUMMYFUNCTION("""COMPUTED_VALUE"""),4.0)</f>
        <v>4</v>
      </c>
      <c r="E162" s="1429">
        <f>IFERROR(__xludf.DUMMYFUNCTION("""COMPUTED_VALUE"""),45403.0)</f>
        <v>45403</v>
      </c>
      <c r="F162" s="1434">
        <f>IFERROR(__xludf.DUMMYFUNCTION("""COMPUTED_VALUE"""),45410.0)</f>
        <v>45410</v>
      </c>
      <c r="G162" s="1164">
        <f>IFERROR(__xludf.DUMMYFUNCTION("""COMPUTED_VALUE"""),7.0)</f>
        <v>7</v>
      </c>
      <c r="H162" s="1430">
        <f>IFERROR(__xludf.DUMMYFUNCTION("""COMPUTED_VALUE"""),108.0)</f>
        <v>108</v>
      </c>
      <c r="I162" s="94"/>
      <c r="J162" s="94"/>
      <c r="K162" s="94">
        <f>IFERROR(__xludf.DUMMYFUNCTION("""COMPUTED_VALUE"""),60.0)</f>
        <v>60</v>
      </c>
      <c r="L162" s="94">
        <f>IFERROR(__xludf.DUMMYFUNCTION("""COMPUTED_VALUE"""),50.0)</f>
        <v>50</v>
      </c>
      <c r="M162" s="94">
        <f>IFERROR(__xludf.DUMMYFUNCTION("""COMPUTED_VALUE"""),10.0)</f>
        <v>10</v>
      </c>
      <c r="N162" s="94"/>
      <c r="O162" s="1430">
        <f>IFERROR(__xludf.DUMMYFUNCTION("""COMPUTED_VALUE"""),109.0)</f>
        <v>109</v>
      </c>
      <c r="P162" s="1431">
        <f>IFERROR(__xludf.DUMMYFUNCTION("""COMPUTED_VALUE"""),2.65)</f>
        <v>2.65</v>
      </c>
      <c r="Q162" s="1432">
        <f>IFERROR(__xludf.DUMMYFUNCTION("""COMPUTED_VALUE"""),286.2)</f>
        <v>286.2</v>
      </c>
    </row>
    <row r="163" ht="15.75" customHeight="1">
      <c r="A163" s="94"/>
      <c r="B163" s="94" t="str">
        <f>IFERROR(__xludf.DUMMYFUNCTION("""COMPUTED_VALUE"""),"Шар 2505")</f>
        <v>Шар 2505</v>
      </c>
      <c r="C163" s="94"/>
      <c r="D163" s="1432">
        <f>IFERROR(__xludf.DUMMYFUNCTION("""COMPUTED_VALUE"""),4.0)</f>
        <v>4</v>
      </c>
      <c r="E163" s="1429">
        <f>IFERROR(__xludf.DUMMYFUNCTION("""COMPUTED_VALUE"""),45402.0)</f>
        <v>45402</v>
      </c>
      <c r="F163" s="1429">
        <f>IFERROR(__xludf.DUMMYFUNCTION("""COMPUTED_VALUE"""),45403.0)</f>
        <v>45403</v>
      </c>
      <c r="G163" s="1164">
        <f>IFERROR(__xludf.DUMMYFUNCTION("""COMPUTED_VALUE"""),1.0)</f>
        <v>1</v>
      </c>
      <c r="H163" s="94">
        <f>IFERROR(__xludf.DUMMYFUNCTION("""COMPUTED_VALUE"""),23.0)</f>
        <v>23</v>
      </c>
      <c r="I163" s="94"/>
      <c r="J163" s="94"/>
      <c r="K163" s="94">
        <f>IFERROR(__xludf.DUMMYFUNCTION("""COMPUTED_VALUE"""),60.0)</f>
        <v>60</v>
      </c>
      <c r="L163" s="94">
        <f>IFERROR(__xludf.DUMMYFUNCTION("""COMPUTED_VALUE"""),50.0)</f>
        <v>50</v>
      </c>
      <c r="M163" s="94">
        <f>IFERROR(__xludf.DUMMYFUNCTION("""COMPUTED_VALUE"""),10.0)</f>
        <v>10</v>
      </c>
      <c r="N163" s="94"/>
      <c r="O163" s="1430">
        <f>IFERROR(__xludf.DUMMYFUNCTION("""COMPUTED_VALUE"""),109.0)</f>
        <v>109</v>
      </c>
      <c r="P163" s="1431">
        <f>IFERROR(__xludf.DUMMYFUNCTION("""COMPUTED_VALUE"""),2.65)</f>
        <v>2.65</v>
      </c>
      <c r="Q163" s="1432">
        <f>IFERROR(__xludf.DUMMYFUNCTION("""COMPUTED_VALUE"""),60.949999999999996)</f>
        <v>60.95</v>
      </c>
    </row>
    <row r="164" ht="15.75" customHeight="1">
      <c r="A164" s="94" t="str">
        <f>IFERROR(__xludf.DUMMYFUNCTION("""COMPUTED_VALUE"""),"Итого неделя")</f>
        <v>Итого неделя</v>
      </c>
      <c r="B164" s="94" t="str">
        <f>IFERROR(__xludf.DUMMYFUNCTION("""COMPUTED_VALUE"""),"16 неделя")</f>
        <v>16 неделя</v>
      </c>
      <c r="C164" s="94"/>
      <c r="D164" s="94"/>
      <c r="E164" s="94"/>
      <c r="F164" s="94"/>
      <c r="G164" s="1164">
        <f>IFERROR(__xludf.DUMMYFUNCTION("""COMPUTED_VALUE"""),0.0)</f>
        <v>0</v>
      </c>
      <c r="H164" s="1430">
        <f>IFERROR(__xludf.DUMMYFUNCTION("""COMPUTED_VALUE"""),2435.0)</f>
        <v>2435</v>
      </c>
      <c r="I164" s="94"/>
      <c r="J164" s="94"/>
      <c r="K164" s="1430">
        <f>IFERROR(__xludf.DUMMYFUNCTION("""COMPUTED_VALUE"""),1020.0)</f>
        <v>1020</v>
      </c>
      <c r="L164" s="1430">
        <f>IFERROR(__xludf.DUMMYFUNCTION("""COMPUTED_VALUE"""),850.0)</f>
        <v>850</v>
      </c>
      <c r="M164" s="1430">
        <f>IFERROR(__xludf.DUMMYFUNCTION("""COMPUTED_VALUE"""),170.0)</f>
        <v>170</v>
      </c>
      <c r="N164" s="94"/>
      <c r="O164" s="1430">
        <f>IFERROR(__xludf.DUMMYFUNCTION("""COMPUTED_VALUE"""),1853.0)</f>
        <v>1853</v>
      </c>
      <c r="P164" s="1431">
        <f>IFERROR(__xludf.DUMMYFUNCTION("""COMPUTED_VALUE"""),2.65)</f>
        <v>2.65</v>
      </c>
      <c r="Q164" s="1432">
        <f>IFERROR(__xludf.DUMMYFUNCTION("""COMPUTED_VALUE"""),6452.749999999999)</f>
        <v>6452.75</v>
      </c>
    </row>
    <row r="165" ht="15.75" customHeight="1">
      <c r="A165" s="94"/>
      <c r="B165" s="94" t="str">
        <f>IFERROR(__xludf.DUMMYFUNCTION("""COMPUTED_VALUE"""),"А 4049")</f>
        <v>А 4049</v>
      </c>
      <c r="C165" s="94"/>
      <c r="D165" s="1432">
        <f>IFERROR(__xludf.DUMMYFUNCTION("""COMPUTED_VALUE"""),4.0)</f>
        <v>4</v>
      </c>
      <c r="E165" s="1429">
        <f>IFERROR(__xludf.DUMMYFUNCTION("""COMPUTED_VALUE"""),45404.0)</f>
        <v>45404</v>
      </c>
      <c r="F165" s="1429">
        <f>IFERROR(__xludf.DUMMYFUNCTION("""COMPUTED_VALUE"""),45413.0)</f>
        <v>45413</v>
      </c>
      <c r="G165" s="1164">
        <f>IFERROR(__xludf.DUMMYFUNCTION("""COMPUTED_VALUE"""),9.0)</f>
        <v>9</v>
      </c>
      <c r="H165" s="1430">
        <f>IFERROR(__xludf.DUMMYFUNCTION("""COMPUTED_VALUE"""),114.0)</f>
        <v>114</v>
      </c>
      <c r="I165" s="94"/>
      <c r="J165" s="94"/>
      <c r="K165" s="94">
        <f>IFERROR(__xludf.DUMMYFUNCTION("""COMPUTED_VALUE"""),50.0)</f>
        <v>50</v>
      </c>
      <c r="L165" s="94">
        <f>IFERROR(__xludf.DUMMYFUNCTION("""COMPUTED_VALUE"""),45.0)</f>
        <v>45</v>
      </c>
      <c r="M165" s="94">
        <f>IFERROR(__xludf.DUMMYFUNCTION("""COMPUTED_VALUE"""),5.0)</f>
        <v>5</v>
      </c>
      <c r="N165" s="94"/>
      <c r="O165" s="1430">
        <f>IFERROR(__xludf.DUMMYFUNCTION("""COMPUTED_VALUE"""),87.5)</f>
        <v>87.5</v>
      </c>
      <c r="P165" s="1431">
        <f>IFERROR(__xludf.DUMMYFUNCTION("""COMPUTED_VALUE"""),2.65)</f>
        <v>2.65</v>
      </c>
      <c r="Q165" s="1432">
        <f>IFERROR(__xludf.DUMMYFUNCTION("""COMPUTED_VALUE"""),302.09999999999997)</f>
        <v>302.1</v>
      </c>
    </row>
    <row r="166" ht="15.75" customHeight="1">
      <c r="A166" s="94"/>
      <c r="B166" s="94" t="str">
        <f>IFERROR(__xludf.DUMMYFUNCTION("""COMPUTED_VALUE"""),"C 4245")</f>
        <v>C 4245</v>
      </c>
      <c r="C166" s="94"/>
      <c r="D166" s="1432">
        <f>IFERROR(__xludf.DUMMYFUNCTION("""COMPUTED_VALUE"""),4.0)</f>
        <v>4</v>
      </c>
      <c r="E166" s="1429">
        <f>IFERROR(__xludf.DUMMYFUNCTION("""COMPUTED_VALUE"""),45404.0)</f>
        <v>45404</v>
      </c>
      <c r="F166" s="1429">
        <f>IFERROR(__xludf.DUMMYFUNCTION("""COMPUTED_VALUE"""),45415.0)</f>
        <v>45415</v>
      </c>
      <c r="G166" s="1164">
        <f>IFERROR(__xludf.DUMMYFUNCTION("""COMPUTED_VALUE"""),11.0)</f>
        <v>11</v>
      </c>
      <c r="H166" s="1430">
        <f>IFERROR(__xludf.DUMMYFUNCTION("""COMPUTED_VALUE"""),207.0)</f>
        <v>207</v>
      </c>
      <c r="I166" s="94"/>
      <c r="J166" s="94"/>
      <c r="K166" s="94">
        <f>IFERROR(__xludf.DUMMYFUNCTION("""COMPUTED_VALUE"""),70.0)</f>
        <v>70</v>
      </c>
      <c r="L166" s="94">
        <f>IFERROR(__xludf.DUMMYFUNCTION("""COMPUTED_VALUE"""),55.0)</f>
        <v>55</v>
      </c>
      <c r="M166" s="94">
        <f>IFERROR(__xludf.DUMMYFUNCTION("""COMPUTED_VALUE"""),15.0)</f>
        <v>15</v>
      </c>
      <c r="N166" s="94"/>
      <c r="O166" s="1430">
        <f>IFERROR(__xludf.DUMMYFUNCTION("""COMPUTED_VALUE"""),130.5)</f>
        <v>130.5</v>
      </c>
      <c r="P166" s="1431">
        <f>IFERROR(__xludf.DUMMYFUNCTION("""COMPUTED_VALUE"""),2.65)</f>
        <v>2.65</v>
      </c>
      <c r="Q166" s="1432">
        <f>IFERROR(__xludf.DUMMYFUNCTION("""COMPUTED_VALUE"""),548.55)</f>
        <v>548.55</v>
      </c>
    </row>
    <row r="167" ht="15.75" customHeight="1">
      <c r="A167" s="94"/>
      <c r="B167" s="94" t="str">
        <f>IFERROR(__xludf.DUMMYFUNCTION("""COMPUTED_VALUE"""),"WS E 1202")</f>
        <v>WS E 1202</v>
      </c>
      <c r="C167" s="94"/>
      <c r="D167" s="1432">
        <f>IFERROR(__xludf.DUMMYFUNCTION("""COMPUTED_VALUE"""),4.0)</f>
        <v>4</v>
      </c>
      <c r="E167" s="1429">
        <f>IFERROR(__xludf.DUMMYFUNCTION("""COMPUTED_VALUE"""),45405.0)</f>
        <v>45405</v>
      </c>
      <c r="F167" s="1429">
        <f>IFERROR(__xludf.DUMMYFUNCTION("""COMPUTED_VALUE"""),45409.0)</f>
        <v>45409</v>
      </c>
      <c r="G167" s="1164">
        <f>IFERROR(__xludf.DUMMYFUNCTION("""COMPUTED_VALUE"""),4.0)</f>
        <v>4</v>
      </c>
      <c r="H167" s="1430">
        <f>IFERROR(__xludf.DUMMYFUNCTION("""COMPUTED_VALUE"""),163.0)</f>
        <v>163</v>
      </c>
      <c r="I167" s="94"/>
      <c r="J167" s="94"/>
      <c r="K167" s="94">
        <f>IFERROR(__xludf.DUMMYFUNCTION("""COMPUTED_VALUE"""),60.0)</f>
        <v>60</v>
      </c>
      <c r="L167" s="94">
        <f>IFERROR(__xludf.DUMMYFUNCTION("""COMPUTED_VALUE"""),50.0)</f>
        <v>50</v>
      </c>
      <c r="M167" s="94">
        <f>IFERROR(__xludf.DUMMYFUNCTION("""COMPUTED_VALUE"""),10.0)</f>
        <v>10</v>
      </c>
      <c r="N167" s="94"/>
      <c r="O167" s="1430">
        <f>IFERROR(__xludf.DUMMYFUNCTION("""COMPUTED_VALUE"""),109.0)</f>
        <v>109</v>
      </c>
      <c r="P167" s="1431">
        <f>IFERROR(__xludf.DUMMYFUNCTION("""COMPUTED_VALUE"""),2.65)</f>
        <v>2.65</v>
      </c>
      <c r="Q167" s="1432">
        <f>IFERROR(__xludf.DUMMYFUNCTION("""COMPUTED_VALUE"""),431.95)</f>
        <v>431.95</v>
      </c>
    </row>
    <row r="168" ht="15.75" customHeight="1">
      <c r="A168" s="94"/>
      <c r="B168" s="94" t="str">
        <f>IFERROR(__xludf.DUMMYFUNCTION("""COMPUTED_VALUE"""),"WS А 908")</f>
        <v>WS А 908</v>
      </c>
      <c r="C168" s="94"/>
      <c r="D168" s="1432">
        <f>IFERROR(__xludf.DUMMYFUNCTION("""COMPUTED_VALUE"""),4.0)</f>
        <v>4</v>
      </c>
      <c r="E168" s="1429">
        <f>IFERROR(__xludf.DUMMYFUNCTION("""COMPUTED_VALUE"""),45405.0)</f>
        <v>45405</v>
      </c>
      <c r="F168" s="1429">
        <f>IFERROR(__xludf.DUMMYFUNCTION("""COMPUTED_VALUE"""),45409.0)</f>
        <v>45409</v>
      </c>
      <c r="G168" s="1164">
        <f>IFERROR(__xludf.DUMMYFUNCTION("""COMPUTED_VALUE"""),4.0)</f>
        <v>4</v>
      </c>
      <c r="H168" s="1430">
        <f>IFERROR(__xludf.DUMMYFUNCTION("""COMPUTED_VALUE"""),88.0)</f>
        <v>88</v>
      </c>
      <c r="I168" s="94"/>
      <c r="J168" s="94"/>
      <c r="K168" s="94">
        <f>IFERROR(__xludf.DUMMYFUNCTION("""COMPUTED_VALUE"""),60.0)</f>
        <v>60</v>
      </c>
      <c r="L168" s="94">
        <f>IFERROR(__xludf.DUMMYFUNCTION("""COMPUTED_VALUE"""),50.0)</f>
        <v>50</v>
      </c>
      <c r="M168" s="94">
        <f>IFERROR(__xludf.DUMMYFUNCTION("""COMPUTED_VALUE"""),10.0)</f>
        <v>10</v>
      </c>
      <c r="N168" s="94"/>
      <c r="O168" s="1430">
        <f>IFERROR(__xludf.DUMMYFUNCTION("""COMPUTED_VALUE"""),109.0)</f>
        <v>109</v>
      </c>
      <c r="P168" s="1431">
        <f>IFERROR(__xludf.DUMMYFUNCTION("""COMPUTED_VALUE"""),2.65)</f>
        <v>2.65</v>
      </c>
      <c r="Q168" s="1432">
        <f>IFERROR(__xludf.DUMMYFUNCTION("""COMPUTED_VALUE"""),233.2)</f>
        <v>233.2</v>
      </c>
    </row>
    <row r="169" ht="15.75" customHeight="1">
      <c r="A169" s="94"/>
      <c r="B169" s="94" t="str">
        <f>IFERROR(__xludf.DUMMYFUNCTION("""COMPUTED_VALUE"""),"WS В 212")</f>
        <v>WS В 212</v>
      </c>
      <c r="C169" s="94"/>
      <c r="D169" s="1432">
        <f>IFERROR(__xludf.DUMMYFUNCTION("""COMPUTED_VALUE"""),4.0)</f>
        <v>4</v>
      </c>
      <c r="E169" s="1429">
        <f>IFERROR(__xludf.DUMMYFUNCTION("""COMPUTED_VALUE"""),45407.0)</f>
        <v>45407</v>
      </c>
      <c r="F169" s="1429">
        <f>IFERROR(__xludf.DUMMYFUNCTION("""COMPUTED_VALUE"""),45414.0)</f>
        <v>45414</v>
      </c>
      <c r="G169" s="1164">
        <f>IFERROR(__xludf.DUMMYFUNCTION("""COMPUTED_VALUE"""),7.0)</f>
        <v>7</v>
      </c>
      <c r="H169" s="1430">
        <f>IFERROR(__xludf.DUMMYFUNCTION("""COMPUTED_VALUE"""),325.0)</f>
        <v>325</v>
      </c>
      <c r="I169" s="94"/>
      <c r="J169" s="94"/>
      <c r="K169" s="94">
        <f>IFERROR(__xludf.DUMMYFUNCTION("""COMPUTED_VALUE"""),60.0)</f>
        <v>60</v>
      </c>
      <c r="L169" s="94">
        <f>IFERROR(__xludf.DUMMYFUNCTION("""COMPUTED_VALUE"""),50.0)</f>
        <v>50</v>
      </c>
      <c r="M169" s="94">
        <f>IFERROR(__xludf.DUMMYFUNCTION("""COMPUTED_VALUE"""),10.0)</f>
        <v>10</v>
      </c>
      <c r="N169" s="94"/>
      <c r="O169" s="1430">
        <f>IFERROR(__xludf.DUMMYFUNCTION("""COMPUTED_VALUE"""),109.0)</f>
        <v>109</v>
      </c>
      <c r="P169" s="1431">
        <f>IFERROR(__xludf.DUMMYFUNCTION("""COMPUTED_VALUE"""),2.65)</f>
        <v>2.65</v>
      </c>
      <c r="Q169" s="1432">
        <f>IFERROR(__xludf.DUMMYFUNCTION("""COMPUTED_VALUE"""),861.25)</f>
        <v>861.25</v>
      </c>
    </row>
    <row r="170" ht="15.75" customHeight="1">
      <c r="A170" s="94"/>
      <c r="B170" s="94" t="str">
        <f>IFERROR(__xludf.DUMMYFUNCTION("""COMPUTED_VALUE"""),"WS В 503")</f>
        <v>WS В 503</v>
      </c>
      <c r="C170" s="94"/>
      <c r="D170" s="1432">
        <f>IFERROR(__xludf.DUMMYFUNCTION("""COMPUTED_VALUE"""),4.0)</f>
        <v>4</v>
      </c>
      <c r="E170" s="1429">
        <f>IFERROR(__xludf.DUMMYFUNCTION("""COMPUTED_VALUE"""),45407.0)</f>
        <v>45407</v>
      </c>
      <c r="F170" s="1429">
        <f>IFERROR(__xludf.DUMMYFUNCTION("""COMPUTED_VALUE"""),45410.0)</f>
        <v>45410</v>
      </c>
      <c r="G170" s="1164">
        <f>IFERROR(__xludf.DUMMYFUNCTION("""COMPUTED_VALUE"""),3.0)</f>
        <v>3</v>
      </c>
      <c r="H170" s="1430">
        <f>IFERROR(__xludf.DUMMYFUNCTION("""COMPUTED_VALUE"""),200.0)</f>
        <v>200</v>
      </c>
      <c r="I170" s="94"/>
      <c r="J170" s="94"/>
      <c r="K170" s="94">
        <f>IFERROR(__xludf.DUMMYFUNCTION("""COMPUTED_VALUE"""),60.0)</f>
        <v>60</v>
      </c>
      <c r="L170" s="94">
        <f>IFERROR(__xludf.DUMMYFUNCTION("""COMPUTED_VALUE"""),50.0)</f>
        <v>50</v>
      </c>
      <c r="M170" s="94">
        <f>IFERROR(__xludf.DUMMYFUNCTION("""COMPUTED_VALUE"""),10.0)</f>
        <v>10</v>
      </c>
      <c r="N170" s="94"/>
      <c r="O170" s="1430">
        <f>IFERROR(__xludf.DUMMYFUNCTION("""COMPUTED_VALUE"""),109.0)</f>
        <v>109</v>
      </c>
      <c r="P170" s="1431">
        <f>IFERROR(__xludf.DUMMYFUNCTION("""COMPUTED_VALUE"""),2.65)</f>
        <v>2.65</v>
      </c>
      <c r="Q170" s="1432">
        <f>IFERROR(__xludf.DUMMYFUNCTION("""COMPUTED_VALUE"""),530.0)</f>
        <v>530</v>
      </c>
    </row>
    <row r="171" ht="15.75" customHeight="1">
      <c r="A171" s="94"/>
      <c r="B171" s="94" t="str">
        <f>IFERROR(__xludf.DUMMYFUNCTION("""COMPUTED_VALUE"""),"WS В 1510")</f>
        <v>WS В 1510</v>
      </c>
      <c r="C171" s="94"/>
      <c r="D171" s="1432">
        <f>IFERROR(__xludf.DUMMYFUNCTION("""COMPUTED_VALUE"""),4.0)</f>
        <v>4</v>
      </c>
      <c r="E171" s="1429">
        <f>IFERROR(__xludf.DUMMYFUNCTION("""COMPUTED_VALUE"""),45407.0)</f>
        <v>45407</v>
      </c>
      <c r="F171" s="1429">
        <f>IFERROR(__xludf.DUMMYFUNCTION("""COMPUTED_VALUE"""),45410.0)</f>
        <v>45410</v>
      </c>
      <c r="G171" s="1164">
        <f>IFERROR(__xludf.DUMMYFUNCTION("""COMPUTED_VALUE"""),3.0)</f>
        <v>3</v>
      </c>
      <c r="H171" s="1430">
        <f>IFERROR(__xludf.DUMMYFUNCTION("""COMPUTED_VALUE"""),54.0)</f>
        <v>54</v>
      </c>
      <c r="I171" s="94"/>
      <c r="J171" s="94"/>
      <c r="K171" s="94">
        <f>IFERROR(__xludf.DUMMYFUNCTION("""COMPUTED_VALUE"""),60.0)</f>
        <v>60</v>
      </c>
      <c r="L171" s="94">
        <f>IFERROR(__xludf.DUMMYFUNCTION("""COMPUTED_VALUE"""),50.0)</f>
        <v>50</v>
      </c>
      <c r="M171" s="94">
        <f>IFERROR(__xludf.DUMMYFUNCTION("""COMPUTED_VALUE"""),10.0)</f>
        <v>10</v>
      </c>
      <c r="N171" s="94"/>
      <c r="O171" s="1430">
        <f>IFERROR(__xludf.DUMMYFUNCTION("""COMPUTED_VALUE"""),109.0)</f>
        <v>109</v>
      </c>
      <c r="P171" s="1431">
        <f>IFERROR(__xludf.DUMMYFUNCTION("""COMPUTED_VALUE"""),2.65)</f>
        <v>2.65</v>
      </c>
      <c r="Q171" s="1432">
        <f>IFERROR(__xludf.DUMMYFUNCTION("""COMPUTED_VALUE"""),143.1)</f>
        <v>143.1</v>
      </c>
    </row>
    <row r="172" ht="15.75" customHeight="1">
      <c r="A172" s="94"/>
      <c r="B172" s="94" t="str">
        <f>IFERROR(__xludf.DUMMYFUNCTION("""COMPUTED_VALUE"""),"С 2756")</f>
        <v>С 2756</v>
      </c>
      <c r="C172" s="94"/>
      <c r="D172" s="1432">
        <f>IFERROR(__xludf.DUMMYFUNCTION("""COMPUTED_VALUE"""),4.0)</f>
        <v>4</v>
      </c>
      <c r="E172" s="1429">
        <f>IFERROR(__xludf.DUMMYFUNCTION("""COMPUTED_VALUE"""),45401.0)</f>
        <v>45401</v>
      </c>
      <c r="F172" s="1429">
        <f>IFERROR(__xludf.DUMMYFUNCTION("""COMPUTED_VALUE"""),45403.0)</f>
        <v>45403</v>
      </c>
      <c r="G172" s="1164">
        <f>IFERROR(__xludf.DUMMYFUNCTION("""COMPUTED_VALUE"""),2.0)</f>
        <v>2</v>
      </c>
      <c r="H172" s="1430">
        <f>IFERROR(__xludf.DUMMYFUNCTION("""COMPUTED_VALUE"""),37.0)</f>
        <v>37</v>
      </c>
      <c r="I172" s="94"/>
      <c r="J172" s="94"/>
      <c r="K172" s="94">
        <f>IFERROR(__xludf.DUMMYFUNCTION("""COMPUTED_VALUE"""),50.0)</f>
        <v>50</v>
      </c>
      <c r="L172" s="94">
        <f>IFERROR(__xludf.DUMMYFUNCTION("""COMPUTED_VALUE"""),45.0)</f>
        <v>45</v>
      </c>
      <c r="M172" s="94">
        <f>IFERROR(__xludf.DUMMYFUNCTION("""COMPUTED_VALUE"""),5.0)</f>
        <v>5</v>
      </c>
      <c r="N172" s="94"/>
      <c r="O172" s="1430">
        <f>IFERROR(__xludf.DUMMYFUNCTION("""COMPUTED_VALUE"""),87.5)</f>
        <v>87.5</v>
      </c>
      <c r="P172" s="1431">
        <f>IFERROR(__xludf.DUMMYFUNCTION("""COMPUTED_VALUE"""),2.65)</f>
        <v>2.65</v>
      </c>
      <c r="Q172" s="1432">
        <f>IFERROR(__xludf.DUMMYFUNCTION("""COMPUTED_VALUE"""),98.05)</f>
        <v>98.05</v>
      </c>
    </row>
    <row r="173" ht="15.75" customHeight="1">
      <c r="A173" s="94"/>
      <c r="B173" s="94" t="str">
        <f>IFERROR(__xludf.DUMMYFUNCTION("""COMPUTED_VALUE"""),"D 1321")</f>
        <v>D 1321</v>
      </c>
      <c r="C173" s="94"/>
      <c r="D173" s="1432">
        <f>IFERROR(__xludf.DUMMYFUNCTION("""COMPUTED_VALUE"""),4.0)</f>
        <v>4</v>
      </c>
      <c r="E173" s="1429">
        <f>IFERROR(__xludf.DUMMYFUNCTION("""COMPUTED_VALUE"""),45401.0)</f>
        <v>45401</v>
      </c>
      <c r="F173" s="1429">
        <f>IFERROR(__xludf.DUMMYFUNCTION("""COMPUTED_VALUE"""),45405.0)</f>
        <v>45405</v>
      </c>
      <c r="G173" s="1164">
        <f>IFERROR(__xludf.DUMMYFUNCTION("""COMPUTED_VALUE"""),2.0)</f>
        <v>2</v>
      </c>
      <c r="H173" s="1430">
        <f>IFERROR(__xludf.DUMMYFUNCTION("""COMPUTED_VALUE"""),64.0)</f>
        <v>64</v>
      </c>
      <c r="I173" s="94"/>
      <c r="J173" s="94"/>
      <c r="K173" s="94">
        <f>IFERROR(__xludf.DUMMYFUNCTION("""COMPUTED_VALUE"""),50.0)</f>
        <v>50</v>
      </c>
      <c r="L173" s="94">
        <f>IFERROR(__xludf.DUMMYFUNCTION("""COMPUTED_VALUE"""),45.0)</f>
        <v>45</v>
      </c>
      <c r="M173" s="94">
        <f>IFERROR(__xludf.DUMMYFUNCTION("""COMPUTED_VALUE"""),5.0)</f>
        <v>5</v>
      </c>
      <c r="N173" s="94"/>
      <c r="O173" s="1430">
        <f>IFERROR(__xludf.DUMMYFUNCTION("""COMPUTED_VALUE"""),87.5)</f>
        <v>87.5</v>
      </c>
      <c r="P173" s="1431">
        <f>IFERROR(__xludf.DUMMYFUNCTION("""COMPUTED_VALUE"""),2.65)</f>
        <v>2.65</v>
      </c>
      <c r="Q173" s="1432">
        <f>IFERROR(__xludf.DUMMYFUNCTION("""COMPUTED_VALUE"""),169.6)</f>
        <v>169.6</v>
      </c>
    </row>
    <row r="174" ht="15.75" customHeight="1">
      <c r="A174" s="94"/>
      <c r="B174" s="94" t="str">
        <f>IFERROR(__xludf.DUMMYFUNCTION("""COMPUTED_VALUE"""),"С 2756")</f>
        <v>С 2756</v>
      </c>
      <c r="C174" s="94"/>
      <c r="D174" s="1432">
        <f>IFERROR(__xludf.DUMMYFUNCTION("""COMPUTED_VALUE"""),4.0)</f>
        <v>4</v>
      </c>
      <c r="E174" s="1429">
        <f>IFERROR(__xludf.DUMMYFUNCTION("""COMPUTED_VALUE"""),45404.0)</f>
        <v>45404</v>
      </c>
      <c r="F174" s="1429">
        <f>IFERROR(__xludf.DUMMYFUNCTION("""COMPUTED_VALUE"""),45408.0)</f>
        <v>45408</v>
      </c>
      <c r="G174" s="1164">
        <f>IFERROR(__xludf.DUMMYFUNCTION("""COMPUTED_VALUE"""),4.0)</f>
        <v>4</v>
      </c>
      <c r="H174" s="1430">
        <f>IFERROR(__xludf.DUMMYFUNCTION("""COMPUTED_VALUE"""),60.0)</f>
        <v>60</v>
      </c>
      <c r="I174" s="94"/>
      <c r="J174" s="94"/>
      <c r="K174" s="94">
        <f>IFERROR(__xludf.DUMMYFUNCTION("""COMPUTED_VALUE"""),50.0)</f>
        <v>50</v>
      </c>
      <c r="L174" s="94">
        <f>IFERROR(__xludf.DUMMYFUNCTION("""COMPUTED_VALUE"""),45.0)</f>
        <v>45</v>
      </c>
      <c r="M174" s="94">
        <f>IFERROR(__xludf.DUMMYFUNCTION("""COMPUTED_VALUE"""),5.0)</f>
        <v>5</v>
      </c>
      <c r="N174" s="94"/>
      <c r="O174" s="1430">
        <f>IFERROR(__xludf.DUMMYFUNCTION("""COMPUTED_VALUE"""),87.5)</f>
        <v>87.5</v>
      </c>
      <c r="P174" s="1431">
        <f>IFERROR(__xludf.DUMMYFUNCTION("""COMPUTED_VALUE"""),2.65)</f>
        <v>2.65</v>
      </c>
      <c r="Q174" s="1432">
        <f>IFERROR(__xludf.DUMMYFUNCTION("""COMPUTED_VALUE"""),159.0)</f>
        <v>159</v>
      </c>
    </row>
    <row r="175" ht="15.75" customHeight="1">
      <c r="A175" s="94"/>
      <c r="B175" s="94" t="str">
        <f>IFERROR(__xludf.DUMMYFUNCTION("""COMPUTED_VALUE"""),"D 1321")</f>
        <v>D 1321</v>
      </c>
      <c r="C175" s="94"/>
      <c r="D175" s="1432">
        <f>IFERROR(__xludf.DUMMYFUNCTION("""COMPUTED_VALUE"""),4.0)</f>
        <v>4</v>
      </c>
      <c r="E175" s="1429">
        <f>IFERROR(__xludf.DUMMYFUNCTION("""COMPUTED_VALUE"""),45405.0)</f>
        <v>45405</v>
      </c>
      <c r="F175" s="1429">
        <f>IFERROR(__xludf.DUMMYFUNCTION("""COMPUTED_VALUE"""),45409.0)</f>
        <v>45409</v>
      </c>
      <c r="G175" s="1164">
        <f>IFERROR(__xludf.DUMMYFUNCTION("""COMPUTED_VALUE"""),4.0)</f>
        <v>4</v>
      </c>
      <c r="H175" s="1430">
        <f>IFERROR(__xludf.DUMMYFUNCTION("""COMPUTED_VALUE"""),53.0)</f>
        <v>53</v>
      </c>
      <c r="I175" s="94"/>
      <c r="J175" s="94"/>
      <c r="K175" s="94">
        <f>IFERROR(__xludf.DUMMYFUNCTION("""COMPUTED_VALUE"""),50.0)</f>
        <v>50</v>
      </c>
      <c r="L175" s="94">
        <f>IFERROR(__xludf.DUMMYFUNCTION("""COMPUTED_VALUE"""),45.0)</f>
        <v>45</v>
      </c>
      <c r="M175" s="94">
        <f>IFERROR(__xludf.DUMMYFUNCTION("""COMPUTED_VALUE"""),5.0)</f>
        <v>5</v>
      </c>
      <c r="N175" s="94"/>
      <c r="O175" s="1430">
        <f>IFERROR(__xludf.DUMMYFUNCTION("""COMPUTED_VALUE"""),87.5)</f>
        <v>87.5</v>
      </c>
      <c r="P175" s="1431">
        <f>IFERROR(__xludf.DUMMYFUNCTION("""COMPUTED_VALUE"""),2.65)</f>
        <v>2.65</v>
      </c>
      <c r="Q175" s="1432">
        <f>IFERROR(__xludf.DUMMYFUNCTION("""COMPUTED_VALUE"""),140.45)</f>
        <v>140.45</v>
      </c>
    </row>
    <row r="176" ht="15.75" customHeight="1">
      <c r="A176" s="94"/>
      <c r="B176" s="94" t="str">
        <f>IFERROR(__xludf.DUMMYFUNCTION("""COMPUTED_VALUE"""),"CM 1931")</f>
        <v>CM 1931</v>
      </c>
      <c r="C176" s="94"/>
      <c r="D176" s="1432">
        <f>IFERROR(__xludf.DUMMYFUNCTION("""COMPUTED_VALUE"""),4.0)</f>
        <v>4</v>
      </c>
      <c r="E176" s="1429">
        <f>IFERROR(__xludf.DUMMYFUNCTION("""COMPUTED_VALUE"""),45405.0)</f>
        <v>45405</v>
      </c>
      <c r="F176" s="1429">
        <f>IFERROR(__xludf.DUMMYFUNCTION("""COMPUTED_VALUE"""),45408.0)</f>
        <v>45408</v>
      </c>
      <c r="G176" s="1164">
        <f>IFERROR(__xludf.DUMMYFUNCTION("""COMPUTED_VALUE"""),3.0)</f>
        <v>3</v>
      </c>
      <c r="H176" s="1430">
        <f>IFERROR(__xludf.DUMMYFUNCTION("""COMPUTED_VALUE"""),60.0)</f>
        <v>60</v>
      </c>
      <c r="I176" s="94"/>
      <c r="J176" s="94"/>
      <c r="K176" s="94">
        <f>IFERROR(__xludf.DUMMYFUNCTION("""COMPUTED_VALUE"""),60.0)</f>
        <v>60</v>
      </c>
      <c r="L176" s="94">
        <f>IFERROR(__xludf.DUMMYFUNCTION("""COMPUTED_VALUE"""),50.0)</f>
        <v>50</v>
      </c>
      <c r="M176" s="94">
        <f>IFERROR(__xludf.DUMMYFUNCTION("""COMPUTED_VALUE"""),10.0)</f>
        <v>10</v>
      </c>
      <c r="N176" s="94"/>
      <c r="O176" s="1430">
        <f>IFERROR(__xludf.DUMMYFUNCTION("""COMPUTED_VALUE"""),109.0)</f>
        <v>109</v>
      </c>
      <c r="P176" s="1431">
        <f>IFERROR(__xludf.DUMMYFUNCTION("""COMPUTED_VALUE"""),2.65)</f>
        <v>2.65</v>
      </c>
      <c r="Q176" s="1432">
        <f>IFERROR(__xludf.DUMMYFUNCTION("""COMPUTED_VALUE"""),159.0)</f>
        <v>159</v>
      </c>
    </row>
    <row r="177" ht="15.75" customHeight="1">
      <c r="A177" s="94"/>
      <c r="B177" s="94" t="str">
        <f>IFERROR(__xludf.DUMMYFUNCTION("""COMPUTED_VALUE"""),"WS В 212")</f>
        <v>WS В 212</v>
      </c>
      <c r="C177" s="94"/>
      <c r="D177" s="1432">
        <f>IFERROR(__xludf.DUMMYFUNCTION("""COMPUTED_VALUE"""),4.0)</f>
        <v>4</v>
      </c>
      <c r="E177" s="1429">
        <f>IFERROR(__xludf.DUMMYFUNCTION("""COMPUTED_VALUE"""),45407.0)</f>
        <v>45407</v>
      </c>
      <c r="F177" s="1429">
        <f>IFERROR(__xludf.DUMMYFUNCTION("""COMPUTED_VALUE"""),45414.0)</f>
        <v>45414</v>
      </c>
      <c r="G177" s="1164">
        <f>IFERROR(__xludf.DUMMYFUNCTION("""COMPUTED_VALUE"""),7.0)</f>
        <v>7</v>
      </c>
      <c r="H177" s="1430">
        <f>IFERROR(__xludf.DUMMYFUNCTION("""COMPUTED_VALUE"""),325.0)</f>
        <v>325</v>
      </c>
      <c r="I177" s="94"/>
      <c r="J177" s="94"/>
      <c r="K177" s="94">
        <f>IFERROR(__xludf.DUMMYFUNCTION("""COMPUTED_VALUE"""),60.0)</f>
        <v>60</v>
      </c>
      <c r="L177" s="94">
        <f>IFERROR(__xludf.DUMMYFUNCTION("""COMPUTED_VALUE"""),50.0)</f>
        <v>50</v>
      </c>
      <c r="M177" s="94">
        <f>IFERROR(__xludf.DUMMYFUNCTION("""COMPUTED_VALUE"""),10.0)</f>
        <v>10</v>
      </c>
      <c r="N177" s="94"/>
      <c r="O177" s="1430">
        <f>IFERROR(__xludf.DUMMYFUNCTION("""COMPUTED_VALUE"""),109.0)</f>
        <v>109</v>
      </c>
      <c r="P177" s="1431">
        <f>IFERROR(__xludf.DUMMYFUNCTION("""COMPUTED_VALUE"""),2.65)</f>
        <v>2.65</v>
      </c>
      <c r="Q177" s="1432">
        <f>IFERROR(__xludf.DUMMYFUNCTION("""COMPUTED_VALUE"""),861.25)</f>
        <v>861.25</v>
      </c>
    </row>
    <row r="178" ht="15.75" customHeight="1">
      <c r="A178" s="94"/>
      <c r="B178" s="94" t="str">
        <f>IFERROR(__xludf.DUMMYFUNCTION("""COMPUTED_VALUE"""),"С 1443")</f>
        <v>С 1443</v>
      </c>
      <c r="C178" s="94"/>
      <c r="D178" s="1432">
        <f>IFERROR(__xludf.DUMMYFUNCTION("""COMPUTED_VALUE"""),4.0)</f>
        <v>4</v>
      </c>
      <c r="E178" s="1429">
        <f>IFERROR(__xludf.DUMMYFUNCTION("""COMPUTED_VALUE"""),45408.0)</f>
        <v>45408</v>
      </c>
      <c r="F178" s="1429">
        <f>IFERROR(__xludf.DUMMYFUNCTION("""COMPUTED_VALUE"""),45413.0)</f>
        <v>45413</v>
      </c>
      <c r="G178" s="1164">
        <f>IFERROR(__xludf.DUMMYFUNCTION("""COMPUTED_VALUE"""),5.0)</f>
        <v>5</v>
      </c>
      <c r="H178" s="1430">
        <f>IFERROR(__xludf.DUMMYFUNCTION("""COMPUTED_VALUE"""),102.0)</f>
        <v>102</v>
      </c>
      <c r="I178" s="94"/>
      <c r="J178" s="94"/>
      <c r="K178" s="94">
        <f>IFERROR(__xludf.DUMMYFUNCTION("""COMPUTED_VALUE"""),60.0)</f>
        <v>60</v>
      </c>
      <c r="L178" s="94">
        <f>IFERROR(__xludf.DUMMYFUNCTION("""COMPUTED_VALUE"""),50.0)</f>
        <v>50</v>
      </c>
      <c r="M178" s="94">
        <f>IFERROR(__xludf.DUMMYFUNCTION("""COMPUTED_VALUE"""),10.0)</f>
        <v>10</v>
      </c>
      <c r="N178" s="94"/>
      <c r="O178" s="1430">
        <f>IFERROR(__xludf.DUMMYFUNCTION("""COMPUTED_VALUE"""),109.0)</f>
        <v>109</v>
      </c>
      <c r="P178" s="1431">
        <f>IFERROR(__xludf.DUMMYFUNCTION("""COMPUTED_VALUE"""),2.65)</f>
        <v>2.65</v>
      </c>
      <c r="Q178" s="1432">
        <f>IFERROR(__xludf.DUMMYFUNCTION("""COMPUTED_VALUE"""),270.3)</f>
        <v>270.3</v>
      </c>
    </row>
    <row r="179" ht="15.75" customHeight="1">
      <c r="A179" s="94"/>
      <c r="B179" s="94" t="str">
        <f>IFERROR(__xludf.DUMMYFUNCTION("""COMPUTED_VALUE"""),"С 2756")</f>
        <v>С 2756</v>
      </c>
      <c r="C179" s="94"/>
      <c r="D179" s="1432">
        <f>IFERROR(__xludf.DUMMYFUNCTION("""COMPUTED_VALUE"""),4.0)</f>
        <v>4</v>
      </c>
      <c r="E179" s="1429">
        <f>IFERROR(__xludf.DUMMYFUNCTION("""COMPUTED_VALUE"""),45408.0)</f>
        <v>45408</v>
      </c>
      <c r="F179" s="1429">
        <f>IFERROR(__xludf.DUMMYFUNCTION("""COMPUTED_VALUE"""),45413.0)</f>
        <v>45413</v>
      </c>
      <c r="G179" s="1164">
        <f>IFERROR(__xludf.DUMMYFUNCTION("""COMPUTED_VALUE"""),5.0)</f>
        <v>5</v>
      </c>
      <c r="H179" s="1430">
        <f>IFERROR(__xludf.DUMMYFUNCTION("""COMPUTED_VALUE"""),73.0)</f>
        <v>73</v>
      </c>
      <c r="I179" s="94"/>
      <c r="J179" s="94"/>
      <c r="K179" s="94">
        <f>IFERROR(__xludf.DUMMYFUNCTION("""COMPUTED_VALUE"""),50.0)</f>
        <v>50</v>
      </c>
      <c r="L179" s="94">
        <f>IFERROR(__xludf.DUMMYFUNCTION("""COMPUTED_VALUE"""),45.0)</f>
        <v>45</v>
      </c>
      <c r="M179" s="94">
        <f>IFERROR(__xludf.DUMMYFUNCTION("""COMPUTED_VALUE"""),5.0)</f>
        <v>5</v>
      </c>
      <c r="N179" s="94"/>
      <c r="O179" s="1430">
        <f>IFERROR(__xludf.DUMMYFUNCTION("""COMPUTED_VALUE"""),87.5)</f>
        <v>87.5</v>
      </c>
      <c r="P179" s="1431">
        <f>IFERROR(__xludf.DUMMYFUNCTION("""COMPUTED_VALUE"""),2.65)</f>
        <v>2.65</v>
      </c>
      <c r="Q179" s="1432">
        <f>IFERROR(__xludf.DUMMYFUNCTION("""COMPUTED_VALUE"""),193.45)</f>
        <v>193.45</v>
      </c>
    </row>
    <row r="180" ht="15.75" customHeight="1">
      <c r="A180" s="94"/>
      <c r="B180" s="94" t="str">
        <f>IFERROR(__xludf.DUMMYFUNCTION("""COMPUTED_VALUE"""),"D 1321")</f>
        <v>D 1321</v>
      </c>
      <c r="C180" s="94"/>
      <c r="D180" s="1432">
        <f>IFERROR(__xludf.DUMMYFUNCTION("""COMPUTED_VALUE"""),4.0)</f>
        <v>4</v>
      </c>
      <c r="E180" s="1429">
        <f>IFERROR(__xludf.DUMMYFUNCTION("""COMPUTED_VALUE"""),45409.0)</f>
        <v>45409</v>
      </c>
      <c r="F180" s="1429">
        <f>IFERROR(__xludf.DUMMYFUNCTION("""COMPUTED_VALUE"""),45412.0)</f>
        <v>45412</v>
      </c>
      <c r="G180" s="1164">
        <f>IFERROR(__xludf.DUMMYFUNCTION("""COMPUTED_VALUE"""),3.0)</f>
        <v>3</v>
      </c>
      <c r="H180" s="1430">
        <f>IFERROR(__xludf.DUMMYFUNCTION("""COMPUTED_VALUE"""),64.0)</f>
        <v>64</v>
      </c>
      <c r="I180" s="94"/>
      <c r="J180" s="94"/>
      <c r="K180" s="94">
        <f>IFERROR(__xludf.DUMMYFUNCTION("""COMPUTED_VALUE"""),50.0)</f>
        <v>50</v>
      </c>
      <c r="L180" s="94">
        <f>IFERROR(__xludf.DUMMYFUNCTION("""COMPUTED_VALUE"""),45.0)</f>
        <v>45</v>
      </c>
      <c r="M180" s="94">
        <f>IFERROR(__xludf.DUMMYFUNCTION("""COMPUTED_VALUE"""),5.0)</f>
        <v>5</v>
      </c>
      <c r="N180" s="94"/>
      <c r="O180" s="1430">
        <f>IFERROR(__xludf.DUMMYFUNCTION("""COMPUTED_VALUE"""),87.5)</f>
        <v>87.5</v>
      </c>
      <c r="P180" s="1431">
        <f>IFERROR(__xludf.DUMMYFUNCTION("""COMPUTED_VALUE"""),2.65)</f>
        <v>2.65</v>
      </c>
      <c r="Q180" s="1432">
        <f>IFERROR(__xludf.DUMMYFUNCTION("""COMPUTED_VALUE"""),169.6)</f>
        <v>169.6</v>
      </c>
    </row>
    <row r="181" ht="15.75" customHeight="1">
      <c r="A181" s="94"/>
      <c r="B181" s="94" t="str">
        <f>IFERROR(__xludf.DUMMYFUNCTION("""COMPUTED_VALUE"""),"CM 1931")</f>
        <v>CM 1931</v>
      </c>
      <c r="C181" s="94"/>
      <c r="D181" s="1432">
        <f>IFERROR(__xludf.DUMMYFUNCTION("""COMPUTED_VALUE"""),4.0)</f>
        <v>4</v>
      </c>
      <c r="E181" s="1429">
        <f>IFERROR(__xludf.DUMMYFUNCTION("""COMPUTED_VALUE"""),45409.0)</f>
        <v>45409</v>
      </c>
      <c r="F181" s="1429">
        <f>IFERROR(__xludf.DUMMYFUNCTION("""COMPUTED_VALUE"""),45412.0)</f>
        <v>45412</v>
      </c>
      <c r="G181" s="1164">
        <f>IFERROR(__xludf.DUMMYFUNCTION("""COMPUTED_VALUE"""),3.0)</f>
        <v>3</v>
      </c>
      <c r="H181" s="1430">
        <f>IFERROR(__xludf.DUMMYFUNCTION("""COMPUTED_VALUE"""),60.0)</f>
        <v>60</v>
      </c>
      <c r="I181" s="94"/>
      <c r="J181" s="94"/>
      <c r="K181" s="94">
        <f>IFERROR(__xludf.DUMMYFUNCTION("""COMPUTED_VALUE"""),60.0)</f>
        <v>60</v>
      </c>
      <c r="L181" s="94">
        <f>IFERROR(__xludf.DUMMYFUNCTION("""COMPUTED_VALUE"""),50.0)</f>
        <v>50</v>
      </c>
      <c r="M181" s="94">
        <f>IFERROR(__xludf.DUMMYFUNCTION("""COMPUTED_VALUE"""),10.0)</f>
        <v>10</v>
      </c>
      <c r="N181" s="94"/>
      <c r="O181" s="1430">
        <f>IFERROR(__xludf.DUMMYFUNCTION("""COMPUTED_VALUE"""),109.0)</f>
        <v>109</v>
      </c>
      <c r="P181" s="1431">
        <f>IFERROR(__xludf.DUMMYFUNCTION("""COMPUTED_VALUE"""),2.65)</f>
        <v>2.65</v>
      </c>
      <c r="Q181" s="1432">
        <f>IFERROR(__xludf.DUMMYFUNCTION("""COMPUTED_VALUE"""),159.0)</f>
        <v>159</v>
      </c>
    </row>
    <row r="182" ht="15.75" customHeight="1">
      <c r="A182" s="94"/>
      <c r="B182" s="94" t="str">
        <f>IFERROR(__xludf.DUMMYFUNCTION("""COMPUTED_VALUE"""),"WS E 1202")</f>
        <v>WS E 1202</v>
      </c>
      <c r="C182" s="94"/>
      <c r="D182" s="1432">
        <f>IFERROR(__xludf.DUMMYFUNCTION("""COMPUTED_VALUE"""),4.0)</f>
        <v>4</v>
      </c>
      <c r="E182" s="1429">
        <f>IFERROR(__xludf.DUMMYFUNCTION("""COMPUTED_VALUE"""),45409.0)</f>
        <v>45409</v>
      </c>
      <c r="F182" s="1429">
        <f>IFERROR(__xludf.DUMMYFUNCTION("""COMPUTED_VALUE"""),45413.0)</f>
        <v>45413</v>
      </c>
      <c r="G182" s="1164">
        <f>IFERROR(__xludf.DUMMYFUNCTION("""COMPUTED_VALUE"""),4.0)</f>
        <v>4</v>
      </c>
      <c r="H182" s="1430">
        <f>IFERROR(__xludf.DUMMYFUNCTION("""COMPUTED_VALUE"""),198.0)</f>
        <v>198</v>
      </c>
      <c r="I182" s="94"/>
      <c r="J182" s="94"/>
      <c r="K182" s="94">
        <f>IFERROR(__xludf.DUMMYFUNCTION("""COMPUTED_VALUE"""),60.0)</f>
        <v>60</v>
      </c>
      <c r="L182" s="94">
        <f>IFERROR(__xludf.DUMMYFUNCTION("""COMPUTED_VALUE"""),50.0)</f>
        <v>50</v>
      </c>
      <c r="M182" s="94">
        <f>IFERROR(__xludf.DUMMYFUNCTION("""COMPUTED_VALUE"""),10.0)</f>
        <v>10</v>
      </c>
      <c r="N182" s="94"/>
      <c r="O182" s="1430">
        <f>IFERROR(__xludf.DUMMYFUNCTION("""COMPUTED_VALUE"""),109.0)</f>
        <v>109</v>
      </c>
      <c r="P182" s="1431">
        <f>IFERROR(__xludf.DUMMYFUNCTION("""COMPUTED_VALUE"""),2.65)</f>
        <v>2.65</v>
      </c>
      <c r="Q182" s="1432">
        <f>IFERROR(__xludf.DUMMYFUNCTION("""COMPUTED_VALUE"""),524.6999999999999)</f>
        <v>524.7</v>
      </c>
    </row>
    <row r="183" ht="15.75" customHeight="1">
      <c r="A183" s="94"/>
      <c r="B183" s="94" t="str">
        <f>IFERROR(__xludf.DUMMYFUNCTION("""COMPUTED_VALUE"""),"Шар 2505")</f>
        <v>Шар 2505</v>
      </c>
      <c r="C183" s="94"/>
      <c r="D183" s="1432">
        <f>IFERROR(__xludf.DUMMYFUNCTION("""COMPUTED_VALUE"""),4.0)</f>
        <v>4</v>
      </c>
      <c r="E183" s="1429">
        <f>IFERROR(__xludf.DUMMYFUNCTION("""COMPUTED_VALUE"""),45410.0)</f>
        <v>45410</v>
      </c>
      <c r="F183" s="1429">
        <f>IFERROR(__xludf.DUMMYFUNCTION("""COMPUTED_VALUE"""),45413.0)</f>
        <v>45413</v>
      </c>
      <c r="G183" s="1164">
        <f>IFERROR(__xludf.DUMMYFUNCTION("""COMPUTED_VALUE"""),3.0)</f>
        <v>3</v>
      </c>
      <c r="H183" s="1430">
        <f>IFERROR(__xludf.DUMMYFUNCTION("""COMPUTED_VALUE"""),58.0)</f>
        <v>58</v>
      </c>
      <c r="I183" s="94"/>
      <c r="J183" s="94"/>
      <c r="K183" s="94">
        <f>IFERROR(__xludf.DUMMYFUNCTION("""COMPUTED_VALUE"""),60.0)</f>
        <v>60</v>
      </c>
      <c r="L183" s="94">
        <f>IFERROR(__xludf.DUMMYFUNCTION("""COMPUTED_VALUE"""),50.0)</f>
        <v>50</v>
      </c>
      <c r="M183" s="94">
        <f>IFERROR(__xludf.DUMMYFUNCTION("""COMPUTED_VALUE"""),10.0)</f>
        <v>10</v>
      </c>
      <c r="N183" s="94"/>
      <c r="O183" s="1430">
        <f>IFERROR(__xludf.DUMMYFUNCTION("""COMPUTED_VALUE"""),109.0)</f>
        <v>109</v>
      </c>
      <c r="P183" s="1431">
        <f>IFERROR(__xludf.DUMMYFUNCTION("""COMPUTED_VALUE"""),2.65)</f>
        <v>2.65</v>
      </c>
      <c r="Q183" s="1432">
        <f>IFERROR(__xludf.DUMMYFUNCTION("""COMPUTED_VALUE"""),153.7)</f>
        <v>153.7</v>
      </c>
    </row>
    <row r="184" ht="15.75" customHeight="1">
      <c r="A184" s="94" t="str">
        <f>IFERROR(__xludf.DUMMYFUNCTION("""COMPUTED_VALUE"""),"Итого неделя")</f>
        <v>Итого неделя</v>
      </c>
      <c r="B184" s="94" t="str">
        <f>IFERROR(__xludf.DUMMYFUNCTION("""COMPUTED_VALUE"""),"17 неделя")</f>
        <v>17 неделя</v>
      </c>
      <c r="C184" s="94"/>
      <c r="D184" s="94"/>
      <c r="E184" s="94"/>
      <c r="F184" s="94"/>
      <c r="G184" s="1164">
        <f>IFERROR(__xludf.DUMMYFUNCTION("""COMPUTED_VALUE"""),0.0)</f>
        <v>0</v>
      </c>
      <c r="H184" s="1430">
        <f>IFERROR(__xludf.DUMMYFUNCTION("""COMPUTED_VALUE"""),2305.0)</f>
        <v>2305</v>
      </c>
      <c r="I184" s="94"/>
      <c r="J184" s="94"/>
      <c r="K184" s="1430">
        <f>IFERROR(__xludf.DUMMYFUNCTION("""COMPUTED_VALUE"""),1080.0)</f>
        <v>1080</v>
      </c>
      <c r="L184" s="1430">
        <f>IFERROR(__xludf.DUMMYFUNCTION("""COMPUTED_VALUE"""),920.0)</f>
        <v>920</v>
      </c>
      <c r="M184" s="1430">
        <f>IFERROR(__xludf.DUMMYFUNCTION("""COMPUTED_VALUE"""),160.0)</f>
        <v>160</v>
      </c>
      <c r="N184" s="94"/>
      <c r="O184" s="1430">
        <f>IFERROR(__xludf.DUMMYFUNCTION("""COMPUTED_VALUE"""),1942.0)</f>
        <v>1942</v>
      </c>
      <c r="P184" s="1431">
        <f>IFERROR(__xludf.DUMMYFUNCTION("""COMPUTED_VALUE"""),2.65)</f>
        <v>2.65</v>
      </c>
      <c r="Q184" s="1432">
        <f>IFERROR(__xludf.DUMMYFUNCTION("""COMPUTED_VALUE"""),6108.25)</f>
        <v>6108.25</v>
      </c>
    </row>
    <row r="185" ht="15.75" customHeight="1">
      <c r="A185" s="94"/>
      <c r="B185" s="94" t="str">
        <f>IFERROR(__xludf.DUMMYFUNCTION("""COMPUTED_VALUE"""),"WS В 503")</f>
        <v>WS В 503</v>
      </c>
      <c r="C185" s="94"/>
      <c r="D185" s="1432">
        <f>IFERROR(__xludf.DUMMYFUNCTION("""COMPUTED_VALUE"""),4.0)</f>
        <v>4</v>
      </c>
      <c r="E185" s="1429">
        <f>IFERROR(__xludf.DUMMYFUNCTION("""COMPUTED_VALUE"""),45411.0)</f>
        <v>45411</v>
      </c>
      <c r="F185" s="1429">
        <f>IFERROR(__xludf.DUMMYFUNCTION("""COMPUTED_VALUE"""),45413.0)</f>
        <v>45413</v>
      </c>
      <c r="G185" s="1164">
        <f>IFERROR(__xludf.DUMMYFUNCTION("""COMPUTED_VALUE"""),2.0)</f>
        <v>2</v>
      </c>
      <c r="H185" s="1430">
        <f>IFERROR(__xludf.DUMMYFUNCTION("""COMPUTED_VALUE"""),75.0)</f>
        <v>75</v>
      </c>
      <c r="I185" s="94"/>
      <c r="J185" s="94"/>
      <c r="K185" s="94">
        <f>IFERROR(__xludf.DUMMYFUNCTION("""COMPUTED_VALUE"""),70.0)</f>
        <v>70</v>
      </c>
      <c r="L185" s="94">
        <f>IFERROR(__xludf.DUMMYFUNCTION("""COMPUTED_VALUE"""),50.0)</f>
        <v>50</v>
      </c>
      <c r="M185" s="94">
        <f>IFERROR(__xludf.DUMMYFUNCTION("""COMPUTED_VALUE"""),20.0)</f>
        <v>20</v>
      </c>
      <c r="N185" s="94"/>
      <c r="O185" s="1430">
        <f>IFERROR(__xludf.DUMMYFUNCTION("""COMPUTED_VALUE"""),135.5)</f>
        <v>135.5</v>
      </c>
      <c r="P185" s="1431">
        <f>IFERROR(__xludf.DUMMYFUNCTION("""COMPUTED_VALUE"""),2.65)</f>
        <v>2.65</v>
      </c>
      <c r="Q185" s="1432">
        <f>IFERROR(__xludf.DUMMYFUNCTION("""COMPUTED_VALUE"""),198.75)</f>
        <v>198.75</v>
      </c>
    </row>
    <row r="186" ht="15.75" customHeight="1">
      <c r="A186" s="94"/>
      <c r="B186" s="94" t="str">
        <f>IFERROR(__xludf.DUMMYFUNCTION("""COMPUTED_VALUE"""),"CM 1606")</f>
        <v>CM 1606</v>
      </c>
      <c r="C186" s="94"/>
      <c r="D186" s="1432">
        <f>IFERROR(__xludf.DUMMYFUNCTION("""COMPUTED_VALUE"""),4.0)</f>
        <v>4</v>
      </c>
      <c r="E186" s="1429">
        <f>IFERROR(__xludf.DUMMYFUNCTION("""COMPUTED_VALUE"""),45411.0)</f>
        <v>45411</v>
      </c>
      <c r="F186" s="1429">
        <f>IFERROR(__xludf.DUMMYFUNCTION("""COMPUTED_VALUE"""),45416.0)</f>
        <v>45416</v>
      </c>
      <c r="G186" s="1164">
        <f>IFERROR(__xludf.DUMMYFUNCTION("""COMPUTED_VALUE"""),5.0)</f>
        <v>5</v>
      </c>
      <c r="H186" s="1430">
        <f>IFERROR(__xludf.DUMMYFUNCTION("""COMPUTED_VALUE"""),139.0)</f>
        <v>139</v>
      </c>
      <c r="I186" s="94"/>
      <c r="J186" s="94"/>
      <c r="K186" s="94">
        <f>IFERROR(__xludf.DUMMYFUNCTION("""COMPUTED_VALUE"""),60.0)</f>
        <v>60</v>
      </c>
      <c r="L186" s="94">
        <f>IFERROR(__xludf.DUMMYFUNCTION("""COMPUTED_VALUE"""),50.0)</f>
        <v>50</v>
      </c>
      <c r="M186" s="94">
        <f>IFERROR(__xludf.DUMMYFUNCTION("""COMPUTED_VALUE"""),10.0)</f>
        <v>10</v>
      </c>
      <c r="N186" s="94"/>
      <c r="O186" s="1430">
        <f>IFERROR(__xludf.DUMMYFUNCTION("""COMPUTED_VALUE"""),109.0)</f>
        <v>109</v>
      </c>
      <c r="P186" s="1431">
        <f>IFERROR(__xludf.DUMMYFUNCTION("""COMPUTED_VALUE"""),2.65)</f>
        <v>2.65</v>
      </c>
      <c r="Q186" s="1432">
        <f>IFERROR(__xludf.DUMMYFUNCTION("""COMPUTED_VALUE"""),368.34999999999997)</f>
        <v>368.35</v>
      </c>
    </row>
    <row r="187" ht="15.75" customHeight="1">
      <c r="A187" s="94"/>
      <c r="B187" s="94" t="str">
        <f>IFERROR(__xludf.DUMMYFUNCTION("""COMPUTED_VALUE"""),"WS  B 405")</f>
        <v>WS  B 405</v>
      </c>
      <c r="C187" s="94"/>
      <c r="D187" s="1432">
        <f>IFERROR(__xludf.DUMMYFUNCTION("""COMPUTED_VALUE"""),4.0)</f>
        <v>4</v>
      </c>
      <c r="E187" s="1429">
        <f>IFERROR(__xludf.DUMMYFUNCTION("""COMPUTED_VALUE"""),45411.0)</f>
        <v>45411</v>
      </c>
      <c r="F187" s="1436">
        <f>IFERROR(__xludf.DUMMYFUNCTION("""COMPUTED_VALUE"""),45415.0)</f>
        <v>45415</v>
      </c>
      <c r="G187" s="1164">
        <f>IFERROR(__xludf.DUMMYFUNCTION("""COMPUTED_VALUE"""),4.0)</f>
        <v>4</v>
      </c>
      <c r="H187" s="1430">
        <f>IFERROR(__xludf.DUMMYFUNCTION("""COMPUTED_VALUE"""),101.0)</f>
        <v>101</v>
      </c>
      <c r="I187" s="94"/>
      <c r="J187" s="94"/>
      <c r="K187" s="94">
        <f>IFERROR(__xludf.DUMMYFUNCTION("""COMPUTED_VALUE"""),60.0)</f>
        <v>60</v>
      </c>
      <c r="L187" s="94">
        <f>IFERROR(__xludf.DUMMYFUNCTION("""COMPUTED_VALUE"""),50.0)</f>
        <v>50</v>
      </c>
      <c r="M187" s="94">
        <f>IFERROR(__xludf.DUMMYFUNCTION("""COMPUTED_VALUE"""),10.0)</f>
        <v>10</v>
      </c>
      <c r="N187" s="94"/>
      <c r="O187" s="1430">
        <f>IFERROR(__xludf.DUMMYFUNCTION("""COMPUTED_VALUE"""),109.0)</f>
        <v>109</v>
      </c>
      <c r="P187" s="1431">
        <f>IFERROR(__xludf.DUMMYFUNCTION("""COMPUTED_VALUE"""),2.65)</f>
        <v>2.65</v>
      </c>
      <c r="Q187" s="1432">
        <f>IFERROR(__xludf.DUMMYFUNCTION("""COMPUTED_VALUE"""),267.65)</f>
        <v>267.65</v>
      </c>
    </row>
    <row r="188" ht="15.75" customHeight="1">
      <c r="A188" s="94"/>
      <c r="B188" s="94" t="str">
        <f>IFERROR(__xludf.DUMMYFUNCTION("""COMPUTED_VALUE"""),"WS  E 1405")</f>
        <v>WS  E 1405</v>
      </c>
      <c r="C188" s="94"/>
      <c r="D188" s="1432">
        <f>IFERROR(__xludf.DUMMYFUNCTION("""COMPUTED_VALUE"""),4.0)</f>
        <v>4</v>
      </c>
      <c r="E188" s="1429">
        <f>IFERROR(__xludf.DUMMYFUNCTION("""COMPUTED_VALUE"""),45411.0)</f>
        <v>45411</v>
      </c>
      <c r="F188" s="1436">
        <f>IFERROR(__xludf.DUMMYFUNCTION("""COMPUTED_VALUE"""),45417.0)</f>
        <v>45417</v>
      </c>
      <c r="G188" s="1164">
        <f>IFERROR(__xludf.DUMMYFUNCTION("""COMPUTED_VALUE"""),6.0)</f>
        <v>6</v>
      </c>
      <c r="H188" s="1430">
        <f>IFERROR(__xludf.DUMMYFUNCTION("""COMPUTED_VALUE"""),113.0)</f>
        <v>113</v>
      </c>
      <c r="I188" s="94"/>
      <c r="J188" s="94"/>
      <c r="K188" s="94">
        <f>IFERROR(__xludf.DUMMYFUNCTION("""COMPUTED_VALUE"""),60.0)</f>
        <v>60</v>
      </c>
      <c r="L188" s="94">
        <f>IFERROR(__xludf.DUMMYFUNCTION("""COMPUTED_VALUE"""),50.0)</f>
        <v>50</v>
      </c>
      <c r="M188" s="94">
        <f>IFERROR(__xludf.DUMMYFUNCTION("""COMPUTED_VALUE"""),10.0)</f>
        <v>10</v>
      </c>
      <c r="N188" s="94"/>
      <c r="O188" s="1430">
        <f>IFERROR(__xludf.DUMMYFUNCTION("""COMPUTED_VALUE"""),109.0)</f>
        <v>109</v>
      </c>
      <c r="P188" s="1431">
        <f>IFERROR(__xludf.DUMMYFUNCTION("""COMPUTED_VALUE"""),2.65)</f>
        <v>2.65</v>
      </c>
      <c r="Q188" s="1432">
        <f>IFERROR(__xludf.DUMMYFUNCTION("""COMPUTED_VALUE"""),299.45)</f>
        <v>299.45</v>
      </c>
    </row>
    <row r="189" ht="15.75" customHeight="1">
      <c r="A189" s="94"/>
      <c r="B189" s="94" t="str">
        <f>IFERROR(__xludf.DUMMYFUNCTION("""COMPUTED_VALUE"""),"WS В 1510")</f>
        <v>WS В 1510</v>
      </c>
      <c r="C189" s="94"/>
      <c r="D189" s="1432">
        <f>IFERROR(__xludf.DUMMYFUNCTION("""COMPUTED_VALUE"""),4.0)</f>
        <v>4</v>
      </c>
      <c r="E189" s="1429">
        <f>IFERROR(__xludf.DUMMYFUNCTION("""COMPUTED_VALUE"""),45412.0)</f>
        <v>45412</v>
      </c>
      <c r="F189" s="1429">
        <f>IFERROR(__xludf.DUMMYFUNCTION("""COMPUTED_VALUE"""),45419.0)</f>
        <v>45419</v>
      </c>
      <c r="G189" s="1164">
        <f>IFERROR(__xludf.DUMMYFUNCTION("""COMPUTED_VALUE"""),7.0)</f>
        <v>7</v>
      </c>
      <c r="H189" s="1430">
        <f>IFERROR(__xludf.DUMMYFUNCTION("""COMPUTED_VALUE"""),267.0)</f>
        <v>267</v>
      </c>
      <c r="I189" s="94"/>
      <c r="J189" s="94"/>
      <c r="K189" s="94">
        <f>IFERROR(__xludf.DUMMYFUNCTION("""COMPUTED_VALUE"""),60.0)</f>
        <v>60</v>
      </c>
      <c r="L189" s="94">
        <f>IFERROR(__xludf.DUMMYFUNCTION("""COMPUTED_VALUE"""),50.0)</f>
        <v>50</v>
      </c>
      <c r="M189" s="94">
        <f>IFERROR(__xludf.DUMMYFUNCTION("""COMPUTED_VALUE"""),10.0)</f>
        <v>10</v>
      </c>
      <c r="N189" s="94"/>
      <c r="O189" s="1430">
        <f>IFERROR(__xludf.DUMMYFUNCTION("""COMPUTED_VALUE"""),109.0)</f>
        <v>109</v>
      </c>
      <c r="P189" s="1431">
        <f>IFERROR(__xludf.DUMMYFUNCTION("""COMPUTED_VALUE"""),2.65)</f>
        <v>2.65</v>
      </c>
      <c r="Q189" s="1432">
        <f>IFERROR(__xludf.DUMMYFUNCTION("""COMPUTED_VALUE"""),707.55)</f>
        <v>707.55</v>
      </c>
    </row>
    <row r="190" ht="15.75" customHeight="1">
      <c r="A190" s="94"/>
      <c r="B190" s="94" t="str">
        <f>IFERROR(__xludf.DUMMYFUNCTION("""COMPUTED_VALUE"""),"D 1321")</f>
        <v>D 1321</v>
      </c>
      <c r="C190" s="94"/>
      <c r="D190" s="1432">
        <f>IFERROR(__xludf.DUMMYFUNCTION("""COMPUTED_VALUE"""),4.0)</f>
        <v>4</v>
      </c>
      <c r="E190" s="1429">
        <f>IFERROR(__xludf.DUMMYFUNCTION("""COMPUTED_VALUE"""),45412.0)</f>
        <v>45412</v>
      </c>
      <c r="F190" s="1429">
        <f>IFERROR(__xludf.DUMMYFUNCTION("""COMPUTED_VALUE"""),45416.0)</f>
        <v>45416</v>
      </c>
      <c r="G190" s="1164">
        <f>IFERROR(__xludf.DUMMYFUNCTION("""COMPUTED_VALUE"""),4.0)</f>
        <v>4</v>
      </c>
      <c r="H190" s="1430">
        <f>IFERROR(__xludf.DUMMYFUNCTION("""COMPUTED_VALUE"""),96.0)</f>
        <v>96</v>
      </c>
      <c r="I190" s="94"/>
      <c r="J190" s="94"/>
      <c r="K190" s="94">
        <f>IFERROR(__xludf.DUMMYFUNCTION("""COMPUTED_VALUE"""),50.0)</f>
        <v>50</v>
      </c>
      <c r="L190" s="94">
        <f>IFERROR(__xludf.DUMMYFUNCTION("""COMPUTED_VALUE"""),45.0)</f>
        <v>45</v>
      </c>
      <c r="M190" s="94">
        <f>IFERROR(__xludf.DUMMYFUNCTION("""COMPUTED_VALUE"""),5.0)</f>
        <v>5</v>
      </c>
      <c r="N190" s="94"/>
      <c r="O190" s="1430">
        <f>IFERROR(__xludf.DUMMYFUNCTION("""COMPUTED_VALUE"""),87.5)</f>
        <v>87.5</v>
      </c>
      <c r="P190" s="1431">
        <f>IFERROR(__xludf.DUMMYFUNCTION("""COMPUTED_VALUE"""),2.65)</f>
        <v>2.65</v>
      </c>
      <c r="Q190" s="1432">
        <f>IFERROR(__xludf.DUMMYFUNCTION("""COMPUTED_VALUE"""),254.39999999999998)</f>
        <v>254.4</v>
      </c>
    </row>
    <row r="191" ht="15.75" customHeight="1">
      <c r="A191" s="94"/>
      <c r="B191" s="94" t="str">
        <f>IFERROR(__xludf.DUMMYFUNCTION("""COMPUTED_VALUE"""),"WS А 908")</f>
        <v>WS А 908</v>
      </c>
      <c r="C191" s="94"/>
      <c r="D191" s="1432">
        <f>IFERROR(__xludf.DUMMYFUNCTION("""COMPUTED_VALUE"""),5.0)</f>
        <v>5</v>
      </c>
      <c r="E191" s="1429">
        <f>IFERROR(__xludf.DUMMYFUNCTION("""COMPUTED_VALUE"""),45413.0)</f>
        <v>45413</v>
      </c>
      <c r="F191" s="1429">
        <f>IFERROR(__xludf.DUMMYFUNCTION("""COMPUTED_VALUE"""),45417.0)</f>
        <v>45417</v>
      </c>
      <c r="G191" s="1164">
        <f>IFERROR(__xludf.DUMMYFUNCTION("""COMPUTED_VALUE"""),4.0)</f>
        <v>4</v>
      </c>
      <c r="H191" s="1430">
        <f>IFERROR(__xludf.DUMMYFUNCTION("""COMPUTED_VALUE"""),116.0)</f>
        <v>116</v>
      </c>
      <c r="I191" s="94"/>
      <c r="J191" s="94"/>
      <c r="K191" s="94">
        <f>IFERROR(__xludf.DUMMYFUNCTION("""COMPUTED_VALUE"""),60.0)</f>
        <v>60</v>
      </c>
      <c r="L191" s="94">
        <f>IFERROR(__xludf.DUMMYFUNCTION("""COMPUTED_VALUE"""),50.0)</f>
        <v>50</v>
      </c>
      <c r="M191" s="94">
        <f>IFERROR(__xludf.DUMMYFUNCTION("""COMPUTED_VALUE"""),10.0)</f>
        <v>10</v>
      </c>
      <c r="N191" s="94"/>
      <c r="O191" s="1430">
        <f>IFERROR(__xludf.DUMMYFUNCTION("""COMPUTED_VALUE"""),109.0)</f>
        <v>109</v>
      </c>
      <c r="P191" s="1431">
        <f>IFERROR(__xludf.DUMMYFUNCTION("""COMPUTED_VALUE"""),2.65)</f>
        <v>2.65</v>
      </c>
      <c r="Q191" s="1432">
        <f>IFERROR(__xludf.DUMMYFUNCTION("""COMPUTED_VALUE"""),307.4)</f>
        <v>307.4</v>
      </c>
    </row>
    <row r="192" ht="15.75" customHeight="1">
      <c r="A192" s="94"/>
      <c r="B192" s="94" t="str">
        <f>IFERROR(__xludf.DUMMYFUNCTION("""COMPUTED_VALUE"""),"CM 1931")</f>
        <v>CM 1931</v>
      </c>
      <c r="C192" s="94"/>
      <c r="D192" s="1432">
        <f>IFERROR(__xludf.DUMMYFUNCTION("""COMPUTED_VALUE"""),5.0)</f>
        <v>5</v>
      </c>
      <c r="E192" s="1429">
        <f>IFERROR(__xludf.DUMMYFUNCTION("""COMPUTED_VALUE"""),45413.0)</f>
        <v>45413</v>
      </c>
      <c r="F192" s="1429">
        <f>IFERROR(__xludf.DUMMYFUNCTION("""COMPUTED_VALUE"""),45415.0)</f>
        <v>45415</v>
      </c>
      <c r="G192" s="1164">
        <f>IFERROR(__xludf.DUMMYFUNCTION("""COMPUTED_VALUE"""),2.0)</f>
        <v>2</v>
      </c>
      <c r="H192" s="1430">
        <f>IFERROR(__xludf.DUMMYFUNCTION("""COMPUTED_VALUE"""),58.0)</f>
        <v>58</v>
      </c>
      <c r="I192" s="94"/>
      <c r="J192" s="94"/>
      <c r="K192" s="94">
        <f>IFERROR(__xludf.DUMMYFUNCTION("""COMPUTED_VALUE"""),60.0)</f>
        <v>60</v>
      </c>
      <c r="L192" s="94">
        <f>IFERROR(__xludf.DUMMYFUNCTION("""COMPUTED_VALUE"""),50.0)</f>
        <v>50</v>
      </c>
      <c r="M192" s="94">
        <f>IFERROR(__xludf.DUMMYFUNCTION("""COMPUTED_VALUE"""),10.0)</f>
        <v>10</v>
      </c>
      <c r="N192" s="94"/>
      <c r="O192" s="1430">
        <f>IFERROR(__xludf.DUMMYFUNCTION("""COMPUTED_VALUE"""),109.0)</f>
        <v>109</v>
      </c>
      <c r="P192" s="1431">
        <f>IFERROR(__xludf.DUMMYFUNCTION("""COMPUTED_VALUE"""),2.65)</f>
        <v>2.65</v>
      </c>
      <c r="Q192" s="1432">
        <f>IFERROR(__xludf.DUMMYFUNCTION("""COMPUTED_VALUE"""),153.7)</f>
        <v>153.7</v>
      </c>
    </row>
    <row r="193" ht="15.75" customHeight="1">
      <c r="A193" s="94"/>
      <c r="B193" s="94" t="str">
        <f>IFERROR(__xludf.DUMMYFUNCTION("""COMPUTED_VALUE"""),"WS В 503")</f>
        <v>WS В 503</v>
      </c>
      <c r="C193" s="94"/>
      <c r="D193" s="1432">
        <f>IFERROR(__xludf.DUMMYFUNCTION("""COMPUTED_VALUE"""),5.0)</f>
        <v>5</v>
      </c>
      <c r="E193" s="1429">
        <f>IFERROR(__xludf.DUMMYFUNCTION("""COMPUTED_VALUE"""),45414.0)</f>
        <v>45414</v>
      </c>
      <c r="F193" s="1429">
        <f>IFERROR(__xludf.DUMMYFUNCTION("""COMPUTED_VALUE"""),45420.0)</f>
        <v>45420</v>
      </c>
      <c r="G193" s="1164">
        <f>IFERROR(__xludf.DUMMYFUNCTION("""COMPUTED_VALUE"""),6.0)</f>
        <v>6</v>
      </c>
      <c r="H193" s="1430">
        <f>IFERROR(__xludf.DUMMYFUNCTION("""COMPUTED_VALUE"""),248.0)</f>
        <v>248</v>
      </c>
      <c r="I193" s="94"/>
      <c r="J193" s="94"/>
      <c r="K193" s="94">
        <f>IFERROR(__xludf.DUMMYFUNCTION("""COMPUTED_VALUE"""),19.0)</f>
        <v>19</v>
      </c>
      <c r="L193" s="94">
        <f>IFERROR(__xludf.DUMMYFUNCTION("""COMPUTED_VALUE"""),50.0)</f>
        <v>50</v>
      </c>
      <c r="M193" s="94">
        <f>IFERROR(__xludf.DUMMYFUNCTION("""COMPUTED_VALUE"""),-31.0)</f>
        <v>-31</v>
      </c>
      <c r="N193" s="94"/>
      <c r="O193" s="1430">
        <f>IFERROR(__xludf.DUMMYFUNCTION("""COMPUTED_VALUE"""),0.3500000000000014)</f>
        <v>0.35</v>
      </c>
      <c r="P193" s="1431">
        <f>IFERROR(__xludf.DUMMYFUNCTION("""COMPUTED_VALUE"""),2.65)</f>
        <v>2.65</v>
      </c>
      <c r="Q193" s="1432">
        <f>IFERROR(__xludf.DUMMYFUNCTION("""COMPUTED_VALUE"""),657.1999999999999)</f>
        <v>657.2</v>
      </c>
    </row>
    <row r="194" ht="15.75" customHeight="1">
      <c r="A194" s="94"/>
      <c r="B194" s="94" t="str">
        <f>IFERROR(__xludf.DUMMYFUNCTION("""COMPUTED_VALUE"""),"Горизонт 2705")</f>
        <v>Горизонт 2705</v>
      </c>
      <c r="C194" s="94"/>
      <c r="D194" s="1432">
        <f>IFERROR(__xludf.DUMMYFUNCTION("""COMPUTED_VALUE"""),5.0)</f>
        <v>5</v>
      </c>
      <c r="E194" s="1429">
        <f>IFERROR(__xludf.DUMMYFUNCTION("""COMPUTED_VALUE"""),45415.0)</f>
        <v>45415</v>
      </c>
      <c r="F194" s="1429">
        <f>IFERROR(__xludf.DUMMYFUNCTION("""COMPUTED_VALUE"""),45443.0)</f>
        <v>45443</v>
      </c>
      <c r="G194" s="1164">
        <f>IFERROR(__xludf.DUMMYFUNCTION("""COMPUTED_VALUE"""),28.0)</f>
        <v>28</v>
      </c>
      <c r="H194" s="1430">
        <f>IFERROR(__xludf.DUMMYFUNCTION("""COMPUTED_VALUE"""),380.0)</f>
        <v>380</v>
      </c>
      <c r="I194" s="94"/>
      <c r="J194" s="94"/>
      <c r="K194" s="94">
        <f>IFERROR(__xludf.DUMMYFUNCTION("""COMPUTED_VALUE"""),70.0)</f>
        <v>70</v>
      </c>
      <c r="L194" s="94">
        <f>IFERROR(__xludf.DUMMYFUNCTION("""COMPUTED_VALUE"""),50.0)</f>
        <v>50</v>
      </c>
      <c r="M194" s="94">
        <f>IFERROR(__xludf.DUMMYFUNCTION("""COMPUTED_VALUE"""),20.0)</f>
        <v>20</v>
      </c>
      <c r="N194" s="94"/>
      <c r="O194" s="1430">
        <f>IFERROR(__xludf.DUMMYFUNCTION("""COMPUTED_VALUE"""),135.5)</f>
        <v>135.5</v>
      </c>
      <c r="P194" s="1431">
        <f>IFERROR(__xludf.DUMMYFUNCTION("""COMPUTED_VALUE"""),2.65)</f>
        <v>2.65</v>
      </c>
      <c r="Q194" s="1432">
        <f>IFERROR(__xludf.DUMMYFUNCTION("""COMPUTED_VALUE"""),1007.0)</f>
        <v>1007</v>
      </c>
    </row>
    <row r="195" ht="15.75" customHeight="1">
      <c r="A195" s="94"/>
      <c r="B195" s="94" t="str">
        <f>IFERROR(__xludf.DUMMYFUNCTION("""COMPUTED_VALUE"""),"WS В 212")</f>
        <v>WS В 212</v>
      </c>
      <c r="C195" s="94"/>
      <c r="D195" s="1432">
        <f>IFERROR(__xludf.DUMMYFUNCTION("""COMPUTED_VALUE"""),5.0)</f>
        <v>5</v>
      </c>
      <c r="E195" s="1429">
        <f>IFERROR(__xludf.DUMMYFUNCTION("""COMPUTED_VALUE"""),45415.0)</f>
        <v>45415</v>
      </c>
      <c r="F195" s="1429">
        <f>IFERROR(__xludf.DUMMYFUNCTION("""COMPUTED_VALUE"""),45419.0)</f>
        <v>45419</v>
      </c>
      <c r="G195" s="1164">
        <f>IFERROR(__xludf.DUMMYFUNCTION("""COMPUTED_VALUE"""),4.0)</f>
        <v>4</v>
      </c>
      <c r="H195" s="1430">
        <f>IFERROR(__xludf.DUMMYFUNCTION("""COMPUTED_VALUE"""),183.0)</f>
        <v>183</v>
      </c>
      <c r="I195" s="94"/>
      <c r="J195" s="94"/>
      <c r="K195" s="94">
        <f>IFERROR(__xludf.DUMMYFUNCTION("""COMPUTED_VALUE"""),60.0)</f>
        <v>60</v>
      </c>
      <c r="L195" s="94">
        <f>IFERROR(__xludf.DUMMYFUNCTION("""COMPUTED_VALUE"""),50.0)</f>
        <v>50</v>
      </c>
      <c r="M195" s="94">
        <f>IFERROR(__xludf.DUMMYFUNCTION("""COMPUTED_VALUE"""),10.0)</f>
        <v>10</v>
      </c>
      <c r="N195" s="94"/>
      <c r="O195" s="1430">
        <f>IFERROR(__xludf.DUMMYFUNCTION("""COMPUTED_VALUE"""),109.0)</f>
        <v>109</v>
      </c>
      <c r="P195" s="1431">
        <f>IFERROR(__xludf.DUMMYFUNCTION("""COMPUTED_VALUE"""),2.65)</f>
        <v>2.65</v>
      </c>
      <c r="Q195" s="1432">
        <f>IFERROR(__xludf.DUMMYFUNCTION("""COMPUTED_VALUE"""),484.95)</f>
        <v>484.95</v>
      </c>
    </row>
    <row r="196" ht="15.75" customHeight="1">
      <c r="A196" s="94"/>
      <c r="B196" s="94" t="str">
        <f>IFERROR(__xludf.DUMMYFUNCTION("""COMPUTED_VALUE"""),"CM 1604")</f>
        <v>CM 1604</v>
      </c>
      <c r="C196" s="94"/>
      <c r="D196" s="1432">
        <f>IFERROR(__xludf.DUMMYFUNCTION("""COMPUTED_VALUE"""),5.0)</f>
        <v>5</v>
      </c>
      <c r="E196" s="1429">
        <f>IFERROR(__xludf.DUMMYFUNCTION("""COMPUTED_VALUE"""),45415.0)</f>
        <v>45415</v>
      </c>
      <c r="F196" s="1429">
        <f>IFERROR(__xludf.DUMMYFUNCTION("""COMPUTED_VALUE"""),45419.0)</f>
        <v>45419</v>
      </c>
      <c r="G196" s="1164">
        <f>IFERROR(__xludf.DUMMYFUNCTION("""COMPUTED_VALUE"""),4.0)</f>
        <v>4</v>
      </c>
      <c r="H196" s="1430">
        <f>IFERROR(__xludf.DUMMYFUNCTION("""COMPUTED_VALUE"""),150.0)</f>
        <v>150</v>
      </c>
      <c r="I196" s="94"/>
      <c r="J196" s="94"/>
      <c r="K196" s="94">
        <f>IFERROR(__xludf.DUMMYFUNCTION("""COMPUTED_VALUE"""),70.0)</f>
        <v>70</v>
      </c>
      <c r="L196" s="94">
        <f>IFERROR(__xludf.DUMMYFUNCTION("""COMPUTED_VALUE"""),60.0)</f>
        <v>60</v>
      </c>
      <c r="M196" s="94">
        <f>IFERROR(__xludf.DUMMYFUNCTION("""COMPUTED_VALUE"""),10.0)</f>
        <v>10</v>
      </c>
      <c r="N196" s="94"/>
      <c r="O196" s="1430">
        <f>IFERROR(__xludf.DUMMYFUNCTION("""COMPUTED_VALUE"""),125.5)</f>
        <v>125.5</v>
      </c>
      <c r="P196" s="1431">
        <f>IFERROR(__xludf.DUMMYFUNCTION("""COMPUTED_VALUE"""),2.65)</f>
        <v>2.65</v>
      </c>
      <c r="Q196" s="1432">
        <f>IFERROR(__xludf.DUMMYFUNCTION("""COMPUTED_VALUE"""),397.5)</f>
        <v>397.5</v>
      </c>
    </row>
    <row r="197" ht="15.75" customHeight="1">
      <c r="A197" s="94"/>
      <c r="B197" s="94" t="str">
        <f>IFERROR(__xludf.DUMMYFUNCTION("""COMPUTED_VALUE"""),"CM 1931")</f>
        <v>CM 1931</v>
      </c>
      <c r="C197" s="94"/>
      <c r="D197" s="1432">
        <f>IFERROR(__xludf.DUMMYFUNCTION("""COMPUTED_VALUE"""),5.0)</f>
        <v>5</v>
      </c>
      <c r="E197" s="1429">
        <f>IFERROR(__xludf.DUMMYFUNCTION("""COMPUTED_VALUE"""),45415.0)</f>
        <v>45415</v>
      </c>
      <c r="F197" s="1429">
        <f>IFERROR(__xludf.DUMMYFUNCTION("""COMPUTED_VALUE"""),45422.0)</f>
        <v>45422</v>
      </c>
      <c r="G197" s="1164">
        <f>IFERROR(__xludf.DUMMYFUNCTION("""COMPUTED_VALUE"""),7.0)</f>
        <v>7</v>
      </c>
      <c r="H197" s="1430">
        <f>IFERROR(__xludf.DUMMYFUNCTION("""COMPUTED_VALUE"""),174.0)</f>
        <v>174</v>
      </c>
      <c r="I197" s="94"/>
      <c r="J197" s="94"/>
      <c r="K197" s="94">
        <f>IFERROR(__xludf.DUMMYFUNCTION("""COMPUTED_VALUE"""),60.0)</f>
        <v>60</v>
      </c>
      <c r="L197" s="94">
        <f>IFERROR(__xludf.DUMMYFUNCTION("""COMPUTED_VALUE"""),50.0)</f>
        <v>50</v>
      </c>
      <c r="M197" s="94">
        <f>IFERROR(__xludf.DUMMYFUNCTION("""COMPUTED_VALUE"""),10.0)</f>
        <v>10</v>
      </c>
      <c r="N197" s="94"/>
      <c r="O197" s="1430">
        <f>IFERROR(__xludf.DUMMYFUNCTION("""COMPUTED_VALUE"""),109.0)</f>
        <v>109</v>
      </c>
      <c r="P197" s="1431">
        <f>IFERROR(__xludf.DUMMYFUNCTION("""COMPUTED_VALUE"""),2.65)</f>
        <v>2.65</v>
      </c>
      <c r="Q197" s="1432">
        <f>IFERROR(__xludf.DUMMYFUNCTION("""COMPUTED_VALUE"""),461.09999999999997)</f>
        <v>461.1</v>
      </c>
    </row>
    <row r="198" ht="15.75" customHeight="1">
      <c r="A198" s="94"/>
      <c r="B198" s="94" t="str">
        <f>IFERROR(__xludf.DUMMYFUNCTION("""COMPUTED_VALUE"""),"С 1125")</f>
        <v>С 1125</v>
      </c>
      <c r="C198" s="94"/>
      <c r="D198" s="1432">
        <f>IFERROR(__xludf.DUMMYFUNCTION("""COMPUTED_VALUE"""),5.0)</f>
        <v>5</v>
      </c>
      <c r="E198" s="1429">
        <f>IFERROR(__xludf.DUMMYFUNCTION("""COMPUTED_VALUE"""),45415.0)</f>
        <v>45415</v>
      </c>
      <c r="F198" s="1429">
        <f>IFERROR(__xludf.DUMMYFUNCTION("""COMPUTED_VALUE"""),45417.0)</f>
        <v>45417</v>
      </c>
      <c r="G198" s="1164">
        <f>IFERROR(__xludf.DUMMYFUNCTION("""COMPUTED_VALUE"""),2.0)</f>
        <v>2</v>
      </c>
      <c r="H198" s="1430">
        <f>IFERROR(__xludf.DUMMYFUNCTION("""COMPUTED_VALUE"""),46.0)</f>
        <v>46</v>
      </c>
      <c r="I198" s="94"/>
      <c r="J198" s="94"/>
      <c r="K198" s="94">
        <f>IFERROR(__xludf.DUMMYFUNCTION("""COMPUTED_VALUE"""),50.0)</f>
        <v>50</v>
      </c>
      <c r="L198" s="94">
        <f>IFERROR(__xludf.DUMMYFUNCTION("""COMPUTED_VALUE"""),45.0)</f>
        <v>45</v>
      </c>
      <c r="M198" s="94">
        <f>IFERROR(__xludf.DUMMYFUNCTION("""COMPUTED_VALUE"""),5.0)</f>
        <v>5</v>
      </c>
      <c r="N198" s="94"/>
      <c r="O198" s="1430">
        <f>IFERROR(__xludf.DUMMYFUNCTION("""COMPUTED_VALUE"""),87.5)</f>
        <v>87.5</v>
      </c>
      <c r="P198" s="1431">
        <f>IFERROR(__xludf.DUMMYFUNCTION("""COMPUTED_VALUE"""),2.65)</f>
        <v>2.65</v>
      </c>
      <c r="Q198" s="1432">
        <f>IFERROR(__xludf.DUMMYFUNCTION("""COMPUTED_VALUE"""),121.89999999999999)</f>
        <v>121.9</v>
      </c>
    </row>
    <row r="199" ht="15.75" customHeight="1">
      <c r="A199" s="94"/>
      <c r="B199" s="94" t="str">
        <f>IFERROR(__xludf.DUMMYFUNCTION("""COMPUTED_VALUE"""),"А 4049")</f>
        <v>А 4049</v>
      </c>
      <c r="C199" s="94"/>
      <c r="D199" s="1432">
        <f>IFERROR(__xludf.DUMMYFUNCTION("""COMPUTED_VALUE"""),5.0)</f>
        <v>5</v>
      </c>
      <c r="E199" s="1429">
        <f>IFERROR(__xludf.DUMMYFUNCTION("""COMPUTED_VALUE"""),45415.0)</f>
        <v>45415</v>
      </c>
      <c r="F199" s="1429">
        <f>IFERROR(__xludf.DUMMYFUNCTION("""COMPUTED_VALUE"""),45418.0)</f>
        <v>45418</v>
      </c>
      <c r="G199" s="1164">
        <f>IFERROR(__xludf.DUMMYFUNCTION("""COMPUTED_VALUE"""),3.0)</f>
        <v>3</v>
      </c>
      <c r="H199" s="1430">
        <f>IFERROR(__xludf.DUMMYFUNCTION("""COMPUTED_VALUE"""),96.0)</f>
        <v>96</v>
      </c>
      <c r="I199" s="94"/>
      <c r="J199" s="94"/>
      <c r="K199" s="94">
        <f>IFERROR(__xludf.DUMMYFUNCTION("""COMPUTED_VALUE"""),50.0)</f>
        <v>50</v>
      </c>
      <c r="L199" s="94">
        <f>IFERROR(__xludf.DUMMYFUNCTION("""COMPUTED_VALUE"""),45.0)</f>
        <v>45</v>
      </c>
      <c r="M199" s="94">
        <f>IFERROR(__xludf.DUMMYFUNCTION("""COMPUTED_VALUE"""),5.0)</f>
        <v>5</v>
      </c>
      <c r="N199" s="94"/>
      <c r="O199" s="1430">
        <f>IFERROR(__xludf.DUMMYFUNCTION("""COMPUTED_VALUE"""),87.5)</f>
        <v>87.5</v>
      </c>
      <c r="P199" s="1431">
        <f>IFERROR(__xludf.DUMMYFUNCTION("""COMPUTED_VALUE"""),2.65)</f>
        <v>2.65</v>
      </c>
      <c r="Q199" s="1432">
        <f>IFERROR(__xludf.DUMMYFUNCTION("""COMPUTED_VALUE"""),254.39999999999998)</f>
        <v>254.4</v>
      </c>
    </row>
    <row r="200" ht="15.75" customHeight="1">
      <c r="A200" s="94"/>
      <c r="B200" s="94" t="str">
        <f>IFERROR(__xludf.DUMMYFUNCTION("""COMPUTED_VALUE"""),"D 1321")</f>
        <v>D 1321</v>
      </c>
      <c r="C200" s="94"/>
      <c r="D200" s="1432">
        <f>IFERROR(__xludf.DUMMYFUNCTION("""COMPUTED_VALUE"""),5.0)</f>
        <v>5</v>
      </c>
      <c r="E200" s="1429">
        <f>IFERROR(__xludf.DUMMYFUNCTION("""COMPUTED_VALUE"""),45416.0)</f>
        <v>45416</v>
      </c>
      <c r="F200" s="1429">
        <f>IFERROR(__xludf.DUMMYFUNCTION("""COMPUTED_VALUE"""),45418.0)</f>
        <v>45418</v>
      </c>
      <c r="G200" s="1164">
        <f>IFERROR(__xludf.DUMMYFUNCTION("""COMPUTED_VALUE"""),2.0)</f>
        <v>2</v>
      </c>
      <c r="H200" s="1430">
        <f>IFERROR(__xludf.DUMMYFUNCTION("""COMPUTED_VALUE"""),0.0)</f>
        <v>0</v>
      </c>
      <c r="I200" s="94"/>
      <c r="J200" s="94"/>
      <c r="K200" s="94"/>
      <c r="L200" s="94"/>
      <c r="M200" s="94">
        <f>IFERROR(__xludf.DUMMYFUNCTION("""COMPUTED_VALUE"""),0.0)</f>
        <v>0</v>
      </c>
      <c r="N200" s="94"/>
      <c r="O200" s="1430">
        <f>IFERROR(__xludf.DUMMYFUNCTION("""COMPUTED_VALUE"""),0.0)</f>
        <v>0</v>
      </c>
      <c r="P200" s="1431">
        <f>IFERROR(__xludf.DUMMYFUNCTION("""COMPUTED_VALUE"""),2.65)</f>
        <v>2.65</v>
      </c>
      <c r="Q200" s="1432">
        <f>IFERROR(__xludf.DUMMYFUNCTION("""COMPUTED_VALUE"""),0.0)</f>
        <v>0</v>
      </c>
    </row>
    <row r="201" ht="15.75" customHeight="1">
      <c r="A201" s="94"/>
      <c r="B201" s="94"/>
      <c r="C201" s="94"/>
      <c r="D201" s="94"/>
      <c r="E201" s="94"/>
      <c r="F201" s="94"/>
      <c r="G201" s="94"/>
      <c r="H201" s="94"/>
      <c r="I201" s="94"/>
      <c r="J201" s="94"/>
      <c r="K201" s="94"/>
      <c r="L201" s="94"/>
      <c r="M201" s="94">
        <f>IFERROR(__xludf.DUMMYFUNCTION("""COMPUTED_VALUE"""),0.0)</f>
        <v>0</v>
      </c>
      <c r="N201" s="94"/>
      <c r="O201" s="1430">
        <f>IFERROR(__xludf.DUMMYFUNCTION("""COMPUTED_VALUE"""),0.0)</f>
        <v>0</v>
      </c>
      <c r="P201" s="1431">
        <f>IFERROR(__xludf.DUMMYFUNCTION("""COMPUTED_VALUE"""),2.65)</f>
        <v>2.65</v>
      </c>
      <c r="Q201" s="1432">
        <f>IFERROR(__xludf.DUMMYFUNCTION("""COMPUTED_VALUE"""),0.0)</f>
        <v>0</v>
      </c>
    </row>
    <row r="202" ht="15.75" customHeight="1">
      <c r="A202" s="94" t="str">
        <f>IFERROR(__xludf.DUMMYFUNCTION("""COMPUTED_VALUE"""),"Итого неделя")</f>
        <v>Итого неделя</v>
      </c>
      <c r="B202" s="94" t="str">
        <f>IFERROR(__xludf.DUMMYFUNCTION("""COMPUTED_VALUE"""),"18 неделя")</f>
        <v>18 неделя</v>
      </c>
      <c r="C202" s="94"/>
      <c r="D202" s="94"/>
      <c r="E202" s="94"/>
      <c r="F202" s="94"/>
      <c r="G202" s="1164">
        <f>IFERROR(__xludf.DUMMYFUNCTION("""COMPUTED_VALUE"""),90.0)</f>
        <v>90</v>
      </c>
      <c r="H202" s="1430">
        <f>IFERROR(__xludf.DUMMYFUNCTION("""COMPUTED_VALUE"""),2242.0)</f>
        <v>2242</v>
      </c>
      <c r="I202" s="94"/>
      <c r="J202" s="94"/>
      <c r="K202" s="94">
        <f>IFERROR(__xludf.DUMMYFUNCTION("""COMPUTED_VALUE"""),859.0)</f>
        <v>859</v>
      </c>
      <c r="L202" s="94">
        <f>IFERROR(__xludf.DUMMYFUNCTION("""COMPUTED_VALUE"""),745.0)</f>
        <v>745</v>
      </c>
      <c r="M202" s="94">
        <f>IFERROR(__xludf.DUMMYFUNCTION("""COMPUTED_VALUE"""),114.0)</f>
        <v>114</v>
      </c>
      <c r="N202" s="94"/>
      <c r="O202" s="1430">
        <f>IFERROR(__xludf.DUMMYFUNCTION("""COMPUTED_VALUE"""),1531.35)</f>
        <v>1531.35</v>
      </c>
      <c r="P202" s="1431">
        <f>IFERROR(__xludf.DUMMYFUNCTION("""COMPUTED_VALUE"""),2.65)</f>
        <v>2.65</v>
      </c>
      <c r="Q202" s="1432">
        <f>IFERROR(__xludf.DUMMYFUNCTION("""COMPUTED_VALUE"""),5941.299999999998)</f>
        <v>5941.3</v>
      </c>
    </row>
    <row r="203" ht="15.75" customHeight="1">
      <c r="A203" s="94"/>
      <c r="B203" s="94" t="str">
        <f>IFERROR(__xludf.DUMMYFUNCTION("""COMPUTED_VALUE"""),"CM 1606")</f>
        <v>CM 1606</v>
      </c>
      <c r="C203" s="94"/>
      <c r="D203" s="1432">
        <f>IFERROR(__xludf.DUMMYFUNCTION("""COMPUTED_VALUE"""),5.0)</f>
        <v>5</v>
      </c>
      <c r="E203" s="1429">
        <f>IFERROR(__xludf.DUMMYFUNCTION("""COMPUTED_VALUE"""),45418.0)</f>
        <v>45418</v>
      </c>
      <c r="F203" s="1429">
        <f>IFERROR(__xludf.DUMMYFUNCTION("""COMPUTED_VALUE"""),45421.0)</f>
        <v>45421</v>
      </c>
      <c r="G203" s="1164">
        <f>IFERROR(__xludf.DUMMYFUNCTION("""COMPUTED_VALUE"""),3.0)</f>
        <v>3</v>
      </c>
      <c r="H203" s="1430">
        <f>IFERROR(__xludf.DUMMYFUNCTION("""COMPUTED_VALUE"""),92.0)</f>
        <v>92</v>
      </c>
      <c r="I203" s="94"/>
      <c r="J203" s="94"/>
      <c r="K203" s="94">
        <f>IFERROR(__xludf.DUMMYFUNCTION("""COMPUTED_VALUE"""),60.0)</f>
        <v>60</v>
      </c>
      <c r="L203" s="94">
        <f>IFERROR(__xludf.DUMMYFUNCTION("""COMPUTED_VALUE"""),50.0)</f>
        <v>50</v>
      </c>
      <c r="M203" s="94">
        <f>IFERROR(__xludf.DUMMYFUNCTION("""COMPUTED_VALUE"""),10.0)</f>
        <v>10</v>
      </c>
      <c r="N203" s="94"/>
      <c r="O203" s="1430">
        <f>IFERROR(__xludf.DUMMYFUNCTION("""COMPUTED_VALUE"""),-109.0)</f>
        <v>-109</v>
      </c>
      <c r="P203" s="1431">
        <f>IFERROR(__xludf.DUMMYFUNCTION("""COMPUTED_VALUE"""),2.65)</f>
        <v>2.65</v>
      </c>
      <c r="Q203" s="1432">
        <f>IFERROR(__xludf.DUMMYFUNCTION("""COMPUTED_VALUE"""),243.79999999999998)</f>
        <v>243.8</v>
      </c>
    </row>
    <row r="204" ht="15.75" customHeight="1">
      <c r="A204" s="94"/>
      <c r="B204" s="94" t="str">
        <f>IFERROR(__xludf.DUMMYFUNCTION("""COMPUTED_VALUE"""),"D 1321")</f>
        <v>D 1321</v>
      </c>
      <c r="C204" s="94"/>
      <c r="D204" s="1432">
        <f>IFERROR(__xludf.DUMMYFUNCTION("""COMPUTED_VALUE"""),5.0)</f>
        <v>5</v>
      </c>
      <c r="E204" s="1429">
        <f>IFERROR(__xludf.DUMMYFUNCTION("""COMPUTED_VALUE"""),45418.0)</f>
        <v>45418</v>
      </c>
      <c r="F204" s="1429">
        <f>IFERROR(__xludf.DUMMYFUNCTION("""COMPUTED_VALUE"""),45427.0)</f>
        <v>45427</v>
      </c>
      <c r="G204" s="1164">
        <f>IFERROR(__xludf.DUMMYFUNCTION("""COMPUTED_VALUE"""),9.0)</f>
        <v>9</v>
      </c>
      <c r="H204" s="1430">
        <f>IFERROR(__xludf.DUMMYFUNCTION("""COMPUTED_VALUE"""),180.0)</f>
        <v>180</v>
      </c>
      <c r="I204" s="94"/>
      <c r="J204" s="94"/>
      <c r="K204" s="94">
        <f>IFERROR(__xludf.DUMMYFUNCTION("""COMPUTED_VALUE"""),50.0)</f>
        <v>50</v>
      </c>
      <c r="L204" s="94">
        <f>IFERROR(__xludf.DUMMYFUNCTION("""COMPUTED_VALUE"""),45.0)</f>
        <v>45</v>
      </c>
      <c r="M204" s="94">
        <f>IFERROR(__xludf.DUMMYFUNCTION("""COMPUTED_VALUE"""),5.0)</f>
        <v>5</v>
      </c>
      <c r="N204" s="94"/>
      <c r="O204" s="1430">
        <f>IFERROR(__xludf.DUMMYFUNCTION("""COMPUTED_VALUE"""),-87.5)</f>
        <v>-87.5</v>
      </c>
      <c r="P204" s="1431">
        <f>IFERROR(__xludf.DUMMYFUNCTION("""COMPUTED_VALUE"""),2.65)</f>
        <v>2.65</v>
      </c>
      <c r="Q204" s="1432">
        <f>IFERROR(__xludf.DUMMYFUNCTION("""COMPUTED_VALUE"""),477.0)</f>
        <v>477</v>
      </c>
    </row>
    <row r="205" ht="15.75" customHeight="1">
      <c r="A205" s="94"/>
      <c r="B205" s="94" t="str">
        <f>IFERROR(__xludf.DUMMYFUNCTION("""COMPUTED_VALUE"""),"WS  E 1405")</f>
        <v>WS  E 1405</v>
      </c>
      <c r="C205" s="94"/>
      <c r="D205" s="1432">
        <f>IFERROR(__xludf.DUMMYFUNCTION("""COMPUTED_VALUE"""),5.0)</f>
        <v>5</v>
      </c>
      <c r="E205" s="1429">
        <f>IFERROR(__xludf.DUMMYFUNCTION("""COMPUTED_VALUE"""),45419.0)</f>
        <v>45419</v>
      </c>
      <c r="F205" s="1429">
        <f>IFERROR(__xludf.DUMMYFUNCTION("""COMPUTED_VALUE"""),45423.0)</f>
        <v>45423</v>
      </c>
      <c r="G205" s="1164">
        <f>IFERROR(__xludf.DUMMYFUNCTION("""COMPUTED_VALUE"""),4.0)</f>
        <v>4</v>
      </c>
      <c r="H205" s="1430">
        <f>IFERROR(__xludf.DUMMYFUNCTION("""COMPUTED_VALUE"""),86.0)</f>
        <v>86</v>
      </c>
      <c r="I205" s="94"/>
      <c r="J205" s="94"/>
      <c r="K205" s="94">
        <f>IFERROR(__xludf.DUMMYFUNCTION("""COMPUTED_VALUE"""),60.0)</f>
        <v>60</v>
      </c>
      <c r="L205" s="94">
        <f>IFERROR(__xludf.DUMMYFUNCTION("""COMPUTED_VALUE"""),50.0)</f>
        <v>50</v>
      </c>
      <c r="M205" s="94">
        <f>IFERROR(__xludf.DUMMYFUNCTION("""COMPUTED_VALUE"""),10.0)</f>
        <v>10</v>
      </c>
      <c r="N205" s="94"/>
      <c r="O205" s="1430">
        <f>IFERROR(__xludf.DUMMYFUNCTION("""COMPUTED_VALUE"""),-109.0)</f>
        <v>-109</v>
      </c>
      <c r="P205" s="1431">
        <f>IFERROR(__xludf.DUMMYFUNCTION("""COMPUTED_VALUE"""),2.65)</f>
        <v>2.65</v>
      </c>
      <c r="Q205" s="1432">
        <f>IFERROR(__xludf.DUMMYFUNCTION("""COMPUTED_VALUE"""),227.9)</f>
        <v>227.9</v>
      </c>
    </row>
    <row r="206" ht="15.75" customHeight="1">
      <c r="A206" s="94"/>
      <c r="B206" s="94" t="str">
        <f>IFERROR(__xludf.DUMMYFUNCTION("""COMPUTED_VALUE"""),"CM 1604")</f>
        <v>CM 1604</v>
      </c>
      <c r="C206" s="94"/>
      <c r="D206" s="1432">
        <f>IFERROR(__xludf.DUMMYFUNCTION("""COMPUTED_VALUE"""),5.0)</f>
        <v>5</v>
      </c>
      <c r="E206" s="1429">
        <f>IFERROR(__xludf.DUMMYFUNCTION("""COMPUTED_VALUE"""),45419.0)</f>
        <v>45419</v>
      </c>
      <c r="F206" s="1429">
        <f>IFERROR(__xludf.DUMMYFUNCTION("""COMPUTED_VALUE"""),45424.0)</f>
        <v>45424</v>
      </c>
      <c r="G206" s="1164">
        <f>IFERROR(__xludf.DUMMYFUNCTION("""COMPUTED_VALUE"""),5.0)</f>
        <v>5</v>
      </c>
      <c r="H206" s="1430">
        <f>IFERROR(__xludf.DUMMYFUNCTION("""COMPUTED_VALUE"""),225.0)</f>
        <v>225</v>
      </c>
      <c r="I206" s="94"/>
      <c r="J206" s="94"/>
      <c r="K206" s="94">
        <f>IFERROR(__xludf.DUMMYFUNCTION("""COMPUTED_VALUE"""),70.0)</f>
        <v>70</v>
      </c>
      <c r="L206" s="94">
        <f>IFERROR(__xludf.DUMMYFUNCTION("""COMPUTED_VALUE"""),60.0)</f>
        <v>60</v>
      </c>
      <c r="M206" s="94">
        <f>IFERROR(__xludf.DUMMYFUNCTION("""COMPUTED_VALUE"""),10.0)</f>
        <v>10</v>
      </c>
      <c r="N206" s="94"/>
      <c r="O206" s="1430">
        <f>IFERROR(__xludf.DUMMYFUNCTION("""COMPUTED_VALUE"""),-125.5)</f>
        <v>-125.5</v>
      </c>
      <c r="P206" s="1431">
        <f>IFERROR(__xludf.DUMMYFUNCTION("""COMPUTED_VALUE"""),2.65)</f>
        <v>2.65</v>
      </c>
      <c r="Q206" s="1432">
        <f>IFERROR(__xludf.DUMMYFUNCTION("""COMPUTED_VALUE"""),596.25)</f>
        <v>596.25</v>
      </c>
    </row>
    <row r="207" ht="15.75" customHeight="1">
      <c r="A207" s="94"/>
      <c r="B207" s="94" t="str">
        <f>IFERROR(__xludf.DUMMYFUNCTION("""COMPUTED_VALUE"""),"WS  B 405")</f>
        <v>WS  B 405</v>
      </c>
      <c r="C207" s="94"/>
      <c r="D207" s="1432">
        <f>IFERROR(__xludf.DUMMYFUNCTION("""COMPUTED_VALUE"""),5.0)</f>
        <v>5</v>
      </c>
      <c r="E207" s="1429">
        <f>IFERROR(__xludf.DUMMYFUNCTION("""COMPUTED_VALUE"""),45419.0)</f>
        <v>45419</v>
      </c>
      <c r="F207" s="1429">
        <f>IFERROR(__xludf.DUMMYFUNCTION("""COMPUTED_VALUE"""),45423.0)</f>
        <v>45423</v>
      </c>
      <c r="G207" s="1164">
        <f>IFERROR(__xludf.DUMMYFUNCTION("""COMPUTED_VALUE"""),4.0)</f>
        <v>4</v>
      </c>
      <c r="H207" s="1430">
        <f>IFERROR(__xludf.DUMMYFUNCTION("""COMPUTED_VALUE"""),136.0)</f>
        <v>136</v>
      </c>
      <c r="I207" s="94"/>
      <c r="J207" s="94"/>
      <c r="K207" s="94">
        <f>IFERROR(__xludf.DUMMYFUNCTION("""COMPUTED_VALUE"""),60.0)</f>
        <v>60</v>
      </c>
      <c r="L207" s="94">
        <f>IFERROR(__xludf.DUMMYFUNCTION("""COMPUTED_VALUE"""),50.0)</f>
        <v>50</v>
      </c>
      <c r="M207" s="94">
        <f>IFERROR(__xludf.DUMMYFUNCTION("""COMPUTED_VALUE"""),10.0)</f>
        <v>10</v>
      </c>
      <c r="N207" s="94"/>
      <c r="O207" s="1430">
        <f>IFERROR(__xludf.DUMMYFUNCTION("""COMPUTED_VALUE"""),-109.0)</f>
        <v>-109</v>
      </c>
      <c r="P207" s="1431">
        <f>IFERROR(__xludf.DUMMYFUNCTION("""COMPUTED_VALUE"""),2.65)</f>
        <v>2.65</v>
      </c>
      <c r="Q207" s="1432">
        <f>IFERROR(__xludf.DUMMYFUNCTION("""COMPUTED_VALUE"""),360.4)</f>
        <v>360.4</v>
      </c>
    </row>
    <row r="208" ht="15.75" customHeight="1">
      <c r="A208" s="94"/>
      <c r="B208" s="94" t="str">
        <f>IFERROR(__xludf.DUMMYFUNCTION("""COMPUTED_VALUE"""),"C 4245")</f>
        <v>C 4245</v>
      </c>
      <c r="C208" s="94"/>
      <c r="D208" s="1432">
        <f>IFERROR(__xludf.DUMMYFUNCTION("""COMPUTED_VALUE"""),5.0)</f>
        <v>5</v>
      </c>
      <c r="E208" s="1429">
        <f>IFERROR(__xludf.DUMMYFUNCTION("""COMPUTED_VALUE"""),45420.0)</f>
        <v>45420</v>
      </c>
      <c r="F208" s="1429">
        <f>IFERROR(__xludf.DUMMYFUNCTION("""COMPUTED_VALUE"""),45422.0)</f>
        <v>45422</v>
      </c>
      <c r="G208" s="1164">
        <f>IFERROR(__xludf.DUMMYFUNCTION("""COMPUTED_VALUE"""),2.0)</f>
        <v>2</v>
      </c>
      <c r="H208" s="1430">
        <f>IFERROR(__xludf.DUMMYFUNCTION("""COMPUTED_VALUE"""),86.0)</f>
        <v>86</v>
      </c>
      <c r="I208" s="94"/>
      <c r="J208" s="94"/>
      <c r="K208" s="94">
        <f>IFERROR(__xludf.DUMMYFUNCTION("""COMPUTED_VALUE"""),70.0)</f>
        <v>70</v>
      </c>
      <c r="L208" s="94">
        <f>IFERROR(__xludf.DUMMYFUNCTION("""COMPUTED_VALUE"""),55.0)</f>
        <v>55</v>
      </c>
      <c r="M208" s="94">
        <f>IFERROR(__xludf.DUMMYFUNCTION("""COMPUTED_VALUE"""),15.0)</f>
        <v>15</v>
      </c>
      <c r="N208" s="94"/>
      <c r="O208" s="1430">
        <f>IFERROR(__xludf.DUMMYFUNCTION("""COMPUTED_VALUE"""),-130.5)</f>
        <v>-130.5</v>
      </c>
      <c r="P208" s="1431">
        <f>IFERROR(__xludf.DUMMYFUNCTION("""COMPUTED_VALUE"""),2.65)</f>
        <v>2.65</v>
      </c>
      <c r="Q208" s="1432">
        <f>IFERROR(__xludf.DUMMYFUNCTION("""COMPUTED_VALUE"""),227.9)</f>
        <v>227.9</v>
      </c>
    </row>
    <row r="209" ht="15.75" customHeight="1">
      <c r="A209" s="94"/>
      <c r="B209" s="94" t="str">
        <f>IFERROR(__xludf.DUMMYFUNCTION("""COMPUTED_VALUE"""),"С 1125")</f>
        <v>С 1125</v>
      </c>
      <c r="C209" s="94"/>
      <c r="D209" s="1432">
        <f>IFERROR(__xludf.DUMMYFUNCTION("""COMPUTED_VALUE"""),5.0)</f>
        <v>5</v>
      </c>
      <c r="E209" s="1429">
        <f>IFERROR(__xludf.DUMMYFUNCTION("""COMPUTED_VALUE"""),45420.0)</f>
        <v>45420</v>
      </c>
      <c r="F209" s="1429">
        <f>IFERROR(__xludf.DUMMYFUNCTION("""COMPUTED_VALUE"""),45423.0)</f>
        <v>45423</v>
      </c>
      <c r="G209" s="1164">
        <f>IFERROR(__xludf.DUMMYFUNCTION("""COMPUTED_VALUE"""),3.0)</f>
        <v>3</v>
      </c>
      <c r="H209" s="1430">
        <f>IFERROR(__xludf.DUMMYFUNCTION("""COMPUTED_VALUE"""),60.0)</f>
        <v>60</v>
      </c>
      <c r="I209" s="94"/>
      <c r="J209" s="94"/>
      <c r="K209" s="94">
        <f>IFERROR(__xludf.DUMMYFUNCTION("""COMPUTED_VALUE"""),50.0)</f>
        <v>50</v>
      </c>
      <c r="L209" s="94">
        <f>IFERROR(__xludf.DUMMYFUNCTION("""COMPUTED_VALUE"""),45.0)</f>
        <v>45</v>
      </c>
      <c r="M209" s="94">
        <f>IFERROR(__xludf.DUMMYFUNCTION("""COMPUTED_VALUE"""),5.0)</f>
        <v>5</v>
      </c>
      <c r="N209" s="94"/>
      <c r="O209" s="1430">
        <f>IFERROR(__xludf.DUMMYFUNCTION("""COMPUTED_VALUE"""),-87.5)</f>
        <v>-87.5</v>
      </c>
      <c r="P209" s="1431">
        <f>IFERROR(__xludf.DUMMYFUNCTION("""COMPUTED_VALUE"""),2.65)</f>
        <v>2.65</v>
      </c>
      <c r="Q209" s="1432">
        <f>IFERROR(__xludf.DUMMYFUNCTION("""COMPUTED_VALUE"""),159.0)</f>
        <v>159</v>
      </c>
    </row>
    <row r="210" ht="15.75" customHeight="1">
      <c r="A210" s="94"/>
      <c r="B210" s="94" t="str">
        <f>IFERROR(__xludf.DUMMYFUNCTION("""COMPUTED_VALUE"""),"С 2756")</f>
        <v>С 2756</v>
      </c>
      <c r="C210" s="94"/>
      <c r="D210" s="1432">
        <f>IFERROR(__xludf.DUMMYFUNCTION("""COMPUTED_VALUE"""),5.0)</f>
        <v>5</v>
      </c>
      <c r="E210" s="1429">
        <f>IFERROR(__xludf.DUMMYFUNCTION("""COMPUTED_VALUE"""),45420.0)</f>
        <v>45420</v>
      </c>
      <c r="F210" s="1429">
        <f>IFERROR(__xludf.DUMMYFUNCTION("""COMPUTED_VALUE"""),45423.0)</f>
        <v>45423</v>
      </c>
      <c r="G210" s="1164">
        <f>IFERROR(__xludf.DUMMYFUNCTION("""COMPUTED_VALUE"""),3.0)</f>
        <v>3</v>
      </c>
      <c r="H210" s="1430">
        <f>IFERROR(__xludf.DUMMYFUNCTION("""COMPUTED_VALUE"""),75.0)</f>
        <v>75</v>
      </c>
      <c r="I210" s="94"/>
      <c r="J210" s="94"/>
      <c r="K210" s="94">
        <f>IFERROR(__xludf.DUMMYFUNCTION("""COMPUTED_VALUE"""),50.0)</f>
        <v>50</v>
      </c>
      <c r="L210" s="94">
        <f>IFERROR(__xludf.DUMMYFUNCTION("""COMPUTED_VALUE"""),45.0)</f>
        <v>45</v>
      </c>
      <c r="M210" s="94">
        <f>IFERROR(__xludf.DUMMYFUNCTION("""COMPUTED_VALUE"""),5.0)</f>
        <v>5</v>
      </c>
      <c r="N210" s="94"/>
      <c r="O210" s="1430">
        <f>IFERROR(__xludf.DUMMYFUNCTION("""COMPUTED_VALUE"""),-87.5)</f>
        <v>-87.5</v>
      </c>
      <c r="P210" s="1431">
        <f>IFERROR(__xludf.DUMMYFUNCTION("""COMPUTED_VALUE"""),2.65)</f>
        <v>2.65</v>
      </c>
      <c r="Q210" s="1432">
        <f>IFERROR(__xludf.DUMMYFUNCTION("""COMPUTED_VALUE"""),198.75)</f>
        <v>198.75</v>
      </c>
    </row>
    <row r="211" ht="15.75" customHeight="1">
      <c r="A211" s="94"/>
      <c r="B211" s="94" t="str">
        <f>IFERROR(__xludf.DUMMYFUNCTION("""COMPUTED_VALUE"""),"Шар 2505")</f>
        <v>Шар 2505</v>
      </c>
      <c r="C211" s="94"/>
      <c r="D211" s="1432">
        <f>IFERROR(__xludf.DUMMYFUNCTION("""COMPUTED_VALUE"""),5.0)</f>
        <v>5</v>
      </c>
      <c r="E211" s="1429">
        <f>IFERROR(__xludf.DUMMYFUNCTION("""COMPUTED_VALUE"""),45420.0)</f>
        <v>45420</v>
      </c>
      <c r="F211" s="1429">
        <f>IFERROR(__xludf.DUMMYFUNCTION("""COMPUTED_VALUE"""),45429.0)</f>
        <v>45429</v>
      </c>
      <c r="G211" s="1164">
        <f>IFERROR(__xludf.DUMMYFUNCTION("""COMPUTED_VALUE"""),9.0)</f>
        <v>9</v>
      </c>
      <c r="H211" s="1430">
        <f>IFERROR(__xludf.DUMMYFUNCTION("""COMPUTED_VALUE"""),260.0)</f>
        <v>260</v>
      </c>
      <c r="I211" s="94"/>
      <c r="J211" s="94"/>
      <c r="K211" s="94">
        <f>IFERROR(__xludf.DUMMYFUNCTION("""COMPUTED_VALUE"""),60.0)</f>
        <v>60</v>
      </c>
      <c r="L211" s="94">
        <f>IFERROR(__xludf.DUMMYFUNCTION("""COMPUTED_VALUE"""),50.0)</f>
        <v>50</v>
      </c>
      <c r="M211" s="94">
        <f>IFERROR(__xludf.DUMMYFUNCTION("""COMPUTED_VALUE"""),10.0)</f>
        <v>10</v>
      </c>
      <c r="N211" s="94"/>
      <c r="O211" s="1430">
        <f>IFERROR(__xludf.DUMMYFUNCTION("""COMPUTED_VALUE"""),-109.0)</f>
        <v>-109</v>
      </c>
      <c r="P211" s="1431">
        <f>IFERROR(__xludf.DUMMYFUNCTION("""COMPUTED_VALUE"""),2.65)</f>
        <v>2.65</v>
      </c>
      <c r="Q211" s="1432">
        <f>IFERROR(__xludf.DUMMYFUNCTION("""COMPUTED_VALUE"""),689.0)</f>
        <v>689</v>
      </c>
    </row>
    <row r="212" ht="15.75" customHeight="1">
      <c r="A212" s="94"/>
      <c r="B212" s="94" t="str">
        <f>IFERROR(__xludf.DUMMYFUNCTION("""COMPUTED_VALUE"""),"WS В 503")</f>
        <v>WS В 503</v>
      </c>
      <c r="C212" s="94"/>
      <c r="D212" s="1432">
        <f>IFERROR(__xludf.DUMMYFUNCTION("""COMPUTED_VALUE"""),5.0)</f>
        <v>5</v>
      </c>
      <c r="E212" s="1429">
        <f>IFERROR(__xludf.DUMMYFUNCTION("""COMPUTED_VALUE"""),45420.0)</f>
        <v>45420</v>
      </c>
      <c r="F212" s="1429">
        <f>IFERROR(__xludf.DUMMYFUNCTION("""COMPUTED_VALUE"""),45422.0)</f>
        <v>45422</v>
      </c>
      <c r="G212" s="1164">
        <f>IFERROR(__xludf.DUMMYFUNCTION("""COMPUTED_VALUE"""),2.0)</f>
        <v>2</v>
      </c>
      <c r="H212" s="1430">
        <f>IFERROR(__xludf.DUMMYFUNCTION("""COMPUTED_VALUE"""),118.0)</f>
        <v>118</v>
      </c>
      <c r="I212" s="94"/>
      <c r="J212" s="94"/>
      <c r="K212" s="94">
        <f>IFERROR(__xludf.DUMMYFUNCTION("""COMPUTED_VALUE"""),70.0)</f>
        <v>70</v>
      </c>
      <c r="L212" s="94">
        <f>IFERROR(__xludf.DUMMYFUNCTION("""COMPUTED_VALUE"""),50.0)</f>
        <v>50</v>
      </c>
      <c r="M212" s="94">
        <f>IFERROR(__xludf.DUMMYFUNCTION("""COMPUTED_VALUE"""),20.0)</f>
        <v>20</v>
      </c>
      <c r="N212" s="94"/>
      <c r="O212" s="1430">
        <f>IFERROR(__xludf.DUMMYFUNCTION("""COMPUTED_VALUE"""),-135.5)</f>
        <v>-135.5</v>
      </c>
      <c r="P212" s="1431">
        <f>IFERROR(__xludf.DUMMYFUNCTION("""COMPUTED_VALUE"""),2.65)</f>
        <v>2.65</v>
      </c>
      <c r="Q212" s="1432">
        <f>IFERROR(__xludf.DUMMYFUNCTION("""COMPUTED_VALUE"""),312.7)</f>
        <v>312.7</v>
      </c>
    </row>
    <row r="213" ht="15.75" customHeight="1">
      <c r="A213" s="94"/>
      <c r="B213" s="94" t="str">
        <f>IFERROR(__xludf.DUMMYFUNCTION("""COMPUTED_VALUE"""),"CM 1606")</f>
        <v>CM 1606</v>
      </c>
      <c r="C213" s="94"/>
      <c r="D213" s="1432">
        <f>IFERROR(__xludf.DUMMYFUNCTION("""COMPUTED_VALUE"""),5.0)</f>
        <v>5</v>
      </c>
      <c r="E213" s="1429">
        <f>IFERROR(__xludf.DUMMYFUNCTION("""COMPUTED_VALUE"""),45421.0)</f>
        <v>45421</v>
      </c>
      <c r="F213" s="1429">
        <f>IFERROR(__xludf.DUMMYFUNCTION("""COMPUTED_VALUE"""),45424.0)</f>
        <v>45424</v>
      </c>
      <c r="G213" s="1164">
        <f>IFERROR(__xludf.DUMMYFUNCTION("""COMPUTED_VALUE"""),3.0)</f>
        <v>3</v>
      </c>
      <c r="H213" s="1430">
        <f>IFERROR(__xludf.DUMMYFUNCTION("""COMPUTED_VALUE"""),103.0)</f>
        <v>103</v>
      </c>
      <c r="I213" s="94"/>
      <c r="J213" s="94"/>
      <c r="K213" s="94">
        <f>IFERROR(__xludf.DUMMYFUNCTION("""COMPUTED_VALUE"""),60.0)</f>
        <v>60</v>
      </c>
      <c r="L213" s="94">
        <f>IFERROR(__xludf.DUMMYFUNCTION("""COMPUTED_VALUE"""),50.0)</f>
        <v>50</v>
      </c>
      <c r="M213" s="94">
        <f>IFERROR(__xludf.DUMMYFUNCTION("""COMPUTED_VALUE"""),10.0)</f>
        <v>10</v>
      </c>
      <c r="N213" s="94"/>
      <c r="O213" s="1430">
        <f>IFERROR(__xludf.DUMMYFUNCTION("""COMPUTED_VALUE"""),-109.0)</f>
        <v>-109</v>
      </c>
      <c r="P213" s="1431">
        <f>IFERROR(__xludf.DUMMYFUNCTION("""COMPUTED_VALUE"""),2.65)</f>
        <v>2.65</v>
      </c>
      <c r="Q213" s="1432">
        <f>IFERROR(__xludf.DUMMYFUNCTION("""COMPUTED_VALUE"""),272.95)</f>
        <v>272.95</v>
      </c>
    </row>
    <row r="214" ht="15.75" customHeight="1">
      <c r="A214" s="94"/>
      <c r="B214" s="94" t="str">
        <f>IFERROR(__xludf.DUMMYFUNCTION("""COMPUTED_VALUE"""),"С 1443")</f>
        <v>С 1443</v>
      </c>
      <c r="C214" s="94"/>
      <c r="D214" s="1432">
        <f>IFERROR(__xludf.DUMMYFUNCTION("""COMPUTED_VALUE"""),5.0)</f>
        <v>5</v>
      </c>
      <c r="E214" s="1429">
        <f>IFERROR(__xludf.DUMMYFUNCTION("""COMPUTED_VALUE"""),45421.0)</f>
        <v>45421</v>
      </c>
      <c r="F214" s="1429">
        <f>IFERROR(__xludf.DUMMYFUNCTION("""COMPUTED_VALUE"""),45424.0)</f>
        <v>45424</v>
      </c>
      <c r="G214" s="1164">
        <f>IFERROR(__xludf.DUMMYFUNCTION("""COMPUTED_VALUE"""),3.0)</f>
        <v>3</v>
      </c>
      <c r="H214" s="1430">
        <f>IFERROR(__xludf.DUMMYFUNCTION("""COMPUTED_VALUE"""),103.0)</f>
        <v>103</v>
      </c>
      <c r="I214" s="94"/>
      <c r="J214" s="94"/>
      <c r="K214" s="94">
        <f>IFERROR(__xludf.DUMMYFUNCTION("""COMPUTED_VALUE"""),70.0)</f>
        <v>70</v>
      </c>
      <c r="L214" s="94">
        <f>IFERROR(__xludf.DUMMYFUNCTION("""COMPUTED_VALUE"""),55.0)</f>
        <v>55</v>
      </c>
      <c r="M214" s="94">
        <f>IFERROR(__xludf.DUMMYFUNCTION("""COMPUTED_VALUE"""),15.0)</f>
        <v>15</v>
      </c>
      <c r="N214" s="94"/>
      <c r="O214" s="1430">
        <f>IFERROR(__xludf.DUMMYFUNCTION("""COMPUTED_VALUE"""),-130.5)</f>
        <v>-130.5</v>
      </c>
      <c r="P214" s="1431">
        <f>IFERROR(__xludf.DUMMYFUNCTION("""COMPUTED_VALUE"""),2.65)</f>
        <v>2.65</v>
      </c>
      <c r="Q214" s="1432">
        <f>IFERROR(__xludf.DUMMYFUNCTION("""COMPUTED_VALUE"""),272.95)</f>
        <v>272.95</v>
      </c>
    </row>
    <row r="215" ht="15.75" customHeight="1">
      <c r="A215" s="94"/>
      <c r="B215" s="94" t="str">
        <f>IFERROR(__xludf.DUMMYFUNCTION("""COMPUTED_VALUE"""),"WS A 905")</f>
        <v>WS A 905</v>
      </c>
      <c r="C215" s="94"/>
      <c r="D215" s="1432">
        <f>IFERROR(__xludf.DUMMYFUNCTION("""COMPUTED_VALUE"""),5.0)</f>
        <v>5</v>
      </c>
      <c r="E215" s="1429">
        <f>IFERROR(__xludf.DUMMYFUNCTION("""COMPUTED_VALUE"""),45422.0)</f>
        <v>45422</v>
      </c>
      <c r="F215" s="1429">
        <f>IFERROR(__xludf.DUMMYFUNCTION("""COMPUTED_VALUE"""),45449.0)</f>
        <v>45449</v>
      </c>
      <c r="G215" s="1164">
        <f>IFERROR(__xludf.DUMMYFUNCTION("""COMPUTED_VALUE"""),27.0)</f>
        <v>27</v>
      </c>
      <c r="H215" s="1430">
        <f>IFERROR(__xludf.DUMMYFUNCTION("""COMPUTED_VALUE"""),606.0)</f>
        <v>606</v>
      </c>
      <c r="I215" s="94"/>
      <c r="J215" s="94"/>
      <c r="K215" s="94">
        <f>IFERROR(__xludf.DUMMYFUNCTION("""COMPUTED_VALUE"""),60.0)</f>
        <v>60</v>
      </c>
      <c r="L215" s="94">
        <f>IFERROR(__xludf.DUMMYFUNCTION("""COMPUTED_VALUE"""),50.0)</f>
        <v>50</v>
      </c>
      <c r="M215" s="94">
        <f>IFERROR(__xludf.DUMMYFUNCTION("""COMPUTED_VALUE"""),10.0)</f>
        <v>10</v>
      </c>
      <c r="N215" s="94"/>
      <c r="O215" s="1430">
        <f>IFERROR(__xludf.DUMMYFUNCTION("""COMPUTED_VALUE"""),-109.0)</f>
        <v>-109</v>
      </c>
      <c r="P215" s="1431">
        <f>IFERROR(__xludf.DUMMYFUNCTION("""COMPUTED_VALUE"""),2.65)</f>
        <v>2.65</v>
      </c>
      <c r="Q215" s="1432">
        <f>IFERROR(__xludf.DUMMYFUNCTION("""COMPUTED_VALUE"""),1605.8999999999999)</f>
        <v>1605.9</v>
      </c>
    </row>
    <row r="216" ht="15.75" customHeight="1">
      <c r="A216" s="94"/>
      <c r="B216" s="94" t="str">
        <f>IFERROR(__xludf.DUMMYFUNCTION("""COMPUTED_VALUE"""),"WS А 908")</f>
        <v>WS А 908</v>
      </c>
      <c r="C216" s="94"/>
      <c r="D216" s="1432">
        <f>IFERROR(__xludf.DUMMYFUNCTION("""COMPUTED_VALUE"""),5.0)</f>
        <v>5</v>
      </c>
      <c r="E216" s="1429">
        <f>IFERROR(__xludf.DUMMYFUNCTION("""COMPUTED_VALUE"""),45422.0)</f>
        <v>45422</v>
      </c>
      <c r="F216" s="1429">
        <f>IFERROR(__xludf.DUMMYFUNCTION("""COMPUTED_VALUE"""),45449.0)</f>
        <v>45449</v>
      </c>
      <c r="G216" s="1164">
        <f>IFERROR(__xludf.DUMMYFUNCTION("""COMPUTED_VALUE"""),27.0)</f>
        <v>27</v>
      </c>
      <c r="H216" s="1430">
        <f>IFERROR(__xludf.DUMMYFUNCTION("""COMPUTED_VALUE"""),606.0)</f>
        <v>606</v>
      </c>
      <c r="I216" s="94"/>
      <c r="J216" s="94"/>
      <c r="K216" s="94">
        <f>IFERROR(__xludf.DUMMYFUNCTION("""COMPUTED_VALUE"""),60.0)</f>
        <v>60</v>
      </c>
      <c r="L216" s="94">
        <f>IFERROR(__xludf.DUMMYFUNCTION("""COMPUTED_VALUE"""),50.0)</f>
        <v>50</v>
      </c>
      <c r="M216" s="94">
        <f>IFERROR(__xludf.DUMMYFUNCTION("""COMPUTED_VALUE"""),10.0)</f>
        <v>10</v>
      </c>
      <c r="N216" s="94"/>
      <c r="O216" s="1430">
        <f>IFERROR(__xludf.DUMMYFUNCTION("""COMPUTED_VALUE"""),-109.0)</f>
        <v>-109</v>
      </c>
      <c r="P216" s="1431">
        <f>IFERROR(__xludf.DUMMYFUNCTION("""COMPUTED_VALUE"""),2.65)</f>
        <v>2.65</v>
      </c>
      <c r="Q216" s="1432">
        <f>IFERROR(__xludf.DUMMYFUNCTION("""COMPUTED_VALUE"""),1605.8999999999999)</f>
        <v>1605.9</v>
      </c>
    </row>
    <row r="217" ht="15.75" customHeight="1">
      <c r="A217" s="94"/>
      <c r="B217" s="94" t="str">
        <f>IFERROR(__xludf.DUMMYFUNCTION("""COMPUTED_VALUE"""),"DL 11-1305")</f>
        <v>DL 11-1305</v>
      </c>
      <c r="C217" s="94"/>
      <c r="D217" s="1432">
        <f>IFERROR(__xludf.DUMMYFUNCTION("""COMPUTED_VALUE"""),5.0)</f>
        <v>5</v>
      </c>
      <c r="E217" s="1429">
        <f>IFERROR(__xludf.DUMMYFUNCTION("""COMPUTED_VALUE"""),45422.0)</f>
        <v>45422</v>
      </c>
      <c r="F217" s="1429">
        <f>IFERROR(__xludf.DUMMYFUNCTION("""COMPUTED_VALUE"""),45425.0)</f>
        <v>45425</v>
      </c>
      <c r="G217" s="1164">
        <f>IFERROR(__xludf.DUMMYFUNCTION("""COMPUTED_VALUE"""),3.0)</f>
        <v>3</v>
      </c>
      <c r="H217" s="1430">
        <f>IFERROR(__xludf.DUMMYFUNCTION("""COMPUTED_VALUE"""),139.0)</f>
        <v>139</v>
      </c>
      <c r="I217" s="94"/>
      <c r="J217" s="94"/>
      <c r="K217" s="94">
        <f>IFERROR(__xludf.DUMMYFUNCTION("""COMPUTED_VALUE"""),105.0)</f>
        <v>105</v>
      </c>
      <c r="L217" s="94">
        <f>IFERROR(__xludf.DUMMYFUNCTION("""COMPUTED_VALUE"""),105.0)</f>
        <v>105</v>
      </c>
      <c r="M217" s="94">
        <f>IFERROR(__xludf.DUMMYFUNCTION("""COMPUTED_VALUE"""),0.0)</f>
        <v>0</v>
      </c>
      <c r="N217" s="94"/>
      <c r="O217" s="1430">
        <f>IFERROR(__xludf.DUMMYFUNCTION("""COMPUTED_VALUE"""),-173.25)</f>
        <v>-173.25</v>
      </c>
      <c r="P217" s="1431">
        <f>IFERROR(__xludf.DUMMYFUNCTION("""COMPUTED_VALUE"""),2.65)</f>
        <v>2.65</v>
      </c>
      <c r="Q217" s="1432">
        <f>IFERROR(__xludf.DUMMYFUNCTION("""COMPUTED_VALUE"""),368.34999999999997)</f>
        <v>368.35</v>
      </c>
    </row>
    <row r="218" ht="15.75" customHeight="1">
      <c r="A218" s="94"/>
      <c r="B218" s="94" t="str">
        <f>IFERROR(__xludf.DUMMYFUNCTION("""COMPUTED_VALUE"""),"А 4049")</f>
        <v>А 4049</v>
      </c>
      <c r="C218" s="94"/>
      <c r="D218" s="1432">
        <f>IFERROR(__xludf.DUMMYFUNCTION("""COMPUTED_VALUE"""),5.0)</f>
        <v>5</v>
      </c>
      <c r="E218" s="1429">
        <f>IFERROR(__xludf.DUMMYFUNCTION("""COMPUTED_VALUE"""),45422.0)</f>
        <v>45422</v>
      </c>
      <c r="F218" s="1429">
        <f>IFERROR(__xludf.DUMMYFUNCTION("""COMPUTED_VALUE"""),45424.0)</f>
        <v>45424</v>
      </c>
      <c r="G218" s="1164">
        <f>IFERROR(__xludf.DUMMYFUNCTION("""COMPUTED_VALUE"""),2.0)</f>
        <v>2</v>
      </c>
      <c r="H218" s="1430">
        <f>IFERROR(__xludf.DUMMYFUNCTION("""COMPUTED_VALUE"""),48.0)</f>
        <v>48</v>
      </c>
      <c r="I218" s="94"/>
      <c r="J218" s="94"/>
      <c r="K218" s="94">
        <f>IFERROR(__xludf.DUMMYFUNCTION("""COMPUTED_VALUE"""),50.0)</f>
        <v>50</v>
      </c>
      <c r="L218" s="94">
        <f>IFERROR(__xludf.DUMMYFUNCTION("""COMPUTED_VALUE"""),45.0)</f>
        <v>45</v>
      </c>
      <c r="M218" s="94">
        <f>IFERROR(__xludf.DUMMYFUNCTION("""COMPUTED_VALUE"""),5.0)</f>
        <v>5</v>
      </c>
      <c r="N218" s="94"/>
      <c r="O218" s="1430">
        <f>IFERROR(__xludf.DUMMYFUNCTION("""COMPUTED_VALUE"""),-87.5)</f>
        <v>-87.5</v>
      </c>
      <c r="P218" s="1431">
        <f>IFERROR(__xludf.DUMMYFUNCTION("""COMPUTED_VALUE"""),2.65)</f>
        <v>2.65</v>
      </c>
      <c r="Q218" s="1432">
        <f>IFERROR(__xludf.DUMMYFUNCTION("""COMPUTED_VALUE"""),127.19999999999999)</f>
        <v>127.2</v>
      </c>
    </row>
    <row r="219" ht="15.75" customHeight="1">
      <c r="A219" s="94"/>
      <c r="B219" s="94" t="str">
        <f>IFERROR(__xludf.DUMMYFUNCTION("""COMPUTED_VALUE"""),"WS В 503")</f>
        <v>WS В 503</v>
      </c>
      <c r="C219" s="94"/>
      <c r="D219" s="1432">
        <f>IFERROR(__xludf.DUMMYFUNCTION("""COMPUTED_VALUE"""),5.0)</f>
        <v>5</v>
      </c>
      <c r="E219" s="1429">
        <f>IFERROR(__xludf.DUMMYFUNCTION("""COMPUTED_VALUE"""),45423.0)</f>
        <v>45423</v>
      </c>
      <c r="F219" s="1429">
        <f>IFERROR(__xludf.DUMMYFUNCTION("""COMPUTED_VALUE"""),45426.0)</f>
        <v>45426</v>
      </c>
      <c r="G219" s="1164">
        <f>IFERROR(__xludf.DUMMYFUNCTION("""COMPUTED_VALUE"""),3.0)</f>
        <v>3</v>
      </c>
      <c r="H219" s="1430">
        <f>IFERROR(__xludf.DUMMYFUNCTION("""COMPUTED_VALUE"""),160.0)</f>
        <v>160</v>
      </c>
      <c r="I219" s="94"/>
      <c r="J219" s="94"/>
      <c r="K219" s="94">
        <f>IFERROR(__xludf.DUMMYFUNCTION("""COMPUTED_VALUE"""),70.0)</f>
        <v>70</v>
      </c>
      <c r="L219" s="94">
        <f>IFERROR(__xludf.DUMMYFUNCTION("""COMPUTED_VALUE"""),50.0)</f>
        <v>50</v>
      </c>
      <c r="M219" s="94">
        <f>IFERROR(__xludf.DUMMYFUNCTION("""COMPUTED_VALUE"""),20.0)</f>
        <v>20</v>
      </c>
      <c r="N219" s="94"/>
      <c r="O219" s="1430">
        <f>IFERROR(__xludf.DUMMYFUNCTION("""COMPUTED_VALUE"""),-135.5)</f>
        <v>-135.5</v>
      </c>
      <c r="P219" s="1431">
        <f>IFERROR(__xludf.DUMMYFUNCTION("""COMPUTED_VALUE"""),2.65)</f>
        <v>2.65</v>
      </c>
      <c r="Q219" s="1432">
        <f>IFERROR(__xludf.DUMMYFUNCTION("""COMPUTED_VALUE"""),424.0)</f>
        <v>424</v>
      </c>
    </row>
    <row r="220" ht="15.75" customHeight="1">
      <c r="A220" s="94"/>
      <c r="B220" s="94" t="str">
        <f>IFERROR(__xludf.DUMMYFUNCTION("""COMPUTED_VALUE"""),"C 4245")</f>
        <v>C 4245</v>
      </c>
      <c r="C220" s="94"/>
      <c r="D220" s="1432">
        <f>IFERROR(__xludf.DUMMYFUNCTION("""COMPUTED_VALUE"""),5.0)</f>
        <v>5</v>
      </c>
      <c r="E220" s="1429">
        <f>IFERROR(__xludf.DUMMYFUNCTION("""COMPUTED_VALUE"""),45423.0)</f>
        <v>45423</v>
      </c>
      <c r="F220" s="1429">
        <f>IFERROR(__xludf.DUMMYFUNCTION("""COMPUTED_VALUE"""),45430.0)</f>
        <v>45430</v>
      </c>
      <c r="G220" s="1164">
        <f>IFERROR(__xludf.DUMMYFUNCTION("""COMPUTED_VALUE"""),7.0)</f>
        <v>7</v>
      </c>
      <c r="H220" s="1430">
        <f>IFERROR(__xludf.DUMMYFUNCTION("""COMPUTED_VALUE"""),180.0)</f>
        <v>180</v>
      </c>
      <c r="I220" s="94"/>
      <c r="J220" s="94"/>
      <c r="K220" s="94">
        <f>IFERROR(__xludf.DUMMYFUNCTION("""COMPUTED_VALUE"""),70.0)</f>
        <v>70</v>
      </c>
      <c r="L220" s="94">
        <f>IFERROR(__xludf.DUMMYFUNCTION("""COMPUTED_VALUE"""),55.0)</f>
        <v>55</v>
      </c>
      <c r="M220" s="94">
        <f>IFERROR(__xludf.DUMMYFUNCTION("""COMPUTED_VALUE"""),15.0)</f>
        <v>15</v>
      </c>
      <c r="N220" s="94"/>
      <c r="O220" s="1430">
        <f>IFERROR(__xludf.DUMMYFUNCTION("""COMPUTED_VALUE"""),-130.5)</f>
        <v>-130.5</v>
      </c>
      <c r="P220" s="1431">
        <f>IFERROR(__xludf.DUMMYFUNCTION("""COMPUTED_VALUE"""),2.65)</f>
        <v>2.65</v>
      </c>
      <c r="Q220" s="1432">
        <f>IFERROR(__xludf.DUMMYFUNCTION("""COMPUTED_VALUE"""),477.0)</f>
        <v>477</v>
      </c>
    </row>
    <row r="221" ht="15.75" customHeight="1">
      <c r="A221" s="94"/>
      <c r="B221" s="94" t="str">
        <f>IFERROR(__xludf.DUMMYFUNCTION("""COMPUTED_VALUE"""),"WS В 1510")</f>
        <v>WS В 1510</v>
      </c>
      <c r="C221" s="94"/>
      <c r="D221" s="1432">
        <f>IFERROR(__xludf.DUMMYFUNCTION("""COMPUTED_VALUE"""),5.0)</f>
        <v>5</v>
      </c>
      <c r="E221" s="1429">
        <f>IFERROR(__xludf.DUMMYFUNCTION("""COMPUTED_VALUE"""),45423.0)</f>
        <v>45423</v>
      </c>
      <c r="F221" s="1429">
        <f>IFERROR(__xludf.DUMMYFUNCTION("""COMPUTED_VALUE"""),45432.0)</f>
        <v>45432</v>
      </c>
      <c r="G221" s="1164">
        <f>IFERROR(__xludf.DUMMYFUNCTION("""COMPUTED_VALUE"""),9.0)</f>
        <v>9</v>
      </c>
      <c r="H221" s="1430">
        <f>IFERROR(__xludf.DUMMYFUNCTION("""COMPUTED_VALUE"""),273.0)</f>
        <v>273</v>
      </c>
      <c r="I221" s="94"/>
      <c r="J221" s="94"/>
      <c r="K221" s="94">
        <f>IFERROR(__xludf.DUMMYFUNCTION("""COMPUTED_VALUE"""),60.0)</f>
        <v>60</v>
      </c>
      <c r="L221" s="94">
        <f>IFERROR(__xludf.DUMMYFUNCTION("""COMPUTED_VALUE"""),50.0)</f>
        <v>50</v>
      </c>
      <c r="M221" s="94">
        <f>IFERROR(__xludf.DUMMYFUNCTION("""COMPUTED_VALUE"""),10.0)</f>
        <v>10</v>
      </c>
      <c r="N221" s="94"/>
      <c r="O221" s="1430">
        <f>IFERROR(__xludf.DUMMYFUNCTION("""COMPUTED_VALUE"""),-109.0)</f>
        <v>-109</v>
      </c>
      <c r="P221" s="1431">
        <f>IFERROR(__xludf.DUMMYFUNCTION("""COMPUTED_VALUE"""),2.65)</f>
        <v>2.65</v>
      </c>
      <c r="Q221" s="1432">
        <f>IFERROR(__xludf.DUMMYFUNCTION("""COMPUTED_VALUE"""),723.4499999999999)</f>
        <v>723.45</v>
      </c>
    </row>
    <row r="222" ht="15.75" customHeight="1">
      <c r="A222" s="94"/>
      <c r="B222" s="94" t="str">
        <f>IFERROR(__xludf.DUMMYFUNCTION("""COMPUTED_VALUE"""),"CM 1604")</f>
        <v>CM 1604</v>
      </c>
      <c r="C222" s="94"/>
      <c r="D222" s="1432">
        <f>IFERROR(__xludf.DUMMYFUNCTION("""COMPUTED_VALUE"""),5.0)</f>
        <v>5</v>
      </c>
      <c r="E222" s="1429">
        <f>IFERROR(__xludf.DUMMYFUNCTION("""COMPUTED_VALUE"""),45424.0)</f>
        <v>45424</v>
      </c>
      <c r="F222" s="1429">
        <f>IFERROR(__xludf.DUMMYFUNCTION("""COMPUTED_VALUE"""),45427.0)</f>
        <v>45427</v>
      </c>
      <c r="G222" s="1164">
        <f>IFERROR(__xludf.DUMMYFUNCTION("""COMPUTED_VALUE"""),3.0)</f>
        <v>3</v>
      </c>
      <c r="H222" s="1430">
        <f>IFERROR(__xludf.DUMMYFUNCTION("""COMPUTED_VALUE"""),91.0)</f>
        <v>91</v>
      </c>
      <c r="I222" s="94"/>
      <c r="J222" s="94"/>
      <c r="K222" s="94">
        <f>IFERROR(__xludf.DUMMYFUNCTION("""COMPUTED_VALUE"""),70.0)</f>
        <v>70</v>
      </c>
      <c r="L222" s="94">
        <f>IFERROR(__xludf.DUMMYFUNCTION("""COMPUTED_VALUE"""),60.0)</f>
        <v>60</v>
      </c>
      <c r="M222" s="94">
        <f>IFERROR(__xludf.DUMMYFUNCTION("""COMPUTED_VALUE"""),10.0)</f>
        <v>10</v>
      </c>
      <c r="N222" s="94"/>
      <c r="O222" s="1430">
        <f>IFERROR(__xludf.DUMMYFUNCTION("""COMPUTED_VALUE"""),-125.5)</f>
        <v>-125.5</v>
      </c>
      <c r="P222" s="1431">
        <f>IFERROR(__xludf.DUMMYFUNCTION("""COMPUTED_VALUE"""),2.65)</f>
        <v>2.65</v>
      </c>
      <c r="Q222" s="1432">
        <f>IFERROR(__xludf.DUMMYFUNCTION("""COMPUTED_VALUE"""),241.15)</f>
        <v>241.15</v>
      </c>
    </row>
    <row r="223" ht="15.75" customHeight="1">
      <c r="A223" s="94"/>
      <c r="B223" s="94" t="str">
        <f>IFERROR(__xludf.DUMMYFUNCTION("""COMPUTED_VALUE"""),"С 1443")</f>
        <v>С 1443</v>
      </c>
      <c r="C223" s="94"/>
      <c r="D223" s="1432">
        <f>IFERROR(__xludf.DUMMYFUNCTION("""COMPUTED_VALUE"""),5.0)</f>
        <v>5</v>
      </c>
      <c r="E223" s="1429">
        <f>IFERROR(__xludf.DUMMYFUNCTION("""COMPUTED_VALUE"""),45424.0)</f>
        <v>45424</v>
      </c>
      <c r="F223" s="1429">
        <f>IFERROR(__xludf.DUMMYFUNCTION("""COMPUTED_VALUE"""),45428.0)</f>
        <v>45428</v>
      </c>
      <c r="G223" s="1164">
        <f>IFERROR(__xludf.DUMMYFUNCTION("""COMPUTED_VALUE"""),4.0)</f>
        <v>4</v>
      </c>
      <c r="H223" s="1430">
        <f>IFERROR(__xludf.DUMMYFUNCTION("""COMPUTED_VALUE"""),122.0)</f>
        <v>122</v>
      </c>
      <c r="I223" s="94"/>
      <c r="J223" s="94"/>
      <c r="K223" s="94">
        <f>IFERROR(__xludf.DUMMYFUNCTION("""COMPUTED_VALUE"""),70.0)</f>
        <v>70</v>
      </c>
      <c r="L223" s="94">
        <f>IFERROR(__xludf.DUMMYFUNCTION("""COMPUTED_VALUE"""),55.0)</f>
        <v>55</v>
      </c>
      <c r="M223" s="94">
        <f>IFERROR(__xludf.DUMMYFUNCTION("""COMPUTED_VALUE"""),15.0)</f>
        <v>15</v>
      </c>
      <c r="N223" s="94"/>
      <c r="O223" s="1430">
        <f>IFERROR(__xludf.DUMMYFUNCTION("""COMPUTED_VALUE"""),-130.5)</f>
        <v>-130.5</v>
      </c>
      <c r="P223" s="1431">
        <f>IFERROR(__xludf.DUMMYFUNCTION("""COMPUTED_VALUE"""),2.65)</f>
        <v>2.65</v>
      </c>
      <c r="Q223" s="1432">
        <f>IFERROR(__xludf.DUMMYFUNCTION("""COMPUTED_VALUE"""),323.3)</f>
        <v>323.3</v>
      </c>
    </row>
    <row r="224" ht="15.75" customHeight="1">
      <c r="A224" s="94"/>
      <c r="B224" s="94" t="str">
        <f>IFERROR(__xludf.DUMMYFUNCTION("""COMPUTED_VALUE"""),"WS E 1202")</f>
        <v>WS E 1202</v>
      </c>
      <c r="C224" s="94"/>
      <c r="D224" s="1432">
        <f>IFERROR(__xludf.DUMMYFUNCTION("""COMPUTED_VALUE"""),5.0)</f>
        <v>5</v>
      </c>
      <c r="E224" s="1429">
        <f>IFERROR(__xludf.DUMMYFUNCTION("""COMPUTED_VALUE"""),45423.0)</f>
        <v>45423</v>
      </c>
      <c r="F224" s="1429">
        <f>IFERROR(__xludf.DUMMYFUNCTION("""COMPUTED_VALUE"""),45427.0)</f>
        <v>45427</v>
      </c>
      <c r="G224" s="1164">
        <f>IFERROR(__xludf.DUMMYFUNCTION("""COMPUTED_VALUE"""),4.0)</f>
        <v>4</v>
      </c>
      <c r="H224" s="1430">
        <f>IFERROR(__xludf.DUMMYFUNCTION("""COMPUTED_VALUE"""),197.0)</f>
        <v>197</v>
      </c>
      <c r="I224" s="94"/>
      <c r="J224" s="94"/>
      <c r="K224" s="94">
        <f>IFERROR(__xludf.DUMMYFUNCTION("""COMPUTED_VALUE"""),70.0)</f>
        <v>70</v>
      </c>
      <c r="L224" s="94">
        <f>IFERROR(__xludf.DUMMYFUNCTION("""COMPUTED_VALUE"""),50.0)</f>
        <v>50</v>
      </c>
      <c r="M224" s="94">
        <f>IFERROR(__xludf.DUMMYFUNCTION("""COMPUTED_VALUE"""),20.0)</f>
        <v>20</v>
      </c>
      <c r="N224" s="94"/>
      <c r="O224" s="1430">
        <f>IFERROR(__xludf.DUMMYFUNCTION("""COMPUTED_VALUE"""),-135.5)</f>
        <v>-135.5</v>
      </c>
      <c r="P224" s="1431">
        <f>IFERROR(__xludf.DUMMYFUNCTION("""COMPUTED_VALUE"""),2.65)</f>
        <v>2.65</v>
      </c>
      <c r="Q224" s="1432">
        <f>IFERROR(__xludf.DUMMYFUNCTION("""COMPUTED_VALUE"""),522.05)</f>
        <v>522.05</v>
      </c>
    </row>
    <row r="225" ht="15.75" customHeight="1">
      <c r="A225" s="94"/>
      <c r="B225" s="94" t="str">
        <f>IFERROR(__xludf.DUMMYFUNCTION("""COMPUTED_VALUE"""),"WS E1405")</f>
        <v>WS E1405</v>
      </c>
      <c r="C225" s="94"/>
      <c r="D225" s="1432">
        <f>IFERROR(__xludf.DUMMYFUNCTION("""COMPUTED_VALUE"""),5.0)</f>
        <v>5</v>
      </c>
      <c r="E225" s="1429">
        <f>IFERROR(__xludf.DUMMYFUNCTION("""COMPUTED_VALUE"""),45424.0)</f>
        <v>45424</v>
      </c>
      <c r="F225" s="1429">
        <f>IFERROR(__xludf.DUMMYFUNCTION("""COMPUTED_VALUE"""),45438.0)</f>
        <v>45438</v>
      </c>
      <c r="G225" s="1164">
        <f>IFERROR(__xludf.DUMMYFUNCTION("""COMPUTED_VALUE"""),14.0)</f>
        <v>14</v>
      </c>
      <c r="H225" s="1430">
        <f>IFERROR(__xludf.DUMMYFUNCTION("""COMPUTED_VALUE"""),375.0)</f>
        <v>375</v>
      </c>
      <c r="I225" s="94"/>
      <c r="J225" s="94"/>
      <c r="K225" s="94">
        <f>IFERROR(__xludf.DUMMYFUNCTION("""COMPUTED_VALUE"""),60.0)</f>
        <v>60</v>
      </c>
      <c r="L225" s="94">
        <f>IFERROR(__xludf.DUMMYFUNCTION("""COMPUTED_VALUE"""),50.0)</f>
        <v>50</v>
      </c>
      <c r="M225" s="94">
        <f>IFERROR(__xludf.DUMMYFUNCTION("""COMPUTED_VALUE"""),10.0)</f>
        <v>10</v>
      </c>
      <c r="N225" s="94"/>
      <c r="O225" s="1430">
        <f>IFERROR(__xludf.DUMMYFUNCTION("""COMPUTED_VALUE"""),-109.0)</f>
        <v>-109</v>
      </c>
      <c r="P225" s="1431">
        <f>IFERROR(__xludf.DUMMYFUNCTION("""COMPUTED_VALUE"""),2.65)</f>
        <v>2.65</v>
      </c>
      <c r="Q225" s="1432">
        <f>IFERROR(__xludf.DUMMYFUNCTION("""COMPUTED_VALUE"""),993.75)</f>
        <v>993.75</v>
      </c>
    </row>
    <row r="226" ht="15.75" customHeight="1">
      <c r="A226" s="94"/>
      <c r="B226" s="94" t="str">
        <f>IFERROR(__xludf.DUMMYFUNCTION("""COMPUTED_VALUE"""),"А 4049")</f>
        <v>А 4049</v>
      </c>
      <c r="C226" s="94"/>
      <c r="D226" s="1432">
        <f>IFERROR(__xludf.DUMMYFUNCTION("""COMPUTED_VALUE"""),5.0)</f>
        <v>5</v>
      </c>
      <c r="E226" s="1429">
        <f>IFERROR(__xludf.DUMMYFUNCTION("""COMPUTED_VALUE"""),45424.0)</f>
        <v>45424</v>
      </c>
      <c r="F226" s="1436">
        <f>IFERROR(__xludf.DUMMYFUNCTION("""COMPUTED_VALUE"""),45428.0)</f>
        <v>45428</v>
      </c>
      <c r="G226" s="1164">
        <f>IFERROR(__xludf.DUMMYFUNCTION("""COMPUTED_VALUE"""),4.0)</f>
        <v>4</v>
      </c>
      <c r="H226" s="1430">
        <f>IFERROR(__xludf.DUMMYFUNCTION("""COMPUTED_VALUE"""),85.0)</f>
        <v>85</v>
      </c>
      <c r="I226" s="94"/>
      <c r="J226" s="94"/>
      <c r="K226" s="94">
        <f>IFERROR(__xludf.DUMMYFUNCTION("""COMPUTED_VALUE"""),50.0)</f>
        <v>50</v>
      </c>
      <c r="L226" s="94">
        <f>IFERROR(__xludf.DUMMYFUNCTION("""COMPUTED_VALUE"""),45.0)</f>
        <v>45</v>
      </c>
      <c r="M226" s="94">
        <f>IFERROR(__xludf.DUMMYFUNCTION("""COMPUTED_VALUE"""),5.0)</f>
        <v>5</v>
      </c>
      <c r="N226" s="94"/>
      <c r="O226" s="1430">
        <f>IFERROR(__xludf.DUMMYFUNCTION("""COMPUTED_VALUE"""),-87.5)</f>
        <v>-87.5</v>
      </c>
      <c r="P226" s="1431">
        <f>IFERROR(__xludf.DUMMYFUNCTION("""COMPUTED_VALUE"""),2.65)</f>
        <v>2.65</v>
      </c>
      <c r="Q226" s="1432">
        <f>IFERROR(__xludf.DUMMYFUNCTION("""COMPUTED_VALUE"""),225.25)</f>
        <v>225.25</v>
      </c>
    </row>
    <row r="227" ht="15.75" customHeight="1">
      <c r="A227" s="94" t="str">
        <f>IFERROR(__xludf.DUMMYFUNCTION("""COMPUTED_VALUE"""),"Итого неделя")</f>
        <v>Итого неделя</v>
      </c>
      <c r="B227" s="94" t="str">
        <f>IFERROR(__xludf.DUMMYFUNCTION("""COMPUTED_VALUE"""),"19 неделя")</f>
        <v>19 неделя</v>
      </c>
      <c r="C227" s="94"/>
      <c r="D227" s="94"/>
      <c r="E227" s="94"/>
      <c r="F227" s="94"/>
      <c r="G227" s="1164">
        <f>IFERROR(__xludf.DUMMYFUNCTION("""COMPUTED_VALUE"""),157.0)</f>
        <v>157</v>
      </c>
      <c r="H227" s="1430">
        <f>IFERROR(__xludf.DUMMYFUNCTION("""COMPUTED_VALUE"""),4406.0)</f>
        <v>4406</v>
      </c>
      <c r="I227" s="94"/>
      <c r="J227" s="94"/>
      <c r="K227" s="94">
        <f>IFERROR(__xludf.DUMMYFUNCTION("""COMPUTED_VALUE"""),1525.0)</f>
        <v>1525</v>
      </c>
      <c r="L227" s="94">
        <f>IFERROR(__xludf.DUMMYFUNCTION("""COMPUTED_VALUE"""),1270.0)</f>
        <v>1270</v>
      </c>
      <c r="M227" s="94">
        <f>IFERROR(__xludf.DUMMYFUNCTION("""COMPUTED_VALUE"""),255.0)</f>
        <v>255</v>
      </c>
      <c r="N227" s="94"/>
      <c r="O227" s="1430">
        <f>IFERROR(__xludf.DUMMYFUNCTION("""COMPUTED_VALUE"""),-2771.25)</f>
        <v>-2771.25</v>
      </c>
      <c r="P227" s="1431">
        <f>IFERROR(__xludf.DUMMYFUNCTION("""COMPUTED_VALUE"""),2.65)</f>
        <v>2.65</v>
      </c>
      <c r="Q227" s="1432">
        <f>IFERROR(__xludf.DUMMYFUNCTION("""COMPUTED_VALUE"""),11675.899999999998)</f>
        <v>11675.9</v>
      </c>
    </row>
    <row r="228" ht="15.75" customHeight="1">
      <c r="A228" s="94"/>
      <c r="B228" s="94" t="str">
        <f>IFERROR(__xludf.DUMMYFUNCTION("""COMPUTED_VALUE"""),"С 1125")</f>
        <v>С 1125</v>
      </c>
      <c r="C228" s="94"/>
      <c r="D228" s="1432">
        <f>IFERROR(__xludf.DUMMYFUNCTION("""COMPUTED_VALUE"""),5.0)</f>
        <v>5</v>
      </c>
      <c r="E228" s="1429">
        <f>IFERROR(__xludf.DUMMYFUNCTION("""COMPUTED_VALUE"""),45425.0)</f>
        <v>45425</v>
      </c>
      <c r="F228" s="1429">
        <f>IFERROR(__xludf.DUMMYFUNCTION("""COMPUTED_VALUE"""),45427.0)</f>
        <v>45427</v>
      </c>
      <c r="G228" s="1164">
        <f>IFERROR(__xludf.DUMMYFUNCTION("""COMPUTED_VALUE"""),2.0)</f>
        <v>2</v>
      </c>
      <c r="H228" s="1430">
        <f>IFERROR(__xludf.DUMMYFUNCTION("""COMPUTED_VALUE"""),70.0)</f>
        <v>70</v>
      </c>
      <c r="I228" s="94"/>
      <c r="J228" s="94"/>
      <c r="K228" s="94">
        <f>IFERROR(__xludf.DUMMYFUNCTION("""COMPUTED_VALUE"""),50.0)</f>
        <v>50</v>
      </c>
      <c r="L228" s="94">
        <f>IFERROR(__xludf.DUMMYFUNCTION("""COMPUTED_VALUE"""),45.0)</f>
        <v>45</v>
      </c>
      <c r="M228" s="94">
        <f>IFERROR(__xludf.DUMMYFUNCTION("""COMPUTED_VALUE"""),5.0)</f>
        <v>5</v>
      </c>
      <c r="N228" s="94"/>
      <c r="O228" s="1430">
        <f>IFERROR(__xludf.DUMMYFUNCTION("""COMPUTED_VALUE"""),5.0)</f>
        <v>5</v>
      </c>
      <c r="P228" s="1431">
        <f>IFERROR(__xludf.DUMMYFUNCTION("""COMPUTED_VALUE"""),2.75)</f>
        <v>2.75</v>
      </c>
      <c r="Q228" s="1432">
        <f>IFERROR(__xludf.DUMMYFUNCTION("""COMPUTED_VALUE"""),192.5)</f>
        <v>192.5</v>
      </c>
    </row>
    <row r="229" ht="15.75" customHeight="1">
      <c r="A229" s="94"/>
      <c r="B229" s="94" t="str">
        <f>IFERROR(__xludf.DUMMYFUNCTION("""COMPUTED_VALUE"""),"WS В 212")</f>
        <v>WS В 212</v>
      </c>
      <c r="C229" s="94"/>
      <c r="D229" s="1432">
        <f>IFERROR(__xludf.DUMMYFUNCTION("""COMPUTED_VALUE"""),5.0)</f>
        <v>5</v>
      </c>
      <c r="E229" s="1429">
        <f>IFERROR(__xludf.DUMMYFUNCTION("""COMPUTED_VALUE"""),45427.0)</f>
        <v>45427</v>
      </c>
      <c r="F229" s="1429">
        <f>IFERROR(__xludf.DUMMYFUNCTION("""COMPUTED_VALUE"""),45429.0)</f>
        <v>45429</v>
      </c>
      <c r="G229" s="1164">
        <f>IFERROR(__xludf.DUMMYFUNCTION("""COMPUTED_VALUE"""),2.0)</f>
        <v>2</v>
      </c>
      <c r="H229" s="1430">
        <f>IFERROR(__xludf.DUMMYFUNCTION("""COMPUTED_VALUE"""),180.0)</f>
        <v>180</v>
      </c>
      <c r="I229" s="94"/>
      <c r="J229" s="94"/>
      <c r="K229" s="94">
        <f>IFERROR(__xludf.DUMMYFUNCTION("""COMPUTED_VALUE"""),70.0)</f>
        <v>70</v>
      </c>
      <c r="L229" s="94">
        <f>IFERROR(__xludf.DUMMYFUNCTION("""COMPUTED_VALUE"""),50.0)</f>
        <v>50</v>
      </c>
      <c r="M229" s="94">
        <f>IFERROR(__xludf.DUMMYFUNCTION("""COMPUTED_VALUE"""),20.0)</f>
        <v>20</v>
      </c>
      <c r="N229" s="94"/>
      <c r="O229" s="1430">
        <f>IFERROR(__xludf.DUMMYFUNCTION("""COMPUTED_VALUE"""),20.0)</f>
        <v>20</v>
      </c>
      <c r="P229" s="1431">
        <f>IFERROR(__xludf.DUMMYFUNCTION("""COMPUTED_VALUE"""),2.7)</f>
        <v>2.7</v>
      </c>
      <c r="Q229" s="1432">
        <f>IFERROR(__xludf.DUMMYFUNCTION("""COMPUTED_VALUE"""),486.00000000000006)</f>
        <v>486</v>
      </c>
    </row>
    <row r="230" ht="15.75" customHeight="1">
      <c r="A230" s="94"/>
      <c r="B230" s="94" t="str">
        <f>IFERROR(__xludf.DUMMYFUNCTION("""COMPUTED_VALUE"""),"CM 1604")</f>
        <v>CM 1604</v>
      </c>
      <c r="C230" s="94"/>
      <c r="D230" s="1432">
        <f>IFERROR(__xludf.DUMMYFUNCTION("""COMPUTED_VALUE"""),5.0)</f>
        <v>5</v>
      </c>
      <c r="E230" s="1429">
        <f>IFERROR(__xludf.DUMMYFUNCTION("""COMPUTED_VALUE"""),45427.0)</f>
        <v>45427</v>
      </c>
      <c r="F230" s="1429">
        <f>IFERROR(__xludf.DUMMYFUNCTION("""COMPUTED_VALUE"""),45430.0)</f>
        <v>45430</v>
      </c>
      <c r="G230" s="1164">
        <f>IFERROR(__xludf.DUMMYFUNCTION("""COMPUTED_VALUE"""),3.0)</f>
        <v>3</v>
      </c>
      <c r="H230" s="1430">
        <f>IFERROR(__xludf.DUMMYFUNCTION("""COMPUTED_VALUE"""),133.0)</f>
        <v>133</v>
      </c>
      <c r="I230" s="94"/>
      <c r="J230" s="94"/>
      <c r="K230" s="94">
        <f>IFERROR(__xludf.DUMMYFUNCTION("""COMPUTED_VALUE"""),70.0)</f>
        <v>70</v>
      </c>
      <c r="L230" s="94">
        <f>IFERROR(__xludf.DUMMYFUNCTION("""COMPUTED_VALUE"""),60.0)</f>
        <v>60</v>
      </c>
      <c r="M230" s="94">
        <f>IFERROR(__xludf.DUMMYFUNCTION("""COMPUTED_VALUE"""),10.0)</f>
        <v>10</v>
      </c>
      <c r="N230" s="94"/>
      <c r="O230" s="1430">
        <f>IFERROR(__xludf.DUMMYFUNCTION("""COMPUTED_VALUE"""),10.0)</f>
        <v>10</v>
      </c>
      <c r="P230" s="1431">
        <f>IFERROR(__xludf.DUMMYFUNCTION("""COMPUTED_VALUE"""),2.7)</f>
        <v>2.7</v>
      </c>
      <c r="Q230" s="1432">
        <f>IFERROR(__xludf.DUMMYFUNCTION("""COMPUTED_VALUE"""),359.1)</f>
        <v>359.1</v>
      </c>
    </row>
    <row r="231" ht="15.75" customHeight="1">
      <c r="A231" s="94"/>
      <c r="B231" s="94" t="str">
        <f>IFERROR(__xludf.DUMMYFUNCTION("""COMPUTED_VALUE"""),"CM 1606")</f>
        <v>CM 1606</v>
      </c>
      <c r="C231" s="94"/>
      <c r="D231" s="1432">
        <f>IFERROR(__xludf.DUMMYFUNCTION("""COMPUTED_VALUE"""),5.0)</f>
        <v>5</v>
      </c>
      <c r="E231" s="1429">
        <f>IFERROR(__xludf.DUMMYFUNCTION("""COMPUTED_VALUE"""),45427.0)</f>
        <v>45427</v>
      </c>
      <c r="F231" s="1429">
        <f>IFERROR(__xludf.DUMMYFUNCTION("""COMPUTED_VALUE"""),45432.0)</f>
        <v>45432</v>
      </c>
      <c r="G231" s="1164">
        <f>IFERROR(__xludf.DUMMYFUNCTION("""COMPUTED_VALUE"""),5.0)</f>
        <v>5</v>
      </c>
      <c r="H231" s="1430">
        <f>IFERROR(__xludf.DUMMYFUNCTION("""COMPUTED_VALUE"""),165.0)</f>
        <v>165</v>
      </c>
      <c r="I231" s="94"/>
      <c r="J231" s="94"/>
      <c r="K231" s="94">
        <f>IFERROR(__xludf.DUMMYFUNCTION("""COMPUTED_VALUE"""),60.0)</f>
        <v>60</v>
      </c>
      <c r="L231" s="94">
        <f>IFERROR(__xludf.DUMMYFUNCTION("""COMPUTED_VALUE"""),50.0)</f>
        <v>50</v>
      </c>
      <c r="M231" s="94">
        <f>IFERROR(__xludf.DUMMYFUNCTION("""COMPUTED_VALUE"""),10.0)</f>
        <v>10</v>
      </c>
      <c r="N231" s="94"/>
      <c r="O231" s="1430">
        <f>IFERROR(__xludf.DUMMYFUNCTION("""COMPUTED_VALUE"""),10.0)</f>
        <v>10</v>
      </c>
      <c r="P231" s="1431">
        <f>IFERROR(__xludf.DUMMYFUNCTION("""COMPUTED_VALUE"""),2.7)</f>
        <v>2.7</v>
      </c>
      <c r="Q231" s="1432">
        <f>IFERROR(__xludf.DUMMYFUNCTION("""COMPUTED_VALUE"""),445.50000000000006)</f>
        <v>445.5</v>
      </c>
    </row>
    <row r="232" ht="15.75" customHeight="1">
      <c r="A232" s="94"/>
      <c r="B232" s="94" t="str">
        <f>IFERROR(__xludf.DUMMYFUNCTION("""COMPUTED_VALUE"""),"С 1125")</f>
        <v>С 1125</v>
      </c>
      <c r="C232" s="94"/>
      <c r="D232" s="1432">
        <f>IFERROR(__xludf.DUMMYFUNCTION("""COMPUTED_VALUE"""),5.0)</f>
        <v>5</v>
      </c>
      <c r="E232" s="1429">
        <f>IFERROR(__xludf.DUMMYFUNCTION("""COMPUTED_VALUE"""),45427.0)</f>
        <v>45427</v>
      </c>
      <c r="F232" s="1429">
        <f>IFERROR(__xludf.DUMMYFUNCTION("""COMPUTED_VALUE"""),45429.0)</f>
        <v>45429</v>
      </c>
      <c r="G232" s="1164">
        <f>IFERROR(__xludf.DUMMYFUNCTION("""COMPUTED_VALUE"""),2.0)</f>
        <v>2</v>
      </c>
      <c r="H232" s="1430">
        <f>IFERROR(__xludf.DUMMYFUNCTION("""COMPUTED_VALUE"""),45.0)</f>
        <v>45</v>
      </c>
      <c r="I232" s="94"/>
      <c r="J232" s="94"/>
      <c r="K232" s="94">
        <f>IFERROR(__xludf.DUMMYFUNCTION("""COMPUTED_VALUE"""),50.0)</f>
        <v>50</v>
      </c>
      <c r="L232" s="94">
        <f>IFERROR(__xludf.DUMMYFUNCTION("""COMPUTED_VALUE"""),45.0)</f>
        <v>45</v>
      </c>
      <c r="M232" s="94">
        <f>IFERROR(__xludf.DUMMYFUNCTION("""COMPUTED_VALUE"""),5.0)</f>
        <v>5</v>
      </c>
      <c r="N232" s="94"/>
      <c r="O232" s="1430">
        <f>IFERROR(__xludf.DUMMYFUNCTION("""COMPUTED_VALUE"""),5.0)</f>
        <v>5</v>
      </c>
      <c r="P232" s="1431">
        <f>IFERROR(__xludf.DUMMYFUNCTION("""COMPUTED_VALUE"""),2.7)</f>
        <v>2.7</v>
      </c>
      <c r="Q232" s="1432">
        <f>IFERROR(__xludf.DUMMYFUNCTION("""COMPUTED_VALUE"""),121.50000000000001)</f>
        <v>121.5</v>
      </c>
    </row>
    <row r="233" ht="15.75" customHeight="1">
      <c r="A233" s="94"/>
      <c r="B233" s="94" t="str">
        <f>IFERROR(__xludf.DUMMYFUNCTION("""COMPUTED_VALUE"""),"WS В 503")</f>
        <v>WS В 503</v>
      </c>
      <c r="C233" s="94"/>
      <c r="D233" s="1432">
        <f>IFERROR(__xludf.DUMMYFUNCTION("""COMPUTED_VALUE"""),5.0)</f>
        <v>5</v>
      </c>
      <c r="E233" s="1429">
        <f>IFERROR(__xludf.DUMMYFUNCTION("""COMPUTED_VALUE"""),45428.0)</f>
        <v>45428</v>
      </c>
      <c r="F233" s="1429">
        <f>IFERROR(__xludf.DUMMYFUNCTION("""COMPUTED_VALUE"""),45431.0)</f>
        <v>45431</v>
      </c>
      <c r="G233" s="1164">
        <f>IFERROR(__xludf.DUMMYFUNCTION("""COMPUTED_VALUE"""),3.0)</f>
        <v>3</v>
      </c>
      <c r="H233" s="1430">
        <f>IFERROR(__xludf.DUMMYFUNCTION("""COMPUTED_VALUE"""),180.0)</f>
        <v>180</v>
      </c>
      <c r="I233" s="94"/>
      <c r="J233" s="94"/>
      <c r="K233" s="94">
        <f>IFERROR(__xludf.DUMMYFUNCTION("""COMPUTED_VALUE"""),70.0)</f>
        <v>70</v>
      </c>
      <c r="L233" s="94">
        <f>IFERROR(__xludf.DUMMYFUNCTION("""COMPUTED_VALUE"""),50.0)</f>
        <v>50</v>
      </c>
      <c r="M233" s="94">
        <f>IFERROR(__xludf.DUMMYFUNCTION("""COMPUTED_VALUE"""),20.0)</f>
        <v>20</v>
      </c>
      <c r="N233" s="94"/>
      <c r="O233" s="1430">
        <f>IFERROR(__xludf.DUMMYFUNCTION("""COMPUTED_VALUE"""),20.0)</f>
        <v>20</v>
      </c>
      <c r="P233" s="1431">
        <f>IFERROR(__xludf.DUMMYFUNCTION("""COMPUTED_VALUE"""),2.7)</f>
        <v>2.7</v>
      </c>
      <c r="Q233" s="1432">
        <f>IFERROR(__xludf.DUMMYFUNCTION("""COMPUTED_VALUE"""),486.00000000000006)</f>
        <v>486</v>
      </c>
    </row>
    <row r="234" ht="15.75" customHeight="1">
      <c r="A234" s="94"/>
      <c r="B234" s="94" t="str">
        <f>IFERROR(__xludf.DUMMYFUNCTION("""COMPUTED_VALUE"""),"Шар 2505")</f>
        <v>Шар 2505</v>
      </c>
      <c r="C234" s="94"/>
      <c r="D234" s="1432">
        <f>IFERROR(__xludf.DUMMYFUNCTION("""COMPUTED_VALUE"""),5.0)</f>
        <v>5</v>
      </c>
      <c r="E234" s="1429">
        <f>IFERROR(__xludf.DUMMYFUNCTION("""COMPUTED_VALUE"""),45429.0)</f>
        <v>45429</v>
      </c>
      <c r="F234" s="1429">
        <f>IFERROR(__xludf.DUMMYFUNCTION("""COMPUTED_VALUE"""),45432.0)</f>
        <v>45432</v>
      </c>
      <c r="G234" s="1164">
        <f>IFERROR(__xludf.DUMMYFUNCTION("""COMPUTED_VALUE"""),3.0)</f>
        <v>3</v>
      </c>
      <c r="H234" s="1430">
        <f>IFERROR(__xludf.DUMMYFUNCTION("""COMPUTED_VALUE"""),91.0)</f>
        <v>91</v>
      </c>
      <c r="I234" s="94"/>
      <c r="J234" s="94"/>
      <c r="K234" s="94">
        <f>IFERROR(__xludf.DUMMYFUNCTION("""COMPUTED_VALUE"""),60.0)</f>
        <v>60</v>
      </c>
      <c r="L234" s="94">
        <f>IFERROR(__xludf.DUMMYFUNCTION("""COMPUTED_VALUE"""),50.0)</f>
        <v>50</v>
      </c>
      <c r="M234" s="94">
        <f>IFERROR(__xludf.DUMMYFUNCTION("""COMPUTED_VALUE"""),10.0)</f>
        <v>10</v>
      </c>
      <c r="N234" s="94"/>
      <c r="O234" s="1430">
        <f>IFERROR(__xludf.DUMMYFUNCTION("""COMPUTED_VALUE"""),10.0)</f>
        <v>10</v>
      </c>
      <c r="P234" s="1431">
        <f>IFERROR(__xludf.DUMMYFUNCTION("""COMPUTED_VALUE"""),2.7)</f>
        <v>2.7</v>
      </c>
      <c r="Q234" s="1432">
        <f>IFERROR(__xludf.DUMMYFUNCTION("""COMPUTED_VALUE"""),245.70000000000002)</f>
        <v>245.7</v>
      </c>
    </row>
    <row r="235" ht="15.75" customHeight="1">
      <c r="A235" s="94"/>
      <c r="B235" s="94" t="str">
        <f>IFERROR(__xludf.DUMMYFUNCTION("""COMPUTED_VALUE"""),"С 1443")</f>
        <v>С 1443</v>
      </c>
      <c r="C235" s="94"/>
      <c r="D235" s="1432">
        <f>IFERROR(__xludf.DUMMYFUNCTION("""COMPUTED_VALUE"""),5.0)</f>
        <v>5</v>
      </c>
      <c r="E235" s="1429">
        <f>IFERROR(__xludf.DUMMYFUNCTION("""COMPUTED_VALUE"""),45429.0)</f>
        <v>45429</v>
      </c>
      <c r="F235" s="1429">
        <f>IFERROR(__xludf.DUMMYFUNCTION("""COMPUTED_VALUE"""),45434.0)</f>
        <v>45434</v>
      </c>
      <c r="G235" s="1164">
        <f>IFERROR(__xludf.DUMMYFUNCTION("""COMPUTED_VALUE"""),5.0)</f>
        <v>5</v>
      </c>
      <c r="H235" s="1430">
        <f>IFERROR(__xludf.DUMMYFUNCTION("""COMPUTED_VALUE"""),111.0)</f>
        <v>111</v>
      </c>
      <c r="I235" s="94"/>
      <c r="J235" s="94"/>
      <c r="K235" s="94">
        <f>IFERROR(__xludf.DUMMYFUNCTION("""COMPUTED_VALUE"""),70.0)</f>
        <v>70</v>
      </c>
      <c r="L235" s="94">
        <f>IFERROR(__xludf.DUMMYFUNCTION("""COMPUTED_VALUE"""),55.0)</f>
        <v>55</v>
      </c>
      <c r="M235" s="94">
        <f>IFERROR(__xludf.DUMMYFUNCTION("""COMPUTED_VALUE"""),15.0)</f>
        <v>15</v>
      </c>
      <c r="N235" s="94"/>
      <c r="O235" s="1430">
        <f>IFERROR(__xludf.DUMMYFUNCTION("""COMPUTED_VALUE"""),15.0)</f>
        <v>15</v>
      </c>
      <c r="P235" s="1431">
        <f>IFERROR(__xludf.DUMMYFUNCTION("""COMPUTED_VALUE"""),2.7)</f>
        <v>2.7</v>
      </c>
      <c r="Q235" s="1432">
        <f>IFERROR(__xludf.DUMMYFUNCTION("""COMPUTED_VALUE"""),299.70000000000005)</f>
        <v>299.7</v>
      </c>
    </row>
    <row r="236" ht="15.75" customHeight="1">
      <c r="A236" s="94"/>
      <c r="B236" s="94" t="str">
        <f>IFERROR(__xludf.DUMMYFUNCTION("""COMPUTED_VALUE"""),"CM 1931")</f>
        <v>CM 1931</v>
      </c>
      <c r="C236" s="94"/>
      <c r="D236" s="1432">
        <f>IFERROR(__xludf.DUMMYFUNCTION("""COMPUTED_VALUE"""),5.0)</f>
        <v>5</v>
      </c>
      <c r="E236" s="1429">
        <f>IFERROR(__xludf.DUMMYFUNCTION("""COMPUTED_VALUE"""),45429.0)</f>
        <v>45429</v>
      </c>
      <c r="F236" s="1429">
        <f>IFERROR(__xludf.DUMMYFUNCTION("""COMPUTED_VALUE"""),45434.0)</f>
        <v>45434</v>
      </c>
      <c r="G236" s="1164">
        <f>IFERROR(__xludf.DUMMYFUNCTION("""COMPUTED_VALUE"""),5.0)</f>
        <v>5</v>
      </c>
      <c r="H236" s="1430">
        <f>IFERROR(__xludf.DUMMYFUNCTION("""COMPUTED_VALUE"""),91.0)</f>
        <v>91</v>
      </c>
      <c r="I236" s="94"/>
      <c r="J236" s="94"/>
      <c r="K236" s="94">
        <f>IFERROR(__xludf.DUMMYFUNCTION("""COMPUTED_VALUE"""),60.0)</f>
        <v>60</v>
      </c>
      <c r="L236" s="94">
        <f>IFERROR(__xludf.DUMMYFUNCTION("""COMPUTED_VALUE"""),50.0)</f>
        <v>50</v>
      </c>
      <c r="M236" s="94">
        <f>IFERROR(__xludf.DUMMYFUNCTION("""COMPUTED_VALUE"""),10.0)</f>
        <v>10</v>
      </c>
      <c r="N236" s="94"/>
      <c r="O236" s="1430">
        <f>IFERROR(__xludf.DUMMYFUNCTION("""COMPUTED_VALUE"""),10.0)</f>
        <v>10</v>
      </c>
      <c r="P236" s="1431">
        <f>IFERROR(__xludf.DUMMYFUNCTION("""COMPUTED_VALUE"""),2.7)</f>
        <v>2.7</v>
      </c>
      <c r="Q236" s="1432">
        <f>IFERROR(__xludf.DUMMYFUNCTION("""COMPUTED_VALUE"""),245.70000000000002)</f>
        <v>245.7</v>
      </c>
    </row>
    <row r="237" ht="15.75" customHeight="1">
      <c r="A237" s="94"/>
      <c r="B237" s="94" t="str">
        <f>IFERROR(__xludf.DUMMYFUNCTION("""COMPUTED_VALUE"""),"WS E 1202")</f>
        <v>WS E 1202</v>
      </c>
      <c r="C237" s="94"/>
      <c r="D237" s="1432">
        <f>IFERROR(__xludf.DUMMYFUNCTION("""COMPUTED_VALUE"""),5.0)</f>
        <v>5</v>
      </c>
      <c r="E237" s="1429">
        <f>IFERROR(__xludf.DUMMYFUNCTION("""COMPUTED_VALUE"""),45429.0)</f>
        <v>45429</v>
      </c>
      <c r="F237" s="1429">
        <f>IFERROR(__xludf.DUMMYFUNCTION("""COMPUTED_VALUE"""),45433.0)</f>
        <v>45433</v>
      </c>
      <c r="G237" s="1164">
        <f>IFERROR(__xludf.DUMMYFUNCTION("""COMPUTED_VALUE"""),4.0)</f>
        <v>4</v>
      </c>
      <c r="H237" s="1430">
        <f>IFERROR(__xludf.DUMMYFUNCTION("""COMPUTED_VALUE"""),210.0)</f>
        <v>210</v>
      </c>
      <c r="I237" s="94"/>
      <c r="J237" s="94"/>
      <c r="K237" s="94">
        <f>IFERROR(__xludf.DUMMYFUNCTION("""COMPUTED_VALUE"""),70.0)</f>
        <v>70</v>
      </c>
      <c r="L237" s="94">
        <f>IFERROR(__xludf.DUMMYFUNCTION("""COMPUTED_VALUE"""),50.0)</f>
        <v>50</v>
      </c>
      <c r="M237" s="94">
        <f>IFERROR(__xludf.DUMMYFUNCTION("""COMPUTED_VALUE"""),20.0)</f>
        <v>20</v>
      </c>
      <c r="N237" s="94"/>
      <c r="O237" s="1430">
        <f>IFERROR(__xludf.DUMMYFUNCTION("""COMPUTED_VALUE"""),20.0)</f>
        <v>20</v>
      </c>
      <c r="P237" s="1431">
        <f>IFERROR(__xludf.DUMMYFUNCTION("""COMPUTED_VALUE"""),2.7)</f>
        <v>2.7</v>
      </c>
      <c r="Q237" s="1432">
        <f>IFERROR(__xludf.DUMMYFUNCTION("""COMPUTED_VALUE"""),567.0)</f>
        <v>567</v>
      </c>
    </row>
    <row r="238" ht="15.75" customHeight="1">
      <c r="A238" s="94"/>
      <c r="B238" s="94" t="str">
        <f>IFERROR(__xludf.DUMMYFUNCTION("""COMPUTED_VALUE"""),"С 1125")</f>
        <v>С 1125</v>
      </c>
      <c r="C238" s="94"/>
      <c r="D238" s="1432">
        <f>IFERROR(__xludf.DUMMYFUNCTION("""COMPUTED_VALUE"""),5.0)</f>
        <v>5</v>
      </c>
      <c r="E238" s="1429">
        <f>IFERROR(__xludf.DUMMYFUNCTION("""COMPUTED_VALUE"""),45429.0)</f>
        <v>45429</v>
      </c>
      <c r="F238" s="1429">
        <f>IFERROR(__xludf.DUMMYFUNCTION("""COMPUTED_VALUE"""),45431.0)</f>
        <v>45431</v>
      </c>
      <c r="G238" s="1164">
        <f>IFERROR(__xludf.DUMMYFUNCTION("""COMPUTED_VALUE"""),2.0)</f>
        <v>2</v>
      </c>
      <c r="H238" s="1430">
        <f>IFERROR(__xludf.DUMMYFUNCTION("""COMPUTED_VALUE"""),45.0)</f>
        <v>45</v>
      </c>
      <c r="I238" s="94"/>
      <c r="J238" s="94"/>
      <c r="K238" s="94">
        <f>IFERROR(__xludf.DUMMYFUNCTION("""COMPUTED_VALUE"""),50.0)</f>
        <v>50</v>
      </c>
      <c r="L238" s="94">
        <f>IFERROR(__xludf.DUMMYFUNCTION("""COMPUTED_VALUE"""),45.0)</f>
        <v>45</v>
      </c>
      <c r="M238" s="94">
        <f>IFERROR(__xludf.DUMMYFUNCTION("""COMPUTED_VALUE"""),5.0)</f>
        <v>5</v>
      </c>
      <c r="N238" s="94"/>
      <c r="O238" s="1430">
        <f>IFERROR(__xludf.DUMMYFUNCTION("""COMPUTED_VALUE"""),5.0)</f>
        <v>5</v>
      </c>
      <c r="P238" s="1431">
        <f>IFERROR(__xludf.DUMMYFUNCTION("""COMPUTED_VALUE"""),2.7)</f>
        <v>2.7</v>
      </c>
      <c r="Q238" s="1432">
        <f>IFERROR(__xludf.DUMMYFUNCTION("""COMPUTED_VALUE"""),121.50000000000001)</f>
        <v>121.5</v>
      </c>
    </row>
    <row r="239" ht="15.75" customHeight="1">
      <c r="A239" s="94"/>
      <c r="B239" s="94" t="str">
        <f>IFERROR(__xludf.DUMMYFUNCTION("""COMPUTED_VALUE"""),"С 2756")</f>
        <v>С 2756</v>
      </c>
      <c r="C239" s="94"/>
      <c r="D239" s="1432">
        <f>IFERROR(__xludf.DUMMYFUNCTION("""COMPUTED_VALUE"""),5.0)</f>
        <v>5</v>
      </c>
      <c r="E239" s="1429">
        <f>IFERROR(__xludf.DUMMYFUNCTION("""COMPUTED_VALUE"""),45429.0)</f>
        <v>45429</v>
      </c>
      <c r="F239" s="1429">
        <f>IFERROR(__xludf.DUMMYFUNCTION("""COMPUTED_VALUE"""),45431.0)</f>
        <v>45431</v>
      </c>
      <c r="G239" s="1164">
        <f>IFERROR(__xludf.DUMMYFUNCTION("""COMPUTED_VALUE"""),2.0)</f>
        <v>2</v>
      </c>
      <c r="H239" s="1430">
        <f>IFERROR(__xludf.DUMMYFUNCTION("""COMPUTED_VALUE"""),46.0)</f>
        <v>46</v>
      </c>
      <c r="I239" s="94"/>
      <c r="J239" s="94"/>
      <c r="K239" s="94">
        <f>IFERROR(__xludf.DUMMYFUNCTION("""COMPUTED_VALUE"""),50.0)</f>
        <v>50</v>
      </c>
      <c r="L239" s="94">
        <f>IFERROR(__xludf.DUMMYFUNCTION("""COMPUTED_VALUE"""),45.0)</f>
        <v>45</v>
      </c>
      <c r="M239" s="94">
        <f>IFERROR(__xludf.DUMMYFUNCTION("""COMPUTED_VALUE"""),5.0)</f>
        <v>5</v>
      </c>
      <c r="N239" s="94"/>
      <c r="O239" s="1430">
        <f>IFERROR(__xludf.DUMMYFUNCTION("""COMPUTED_VALUE"""),5.0)</f>
        <v>5</v>
      </c>
      <c r="P239" s="1431">
        <f>IFERROR(__xludf.DUMMYFUNCTION("""COMPUTED_VALUE"""),2.7)</f>
        <v>2.7</v>
      </c>
      <c r="Q239" s="1432">
        <f>IFERROR(__xludf.DUMMYFUNCTION("""COMPUTED_VALUE"""),124.2)</f>
        <v>124.2</v>
      </c>
    </row>
    <row r="240" ht="15.75" customHeight="1">
      <c r="A240" s="94"/>
      <c r="B240" s="94" t="str">
        <f>IFERROR(__xludf.DUMMYFUNCTION("""COMPUTED_VALUE"""),"WS A 713")</f>
        <v>WS A 713</v>
      </c>
      <c r="C240" s="94"/>
      <c r="D240" s="1432">
        <f>IFERROR(__xludf.DUMMYFUNCTION("""COMPUTED_VALUE"""),5.0)</f>
        <v>5</v>
      </c>
      <c r="E240" s="1429">
        <f>IFERROR(__xludf.DUMMYFUNCTION("""COMPUTED_VALUE"""),45429.0)</f>
        <v>45429</v>
      </c>
      <c r="F240" s="1429">
        <f>IFERROR(__xludf.DUMMYFUNCTION("""COMPUTED_VALUE"""),45431.0)</f>
        <v>45431</v>
      </c>
      <c r="G240" s="1164">
        <f>IFERROR(__xludf.DUMMYFUNCTION("""COMPUTED_VALUE"""),2.0)</f>
        <v>2</v>
      </c>
      <c r="H240" s="1430">
        <f>IFERROR(__xludf.DUMMYFUNCTION("""COMPUTED_VALUE"""),60.0)</f>
        <v>60</v>
      </c>
      <c r="I240" s="94"/>
      <c r="J240" s="94"/>
      <c r="K240" s="94">
        <f>IFERROR(__xludf.DUMMYFUNCTION("""COMPUTED_VALUE"""),60.0)</f>
        <v>60</v>
      </c>
      <c r="L240" s="94">
        <f>IFERROR(__xludf.DUMMYFUNCTION("""COMPUTED_VALUE"""),50.0)</f>
        <v>50</v>
      </c>
      <c r="M240" s="94">
        <f>IFERROR(__xludf.DUMMYFUNCTION("""COMPUTED_VALUE"""),10.0)</f>
        <v>10</v>
      </c>
      <c r="N240" s="94"/>
      <c r="O240" s="1430">
        <f>IFERROR(__xludf.DUMMYFUNCTION("""COMPUTED_VALUE"""),10.0)</f>
        <v>10</v>
      </c>
      <c r="P240" s="1431">
        <f>IFERROR(__xludf.DUMMYFUNCTION("""COMPUTED_VALUE"""),2.7)</f>
        <v>2.7</v>
      </c>
      <c r="Q240" s="1432">
        <f>IFERROR(__xludf.DUMMYFUNCTION("""COMPUTED_VALUE"""),162.0)</f>
        <v>162</v>
      </c>
    </row>
    <row r="241" ht="15.75" customHeight="1">
      <c r="A241" s="94"/>
      <c r="B241" s="94" t="str">
        <f>IFERROR(__xludf.DUMMYFUNCTION("""COMPUTED_VALUE"""),"WS  B 405")</f>
        <v>WS  B 405</v>
      </c>
      <c r="C241" s="94"/>
      <c r="D241" s="1432">
        <f>IFERROR(__xludf.DUMMYFUNCTION("""COMPUTED_VALUE"""),5.0)</f>
        <v>5</v>
      </c>
      <c r="E241" s="1429">
        <f>IFERROR(__xludf.DUMMYFUNCTION("""COMPUTED_VALUE"""),45430.0)</f>
        <v>45430</v>
      </c>
      <c r="F241" s="1429">
        <f>IFERROR(__xludf.DUMMYFUNCTION("""COMPUTED_VALUE"""),45435.0)</f>
        <v>45435</v>
      </c>
      <c r="G241" s="1164">
        <f>IFERROR(__xludf.DUMMYFUNCTION("""COMPUTED_VALUE"""),5.0)</f>
        <v>5</v>
      </c>
      <c r="H241" s="1430">
        <f>IFERROR(__xludf.DUMMYFUNCTION("""COMPUTED_VALUE"""),91.0)</f>
        <v>91</v>
      </c>
      <c r="I241" s="94"/>
      <c r="J241" s="94"/>
      <c r="K241" s="94">
        <f>IFERROR(__xludf.DUMMYFUNCTION("""COMPUTED_VALUE"""),60.0)</f>
        <v>60</v>
      </c>
      <c r="L241" s="94">
        <f>IFERROR(__xludf.DUMMYFUNCTION("""COMPUTED_VALUE"""),50.0)</f>
        <v>50</v>
      </c>
      <c r="M241" s="94">
        <f>IFERROR(__xludf.DUMMYFUNCTION("""COMPUTED_VALUE"""),10.0)</f>
        <v>10</v>
      </c>
      <c r="N241" s="94"/>
      <c r="O241" s="1430">
        <f>IFERROR(__xludf.DUMMYFUNCTION("""COMPUTED_VALUE"""),10.0)</f>
        <v>10</v>
      </c>
      <c r="P241" s="1431">
        <f>IFERROR(__xludf.DUMMYFUNCTION("""COMPUTED_VALUE"""),2.7)</f>
        <v>2.7</v>
      </c>
      <c r="Q241" s="1432">
        <f>IFERROR(__xludf.DUMMYFUNCTION("""COMPUTED_VALUE"""),245.70000000000002)</f>
        <v>245.7</v>
      </c>
    </row>
    <row r="242" ht="15.75" customHeight="1">
      <c r="A242" s="94"/>
      <c r="B242" s="94" t="str">
        <f>IFERROR(__xludf.DUMMYFUNCTION("""COMPUTED_VALUE"""),"А 4049")</f>
        <v>А 4049</v>
      </c>
      <c r="C242" s="94"/>
      <c r="D242" s="1432">
        <f>IFERROR(__xludf.DUMMYFUNCTION("""COMPUTED_VALUE"""),5.0)</f>
        <v>5</v>
      </c>
      <c r="E242" s="1429">
        <f>IFERROR(__xludf.DUMMYFUNCTION("""COMPUTED_VALUE"""),45430.0)</f>
        <v>45430</v>
      </c>
      <c r="F242" s="1429">
        <f>IFERROR(__xludf.DUMMYFUNCTION("""COMPUTED_VALUE"""),45434.0)</f>
        <v>45434</v>
      </c>
      <c r="G242" s="1164">
        <f>IFERROR(__xludf.DUMMYFUNCTION("""COMPUTED_VALUE"""),4.0)</f>
        <v>4</v>
      </c>
      <c r="H242" s="1430">
        <f>IFERROR(__xludf.DUMMYFUNCTION("""COMPUTED_VALUE"""),108.0)</f>
        <v>108</v>
      </c>
      <c r="I242" s="94"/>
      <c r="J242" s="94"/>
      <c r="K242" s="94">
        <f>IFERROR(__xludf.DUMMYFUNCTION("""COMPUTED_VALUE"""),50.0)</f>
        <v>50</v>
      </c>
      <c r="L242" s="94">
        <f>IFERROR(__xludf.DUMMYFUNCTION("""COMPUTED_VALUE"""),45.0)</f>
        <v>45</v>
      </c>
      <c r="M242" s="94">
        <f>IFERROR(__xludf.DUMMYFUNCTION("""COMPUTED_VALUE"""),5.0)</f>
        <v>5</v>
      </c>
      <c r="N242" s="94"/>
      <c r="O242" s="1430">
        <f>IFERROR(__xludf.DUMMYFUNCTION("""COMPUTED_VALUE"""),5.0)</f>
        <v>5</v>
      </c>
      <c r="P242" s="1431">
        <f>IFERROR(__xludf.DUMMYFUNCTION("""COMPUTED_VALUE"""),2.7)</f>
        <v>2.7</v>
      </c>
      <c r="Q242" s="1432">
        <f>IFERROR(__xludf.DUMMYFUNCTION("""COMPUTED_VALUE"""),291.6)</f>
        <v>291.6</v>
      </c>
    </row>
    <row r="243" ht="15.75" customHeight="1">
      <c r="A243" s="94"/>
      <c r="B243" s="94" t="str">
        <f>IFERROR(__xludf.DUMMYFUNCTION("""COMPUTED_VALUE"""),"C 4245")</f>
        <v>C 4245</v>
      </c>
      <c r="C243" s="94"/>
      <c r="D243" s="1432">
        <f>IFERROR(__xludf.DUMMYFUNCTION("""COMPUTED_VALUE"""),5.0)</f>
        <v>5</v>
      </c>
      <c r="E243" s="1429">
        <f>IFERROR(__xludf.DUMMYFUNCTION("""COMPUTED_VALUE"""),45431.0)</f>
        <v>45431</v>
      </c>
      <c r="F243" s="1429">
        <f>IFERROR(__xludf.DUMMYFUNCTION("""COMPUTED_VALUE"""),45435.0)</f>
        <v>45435</v>
      </c>
      <c r="G243" s="1164">
        <f>IFERROR(__xludf.DUMMYFUNCTION("""COMPUTED_VALUE"""),4.0)</f>
        <v>4</v>
      </c>
      <c r="H243" s="1430">
        <f>IFERROR(__xludf.DUMMYFUNCTION("""COMPUTED_VALUE"""),136.0)</f>
        <v>136</v>
      </c>
      <c r="I243" s="94"/>
      <c r="J243" s="94"/>
      <c r="K243" s="94">
        <f>IFERROR(__xludf.DUMMYFUNCTION("""COMPUTED_VALUE"""),70.0)</f>
        <v>70</v>
      </c>
      <c r="L243" s="94">
        <f>IFERROR(__xludf.DUMMYFUNCTION("""COMPUTED_VALUE"""),55.0)</f>
        <v>55</v>
      </c>
      <c r="M243" s="94">
        <f>IFERROR(__xludf.DUMMYFUNCTION("""COMPUTED_VALUE"""),15.0)</f>
        <v>15</v>
      </c>
      <c r="N243" s="94"/>
      <c r="O243" s="1430">
        <f>IFERROR(__xludf.DUMMYFUNCTION("""COMPUTED_VALUE"""),15.0)</f>
        <v>15</v>
      </c>
      <c r="P243" s="1431">
        <f>IFERROR(__xludf.DUMMYFUNCTION("""COMPUTED_VALUE"""),2.7)</f>
        <v>2.7</v>
      </c>
      <c r="Q243" s="1432">
        <f>IFERROR(__xludf.DUMMYFUNCTION("""COMPUTED_VALUE"""),367.20000000000005)</f>
        <v>367.2</v>
      </c>
    </row>
    <row r="244" ht="15.75" customHeight="1">
      <c r="A244" s="94"/>
      <c r="B244" s="94" t="str">
        <f>IFERROR(__xludf.DUMMYFUNCTION("""COMPUTED_VALUE"""),"D 1321")</f>
        <v>D 1321</v>
      </c>
      <c r="C244" s="94"/>
      <c r="D244" s="1432">
        <f>IFERROR(__xludf.DUMMYFUNCTION("""COMPUTED_VALUE"""),5.0)</f>
        <v>5</v>
      </c>
      <c r="E244" s="1429">
        <f>IFERROR(__xludf.DUMMYFUNCTION("""COMPUTED_VALUE"""),45431.0)</f>
        <v>45431</v>
      </c>
      <c r="F244" s="1429">
        <f>IFERROR(__xludf.DUMMYFUNCTION("""COMPUTED_VALUE"""),45434.0)</f>
        <v>45434</v>
      </c>
      <c r="G244" s="1164">
        <f>IFERROR(__xludf.DUMMYFUNCTION("""COMPUTED_VALUE"""),3.0)</f>
        <v>3</v>
      </c>
      <c r="H244" s="1430">
        <f>IFERROR(__xludf.DUMMYFUNCTION("""COMPUTED_VALUE"""),70.0)</f>
        <v>70</v>
      </c>
      <c r="I244" s="94"/>
      <c r="J244" s="94"/>
      <c r="K244" s="94">
        <f>IFERROR(__xludf.DUMMYFUNCTION("""COMPUTED_VALUE"""),50.0)</f>
        <v>50</v>
      </c>
      <c r="L244" s="94">
        <f>IFERROR(__xludf.DUMMYFUNCTION("""COMPUTED_VALUE"""),45.0)</f>
        <v>45</v>
      </c>
      <c r="M244" s="94">
        <f>IFERROR(__xludf.DUMMYFUNCTION("""COMPUTED_VALUE"""),5.0)</f>
        <v>5</v>
      </c>
      <c r="N244" s="94"/>
      <c r="O244" s="1430">
        <f>IFERROR(__xludf.DUMMYFUNCTION("""COMPUTED_VALUE"""),5.0)</f>
        <v>5</v>
      </c>
      <c r="P244" s="1431">
        <f>IFERROR(__xludf.DUMMYFUNCTION("""COMPUTED_VALUE"""),2.7)</f>
        <v>2.7</v>
      </c>
      <c r="Q244" s="1432">
        <f>IFERROR(__xludf.DUMMYFUNCTION("""COMPUTED_VALUE"""),189.0)</f>
        <v>189</v>
      </c>
    </row>
    <row r="245" ht="15.75" customHeight="1">
      <c r="A245" s="94"/>
      <c r="B245" s="94" t="str">
        <f>IFERROR(__xludf.DUMMYFUNCTION("""COMPUTED_VALUE"""),"CM 1604")</f>
        <v>CM 1604</v>
      </c>
      <c r="C245" s="94"/>
      <c r="D245" s="1432">
        <f>IFERROR(__xludf.DUMMYFUNCTION("""COMPUTED_VALUE"""),5.0)</f>
        <v>5</v>
      </c>
      <c r="E245" s="1429">
        <f>IFERROR(__xludf.DUMMYFUNCTION("""COMPUTED_VALUE"""),45431.0)</f>
        <v>45431</v>
      </c>
      <c r="F245" s="1429">
        <f>IFERROR(__xludf.DUMMYFUNCTION("""COMPUTED_VALUE"""),45440.0)</f>
        <v>45440</v>
      </c>
      <c r="G245" s="1164">
        <f>IFERROR(__xludf.DUMMYFUNCTION("""COMPUTED_VALUE"""),9.0)</f>
        <v>9</v>
      </c>
      <c r="H245" s="1430">
        <f>IFERROR(__xludf.DUMMYFUNCTION("""COMPUTED_VALUE"""),380.0)</f>
        <v>380</v>
      </c>
      <c r="I245" s="94"/>
      <c r="J245" s="94"/>
      <c r="K245" s="94">
        <f>IFERROR(__xludf.DUMMYFUNCTION("""COMPUTED_VALUE"""),70.0)</f>
        <v>70</v>
      </c>
      <c r="L245" s="94">
        <f>IFERROR(__xludf.DUMMYFUNCTION("""COMPUTED_VALUE"""),60.0)</f>
        <v>60</v>
      </c>
      <c r="M245" s="94">
        <f>IFERROR(__xludf.DUMMYFUNCTION("""COMPUTED_VALUE"""),10.0)</f>
        <v>10</v>
      </c>
      <c r="N245" s="94"/>
      <c r="O245" s="1430">
        <f>IFERROR(__xludf.DUMMYFUNCTION("""COMPUTED_VALUE"""),10.0)</f>
        <v>10</v>
      </c>
      <c r="P245" s="1431">
        <f>IFERROR(__xludf.DUMMYFUNCTION("""COMPUTED_VALUE"""),2.7)</f>
        <v>2.7</v>
      </c>
      <c r="Q245" s="1432">
        <f>IFERROR(__xludf.DUMMYFUNCTION("""COMPUTED_VALUE"""),1026.0)</f>
        <v>1026</v>
      </c>
    </row>
    <row r="246" ht="15.75" customHeight="1">
      <c r="A246" s="94"/>
      <c r="B246" s="94" t="str">
        <f>IFERROR(__xludf.DUMMYFUNCTION("""COMPUTED_VALUE"""),"A 2851")</f>
        <v>A 2851</v>
      </c>
      <c r="C246" s="94"/>
      <c r="D246" s="1432">
        <f>IFERROR(__xludf.DUMMYFUNCTION("""COMPUTED_VALUE"""),5.0)</f>
        <v>5</v>
      </c>
      <c r="E246" s="1429">
        <f>IFERROR(__xludf.DUMMYFUNCTION("""COMPUTED_VALUE"""),45431.0)</f>
        <v>45431</v>
      </c>
      <c r="F246" s="1429">
        <f>IFERROR(__xludf.DUMMYFUNCTION("""COMPUTED_VALUE"""),45434.0)</f>
        <v>45434</v>
      </c>
      <c r="G246" s="1164">
        <f>IFERROR(__xludf.DUMMYFUNCTION("""COMPUTED_VALUE"""),3.0)</f>
        <v>3</v>
      </c>
      <c r="H246" s="1430">
        <f>IFERROR(__xludf.DUMMYFUNCTION("""COMPUTED_VALUE"""),55.0)</f>
        <v>55</v>
      </c>
      <c r="I246" s="94"/>
      <c r="J246" s="94"/>
      <c r="K246" s="94">
        <f>IFERROR(__xludf.DUMMYFUNCTION("""COMPUTED_VALUE"""),50.0)</f>
        <v>50</v>
      </c>
      <c r="L246" s="94">
        <f>IFERROR(__xludf.DUMMYFUNCTION("""COMPUTED_VALUE"""),45.0)</f>
        <v>45</v>
      </c>
      <c r="M246" s="94">
        <f>IFERROR(__xludf.DUMMYFUNCTION("""COMPUTED_VALUE"""),5.0)</f>
        <v>5</v>
      </c>
      <c r="N246" s="94"/>
      <c r="O246" s="1430">
        <f>IFERROR(__xludf.DUMMYFUNCTION("""COMPUTED_VALUE"""),5.0)</f>
        <v>5</v>
      </c>
      <c r="P246" s="1431">
        <f>IFERROR(__xludf.DUMMYFUNCTION("""COMPUTED_VALUE"""),2.7)</f>
        <v>2.7</v>
      </c>
      <c r="Q246" s="1432">
        <f>IFERROR(__xludf.DUMMYFUNCTION("""COMPUTED_VALUE"""),148.5)</f>
        <v>148.5</v>
      </c>
    </row>
    <row r="247" ht="15.75" customHeight="1">
      <c r="A247" s="94" t="str">
        <f>IFERROR(__xludf.DUMMYFUNCTION("""COMPUTED_VALUE"""),"Итого неделя")</f>
        <v>Итого неделя</v>
      </c>
      <c r="B247" s="94" t="str">
        <f>IFERROR(__xludf.DUMMYFUNCTION("""COMPUTED_VALUE"""),"20 неделя")</f>
        <v>20 неделя</v>
      </c>
      <c r="C247" s="94"/>
      <c r="D247" s="94"/>
      <c r="E247" s="94"/>
      <c r="F247" s="94"/>
      <c r="G247" s="1164">
        <f>IFERROR(__xludf.DUMMYFUNCTION("""COMPUTED_VALUE"""),68.0)</f>
        <v>68</v>
      </c>
      <c r="H247" s="1430">
        <f>IFERROR(__xludf.DUMMYFUNCTION("""COMPUTED_VALUE"""),2267.0)</f>
        <v>2267</v>
      </c>
      <c r="I247" s="94">
        <f>IFERROR(__xludf.DUMMYFUNCTION("""COMPUTED_VALUE"""),0.0)</f>
        <v>0</v>
      </c>
      <c r="J247" s="94">
        <f>IFERROR(__xludf.DUMMYFUNCTION("""COMPUTED_VALUE"""),0.0)</f>
        <v>0</v>
      </c>
      <c r="K247" s="94">
        <f>IFERROR(__xludf.DUMMYFUNCTION("""COMPUTED_VALUE"""),1140.0)</f>
        <v>1140</v>
      </c>
      <c r="L247" s="94">
        <f>IFERROR(__xludf.DUMMYFUNCTION("""COMPUTED_VALUE"""),945.0)</f>
        <v>945</v>
      </c>
      <c r="M247" s="94">
        <f>IFERROR(__xludf.DUMMYFUNCTION("""COMPUTED_VALUE"""),195.0)</f>
        <v>195</v>
      </c>
      <c r="N247" s="94">
        <f>IFERROR(__xludf.DUMMYFUNCTION("""COMPUTED_VALUE"""),0.0)</f>
        <v>0</v>
      </c>
      <c r="O247" s="1430">
        <f>IFERROR(__xludf.DUMMYFUNCTION("""COMPUTED_VALUE"""),195.0)</f>
        <v>195</v>
      </c>
      <c r="P247" s="1431">
        <f>IFERROR(__xludf.DUMMYFUNCTION("""COMPUTED_VALUE"""),2.7)</f>
        <v>2.7</v>
      </c>
      <c r="Q247" s="1432">
        <f>IFERROR(__xludf.DUMMYFUNCTION("""COMPUTED_VALUE"""),6124.4)</f>
        <v>6124.4</v>
      </c>
    </row>
    <row r="248" ht="15.75" customHeight="1">
      <c r="A248" s="94"/>
      <c r="B248" s="94" t="str">
        <f>IFERROR(__xludf.DUMMYFUNCTION("""COMPUTED_VALUE"""),"WS F 907")</f>
        <v>WS F 907</v>
      </c>
      <c r="C248" s="94"/>
      <c r="D248" s="1432">
        <f>IFERROR(__xludf.DUMMYFUNCTION("""COMPUTED_VALUE"""),5.0)</f>
        <v>5</v>
      </c>
      <c r="E248" s="1429">
        <f>IFERROR(__xludf.DUMMYFUNCTION("""COMPUTED_VALUE"""),45432.0)</f>
        <v>45432</v>
      </c>
      <c r="F248" s="1429">
        <f>IFERROR(__xludf.DUMMYFUNCTION("""COMPUTED_VALUE"""),45435.0)</f>
        <v>45435</v>
      </c>
      <c r="G248" s="1164">
        <f>IFERROR(__xludf.DUMMYFUNCTION("""COMPUTED_VALUE"""),3.0)</f>
        <v>3</v>
      </c>
      <c r="H248" s="1430">
        <f>IFERROR(__xludf.DUMMYFUNCTION("""COMPUTED_VALUE"""),97.0)</f>
        <v>97</v>
      </c>
      <c r="I248" s="94"/>
      <c r="J248" s="94"/>
      <c r="K248" s="94">
        <f>IFERROR(__xludf.DUMMYFUNCTION("""COMPUTED_VALUE"""),60.0)</f>
        <v>60</v>
      </c>
      <c r="L248" s="94">
        <f>IFERROR(__xludf.DUMMYFUNCTION("""COMPUTED_VALUE"""),50.0)</f>
        <v>50</v>
      </c>
      <c r="M248" s="94">
        <f>IFERROR(__xludf.DUMMYFUNCTION("""COMPUTED_VALUE"""),10.0)</f>
        <v>10</v>
      </c>
      <c r="N248" s="94"/>
      <c r="O248" s="1430">
        <f>IFERROR(__xludf.DUMMYFUNCTION("""COMPUTED_VALUE"""),10.0)</f>
        <v>10</v>
      </c>
      <c r="P248" s="1431">
        <f>IFERROR(__xludf.DUMMYFUNCTION("""COMPUTED_VALUE"""),2.7)</f>
        <v>2.7</v>
      </c>
      <c r="Q248" s="1432">
        <f>IFERROR(__xludf.DUMMYFUNCTION("""COMPUTED_VALUE"""),261.90000000000003)</f>
        <v>261.9</v>
      </c>
    </row>
    <row r="249" ht="15.75" customHeight="1">
      <c r="A249" s="94"/>
      <c r="B249" s="94" t="str">
        <f>IFERROR(__xludf.DUMMYFUNCTION("""COMPUTED_VALUE"""),"WS В 503")</f>
        <v>WS В 503</v>
      </c>
      <c r="C249" s="94"/>
      <c r="D249" s="1432">
        <f>IFERROR(__xludf.DUMMYFUNCTION("""COMPUTED_VALUE"""),5.0)</f>
        <v>5</v>
      </c>
      <c r="E249" s="1429">
        <f>IFERROR(__xludf.DUMMYFUNCTION("""COMPUTED_VALUE"""),45432.0)</f>
        <v>45432</v>
      </c>
      <c r="F249" s="1429">
        <f>IFERROR(__xludf.DUMMYFUNCTION("""COMPUTED_VALUE"""),45435.0)</f>
        <v>45435</v>
      </c>
      <c r="G249" s="1164">
        <f>IFERROR(__xludf.DUMMYFUNCTION("""COMPUTED_VALUE"""),3.0)</f>
        <v>3</v>
      </c>
      <c r="H249" s="1430">
        <f>IFERROR(__xludf.DUMMYFUNCTION("""COMPUTED_VALUE"""),200.0)</f>
        <v>200</v>
      </c>
      <c r="I249" s="94"/>
      <c r="J249" s="94"/>
      <c r="K249" s="94">
        <f>IFERROR(__xludf.DUMMYFUNCTION("""COMPUTED_VALUE"""),70.0)</f>
        <v>70</v>
      </c>
      <c r="L249" s="94">
        <f>IFERROR(__xludf.DUMMYFUNCTION("""COMPUTED_VALUE"""),50.0)</f>
        <v>50</v>
      </c>
      <c r="M249" s="94">
        <f>IFERROR(__xludf.DUMMYFUNCTION("""COMPUTED_VALUE"""),20.0)</f>
        <v>20</v>
      </c>
      <c r="N249" s="94"/>
      <c r="O249" s="1430">
        <f>IFERROR(__xludf.DUMMYFUNCTION("""COMPUTED_VALUE"""),20.0)</f>
        <v>20</v>
      </c>
      <c r="P249" s="1431">
        <f>IFERROR(__xludf.DUMMYFUNCTION("""COMPUTED_VALUE"""),2.7)</f>
        <v>2.7</v>
      </c>
      <c r="Q249" s="1432">
        <f>IFERROR(__xludf.DUMMYFUNCTION("""COMPUTED_VALUE"""),540.0)</f>
        <v>540</v>
      </c>
    </row>
    <row r="250" ht="15.75" customHeight="1">
      <c r="A250" s="94"/>
      <c r="B250" s="94" t="str">
        <f>IFERROR(__xludf.DUMMYFUNCTION("""COMPUTED_VALUE"""),"CM 1606")</f>
        <v>CM 1606</v>
      </c>
      <c r="C250" s="94"/>
      <c r="D250" s="1432">
        <f>IFERROR(__xludf.DUMMYFUNCTION("""COMPUTED_VALUE"""),5.0)</f>
        <v>5</v>
      </c>
      <c r="E250" s="1429">
        <f>IFERROR(__xludf.DUMMYFUNCTION("""COMPUTED_VALUE"""),45433.0)</f>
        <v>45433</v>
      </c>
      <c r="F250" s="1429">
        <f>IFERROR(__xludf.DUMMYFUNCTION("""COMPUTED_VALUE"""),45437.0)</f>
        <v>45437</v>
      </c>
      <c r="G250" s="1164">
        <f>IFERROR(__xludf.DUMMYFUNCTION("""COMPUTED_VALUE"""),4.0)</f>
        <v>4</v>
      </c>
      <c r="H250" s="1430">
        <f>IFERROR(__xludf.DUMMYFUNCTION("""COMPUTED_VALUE"""),148.0)</f>
        <v>148</v>
      </c>
      <c r="I250" s="94"/>
      <c r="J250" s="94"/>
      <c r="K250" s="94">
        <f>IFERROR(__xludf.DUMMYFUNCTION("""COMPUTED_VALUE"""),60.0)</f>
        <v>60</v>
      </c>
      <c r="L250" s="94">
        <f>IFERROR(__xludf.DUMMYFUNCTION("""COMPUTED_VALUE"""),50.0)</f>
        <v>50</v>
      </c>
      <c r="M250" s="94">
        <f>IFERROR(__xludf.DUMMYFUNCTION("""COMPUTED_VALUE"""),10.0)</f>
        <v>10</v>
      </c>
      <c r="N250" s="94"/>
      <c r="O250" s="1430">
        <f>IFERROR(__xludf.DUMMYFUNCTION("""COMPUTED_VALUE"""),10.0)</f>
        <v>10</v>
      </c>
      <c r="P250" s="1431">
        <f>IFERROR(__xludf.DUMMYFUNCTION("""COMPUTED_VALUE"""),2.7)</f>
        <v>2.7</v>
      </c>
      <c r="Q250" s="1432">
        <f>IFERROR(__xludf.DUMMYFUNCTION("""COMPUTED_VALUE"""),399.6)</f>
        <v>399.6</v>
      </c>
    </row>
    <row r="251" ht="15.75" customHeight="1">
      <c r="A251" s="94"/>
      <c r="B251" s="94" t="str">
        <f>IFERROR(__xludf.DUMMYFUNCTION("""COMPUTED_VALUE"""),"WS E 1202")</f>
        <v>WS E 1202</v>
      </c>
      <c r="C251" s="94"/>
      <c r="D251" s="1432">
        <f>IFERROR(__xludf.DUMMYFUNCTION("""COMPUTED_VALUE"""),5.0)</f>
        <v>5</v>
      </c>
      <c r="E251" s="1429">
        <f>IFERROR(__xludf.DUMMYFUNCTION("""COMPUTED_VALUE"""),45433.0)</f>
        <v>45433</v>
      </c>
      <c r="F251" s="1429">
        <f>IFERROR(__xludf.DUMMYFUNCTION("""COMPUTED_VALUE"""),45442.0)</f>
        <v>45442</v>
      </c>
      <c r="G251" s="1164">
        <f>IFERROR(__xludf.DUMMYFUNCTION("""COMPUTED_VALUE"""),9.0)</f>
        <v>9</v>
      </c>
      <c r="H251" s="1430">
        <f>IFERROR(__xludf.DUMMYFUNCTION("""COMPUTED_VALUE"""),465.0)</f>
        <v>465</v>
      </c>
      <c r="I251" s="94"/>
      <c r="J251" s="94"/>
      <c r="K251" s="94">
        <f>IFERROR(__xludf.DUMMYFUNCTION("""COMPUTED_VALUE"""),70.0)</f>
        <v>70</v>
      </c>
      <c r="L251" s="94">
        <f>IFERROR(__xludf.DUMMYFUNCTION("""COMPUTED_VALUE"""),50.0)</f>
        <v>50</v>
      </c>
      <c r="M251" s="94">
        <f>IFERROR(__xludf.DUMMYFUNCTION("""COMPUTED_VALUE"""),20.0)</f>
        <v>20</v>
      </c>
      <c r="N251" s="94"/>
      <c r="O251" s="1430">
        <f>IFERROR(__xludf.DUMMYFUNCTION("""COMPUTED_VALUE"""),20.0)</f>
        <v>20</v>
      </c>
      <c r="P251" s="1431">
        <f>IFERROR(__xludf.DUMMYFUNCTION("""COMPUTED_VALUE"""),2.7)</f>
        <v>2.7</v>
      </c>
      <c r="Q251" s="1432">
        <f>IFERROR(__xludf.DUMMYFUNCTION("""COMPUTED_VALUE"""),1255.5)</f>
        <v>1255.5</v>
      </c>
    </row>
    <row r="252" ht="15.75" customHeight="1">
      <c r="A252" s="94"/>
      <c r="B252" s="94" t="str">
        <f>IFERROR(__xludf.DUMMYFUNCTION("""COMPUTED_VALUE"""),"WS В 1510")</f>
        <v>WS В 1510</v>
      </c>
      <c r="C252" s="94"/>
      <c r="D252" s="1432">
        <f>IFERROR(__xludf.DUMMYFUNCTION("""COMPUTED_VALUE"""),5.0)</f>
        <v>5</v>
      </c>
      <c r="E252" s="1429">
        <f>IFERROR(__xludf.DUMMYFUNCTION("""COMPUTED_VALUE"""),45434.0)</f>
        <v>45434</v>
      </c>
      <c r="F252" s="1429">
        <f>IFERROR(__xludf.DUMMYFUNCTION("""COMPUTED_VALUE"""),45442.0)</f>
        <v>45442</v>
      </c>
      <c r="G252" s="1164">
        <f>IFERROR(__xludf.DUMMYFUNCTION("""COMPUTED_VALUE"""),8.0)</f>
        <v>8</v>
      </c>
      <c r="H252" s="1430">
        <f>IFERROR(__xludf.DUMMYFUNCTION("""COMPUTED_VALUE"""),270.0)</f>
        <v>270</v>
      </c>
      <c r="I252" s="94"/>
      <c r="J252" s="94"/>
      <c r="K252" s="94">
        <f>IFERROR(__xludf.DUMMYFUNCTION("""COMPUTED_VALUE"""),60.0)</f>
        <v>60</v>
      </c>
      <c r="L252" s="94">
        <f>IFERROR(__xludf.DUMMYFUNCTION("""COMPUTED_VALUE"""),50.0)</f>
        <v>50</v>
      </c>
      <c r="M252" s="94">
        <f>IFERROR(__xludf.DUMMYFUNCTION("""COMPUTED_VALUE"""),10.0)</f>
        <v>10</v>
      </c>
      <c r="N252" s="94"/>
      <c r="O252" s="1430">
        <f>IFERROR(__xludf.DUMMYFUNCTION("""COMPUTED_VALUE"""),10.0)</f>
        <v>10</v>
      </c>
      <c r="P252" s="1431">
        <f>IFERROR(__xludf.DUMMYFUNCTION("""COMPUTED_VALUE"""),2.7)</f>
        <v>2.7</v>
      </c>
      <c r="Q252" s="1432">
        <f>IFERROR(__xludf.DUMMYFUNCTION("""COMPUTED_VALUE"""),729.0)</f>
        <v>729</v>
      </c>
    </row>
    <row r="253" ht="15.75" customHeight="1">
      <c r="A253" s="94"/>
      <c r="B253" s="94" t="str">
        <f>IFERROR(__xludf.DUMMYFUNCTION("""COMPUTED_VALUE"""),"CM 1931")</f>
        <v>CM 1931</v>
      </c>
      <c r="C253" s="94"/>
      <c r="D253" s="1432">
        <f>IFERROR(__xludf.DUMMYFUNCTION("""COMPUTED_VALUE"""),5.0)</f>
        <v>5</v>
      </c>
      <c r="E253" s="1429">
        <f>IFERROR(__xludf.DUMMYFUNCTION("""COMPUTED_VALUE"""),45435.0)</f>
        <v>45435</v>
      </c>
      <c r="F253" s="1429">
        <f>IFERROR(__xludf.DUMMYFUNCTION("""COMPUTED_VALUE"""),45441.0)</f>
        <v>45441</v>
      </c>
      <c r="G253" s="1164">
        <f>IFERROR(__xludf.DUMMYFUNCTION("""COMPUTED_VALUE"""),6.0)</f>
        <v>6</v>
      </c>
      <c r="H253" s="1430">
        <f>IFERROR(__xludf.DUMMYFUNCTION("""COMPUTED_VALUE"""),151.0)</f>
        <v>151</v>
      </c>
      <c r="I253" s="94"/>
      <c r="J253" s="94"/>
      <c r="K253" s="94">
        <f>IFERROR(__xludf.DUMMYFUNCTION("""COMPUTED_VALUE"""),60.0)</f>
        <v>60</v>
      </c>
      <c r="L253" s="94">
        <f>IFERROR(__xludf.DUMMYFUNCTION("""COMPUTED_VALUE"""),50.0)</f>
        <v>50</v>
      </c>
      <c r="M253" s="94">
        <f>IFERROR(__xludf.DUMMYFUNCTION("""COMPUTED_VALUE"""),10.0)</f>
        <v>10</v>
      </c>
      <c r="N253" s="94"/>
      <c r="O253" s="1430">
        <f>IFERROR(__xludf.DUMMYFUNCTION("""COMPUTED_VALUE"""),10.0)</f>
        <v>10</v>
      </c>
      <c r="P253" s="1431">
        <f>IFERROR(__xludf.DUMMYFUNCTION("""COMPUTED_VALUE"""),2.7)</f>
        <v>2.7</v>
      </c>
      <c r="Q253" s="1432">
        <f>IFERROR(__xludf.DUMMYFUNCTION("""COMPUTED_VALUE"""),407.70000000000005)</f>
        <v>407.7</v>
      </c>
    </row>
    <row r="254" ht="15.75" customHeight="1">
      <c r="A254" s="94"/>
      <c r="B254" s="94" t="str">
        <f>IFERROR(__xludf.DUMMYFUNCTION("""COMPUTED_VALUE"""),"A 2851")</f>
        <v>A 2851</v>
      </c>
      <c r="C254" s="94"/>
      <c r="D254" s="1432">
        <f>IFERROR(__xludf.DUMMYFUNCTION("""COMPUTED_VALUE"""),5.0)</f>
        <v>5</v>
      </c>
      <c r="E254" s="1429">
        <f>IFERROR(__xludf.DUMMYFUNCTION("""COMPUTED_VALUE"""),45435.0)</f>
        <v>45435</v>
      </c>
      <c r="F254" s="1429">
        <f>IFERROR(__xludf.DUMMYFUNCTION("""COMPUTED_VALUE"""),45442.0)</f>
        <v>45442</v>
      </c>
      <c r="G254" s="1164">
        <f>IFERROR(__xludf.DUMMYFUNCTION("""COMPUTED_VALUE"""),7.0)</f>
        <v>7</v>
      </c>
      <c r="H254" s="1430">
        <f>IFERROR(__xludf.DUMMYFUNCTION("""COMPUTED_VALUE"""),127.0)</f>
        <v>127</v>
      </c>
      <c r="I254" s="94"/>
      <c r="J254" s="94"/>
      <c r="K254" s="94">
        <f>IFERROR(__xludf.DUMMYFUNCTION("""COMPUTED_VALUE"""),50.0)</f>
        <v>50</v>
      </c>
      <c r="L254" s="94">
        <f>IFERROR(__xludf.DUMMYFUNCTION("""COMPUTED_VALUE"""),45.0)</f>
        <v>45</v>
      </c>
      <c r="M254" s="94">
        <f>IFERROR(__xludf.DUMMYFUNCTION("""COMPUTED_VALUE"""),5.0)</f>
        <v>5</v>
      </c>
      <c r="N254" s="94"/>
      <c r="O254" s="1430">
        <f>IFERROR(__xludf.DUMMYFUNCTION("""COMPUTED_VALUE"""),5.0)</f>
        <v>5</v>
      </c>
      <c r="P254" s="1431">
        <f>IFERROR(__xludf.DUMMYFUNCTION("""COMPUTED_VALUE"""),2.7)</f>
        <v>2.7</v>
      </c>
      <c r="Q254" s="1432">
        <f>IFERROR(__xludf.DUMMYFUNCTION("""COMPUTED_VALUE"""),342.90000000000003)</f>
        <v>342.9</v>
      </c>
    </row>
    <row r="255" ht="15.75" customHeight="1">
      <c r="A255" s="94"/>
      <c r="B255" s="94" t="str">
        <f>IFERROR(__xludf.DUMMYFUNCTION("""COMPUTED_VALUE"""),"D 1321")</f>
        <v>D 1321</v>
      </c>
      <c r="C255" s="94"/>
      <c r="D255" s="1432">
        <f>IFERROR(__xludf.DUMMYFUNCTION("""COMPUTED_VALUE"""),5.0)</f>
        <v>5</v>
      </c>
      <c r="E255" s="1429">
        <f>IFERROR(__xludf.DUMMYFUNCTION("""COMPUTED_VALUE"""),45435.0)</f>
        <v>45435</v>
      </c>
      <c r="F255" s="1429">
        <f>IFERROR(__xludf.DUMMYFUNCTION("""COMPUTED_VALUE"""),45437.0)</f>
        <v>45437</v>
      </c>
      <c r="G255" s="1164">
        <f>IFERROR(__xludf.DUMMYFUNCTION("""COMPUTED_VALUE"""),2.0)</f>
        <v>2</v>
      </c>
      <c r="H255" s="1430">
        <f>IFERROR(__xludf.DUMMYFUNCTION("""COMPUTED_VALUE"""),53.0)</f>
        <v>53</v>
      </c>
      <c r="I255" s="94"/>
      <c r="J255" s="94"/>
      <c r="K255" s="94">
        <f>IFERROR(__xludf.DUMMYFUNCTION("""COMPUTED_VALUE"""),50.0)</f>
        <v>50</v>
      </c>
      <c r="L255" s="94">
        <f>IFERROR(__xludf.DUMMYFUNCTION("""COMPUTED_VALUE"""),45.0)</f>
        <v>45</v>
      </c>
      <c r="M255" s="94">
        <f>IFERROR(__xludf.DUMMYFUNCTION("""COMPUTED_VALUE"""),5.0)</f>
        <v>5</v>
      </c>
      <c r="N255" s="94"/>
      <c r="O255" s="1430">
        <f>IFERROR(__xludf.DUMMYFUNCTION("""COMPUTED_VALUE"""),5.0)</f>
        <v>5</v>
      </c>
      <c r="P255" s="1431">
        <f>IFERROR(__xludf.DUMMYFUNCTION("""COMPUTED_VALUE"""),2.7)</f>
        <v>2.7</v>
      </c>
      <c r="Q255" s="1432">
        <f>IFERROR(__xludf.DUMMYFUNCTION("""COMPUTED_VALUE"""),143.10000000000002)</f>
        <v>143.1</v>
      </c>
    </row>
    <row r="256" ht="15.75" customHeight="1">
      <c r="A256" s="94"/>
      <c r="B256" s="94" t="str">
        <f>IFERROR(__xludf.DUMMYFUNCTION("""COMPUTED_VALUE"""),"А 4049")</f>
        <v>А 4049</v>
      </c>
      <c r="C256" s="94"/>
      <c r="D256" s="1432">
        <f>IFERROR(__xludf.DUMMYFUNCTION("""COMPUTED_VALUE"""),5.0)</f>
        <v>5</v>
      </c>
      <c r="E256" s="1429">
        <f>IFERROR(__xludf.DUMMYFUNCTION("""COMPUTED_VALUE"""),45435.0)</f>
        <v>45435</v>
      </c>
      <c r="F256" s="1429">
        <f>IFERROR(__xludf.DUMMYFUNCTION("""COMPUTED_VALUE"""),45438.0)</f>
        <v>45438</v>
      </c>
      <c r="G256" s="1164">
        <f>IFERROR(__xludf.DUMMYFUNCTION("""COMPUTED_VALUE"""),3.0)</f>
        <v>3</v>
      </c>
      <c r="H256" s="1430">
        <f>IFERROR(__xludf.DUMMYFUNCTION("""COMPUTED_VALUE"""),67.0)</f>
        <v>67</v>
      </c>
      <c r="I256" s="94"/>
      <c r="J256" s="94"/>
      <c r="K256" s="94">
        <f>IFERROR(__xludf.DUMMYFUNCTION("""COMPUTED_VALUE"""),50.0)</f>
        <v>50</v>
      </c>
      <c r="L256" s="94">
        <f>IFERROR(__xludf.DUMMYFUNCTION("""COMPUTED_VALUE"""),45.0)</f>
        <v>45</v>
      </c>
      <c r="M256" s="94">
        <f>IFERROR(__xludf.DUMMYFUNCTION("""COMPUTED_VALUE"""),5.0)</f>
        <v>5</v>
      </c>
      <c r="N256" s="94"/>
      <c r="O256" s="1430">
        <f>IFERROR(__xludf.DUMMYFUNCTION("""COMPUTED_VALUE"""),5.0)</f>
        <v>5</v>
      </c>
      <c r="P256" s="1431">
        <f>IFERROR(__xludf.DUMMYFUNCTION("""COMPUTED_VALUE"""),2.7)</f>
        <v>2.7</v>
      </c>
      <c r="Q256" s="1432">
        <f>IFERROR(__xludf.DUMMYFUNCTION("""COMPUTED_VALUE"""),180.9)</f>
        <v>180.9</v>
      </c>
    </row>
    <row r="257" ht="15.75" customHeight="1">
      <c r="A257" s="94"/>
      <c r="B257" s="94" t="str">
        <f>IFERROR(__xludf.DUMMYFUNCTION("""COMPUTED_VALUE"""),"WS В 503")</f>
        <v>WS В 503</v>
      </c>
      <c r="C257" s="94"/>
      <c r="D257" s="1432">
        <f>IFERROR(__xludf.DUMMYFUNCTION("""COMPUTED_VALUE"""),5.0)</f>
        <v>5</v>
      </c>
      <c r="E257" s="1429">
        <f>IFERROR(__xludf.DUMMYFUNCTION("""COMPUTED_VALUE"""),45436.0)</f>
        <v>45436</v>
      </c>
      <c r="F257" s="1429">
        <f>IFERROR(__xludf.DUMMYFUNCTION("""COMPUTED_VALUE"""),45438.0)</f>
        <v>45438</v>
      </c>
      <c r="G257" s="1164">
        <f>IFERROR(__xludf.DUMMYFUNCTION("""COMPUTED_VALUE"""),2.0)</f>
        <v>2</v>
      </c>
      <c r="H257" s="1430">
        <f>IFERROR(__xludf.DUMMYFUNCTION("""COMPUTED_VALUE"""),120.0)</f>
        <v>120</v>
      </c>
      <c r="I257" s="94"/>
      <c r="J257" s="94"/>
      <c r="K257" s="94">
        <f>IFERROR(__xludf.DUMMYFUNCTION("""COMPUTED_VALUE"""),70.0)</f>
        <v>70</v>
      </c>
      <c r="L257" s="94">
        <f>IFERROR(__xludf.DUMMYFUNCTION("""COMPUTED_VALUE"""),50.0)</f>
        <v>50</v>
      </c>
      <c r="M257" s="94">
        <f>IFERROR(__xludf.DUMMYFUNCTION("""COMPUTED_VALUE"""),20.0)</f>
        <v>20</v>
      </c>
      <c r="N257" s="94"/>
      <c r="O257" s="1430">
        <f>IFERROR(__xludf.DUMMYFUNCTION("""COMPUTED_VALUE"""),20.0)</f>
        <v>20</v>
      </c>
      <c r="P257" s="1431">
        <f>IFERROR(__xludf.DUMMYFUNCTION("""COMPUTED_VALUE"""),2.7)</f>
        <v>2.7</v>
      </c>
      <c r="Q257" s="1432">
        <f>IFERROR(__xludf.DUMMYFUNCTION("""COMPUTED_VALUE"""),324.0)</f>
        <v>324</v>
      </c>
    </row>
    <row r="258" ht="15.75" customHeight="1">
      <c r="A258" s="94"/>
      <c r="B258" s="94" t="str">
        <f>IFERROR(__xludf.DUMMYFUNCTION("""COMPUTED_VALUE"""),"С 1125")</f>
        <v>С 1125</v>
      </c>
      <c r="C258" s="94"/>
      <c r="D258" s="1432">
        <f>IFERROR(__xludf.DUMMYFUNCTION("""COMPUTED_VALUE"""),5.0)</f>
        <v>5</v>
      </c>
      <c r="E258" s="1429">
        <f>IFERROR(__xludf.DUMMYFUNCTION("""COMPUTED_VALUE"""),45436.0)</f>
        <v>45436</v>
      </c>
      <c r="F258" s="1429">
        <f>IFERROR(__xludf.DUMMYFUNCTION("""COMPUTED_VALUE"""),45441.0)</f>
        <v>45441</v>
      </c>
      <c r="G258" s="1164">
        <f>IFERROR(__xludf.DUMMYFUNCTION("""COMPUTED_VALUE"""),5.0)</f>
        <v>5</v>
      </c>
      <c r="H258" s="1430">
        <f>IFERROR(__xludf.DUMMYFUNCTION("""COMPUTED_VALUE"""),134.0)</f>
        <v>134</v>
      </c>
      <c r="I258" s="94"/>
      <c r="J258" s="94"/>
      <c r="K258" s="94">
        <f>IFERROR(__xludf.DUMMYFUNCTION("""COMPUTED_VALUE"""),50.0)</f>
        <v>50</v>
      </c>
      <c r="L258" s="94">
        <f>IFERROR(__xludf.DUMMYFUNCTION("""COMPUTED_VALUE"""),45.0)</f>
        <v>45</v>
      </c>
      <c r="M258" s="94">
        <f>IFERROR(__xludf.DUMMYFUNCTION("""COMPUTED_VALUE"""),5.0)</f>
        <v>5</v>
      </c>
      <c r="N258" s="94"/>
      <c r="O258" s="1430">
        <f>IFERROR(__xludf.DUMMYFUNCTION("""COMPUTED_VALUE"""),5.0)</f>
        <v>5</v>
      </c>
      <c r="P258" s="1431">
        <f>IFERROR(__xludf.DUMMYFUNCTION("""COMPUTED_VALUE"""),2.7)</f>
        <v>2.7</v>
      </c>
      <c r="Q258" s="1432">
        <f>IFERROR(__xludf.DUMMYFUNCTION("""COMPUTED_VALUE"""),361.8)</f>
        <v>361.8</v>
      </c>
    </row>
    <row r="259" ht="15.75" customHeight="1">
      <c r="A259" s="94"/>
      <c r="B259" s="94" t="str">
        <f>IFERROR(__xludf.DUMMYFUNCTION("""COMPUTED_VALUE"""),"С 1443")</f>
        <v>С 1443</v>
      </c>
      <c r="C259" s="94"/>
      <c r="D259" s="1432">
        <f>IFERROR(__xludf.DUMMYFUNCTION("""COMPUTED_VALUE"""),5.0)</f>
        <v>5</v>
      </c>
      <c r="E259" s="1429">
        <f>IFERROR(__xludf.DUMMYFUNCTION("""COMPUTED_VALUE"""),45436.0)</f>
        <v>45436</v>
      </c>
      <c r="F259" s="1429">
        <f>IFERROR(__xludf.DUMMYFUNCTION("""COMPUTED_VALUE"""),45440.0)</f>
        <v>45440</v>
      </c>
      <c r="G259" s="1164">
        <f>IFERROR(__xludf.DUMMYFUNCTION("""COMPUTED_VALUE"""),4.0)</f>
        <v>4</v>
      </c>
      <c r="H259" s="1430">
        <f>IFERROR(__xludf.DUMMYFUNCTION("""COMPUTED_VALUE"""),175.0)</f>
        <v>175</v>
      </c>
      <c r="I259" s="94"/>
      <c r="J259" s="94"/>
      <c r="K259" s="94">
        <f>IFERROR(__xludf.DUMMYFUNCTION("""COMPUTED_VALUE"""),70.0)</f>
        <v>70</v>
      </c>
      <c r="L259" s="94">
        <f>IFERROR(__xludf.DUMMYFUNCTION("""COMPUTED_VALUE"""),55.0)</f>
        <v>55</v>
      </c>
      <c r="M259" s="94">
        <f>IFERROR(__xludf.DUMMYFUNCTION("""COMPUTED_VALUE"""),15.0)</f>
        <v>15</v>
      </c>
      <c r="N259" s="94"/>
      <c r="O259" s="1430">
        <f>IFERROR(__xludf.DUMMYFUNCTION("""COMPUTED_VALUE"""),15.0)</f>
        <v>15</v>
      </c>
      <c r="P259" s="1431">
        <f>IFERROR(__xludf.DUMMYFUNCTION("""COMPUTED_VALUE"""),2.7)</f>
        <v>2.7</v>
      </c>
      <c r="Q259" s="1432">
        <f>IFERROR(__xludf.DUMMYFUNCTION("""COMPUTED_VALUE"""),472.50000000000006)</f>
        <v>472.5</v>
      </c>
    </row>
    <row r="260" ht="15.75" customHeight="1">
      <c r="A260" s="94"/>
      <c r="B260" s="94" t="str">
        <f>IFERROR(__xludf.DUMMYFUNCTION("""COMPUTED_VALUE"""),"D 1321")</f>
        <v>D 1321</v>
      </c>
      <c r="C260" s="94"/>
      <c r="D260" s="1432">
        <f>IFERROR(__xludf.DUMMYFUNCTION("""COMPUTED_VALUE"""),5.0)</f>
        <v>5</v>
      </c>
      <c r="E260" s="1429">
        <f>IFERROR(__xludf.DUMMYFUNCTION("""COMPUTED_VALUE"""),45437.0)</f>
        <v>45437</v>
      </c>
      <c r="F260" s="1429">
        <f>IFERROR(__xludf.DUMMYFUNCTION("""COMPUTED_VALUE"""),45439.0)</f>
        <v>45439</v>
      </c>
      <c r="G260" s="1164">
        <f>IFERROR(__xludf.DUMMYFUNCTION("""COMPUTED_VALUE"""),2.0)</f>
        <v>2</v>
      </c>
      <c r="H260" s="1430">
        <f>IFERROR(__xludf.DUMMYFUNCTION("""COMPUTED_VALUE"""),53.0)</f>
        <v>53</v>
      </c>
      <c r="I260" s="94"/>
      <c r="J260" s="94"/>
      <c r="K260" s="94">
        <f>IFERROR(__xludf.DUMMYFUNCTION("""COMPUTED_VALUE"""),50.0)</f>
        <v>50</v>
      </c>
      <c r="L260" s="94">
        <f>IFERROR(__xludf.DUMMYFUNCTION("""COMPUTED_VALUE"""),45.0)</f>
        <v>45</v>
      </c>
      <c r="M260" s="94">
        <f>IFERROR(__xludf.DUMMYFUNCTION("""COMPUTED_VALUE"""),5.0)</f>
        <v>5</v>
      </c>
      <c r="N260" s="94"/>
      <c r="O260" s="1430">
        <f>IFERROR(__xludf.DUMMYFUNCTION("""COMPUTED_VALUE"""),5.0)</f>
        <v>5</v>
      </c>
      <c r="P260" s="1431">
        <f>IFERROR(__xludf.DUMMYFUNCTION("""COMPUTED_VALUE"""),2.7)</f>
        <v>2.7</v>
      </c>
      <c r="Q260" s="1432">
        <f>IFERROR(__xludf.DUMMYFUNCTION("""COMPUTED_VALUE"""),143.10000000000002)</f>
        <v>143.1</v>
      </c>
    </row>
    <row r="261" ht="15.75" customHeight="1">
      <c r="A261" s="94"/>
      <c r="B261" s="94" t="str">
        <f>IFERROR(__xludf.DUMMYFUNCTION("""COMPUTED_VALUE"""),"C 4245")</f>
        <v>C 4245</v>
      </c>
      <c r="C261" s="94"/>
      <c r="D261" s="1432">
        <f>IFERROR(__xludf.DUMMYFUNCTION("""COMPUTED_VALUE"""),5.0)</f>
        <v>5</v>
      </c>
      <c r="E261" s="1429">
        <f>IFERROR(__xludf.DUMMYFUNCTION("""COMPUTED_VALUE"""),45438.0)</f>
        <v>45438</v>
      </c>
      <c r="F261" s="1429">
        <f>IFERROR(__xludf.DUMMYFUNCTION("""COMPUTED_VALUE"""),45442.0)</f>
        <v>45442</v>
      </c>
      <c r="G261" s="1164">
        <f>IFERROR(__xludf.DUMMYFUNCTION("""COMPUTED_VALUE"""),4.0)</f>
        <v>4</v>
      </c>
      <c r="H261" s="1430">
        <f>IFERROR(__xludf.DUMMYFUNCTION("""COMPUTED_VALUE"""),155.0)</f>
        <v>155</v>
      </c>
      <c r="I261" s="94"/>
      <c r="J261" s="94"/>
      <c r="K261" s="94">
        <f>IFERROR(__xludf.DUMMYFUNCTION("""COMPUTED_VALUE"""),70.0)</f>
        <v>70</v>
      </c>
      <c r="L261" s="94">
        <f>IFERROR(__xludf.DUMMYFUNCTION("""COMPUTED_VALUE"""),55.0)</f>
        <v>55</v>
      </c>
      <c r="M261" s="94">
        <f>IFERROR(__xludf.DUMMYFUNCTION("""COMPUTED_VALUE"""),15.0)</f>
        <v>15</v>
      </c>
      <c r="N261" s="94"/>
      <c r="O261" s="1430">
        <f>IFERROR(__xludf.DUMMYFUNCTION("""COMPUTED_VALUE"""),15.0)</f>
        <v>15</v>
      </c>
      <c r="P261" s="1431">
        <f>IFERROR(__xludf.DUMMYFUNCTION("""COMPUTED_VALUE"""),2.7)</f>
        <v>2.7</v>
      </c>
      <c r="Q261" s="1432">
        <f>IFERROR(__xludf.DUMMYFUNCTION("""COMPUTED_VALUE"""),418.5)</f>
        <v>418.5</v>
      </c>
    </row>
    <row r="262" ht="15.75" customHeight="1">
      <c r="A262" s="94"/>
      <c r="B262" s="94" t="str">
        <f>IFERROR(__xludf.DUMMYFUNCTION("""COMPUTED_VALUE"""),"Int 2905")</f>
        <v>Int 2905</v>
      </c>
      <c r="C262" s="94"/>
      <c r="D262" s="1432">
        <f>IFERROR(__xludf.DUMMYFUNCTION("""COMPUTED_VALUE"""),5.0)</f>
        <v>5</v>
      </c>
      <c r="E262" s="1429">
        <f>IFERROR(__xludf.DUMMYFUNCTION("""COMPUTED_VALUE"""),45438.0)</f>
        <v>45438</v>
      </c>
      <c r="F262" s="1437">
        <f>IFERROR(__xludf.DUMMYFUNCTION("""COMPUTED_VALUE"""),45445.0)</f>
        <v>45445</v>
      </c>
      <c r="G262" s="1164">
        <f>IFERROR(__xludf.DUMMYFUNCTION("""COMPUTED_VALUE"""),7.0)</f>
        <v>7</v>
      </c>
      <c r="H262" s="1430">
        <f>IFERROR(__xludf.DUMMYFUNCTION("""COMPUTED_VALUE"""),276.0)</f>
        <v>276</v>
      </c>
      <c r="I262" s="94"/>
      <c r="J262" s="94"/>
      <c r="K262" s="94">
        <f>IFERROR(__xludf.DUMMYFUNCTION("""COMPUTED_VALUE"""),60.0)</f>
        <v>60</v>
      </c>
      <c r="L262" s="94">
        <f>IFERROR(__xludf.DUMMYFUNCTION("""COMPUTED_VALUE"""),50.0)</f>
        <v>50</v>
      </c>
      <c r="M262" s="94">
        <f>IFERROR(__xludf.DUMMYFUNCTION("""COMPUTED_VALUE"""),10.0)</f>
        <v>10</v>
      </c>
      <c r="N262" s="94"/>
      <c r="O262" s="1430">
        <f>IFERROR(__xludf.DUMMYFUNCTION("""COMPUTED_VALUE"""),10.0)</f>
        <v>10</v>
      </c>
      <c r="P262" s="1431">
        <f>IFERROR(__xludf.DUMMYFUNCTION("""COMPUTED_VALUE"""),2.7)</f>
        <v>2.7</v>
      </c>
      <c r="Q262" s="1432">
        <f>IFERROR(__xludf.DUMMYFUNCTION("""COMPUTED_VALUE"""),745.2)</f>
        <v>745.2</v>
      </c>
    </row>
    <row r="263" ht="15.75" customHeight="1">
      <c r="A263" s="94"/>
      <c r="B263" s="94" t="str">
        <f>IFERROR(__xludf.DUMMYFUNCTION("""COMPUTED_VALUE"""),"WS E1405")</f>
        <v>WS E1405</v>
      </c>
      <c r="C263" s="94"/>
      <c r="D263" s="1432">
        <f>IFERROR(__xludf.DUMMYFUNCTION("""COMPUTED_VALUE"""),5.0)</f>
        <v>5</v>
      </c>
      <c r="E263" s="1429">
        <f>IFERROR(__xludf.DUMMYFUNCTION("""COMPUTED_VALUE"""),45438.0)</f>
        <v>45438</v>
      </c>
      <c r="F263" s="1429">
        <f>IFERROR(__xludf.DUMMYFUNCTION("""COMPUTED_VALUE"""),45441.0)</f>
        <v>45441</v>
      </c>
      <c r="G263" s="1164">
        <f>IFERROR(__xludf.DUMMYFUNCTION("""COMPUTED_VALUE"""),3.0)</f>
        <v>3</v>
      </c>
      <c r="H263" s="1430">
        <f>IFERROR(__xludf.DUMMYFUNCTION("""COMPUTED_VALUE"""),73.0)</f>
        <v>73</v>
      </c>
      <c r="I263" s="94"/>
      <c r="J263" s="94"/>
      <c r="K263" s="94">
        <f>IFERROR(__xludf.DUMMYFUNCTION("""COMPUTED_VALUE"""),60.0)</f>
        <v>60</v>
      </c>
      <c r="L263" s="94">
        <f>IFERROR(__xludf.DUMMYFUNCTION("""COMPUTED_VALUE"""),50.0)</f>
        <v>50</v>
      </c>
      <c r="M263" s="94">
        <f>IFERROR(__xludf.DUMMYFUNCTION("""COMPUTED_VALUE"""),10.0)</f>
        <v>10</v>
      </c>
      <c r="N263" s="94"/>
      <c r="O263" s="1430">
        <f>IFERROR(__xludf.DUMMYFUNCTION("""COMPUTED_VALUE"""),10.0)</f>
        <v>10</v>
      </c>
      <c r="P263" s="1431">
        <f>IFERROR(__xludf.DUMMYFUNCTION("""COMPUTED_VALUE"""),2.7)</f>
        <v>2.7</v>
      </c>
      <c r="Q263" s="1432">
        <f>IFERROR(__xludf.DUMMYFUNCTION("""COMPUTED_VALUE"""),197.10000000000002)</f>
        <v>197.1</v>
      </c>
    </row>
    <row r="264" ht="15.75" customHeight="1">
      <c r="A264" s="94"/>
      <c r="B264" s="94" t="str">
        <f>IFERROR(__xludf.DUMMYFUNCTION("""COMPUTED_VALUE"""),"WS В 503")</f>
        <v>WS В 503</v>
      </c>
      <c r="C264" s="94"/>
      <c r="D264" s="1432">
        <f>IFERROR(__xludf.DUMMYFUNCTION("""COMPUTED_VALUE"""),5.0)</f>
        <v>5</v>
      </c>
      <c r="E264" s="1429">
        <f>IFERROR(__xludf.DUMMYFUNCTION("""COMPUTED_VALUE"""),45438.0)</f>
        <v>45438</v>
      </c>
      <c r="F264" s="1437">
        <f>IFERROR(__xludf.DUMMYFUNCTION("""COMPUTED_VALUE"""),45443.0)</f>
        <v>45443</v>
      </c>
      <c r="G264" s="1164">
        <f>IFERROR(__xludf.DUMMYFUNCTION("""COMPUTED_VALUE"""),5.0)</f>
        <v>5</v>
      </c>
      <c r="H264" s="1430">
        <f>IFERROR(__xludf.DUMMYFUNCTION("""COMPUTED_VALUE"""),255.0)</f>
        <v>255</v>
      </c>
      <c r="I264" s="94"/>
      <c r="J264" s="94"/>
      <c r="K264" s="94">
        <f>IFERROR(__xludf.DUMMYFUNCTION("""COMPUTED_VALUE"""),70.0)</f>
        <v>70</v>
      </c>
      <c r="L264" s="94">
        <f>IFERROR(__xludf.DUMMYFUNCTION("""COMPUTED_VALUE"""),50.0)</f>
        <v>50</v>
      </c>
      <c r="M264" s="94">
        <f>IFERROR(__xludf.DUMMYFUNCTION("""COMPUTED_VALUE"""),20.0)</f>
        <v>20</v>
      </c>
      <c r="N264" s="94"/>
      <c r="O264" s="1430">
        <f>IFERROR(__xludf.DUMMYFUNCTION("""COMPUTED_VALUE"""),20.0)</f>
        <v>20</v>
      </c>
      <c r="P264" s="1431">
        <f>IFERROR(__xludf.DUMMYFUNCTION("""COMPUTED_VALUE"""),2.7)</f>
        <v>2.7</v>
      </c>
      <c r="Q264" s="1432">
        <f>IFERROR(__xludf.DUMMYFUNCTION("""COMPUTED_VALUE"""),688.5)</f>
        <v>688.5</v>
      </c>
    </row>
    <row r="265" ht="15.75" customHeight="1">
      <c r="A265" s="94" t="str">
        <f>IFERROR(__xludf.DUMMYFUNCTION("""COMPUTED_VALUE"""),"Итого неделя")</f>
        <v>Итого неделя</v>
      </c>
      <c r="B265" s="94" t="str">
        <f>IFERROR(__xludf.DUMMYFUNCTION("""COMPUTED_VALUE"""),"21 неделя")</f>
        <v>21 неделя</v>
      </c>
      <c r="C265" s="94"/>
      <c r="D265" s="94"/>
      <c r="E265" s="94"/>
      <c r="F265" s="94"/>
      <c r="G265" s="1164">
        <f>IFERROR(__xludf.DUMMYFUNCTION("""COMPUTED_VALUE"""),77.0)</f>
        <v>77</v>
      </c>
      <c r="H265" s="1430">
        <f>IFERROR(__xludf.DUMMYFUNCTION("""COMPUTED_VALUE"""),2819.0)</f>
        <v>2819</v>
      </c>
      <c r="I265" s="94">
        <f>IFERROR(__xludf.DUMMYFUNCTION("""COMPUTED_VALUE"""),0.0)</f>
        <v>0</v>
      </c>
      <c r="J265" s="94">
        <f>IFERROR(__xludf.DUMMYFUNCTION("""COMPUTED_VALUE"""),0.0)</f>
        <v>0</v>
      </c>
      <c r="K265" s="94">
        <f>IFERROR(__xludf.DUMMYFUNCTION("""COMPUTED_VALUE"""),1030.0)</f>
        <v>1030</v>
      </c>
      <c r="L265" s="94">
        <f>IFERROR(__xludf.DUMMYFUNCTION("""COMPUTED_VALUE"""),835.0)</f>
        <v>835</v>
      </c>
      <c r="M265" s="94">
        <f>IFERROR(__xludf.DUMMYFUNCTION("""COMPUTED_VALUE"""),195.0)</f>
        <v>195</v>
      </c>
      <c r="N265" s="94">
        <f>IFERROR(__xludf.DUMMYFUNCTION("""COMPUTED_VALUE"""),0.0)</f>
        <v>0</v>
      </c>
      <c r="O265" s="1430">
        <f>IFERROR(__xludf.DUMMYFUNCTION("""COMPUTED_VALUE"""),195.0)</f>
        <v>195</v>
      </c>
      <c r="P265" s="1431">
        <f>IFERROR(__xludf.DUMMYFUNCTION("""COMPUTED_VALUE"""),2.7)</f>
        <v>2.7</v>
      </c>
      <c r="Q265" s="1432">
        <f>IFERROR(__xludf.DUMMYFUNCTION("""COMPUTED_VALUE"""),7611.3)</f>
        <v>7611.3</v>
      </c>
    </row>
    <row r="266" ht="15.75" customHeight="1">
      <c r="A266" s="94"/>
      <c r="B266" s="94" t="str">
        <f>IFERROR(__xludf.DUMMYFUNCTION("""COMPUTED_VALUE"""),"WS В 212")</f>
        <v>WS В 212</v>
      </c>
      <c r="C266" s="94"/>
      <c r="D266" s="1432">
        <f>IFERROR(__xludf.DUMMYFUNCTION("""COMPUTED_VALUE"""),5.0)</f>
        <v>5</v>
      </c>
      <c r="E266" s="1429">
        <f>IFERROR(__xludf.DUMMYFUNCTION("""COMPUTED_VALUE"""),45439.0)</f>
        <v>45439</v>
      </c>
      <c r="F266" s="1429">
        <f>IFERROR(__xludf.DUMMYFUNCTION("""COMPUTED_VALUE"""),45445.0)</f>
        <v>45445</v>
      </c>
      <c r="G266" s="1164">
        <f>IFERROR(__xludf.DUMMYFUNCTION("""COMPUTED_VALUE"""),6.0)</f>
        <v>6</v>
      </c>
      <c r="H266" s="1430">
        <f>IFERROR(__xludf.DUMMYFUNCTION("""COMPUTED_VALUE"""),565.0)</f>
        <v>565</v>
      </c>
      <c r="I266" s="94"/>
      <c r="J266" s="94"/>
      <c r="K266" s="94">
        <f>IFERROR(__xludf.DUMMYFUNCTION("""COMPUTED_VALUE"""),70.0)</f>
        <v>70</v>
      </c>
      <c r="L266" s="94">
        <f>IFERROR(__xludf.DUMMYFUNCTION("""COMPUTED_VALUE"""),50.0)</f>
        <v>50</v>
      </c>
      <c r="M266" s="94">
        <f>IFERROR(__xludf.DUMMYFUNCTION("""COMPUTED_VALUE"""),20.0)</f>
        <v>20</v>
      </c>
      <c r="N266" s="94"/>
      <c r="O266" s="1430">
        <f>IFERROR(__xludf.DUMMYFUNCTION("""COMPUTED_VALUE"""),20.0)</f>
        <v>20</v>
      </c>
      <c r="P266" s="1431">
        <f>IFERROR(__xludf.DUMMYFUNCTION("""COMPUTED_VALUE"""),2.78)</f>
        <v>2.78</v>
      </c>
      <c r="Q266" s="1432">
        <f>IFERROR(__xludf.DUMMYFUNCTION("""COMPUTED_VALUE"""),1570.6999999999998)</f>
        <v>1570.7</v>
      </c>
    </row>
    <row r="267" ht="15.75" customHeight="1">
      <c r="A267" s="94"/>
      <c r="B267" s="94" t="str">
        <f>IFERROR(__xludf.DUMMYFUNCTION("""COMPUTED_VALUE"""),"WS A 409")</f>
        <v>WS A 409</v>
      </c>
      <c r="C267" s="94"/>
      <c r="D267" s="1432">
        <f>IFERROR(__xludf.DUMMYFUNCTION("""COMPUTED_VALUE"""),5.0)</f>
        <v>5</v>
      </c>
      <c r="E267" s="1429">
        <f>IFERROR(__xludf.DUMMYFUNCTION("""COMPUTED_VALUE"""),45439.0)</f>
        <v>45439</v>
      </c>
      <c r="F267" s="1429">
        <f>IFERROR(__xludf.DUMMYFUNCTION("""COMPUTED_VALUE"""),45445.0)</f>
        <v>45445</v>
      </c>
      <c r="G267" s="1164">
        <f>IFERROR(__xludf.DUMMYFUNCTION("""COMPUTED_VALUE"""),6.0)</f>
        <v>6</v>
      </c>
      <c r="H267" s="1430">
        <f>IFERROR(__xludf.DUMMYFUNCTION("""COMPUTED_VALUE"""),148.0)</f>
        <v>148</v>
      </c>
      <c r="I267" s="94"/>
      <c r="J267" s="94"/>
      <c r="K267" s="94">
        <f>IFERROR(__xludf.DUMMYFUNCTION("""COMPUTED_VALUE"""),60.0)</f>
        <v>60</v>
      </c>
      <c r="L267" s="94">
        <f>IFERROR(__xludf.DUMMYFUNCTION("""COMPUTED_VALUE"""),50.0)</f>
        <v>50</v>
      </c>
      <c r="M267" s="94">
        <f>IFERROR(__xludf.DUMMYFUNCTION("""COMPUTED_VALUE"""),10.0)</f>
        <v>10</v>
      </c>
      <c r="N267" s="94"/>
      <c r="O267" s="1430">
        <f>IFERROR(__xludf.DUMMYFUNCTION("""COMPUTED_VALUE"""),10.0)</f>
        <v>10</v>
      </c>
      <c r="P267" s="1431">
        <f>IFERROR(__xludf.DUMMYFUNCTION("""COMPUTED_VALUE"""),2.78)</f>
        <v>2.78</v>
      </c>
      <c r="Q267" s="1432">
        <f>IFERROR(__xludf.DUMMYFUNCTION("""COMPUTED_VALUE"""),411.44)</f>
        <v>411.44</v>
      </c>
    </row>
    <row r="268" ht="15.75" customHeight="1">
      <c r="A268" s="94"/>
      <c r="B268" s="94" t="str">
        <f>IFERROR(__xludf.DUMMYFUNCTION("""COMPUTED_VALUE"""),"Шартава 16")</f>
        <v>Шартава 16</v>
      </c>
      <c r="C268" s="94"/>
      <c r="D268" s="1432">
        <f>IFERROR(__xludf.DUMMYFUNCTION("""COMPUTED_VALUE"""),5.0)</f>
        <v>5</v>
      </c>
      <c r="E268" s="1429">
        <f>IFERROR(__xludf.DUMMYFUNCTION("""COMPUTED_VALUE"""),45439.0)</f>
        <v>45439</v>
      </c>
      <c r="F268" s="1429">
        <f>IFERROR(__xludf.DUMMYFUNCTION("""COMPUTED_VALUE"""),45443.0)</f>
        <v>45443</v>
      </c>
      <c r="G268" s="1164">
        <f>IFERROR(__xludf.DUMMYFUNCTION("""COMPUTED_VALUE"""),4.0)</f>
        <v>4</v>
      </c>
      <c r="H268" s="1430">
        <f>IFERROR(__xludf.DUMMYFUNCTION("""COMPUTED_VALUE"""),132.0)</f>
        <v>132</v>
      </c>
      <c r="I268" s="94"/>
      <c r="J268" s="94"/>
      <c r="K268" s="94">
        <f>IFERROR(__xludf.DUMMYFUNCTION("""COMPUTED_VALUE"""),60.0)</f>
        <v>60</v>
      </c>
      <c r="L268" s="94">
        <f>IFERROR(__xludf.DUMMYFUNCTION("""COMPUTED_VALUE"""),50.0)</f>
        <v>50</v>
      </c>
      <c r="M268" s="94">
        <f>IFERROR(__xludf.DUMMYFUNCTION("""COMPUTED_VALUE"""),10.0)</f>
        <v>10</v>
      </c>
      <c r="N268" s="94"/>
      <c r="O268" s="1430">
        <f>IFERROR(__xludf.DUMMYFUNCTION("""COMPUTED_VALUE"""),10.0)</f>
        <v>10</v>
      </c>
      <c r="P268" s="1431">
        <f>IFERROR(__xludf.DUMMYFUNCTION("""COMPUTED_VALUE"""),2.78)</f>
        <v>2.78</v>
      </c>
      <c r="Q268" s="1432">
        <f>IFERROR(__xludf.DUMMYFUNCTION("""COMPUTED_VALUE"""),366.96)</f>
        <v>366.96</v>
      </c>
    </row>
    <row r="269" ht="15.75" customHeight="1">
      <c r="A269" s="94"/>
      <c r="B269" s="94" t="str">
        <f>IFERROR(__xludf.DUMMYFUNCTION("""COMPUTED_VALUE"""),"CM 1606")</f>
        <v>CM 1606</v>
      </c>
      <c r="C269" s="94"/>
      <c r="D269" s="1432">
        <f>IFERROR(__xludf.DUMMYFUNCTION("""COMPUTED_VALUE"""),5.0)</f>
        <v>5</v>
      </c>
      <c r="E269" s="1429">
        <f>IFERROR(__xludf.DUMMYFUNCTION("""COMPUTED_VALUE"""),45440.0)</f>
        <v>45440</v>
      </c>
      <c r="F269" s="1429">
        <f>IFERROR(__xludf.DUMMYFUNCTION("""COMPUTED_VALUE"""),45444.0)</f>
        <v>45444</v>
      </c>
      <c r="G269" s="1164">
        <f>IFERROR(__xludf.DUMMYFUNCTION("""COMPUTED_VALUE"""),4.0)</f>
        <v>4</v>
      </c>
      <c r="H269" s="1430">
        <f>IFERROR(__xludf.DUMMYFUNCTION("""COMPUTED_VALUE"""),147.0)</f>
        <v>147</v>
      </c>
      <c r="I269" s="94"/>
      <c r="J269" s="94"/>
      <c r="K269" s="94">
        <f>IFERROR(__xludf.DUMMYFUNCTION("""COMPUTED_VALUE"""),60.0)</f>
        <v>60</v>
      </c>
      <c r="L269" s="94">
        <f>IFERROR(__xludf.DUMMYFUNCTION("""COMPUTED_VALUE"""),50.0)</f>
        <v>50</v>
      </c>
      <c r="M269" s="94">
        <f>IFERROR(__xludf.DUMMYFUNCTION("""COMPUTED_VALUE"""),10.0)</f>
        <v>10</v>
      </c>
      <c r="N269" s="94"/>
      <c r="O269" s="1430">
        <f>IFERROR(__xludf.DUMMYFUNCTION("""COMPUTED_VALUE"""),10.0)</f>
        <v>10</v>
      </c>
      <c r="P269" s="1431">
        <f>IFERROR(__xludf.DUMMYFUNCTION("""COMPUTED_VALUE"""),2.78)</f>
        <v>2.78</v>
      </c>
      <c r="Q269" s="1432">
        <f>IFERROR(__xludf.DUMMYFUNCTION("""COMPUTED_VALUE"""),408.65999999999997)</f>
        <v>408.66</v>
      </c>
    </row>
    <row r="270" ht="15.75" customHeight="1">
      <c r="A270" s="94"/>
      <c r="B270" s="94" t="str">
        <f>IFERROR(__xludf.DUMMYFUNCTION("""COMPUTED_VALUE"""),"А 4049")</f>
        <v>А 4049</v>
      </c>
      <c r="C270" s="94"/>
      <c r="D270" s="1432">
        <f>IFERROR(__xludf.DUMMYFUNCTION("""COMPUTED_VALUE"""),5.0)</f>
        <v>5</v>
      </c>
      <c r="E270" s="1429">
        <f>IFERROR(__xludf.DUMMYFUNCTION("""COMPUTED_VALUE"""),45440.0)</f>
        <v>45440</v>
      </c>
      <c r="F270" s="1429">
        <f>IFERROR(__xludf.DUMMYFUNCTION("""COMPUTED_VALUE"""),45443.0)</f>
        <v>45443</v>
      </c>
      <c r="G270" s="1164">
        <f>IFERROR(__xludf.DUMMYFUNCTION("""COMPUTED_VALUE"""),3.0)</f>
        <v>3</v>
      </c>
      <c r="H270" s="1430">
        <f>IFERROR(__xludf.DUMMYFUNCTION("""COMPUTED_VALUE"""),142.0)</f>
        <v>142</v>
      </c>
      <c r="I270" s="94"/>
      <c r="J270" s="94"/>
      <c r="K270" s="94">
        <f>IFERROR(__xludf.DUMMYFUNCTION("""COMPUTED_VALUE"""),50.0)</f>
        <v>50</v>
      </c>
      <c r="L270" s="94">
        <f>IFERROR(__xludf.DUMMYFUNCTION("""COMPUTED_VALUE"""),45.0)</f>
        <v>45</v>
      </c>
      <c r="M270" s="94">
        <f>IFERROR(__xludf.DUMMYFUNCTION("""COMPUTED_VALUE"""),5.0)</f>
        <v>5</v>
      </c>
      <c r="N270" s="94"/>
      <c r="O270" s="1430">
        <f>IFERROR(__xludf.DUMMYFUNCTION("""COMPUTED_VALUE"""),5.0)</f>
        <v>5</v>
      </c>
      <c r="P270" s="1431">
        <f>IFERROR(__xludf.DUMMYFUNCTION("""COMPUTED_VALUE"""),2.78)</f>
        <v>2.78</v>
      </c>
      <c r="Q270" s="1432">
        <f>IFERROR(__xludf.DUMMYFUNCTION("""COMPUTED_VALUE"""),394.76)</f>
        <v>394.76</v>
      </c>
    </row>
    <row r="271" ht="15.75" customHeight="1">
      <c r="A271" s="94"/>
      <c r="B271" s="94" t="str">
        <f>IFERROR(__xludf.DUMMYFUNCTION("""COMPUTED_VALUE"""),"WS A 1312")</f>
        <v>WS A 1312</v>
      </c>
      <c r="C271" s="94"/>
      <c r="D271" s="1432">
        <f>IFERROR(__xludf.DUMMYFUNCTION("""COMPUTED_VALUE"""),5.0)</f>
        <v>5</v>
      </c>
      <c r="E271" s="1429">
        <f>IFERROR(__xludf.DUMMYFUNCTION("""COMPUTED_VALUE"""),45440.0)</f>
        <v>45440</v>
      </c>
      <c r="F271" s="1429">
        <f>IFERROR(__xludf.DUMMYFUNCTION("""COMPUTED_VALUE"""),45444.0)</f>
        <v>45444</v>
      </c>
      <c r="G271" s="1164">
        <f>IFERROR(__xludf.DUMMYFUNCTION("""COMPUTED_VALUE"""),4.0)</f>
        <v>4</v>
      </c>
      <c r="H271" s="1430">
        <f>IFERROR(__xludf.DUMMYFUNCTION("""COMPUTED_VALUE"""),98.0)</f>
        <v>98</v>
      </c>
      <c r="I271" s="94"/>
      <c r="J271" s="94"/>
      <c r="K271" s="94">
        <f>IFERROR(__xludf.DUMMYFUNCTION("""COMPUTED_VALUE"""),60.0)</f>
        <v>60</v>
      </c>
      <c r="L271" s="94">
        <f>IFERROR(__xludf.DUMMYFUNCTION("""COMPUTED_VALUE"""),50.0)</f>
        <v>50</v>
      </c>
      <c r="M271" s="94">
        <f>IFERROR(__xludf.DUMMYFUNCTION("""COMPUTED_VALUE"""),10.0)</f>
        <v>10</v>
      </c>
      <c r="N271" s="94"/>
      <c r="O271" s="1430">
        <f>IFERROR(__xludf.DUMMYFUNCTION("""COMPUTED_VALUE"""),10.0)</f>
        <v>10</v>
      </c>
      <c r="P271" s="1431">
        <f>IFERROR(__xludf.DUMMYFUNCTION("""COMPUTED_VALUE"""),2.78)</f>
        <v>2.78</v>
      </c>
      <c r="Q271" s="1432">
        <f>IFERROR(__xludf.DUMMYFUNCTION("""COMPUTED_VALUE"""),272.44)</f>
        <v>272.44</v>
      </c>
    </row>
    <row r="272" ht="15.75" customHeight="1">
      <c r="A272" s="94"/>
      <c r="B272" s="94" t="str">
        <f>IFERROR(__xludf.DUMMYFUNCTION("""COMPUTED_VALUE"""),"D 1321")</f>
        <v>D 1321</v>
      </c>
      <c r="C272" s="94"/>
      <c r="D272" s="1432">
        <f>IFERROR(__xludf.DUMMYFUNCTION("""COMPUTED_VALUE"""),5.0)</f>
        <v>5</v>
      </c>
      <c r="E272" s="1429">
        <f>IFERROR(__xludf.DUMMYFUNCTION("""COMPUTED_VALUE"""),45440.0)</f>
        <v>45440</v>
      </c>
      <c r="F272" s="1429">
        <f>IFERROR(__xludf.DUMMYFUNCTION("""COMPUTED_VALUE"""),45442.0)</f>
        <v>45442</v>
      </c>
      <c r="G272" s="1164">
        <f>IFERROR(__xludf.DUMMYFUNCTION("""COMPUTED_VALUE"""),2.0)</f>
        <v>2</v>
      </c>
      <c r="H272" s="1430">
        <f>IFERROR(__xludf.DUMMYFUNCTION("""COMPUTED_VALUE"""),63.0)</f>
        <v>63</v>
      </c>
      <c r="I272" s="94"/>
      <c r="J272" s="94"/>
      <c r="K272" s="94">
        <f>IFERROR(__xludf.DUMMYFUNCTION("""COMPUTED_VALUE"""),50.0)</f>
        <v>50</v>
      </c>
      <c r="L272" s="94">
        <f>IFERROR(__xludf.DUMMYFUNCTION("""COMPUTED_VALUE"""),45.0)</f>
        <v>45</v>
      </c>
      <c r="M272" s="94">
        <f>IFERROR(__xludf.DUMMYFUNCTION("""COMPUTED_VALUE"""),5.0)</f>
        <v>5</v>
      </c>
      <c r="N272" s="94"/>
      <c r="O272" s="1430">
        <f>IFERROR(__xludf.DUMMYFUNCTION("""COMPUTED_VALUE"""),5.0)</f>
        <v>5</v>
      </c>
      <c r="P272" s="1431">
        <f>IFERROR(__xludf.DUMMYFUNCTION("""COMPUTED_VALUE"""),2.78)</f>
        <v>2.78</v>
      </c>
      <c r="Q272" s="1432">
        <f>IFERROR(__xludf.DUMMYFUNCTION("""COMPUTED_VALUE"""),175.14)</f>
        <v>175.14</v>
      </c>
    </row>
    <row r="273" ht="15.75" customHeight="1">
      <c r="A273" s="94"/>
      <c r="B273" s="94" t="str">
        <f>IFERROR(__xludf.DUMMYFUNCTION("""COMPUTED_VALUE"""),"С 1443")</f>
        <v>С 1443</v>
      </c>
      <c r="C273" s="94"/>
      <c r="D273" s="1432">
        <f>IFERROR(__xludf.DUMMYFUNCTION("""COMPUTED_VALUE"""),5.0)</f>
        <v>5</v>
      </c>
      <c r="E273" s="1429">
        <f>IFERROR(__xludf.DUMMYFUNCTION("""COMPUTED_VALUE"""),45442.0)</f>
        <v>45442</v>
      </c>
      <c r="F273" s="1429">
        <f>IFERROR(__xludf.DUMMYFUNCTION("""COMPUTED_VALUE"""),45445.0)</f>
        <v>45445</v>
      </c>
      <c r="G273" s="1164">
        <f>IFERROR(__xludf.DUMMYFUNCTION("""COMPUTED_VALUE"""),3.0)</f>
        <v>3</v>
      </c>
      <c r="H273" s="1430">
        <f>IFERROR(__xludf.DUMMYFUNCTION("""COMPUTED_VALUE"""),82.0)</f>
        <v>82</v>
      </c>
      <c r="I273" s="94"/>
      <c r="J273" s="94"/>
      <c r="K273" s="94">
        <f>IFERROR(__xludf.DUMMYFUNCTION("""COMPUTED_VALUE"""),70.0)</f>
        <v>70</v>
      </c>
      <c r="L273" s="94">
        <f>IFERROR(__xludf.DUMMYFUNCTION("""COMPUTED_VALUE"""),55.0)</f>
        <v>55</v>
      </c>
      <c r="M273" s="94">
        <f>IFERROR(__xludf.DUMMYFUNCTION("""COMPUTED_VALUE"""),15.0)</f>
        <v>15</v>
      </c>
      <c r="N273" s="94"/>
      <c r="O273" s="1430">
        <f>IFERROR(__xludf.DUMMYFUNCTION("""COMPUTED_VALUE"""),15.0)</f>
        <v>15</v>
      </c>
      <c r="P273" s="1431">
        <f>IFERROR(__xludf.DUMMYFUNCTION("""COMPUTED_VALUE"""),2.78)</f>
        <v>2.78</v>
      </c>
      <c r="Q273" s="1432">
        <f>IFERROR(__xludf.DUMMYFUNCTION("""COMPUTED_VALUE"""),227.95999999999998)</f>
        <v>227.96</v>
      </c>
    </row>
    <row r="274" ht="15.75" customHeight="1">
      <c r="A274" s="94"/>
      <c r="B274" s="94" t="str">
        <f>IFERROR(__xludf.DUMMYFUNCTION("""COMPUTED_VALUE"""),"C 4245")</f>
        <v>C 4245</v>
      </c>
      <c r="C274" s="94"/>
      <c r="D274" s="1432">
        <f>IFERROR(__xludf.DUMMYFUNCTION("""COMPUTED_VALUE"""),5.0)</f>
        <v>5</v>
      </c>
      <c r="E274" s="1429">
        <f>IFERROR(__xludf.DUMMYFUNCTION("""COMPUTED_VALUE"""),45442.0)</f>
        <v>45442</v>
      </c>
      <c r="F274" s="1434">
        <f>IFERROR(__xludf.DUMMYFUNCTION("""COMPUTED_VALUE"""),45444.0)</f>
        <v>45444</v>
      </c>
      <c r="G274" s="1164">
        <f>IFERROR(__xludf.DUMMYFUNCTION("""COMPUTED_VALUE"""),2.0)</f>
        <v>2</v>
      </c>
      <c r="H274" s="1430">
        <f>IFERROR(__xludf.DUMMYFUNCTION("""COMPUTED_VALUE"""),77.0)</f>
        <v>77</v>
      </c>
      <c r="I274" s="94"/>
      <c r="J274" s="94"/>
      <c r="K274" s="94">
        <f>IFERROR(__xludf.DUMMYFUNCTION("""COMPUTED_VALUE"""),70.0)</f>
        <v>70</v>
      </c>
      <c r="L274" s="94">
        <f>IFERROR(__xludf.DUMMYFUNCTION("""COMPUTED_VALUE"""),55.0)</f>
        <v>55</v>
      </c>
      <c r="M274" s="94">
        <f>IFERROR(__xludf.DUMMYFUNCTION("""COMPUTED_VALUE"""),15.0)</f>
        <v>15</v>
      </c>
      <c r="N274" s="94"/>
      <c r="O274" s="1430">
        <f>IFERROR(__xludf.DUMMYFUNCTION("""COMPUTED_VALUE"""),15.0)</f>
        <v>15</v>
      </c>
      <c r="P274" s="1431">
        <f>IFERROR(__xludf.DUMMYFUNCTION("""COMPUTED_VALUE"""),2.78)</f>
        <v>2.78</v>
      </c>
      <c r="Q274" s="1432">
        <f>IFERROR(__xludf.DUMMYFUNCTION("""COMPUTED_VALUE"""),214.05999999999997)</f>
        <v>214.06</v>
      </c>
    </row>
    <row r="275" ht="15.75" customHeight="1">
      <c r="A275" s="94"/>
      <c r="B275" s="94" t="str">
        <f>IFERROR(__xludf.DUMMYFUNCTION("""COMPUTED_VALUE"""),"WS  B 405")</f>
        <v>WS  B 405</v>
      </c>
      <c r="C275" s="94"/>
      <c r="D275" s="1432">
        <f>IFERROR(__xludf.DUMMYFUNCTION("""COMPUTED_VALUE"""),5.0)</f>
        <v>5</v>
      </c>
      <c r="E275" s="1429">
        <f>IFERROR(__xludf.DUMMYFUNCTION("""COMPUTED_VALUE"""),45442.0)</f>
        <v>45442</v>
      </c>
      <c r="F275" s="1434">
        <f>IFERROR(__xludf.DUMMYFUNCTION("""COMPUTED_VALUE"""),45447.0)</f>
        <v>45447</v>
      </c>
      <c r="G275" s="1164">
        <f>IFERROR(__xludf.DUMMYFUNCTION("""COMPUTED_VALUE"""),5.0)</f>
        <v>5</v>
      </c>
      <c r="H275" s="1430">
        <f>IFERROR(__xludf.DUMMYFUNCTION("""COMPUTED_VALUE"""),131.0)</f>
        <v>131</v>
      </c>
      <c r="I275" s="94"/>
      <c r="J275" s="94"/>
      <c r="K275" s="94">
        <f>IFERROR(__xludf.DUMMYFUNCTION("""COMPUTED_VALUE"""),60.0)</f>
        <v>60</v>
      </c>
      <c r="L275" s="94">
        <f>IFERROR(__xludf.DUMMYFUNCTION("""COMPUTED_VALUE"""),50.0)</f>
        <v>50</v>
      </c>
      <c r="M275" s="94">
        <f>IFERROR(__xludf.DUMMYFUNCTION("""COMPUTED_VALUE"""),10.0)</f>
        <v>10</v>
      </c>
      <c r="N275" s="94"/>
      <c r="O275" s="1430">
        <f>IFERROR(__xludf.DUMMYFUNCTION("""COMPUTED_VALUE"""),10.0)</f>
        <v>10</v>
      </c>
      <c r="P275" s="1431">
        <f>IFERROR(__xludf.DUMMYFUNCTION("""COMPUTED_VALUE"""),2.78)</f>
        <v>2.78</v>
      </c>
      <c r="Q275" s="1432">
        <f>IFERROR(__xludf.DUMMYFUNCTION("""COMPUTED_VALUE"""),364.17999999999995)</f>
        <v>364.18</v>
      </c>
    </row>
    <row r="276" ht="15.75" customHeight="1">
      <c r="A276" s="94"/>
      <c r="B276" s="94" t="str">
        <f>IFERROR(__xludf.DUMMYFUNCTION("""COMPUTED_VALUE"""),"Шар 2505")</f>
        <v>Шар 2505</v>
      </c>
      <c r="C276" s="94"/>
      <c r="D276" s="1432">
        <f>IFERROR(__xludf.DUMMYFUNCTION("""COMPUTED_VALUE"""),5.0)</f>
        <v>5</v>
      </c>
      <c r="E276" s="1429">
        <f>IFERROR(__xludf.DUMMYFUNCTION("""COMPUTED_VALUE"""),45442.0)</f>
        <v>45442</v>
      </c>
      <c r="F276" s="1429">
        <f>IFERROR(__xludf.DUMMYFUNCTION("""COMPUTED_VALUE"""),45446.0)</f>
        <v>45446</v>
      </c>
      <c r="G276" s="1164">
        <f>IFERROR(__xludf.DUMMYFUNCTION("""COMPUTED_VALUE"""),4.0)</f>
        <v>4</v>
      </c>
      <c r="H276" s="1430">
        <f>IFERROR(__xludf.DUMMYFUNCTION("""COMPUTED_VALUE"""),117.0)</f>
        <v>117</v>
      </c>
      <c r="I276" s="94"/>
      <c r="J276" s="94"/>
      <c r="K276" s="94">
        <f>IFERROR(__xludf.DUMMYFUNCTION("""COMPUTED_VALUE"""),60.0)</f>
        <v>60</v>
      </c>
      <c r="L276" s="94">
        <f>IFERROR(__xludf.DUMMYFUNCTION("""COMPUTED_VALUE"""),50.0)</f>
        <v>50</v>
      </c>
      <c r="M276" s="94">
        <f>IFERROR(__xludf.DUMMYFUNCTION("""COMPUTED_VALUE"""),10.0)</f>
        <v>10</v>
      </c>
      <c r="N276" s="94"/>
      <c r="O276" s="1430">
        <f>IFERROR(__xludf.DUMMYFUNCTION("""COMPUTED_VALUE"""),10.0)</f>
        <v>10</v>
      </c>
      <c r="P276" s="1431">
        <f>IFERROR(__xludf.DUMMYFUNCTION("""COMPUTED_VALUE"""),2.78)</f>
        <v>2.78</v>
      </c>
      <c r="Q276" s="1432">
        <f>IFERROR(__xludf.DUMMYFUNCTION("""COMPUTED_VALUE"""),325.26)</f>
        <v>325.26</v>
      </c>
    </row>
    <row r="277" ht="15.75" customHeight="1">
      <c r="A277" s="94"/>
      <c r="B277" s="94" t="str">
        <f>IFERROR(__xludf.DUMMYFUNCTION("""COMPUTED_VALUE"""),"CM 1931")</f>
        <v>CM 1931</v>
      </c>
      <c r="C277" s="94"/>
      <c r="D277" s="1432">
        <f>IFERROR(__xludf.DUMMYFUNCTION("""COMPUTED_VALUE"""),5.0)</f>
        <v>5</v>
      </c>
      <c r="E277" s="1429">
        <f>IFERROR(__xludf.DUMMYFUNCTION("""COMPUTED_VALUE"""),45443.0)</f>
        <v>45443</v>
      </c>
      <c r="F277" s="1434">
        <f>IFERROR(__xludf.DUMMYFUNCTION("""COMPUTED_VALUE"""),45449.0)</f>
        <v>45449</v>
      </c>
      <c r="G277" s="1164">
        <f>IFERROR(__xludf.DUMMYFUNCTION("""COMPUTED_VALUE"""),6.0)</f>
        <v>6</v>
      </c>
      <c r="H277" s="1430">
        <f>IFERROR(__xludf.DUMMYFUNCTION("""COMPUTED_VALUE"""),210.0)</f>
        <v>210</v>
      </c>
      <c r="I277" s="94"/>
      <c r="J277" s="94"/>
      <c r="K277" s="94">
        <f>IFERROR(__xludf.DUMMYFUNCTION("""COMPUTED_VALUE"""),60.0)</f>
        <v>60</v>
      </c>
      <c r="L277" s="94">
        <f>IFERROR(__xludf.DUMMYFUNCTION("""COMPUTED_VALUE"""),50.0)</f>
        <v>50</v>
      </c>
      <c r="M277" s="94">
        <f>IFERROR(__xludf.DUMMYFUNCTION("""COMPUTED_VALUE"""),10.0)</f>
        <v>10</v>
      </c>
      <c r="N277" s="94"/>
      <c r="O277" s="1430">
        <f>IFERROR(__xludf.DUMMYFUNCTION("""COMPUTED_VALUE"""),10.0)</f>
        <v>10</v>
      </c>
      <c r="P277" s="1431">
        <f>IFERROR(__xludf.DUMMYFUNCTION("""COMPUTED_VALUE"""),2.78)</f>
        <v>2.78</v>
      </c>
      <c r="Q277" s="1432">
        <f>IFERROR(__xludf.DUMMYFUNCTION("""COMPUTED_VALUE"""),583.8)</f>
        <v>583.8</v>
      </c>
    </row>
    <row r="278" ht="15.75" customHeight="1">
      <c r="A278" s="94"/>
      <c r="B278" s="94" t="str">
        <f>IFERROR(__xludf.DUMMYFUNCTION("""COMPUTED_VALUE"""),"WS E1405")</f>
        <v>WS E1405</v>
      </c>
      <c r="C278" s="94"/>
      <c r="D278" s="1432">
        <f>IFERROR(__xludf.DUMMYFUNCTION("""COMPUTED_VALUE"""),5.0)</f>
        <v>5</v>
      </c>
      <c r="E278" s="1429">
        <f>IFERROR(__xludf.DUMMYFUNCTION("""COMPUTED_VALUE"""),45443.0)</f>
        <v>45443</v>
      </c>
      <c r="F278" s="1429">
        <f>IFERROR(__xludf.DUMMYFUNCTION("""COMPUTED_VALUE"""),45446.0)</f>
        <v>45446</v>
      </c>
      <c r="G278" s="1164">
        <f>IFERROR(__xludf.DUMMYFUNCTION("""COMPUTED_VALUE"""),3.0)</f>
        <v>3</v>
      </c>
      <c r="H278" s="1430">
        <f>IFERROR(__xludf.DUMMYFUNCTION("""COMPUTED_VALUE"""),80.0)</f>
        <v>80</v>
      </c>
      <c r="I278" s="94"/>
      <c r="J278" s="94"/>
      <c r="K278" s="94">
        <f>IFERROR(__xludf.DUMMYFUNCTION("""COMPUTED_VALUE"""),60.0)</f>
        <v>60</v>
      </c>
      <c r="L278" s="94">
        <f>IFERROR(__xludf.DUMMYFUNCTION("""COMPUTED_VALUE"""),50.0)</f>
        <v>50</v>
      </c>
      <c r="M278" s="94">
        <f>IFERROR(__xludf.DUMMYFUNCTION("""COMPUTED_VALUE"""),10.0)</f>
        <v>10</v>
      </c>
      <c r="N278" s="94"/>
      <c r="O278" s="1430">
        <f>IFERROR(__xludf.DUMMYFUNCTION("""COMPUTED_VALUE"""),10.0)</f>
        <v>10</v>
      </c>
      <c r="P278" s="1431">
        <f>IFERROR(__xludf.DUMMYFUNCTION("""COMPUTED_VALUE"""),2.78)</f>
        <v>2.78</v>
      </c>
      <c r="Q278" s="1432">
        <f>IFERROR(__xludf.DUMMYFUNCTION("""COMPUTED_VALUE"""),222.39999999999998)</f>
        <v>222.4</v>
      </c>
    </row>
    <row r="279" ht="15.75" customHeight="1">
      <c r="A279" s="94"/>
      <c r="B279" s="94" t="str">
        <f>IFERROR(__xludf.DUMMYFUNCTION("""COMPUTED_VALUE"""),"С 1125")</f>
        <v>С 1125</v>
      </c>
      <c r="C279" s="94"/>
      <c r="D279" s="1432">
        <f>IFERROR(__xludf.DUMMYFUNCTION("""COMPUTED_VALUE"""),5.0)</f>
        <v>5</v>
      </c>
      <c r="E279" s="1429">
        <f>IFERROR(__xludf.DUMMYFUNCTION("""COMPUTED_VALUE"""),45443.0)</f>
        <v>45443</v>
      </c>
      <c r="F279" s="1434">
        <f>IFERROR(__xludf.DUMMYFUNCTION("""COMPUTED_VALUE"""),45445.0)</f>
        <v>45445</v>
      </c>
      <c r="G279" s="1164">
        <f>IFERROR(__xludf.DUMMYFUNCTION("""COMPUTED_VALUE"""),2.0)</f>
        <v>2</v>
      </c>
      <c r="H279" s="1430">
        <f>IFERROR(__xludf.DUMMYFUNCTION("""COMPUTED_VALUE"""),55.0)</f>
        <v>55</v>
      </c>
      <c r="I279" s="94"/>
      <c r="J279" s="94"/>
      <c r="K279" s="94">
        <f>IFERROR(__xludf.DUMMYFUNCTION("""COMPUTED_VALUE"""),50.0)</f>
        <v>50</v>
      </c>
      <c r="L279" s="94">
        <f>IFERROR(__xludf.DUMMYFUNCTION("""COMPUTED_VALUE"""),45.0)</f>
        <v>45</v>
      </c>
      <c r="M279" s="94">
        <f>IFERROR(__xludf.DUMMYFUNCTION("""COMPUTED_VALUE"""),5.0)</f>
        <v>5</v>
      </c>
      <c r="N279" s="94"/>
      <c r="O279" s="1430">
        <f>IFERROR(__xludf.DUMMYFUNCTION("""COMPUTED_VALUE"""),5.0)</f>
        <v>5</v>
      </c>
      <c r="P279" s="1431">
        <f>IFERROR(__xludf.DUMMYFUNCTION("""COMPUTED_VALUE"""),2.78)</f>
        <v>2.78</v>
      </c>
      <c r="Q279" s="1432">
        <f>IFERROR(__xludf.DUMMYFUNCTION("""COMPUTED_VALUE"""),152.89999999999998)</f>
        <v>152.9</v>
      </c>
    </row>
    <row r="280" ht="15.75" customHeight="1">
      <c r="A280" s="94"/>
      <c r="B280" s="94" t="str">
        <f>IFERROR(__xludf.DUMMYFUNCTION("""COMPUTED_VALUE"""),"CM 1604")</f>
        <v>CM 1604</v>
      </c>
      <c r="C280" s="94"/>
      <c r="D280" s="1432">
        <f>IFERROR(__xludf.DUMMYFUNCTION("""COMPUTED_VALUE"""),4.0)</f>
        <v>4</v>
      </c>
      <c r="E280" s="1429">
        <f>IFERROR(__xludf.DUMMYFUNCTION("""COMPUTED_VALUE"""),45411.0)</f>
        <v>45411</v>
      </c>
      <c r="F280" s="1429">
        <f>IFERROR(__xludf.DUMMYFUNCTION("""COMPUTED_VALUE"""),45415.0)</f>
        <v>45415</v>
      </c>
      <c r="G280" s="1164">
        <f>IFERROR(__xludf.DUMMYFUNCTION("""COMPUTED_VALUE"""),4.0)</f>
        <v>4</v>
      </c>
      <c r="H280" s="1430">
        <f>IFERROR(__xludf.DUMMYFUNCTION("""COMPUTED_VALUE"""),114.0)</f>
        <v>114</v>
      </c>
      <c r="I280" s="94"/>
      <c r="J280" s="94"/>
      <c r="K280" s="94">
        <f>IFERROR(__xludf.DUMMYFUNCTION("""COMPUTED_VALUE"""),60.0)</f>
        <v>60</v>
      </c>
      <c r="L280" s="94">
        <f>IFERROR(__xludf.DUMMYFUNCTION("""COMPUTED_VALUE"""),50.0)</f>
        <v>50</v>
      </c>
      <c r="M280" s="94">
        <f>IFERROR(__xludf.DUMMYFUNCTION("""COMPUTED_VALUE"""),10.0)</f>
        <v>10</v>
      </c>
      <c r="N280" s="94"/>
      <c r="O280" s="1430">
        <f>IFERROR(__xludf.DUMMYFUNCTION("""COMPUTED_VALUE"""),109.0)</f>
        <v>109</v>
      </c>
      <c r="P280" s="1431">
        <f>IFERROR(__xludf.DUMMYFUNCTION("""COMPUTED_VALUE"""),2.65)</f>
        <v>2.65</v>
      </c>
      <c r="Q280" s="1432">
        <f>IFERROR(__xludf.DUMMYFUNCTION("""COMPUTED_VALUE"""),302.09999999999997)</f>
        <v>302.1</v>
      </c>
    </row>
    <row r="281" ht="15.75" customHeight="1">
      <c r="A281" s="94"/>
      <c r="B281" s="94" t="str">
        <f>IFERROR(__xludf.DUMMYFUNCTION("""COMPUTED_VALUE"""),"WS E 1202")</f>
        <v>WS E 1202</v>
      </c>
      <c r="C281" s="94"/>
      <c r="D281" s="1432">
        <f>IFERROR(__xludf.DUMMYFUNCTION("""COMPUTED_VALUE"""),5.0)</f>
        <v>5</v>
      </c>
      <c r="E281" s="1429">
        <f>IFERROR(__xludf.DUMMYFUNCTION("""COMPUTED_VALUE"""),45443.0)</f>
        <v>45443</v>
      </c>
      <c r="F281" s="1434">
        <f>IFERROR(__xludf.DUMMYFUNCTION("""COMPUTED_VALUE"""),45445.0)</f>
        <v>45445</v>
      </c>
      <c r="G281" s="1164">
        <f>IFERROR(__xludf.DUMMYFUNCTION("""COMPUTED_VALUE"""),2.0)</f>
        <v>2</v>
      </c>
      <c r="H281" s="1430">
        <f>IFERROR(__xludf.DUMMYFUNCTION("""COMPUTED_VALUE"""),118.0)</f>
        <v>118</v>
      </c>
      <c r="I281" s="94"/>
      <c r="J281" s="94"/>
      <c r="K281" s="94">
        <f>IFERROR(__xludf.DUMMYFUNCTION("""COMPUTED_VALUE"""),70.0)</f>
        <v>70</v>
      </c>
      <c r="L281" s="94">
        <f>IFERROR(__xludf.DUMMYFUNCTION("""COMPUTED_VALUE"""),50.0)</f>
        <v>50</v>
      </c>
      <c r="M281" s="94">
        <f>IFERROR(__xludf.DUMMYFUNCTION("""COMPUTED_VALUE"""),20.0)</f>
        <v>20</v>
      </c>
      <c r="N281" s="94"/>
      <c r="O281" s="1430">
        <f>IFERROR(__xludf.DUMMYFUNCTION("""COMPUTED_VALUE"""),20.0)</f>
        <v>20</v>
      </c>
      <c r="P281" s="1431">
        <f>IFERROR(__xludf.DUMMYFUNCTION("""COMPUTED_VALUE"""),2.78)</f>
        <v>2.78</v>
      </c>
      <c r="Q281" s="1432">
        <f>IFERROR(__xludf.DUMMYFUNCTION("""COMPUTED_VALUE"""),328.03999999999996)</f>
        <v>328.04</v>
      </c>
    </row>
    <row r="282" ht="15.75" customHeight="1">
      <c r="A282" s="94"/>
      <c r="B282" s="94" t="str">
        <f>IFERROR(__xludf.DUMMYFUNCTION("""COMPUTED_VALUE"""),"WS A 1312")</f>
        <v>WS A 1312</v>
      </c>
      <c r="C282" s="1429" t="str">
        <f>IFERROR(__xludf.DUMMYFUNCTION("""COMPUTED_VALUE"""),"WS")</f>
        <v>WS</v>
      </c>
      <c r="D282" s="1432">
        <f>IFERROR(__xludf.DUMMYFUNCTION("""COMPUTED_VALUE"""),6.0)</f>
        <v>6</v>
      </c>
      <c r="E282" s="1429">
        <f>IFERROR(__xludf.DUMMYFUNCTION("""COMPUTED_VALUE"""),45444.0)</f>
        <v>45444</v>
      </c>
      <c r="F282" s="1429">
        <f>IFERROR(__xludf.DUMMYFUNCTION("""COMPUTED_VALUE"""),45448.0)</f>
        <v>45448</v>
      </c>
      <c r="G282" s="1164">
        <f>IFERROR(__xludf.DUMMYFUNCTION("""COMPUTED_VALUE"""),4.0)</f>
        <v>4</v>
      </c>
      <c r="H282" s="1430">
        <f>IFERROR(__xludf.DUMMYFUNCTION("""COMPUTED_VALUE"""),104.0)</f>
        <v>104</v>
      </c>
      <c r="I282" s="94"/>
      <c r="J282" s="94"/>
      <c r="K282" s="94">
        <f>IFERROR(__xludf.DUMMYFUNCTION("""COMPUTED_VALUE"""),60.0)</f>
        <v>60</v>
      </c>
      <c r="L282" s="94">
        <f>IFERROR(__xludf.DUMMYFUNCTION("""COMPUTED_VALUE"""),50.0)</f>
        <v>50</v>
      </c>
      <c r="M282" s="94">
        <f>IFERROR(__xludf.DUMMYFUNCTION("""COMPUTED_VALUE"""),10.0)</f>
        <v>10</v>
      </c>
      <c r="N282" s="94"/>
      <c r="O282" s="1430">
        <f>IFERROR(__xludf.DUMMYFUNCTION("""COMPUTED_VALUE"""),10.0)</f>
        <v>10</v>
      </c>
      <c r="P282" s="1431">
        <f>IFERROR(__xludf.DUMMYFUNCTION("""COMPUTED_VALUE"""),2.78)</f>
        <v>2.78</v>
      </c>
      <c r="Q282" s="1432">
        <f>IFERROR(__xludf.DUMMYFUNCTION("""COMPUTED_VALUE"""),289.12)</f>
        <v>289.12</v>
      </c>
    </row>
    <row r="283" ht="15.75" customHeight="1">
      <c r="A283" s="94"/>
      <c r="B283" s="94" t="str">
        <f>IFERROR(__xludf.DUMMYFUNCTION("""COMPUTED_VALUE"""),"D 1321")</f>
        <v>D 1321</v>
      </c>
      <c r="C283" s="1429" t="str">
        <f>IFERROR(__xludf.DUMMYFUNCTION("""COMPUTED_VALUE"""),"ORBI")</f>
        <v>ORBI</v>
      </c>
      <c r="D283" s="1432">
        <f>IFERROR(__xludf.DUMMYFUNCTION("""COMPUTED_VALUE"""),6.0)</f>
        <v>6</v>
      </c>
      <c r="E283" s="1429">
        <f>IFERROR(__xludf.DUMMYFUNCTION("""COMPUTED_VALUE"""),45444.0)</f>
        <v>45444</v>
      </c>
      <c r="F283" s="1429">
        <f>IFERROR(__xludf.DUMMYFUNCTION("""COMPUTED_VALUE"""),45447.0)</f>
        <v>45447</v>
      </c>
      <c r="G283" s="1164">
        <f>IFERROR(__xludf.DUMMYFUNCTION("""COMPUTED_VALUE"""),3.0)</f>
        <v>3</v>
      </c>
      <c r="H283" s="1430">
        <f>IFERROR(__xludf.DUMMYFUNCTION("""COMPUTED_VALUE"""),95.0)</f>
        <v>95</v>
      </c>
      <c r="I283" s="94"/>
      <c r="J283" s="94"/>
      <c r="K283" s="94">
        <f>IFERROR(__xludf.DUMMYFUNCTION("""COMPUTED_VALUE"""),60.0)</f>
        <v>60</v>
      </c>
      <c r="L283" s="94">
        <f>IFERROR(__xludf.DUMMYFUNCTION("""COMPUTED_VALUE"""),45.0)</f>
        <v>45</v>
      </c>
      <c r="M283" s="94">
        <f>IFERROR(__xludf.DUMMYFUNCTION("""COMPUTED_VALUE"""),15.0)</f>
        <v>15</v>
      </c>
      <c r="N283" s="94"/>
      <c r="O283" s="1430">
        <f>IFERROR(__xludf.DUMMYFUNCTION("""COMPUTED_VALUE"""),15.0)</f>
        <v>15</v>
      </c>
      <c r="P283" s="1431">
        <f>IFERROR(__xludf.DUMMYFUNCTION("""COMPUTED_VALUE"""),2.78)</f>
        <v>2.78</v>
      </c>
      <c r="Q283" s="1432">
        <f>IFERROR(__xludf.DUMMYFUNCTION("""COMPUTED_VALUE"""),264.09999999999997)</f>
        <v>264.1</v>
      </c>
    </row>
    <row r="284" ht="15.75" customHeight="1">
      <c r="A284" s="94"/>
      <c r="B284" s="94" t="str">
        <f>IFERROR(__xludf.DUMMYFUNCTION("""COMPUTED_VALUE"""),"WS F 907")</f>
        <v>WS F 907</v>
      </c>
      <c r="C284" s="1429" t="str">
        <f>IFERROR(__xludf.DUMMYFUNCTION("""COMPUTED_VALUE"""),"WS")</f>
        <v>WS</v>
      </c>
      <c r="D284" s="1432">
        <f>IFERROR(__xludf.DUMMYFUNCTION("""COMPUTED_VALUE"""),6.0)</f>
        <v>6</v>
      </c>
      <c r="E284" s="1429">
        <f>IFERROR(__xludf.DUMMYFUNCTION("""COMPUTED_VALUE"""),45444.0)</f>
        <v>45444</v>
      </c>
      <c r="F284" s="1429">
        <f>IFERROR(__xludf.DUMMYFUNCTION("""COMPUTED_VALUE"""),45450.0)</f>
        <v>45450</v>
      </c>
      <c r="G284" s="1164">
        <f>IFERROR(__xludf.DUMMYFUNCTION("""COMPUTED_VALUE"""),6.0)</f>
        <v>6</v>
      </c>
      <c r="H284" s="1430">
        <f>IFERROR(__xludf.DUMMYFUNCTION("""COMPUTED_VALUE"""),145.0)</f>
        <v>145</v>
      </c>
      <c r="I284" s="94"/>
      <c r="J284" s="94"/>
      <c r="K284" s="94">
        <f>IFERROR(__xludf.DUMMYFUNCTION("""COMPUTED_VALUE"""),60.0)</f>
        <v>60</v>
      </c>
      <c r="L284" s="94">
        <f>IFERROR(__xludf.DUMMYFUNCTION("""COMPUTED_VALUE"""),50.0)</f>
        <v>50</v>
      </c>
      <c r="M284" s="94">
        <f>IFERROR(__xludf.DUMMYFUNCTION("""COMPUTED_VALUE"""),10.0)</f>
        <v>10</v>
      </c>
      <c r="N284" s="94"/>
      <c r="O284" s="1430">
        <f>IFERROR(__xludf.DUMMYFUNCTION("""COMPUTED_VALUE"""),10.0)</f>
        <v>10</v>
      </c>
      <c r="P284" s="1431">
        <f>IFERROR(__xludf.DUMMYFUNCTION("""COMPUTED_VALUE"""),2.78)</f>
        <v>2.78</v>
      </c>
      <c r="Q284" s="1432">
        <f>IFERROR(__xludf.DUMMYFUNCTION("""COMPUTED_VALUE"""),403.09999999999997)</f>
        <v>403.1</v>
      </c>
    </row>
    <row r="285" ht="15.75" customHeight="1">
      <c r="A285" s="94"/>
      <c r="B285" s="94" t="str">
        <f>IFERROR(__xludf.DUMMYFUNCTION("""COMPUTED_VALUE"""),"WS A 409")</f>
        <v>WS A 409</v>
      </c>
      <c r="C285" s="1429" t="str">
        <f>IFERROR(__xludf.DUMMYFUNCTION("""COMPUTED_VALUE"""),"WS")</f>
        <v>WS</v>
      </c>
      <c r="D285" s="1432">
        <f>IFERROR(__xludf.DUMMYFUNCTION("""COMPUTED_VALUE"""),6.0)</f>
        <v>6</v>
      </c>
      <c r="E285" s="1429">
        <f>IFERROR(__xludf.DUMMYFUNCTION("""COMPUTED_VALUE"""),45445.0)</f>
        <v>45445</v>
      </c>
      <c r="F285" s="1429">
        <f>IFERROR(__xludf.DUMMYFUNCTION("""COMPUTED_VALUE"""),45448.0)</f>
        <v>45448</v>
      </c>
      <c r="G285" s="1164">
        <f>IFERROR(__xludf.DUMMYFUNCTION("""COMPUTED_VALUE"""),3.0)</f>
        <v>3</v>
      </c>
      <c r="H285" s="1430">
        <f>IFERROR(__xludf.DUMMYFUNCTION("""COMPUTED_VALUE"""),114.0)</f>
        <v>114</v>
      </c>
      <c r="I285" s="94"/>
      <c r="J285" s="94"/>
      <c r="K285" s="94">
        <f>IFERROR(__xludf.DUMMYFUNCTION("""COMPUTED_VALUE"""),60.0)</f>
        <v>60</v>
      </c>
      <c r="L285" s="94">
        <f>IFERROR(__xludf.DUMMYFUNCTION("""COMPUTED_VALUE"""),50.0)</f>
        <v>50</v>
      </c>
      <c r="M285" s="94">
        <f>IFERROR(__xludf.DUMMYFUNCTION("""COMPUTED_VALUE"""),10.0)</f>
        <v>10</v>
      </c>
      <c r="N285" s="94"/>
      <c r="O285" s="1430">
        <f>IFERROR(__xludf.DUMMYFUNCTION("""COMPUTED_VALUE"""),10.0)</f>
        <v>10</v>
      </c>
      <c r="P285" s="1431">
        <f>IFERROR(__xludf.DUMMYFUNCTION("""COMPUTED_VALUE"""),2.78)</f>
        <v>2.78</v>
      </c>
      <c r="Q285" s="1432">
        <f>IFERROR(__xludf.DUMMYFUNCTION("""COMPUTED_VALUE"""),316.91999999999996)</f>
        <v>316.92</v>
      </c>
    </row>
    <row r="286" ht="15.75" customHeight="1">
      <c r="A286" s="94" t="str">
        <f>IFERROR(__xludf.DUMMYFUNCTION("""COMPUTED_VALUE"""),"Итого неделя")</f>
        <v>Итого неделя</v>
      </c>
      <c r="B286" s="94" t="str">
        <f>IFERROR(__xludf.DUMMYFUNCTION("""COMPUTED_VALUE"""),"22 неделя")</f>
        <v>22 неделя</v>
      </c>
      <c r="C286" s="94">
        <f>IFERROR(__xludf.DUMMYFUNCTION("""COMPUTED_VALUE"""),0.0)</f>
        <v>0</v>
      </c>
      <c r="D286" s="94"/>
      <c r="E286" s="94"/>
      <c r="F286" s="94"/>
      <c r="G286" s="1164">
        <f>IFERROR(__xludf.DUMMYFUNCTION("""COMPUTED_VALUE"""),76.0)</f>
        <v>76</v>
      </c>
      <c r="H286" s="1430">
        <f>IFERROR(__xludf.DUMMYFUNCTION("""COMPUTED_VALUE"""),2737.0)</f>
        <v>2737</v>
      </c>
      <c r="I286" s="94">
        <f>IFERROR(__xludf.DUMMYFUNCTION("""COMPUTED_VALUE"""),0.0)</f>
        <v>0</v>
      </c>
      <c r="J286" s="94">
        <f>IFERROR(__xludf.DUMMYFUNCTION("""COMPUTED_VALUE"""),0.0)</f>
        <v>0</v>
      </c>
      <c r="K286" s="94">
        <f>IFERROR(__xludf.DUMMYFUNCTION("""COMPUTED_VALUE"""),1210.0)</f>
        <v>1210</v>
      </c>
      <c r="L286" s="94">
        <f>IFERROR(__xludf.DUMMYFUNCTION("""COMPUTED_VALUE"""),990.0)</f>
        <v>990</v>
      </c>
      <c r="M286" s="94">
        <f>IFERROR(__xludf.DUMMYFUNCTION("""COMPUTED_VALUE"""),220.0)</f>
        <v>220</v>
      </c>
      <c r="N286" s="94">
        <f>IFERROR(__xludf.DUMMYFUNCTION("""COMPUTED_VALUE"""),0.0)</f>
        <v>0</v>
      </c>
      <c r="O286" s="1430">
        <f>IFERROR(__xludf.DUMMYFUNCTION("""COMPUTED_VALUE"""),319.0)</f>
        <v>319</v>
      </c>
      <c r="P286" s="1431">
        <f>IFERROR(__xludf.DUMMYFUNCTION("""COMPUTED_VALUE"""),55.47000000000001)</f>
        <v>55.47</v>
      </c>
      <c r="Q286" s="1432">
        <f>IFERROR(__xludf.DUMMYFUNCTION("""COMPUTED_VALUE"""),7594.04)</f>
        <v>7594.04</v>
      </c>
    </row>
    <row r="287" ht="15.75" customHeight="1">
      <c r="A287" s="94"/>
      <c r="B287" s="94" t="str">
        <f>IFERROR(__xludf.DUMMYFUNCTION("""COMPUTED_VALUE"""),"Шар 2505")</f>
        <v>Шар 2505</v>
      </c>
      <c r="C287" s="1429" t="str">
        <f>IFERROR(__xludf.DUMMYFUNCTION("""COMPUTED_VALUE"""),"Other")</f>
        <v>Other</v>
      </c>
      <c r="D287" s="1432">
        <f>IFERROR(__xludf.DUMMYFUNCTION("""COMPUTED_VALUE"""),6.0)</f>
        <v>6</v>
      </c>
      <c r="E287" s="1429">
        <f>IFERROR(__xludf.DUMMYFUNCTION("""COMPUTED_VALUE"""),45446.0)</f>
        <v>45446</v>
      </c>
      <c r="F287" s="1429">
        <f>IFERROR(__xludf.DUMMYFUNCTION("""COMPUTED_VALUE"""),45453.0)</f>
        <v>45453</v>
      </c>
      <c r="G287" s="1164">
        <f>IFERROR(__xludf.DUMMYFUNCTION("""COMPUTED_VALUE"""),7.0)</f>
        <v>7</v>
      </c>
      <c r="H287" s="1430">
        <f>IFERROR(__xludf.DUMMYFUNCTION("""COMPUTED_VALUE"""),233.0)</f>
        <v>233</v>
      </c>
      <c r="I287" s="94"/>
      <c r="J287" s="94"/>
      <c r="K287" s="94">
        <f>IFERROR(__xludf.DUMMYFUNCTION("""COMPUTED_VALUE"""),60.0)</f>
        <v>60</v>
      </c>
      <c r="L287" s="94">
        <f>IFERROR(__xludf.DUMMYFUNCTION("""COMPUTED_VALUE"""),50.0)</f>
        <v>50</v>
      </c>
      <c r="M287" s="94">
        <f>IFERROR(__xludf.DUMMYFUNCTION("""COMPUTED_VALUE"""),10.0)</f>
        <v>10</v>
      </c>
      <c r="N287" s="94"/>
      <c r="O287" s="1430">
        <f>IFERROR(__xludf.DUMMYFUNCTION("""COMPUTED_VALUE"""),10.0)</f>
        <v>10</v>
      </c>
      <c r="P287" s="1431">
        <f>IFERROR(__xludf.DUMMYFUNCTION("""COMPUTED_VALUE"""),2.78)</f>
        <v>2.78</v>
      </c>
      <c r="Q287" s="1432">
        <f>IFERROR(__xludf.DUMMYFUNCTION("""COMPUTED_VALUE"""),647.74)</f>
        <v>647.74</v>
      </c>
    </row>
    <row r="288" ht="15.75" customHeight="1">
      <c r="A288" s="94"/>
      <c r="B288" s="94" t="str">
        <f>IFERROR(__xludf.DUMMYFUNCTION("""COMPUTED_VALUE"""),"WS E1405")</f>
        <v>WS E1405</v>
      </c>
      <c r="C288" s="1429" t="str">
        <f>IFERROR(__xludf.DUMMYFUNCTION("""COMPUTED_VALUE"""),"WS")</f>
        <v>WS</v>
      </c>
      <c r="D288" s="1432">
        <f>IFERROR(__xludf.DUMMYFUNCTION("""COMPUTED_VALUE"""),6.0)</f>
        <v>6</v>
      </c>
      <c r="E288" s="1429">
        <f>IFERROR(__xludf.DUMMYFUNCTION("""COMPUTED_VALUE"""),45446.0)</f>
        <v>45446</v>
      </c>
      <c r="F288" s="1429">
        <f>IFERROR(__xludf.DUMMYFUNCTION("""COMPUTED_VALUE"""),45450.0)</f>
        <v>45450</v>
      </c>
      <c r="G288" s="1164">
        <f>IFERROR(__xludf.DUMMYFUNCTION("""COMPUTED_VALUE"""),4.0)</f>
        <v>4</v>
      </c>
      <c r="H288" s="1430">
        <f>IFERROR(__xludf.DUMMYFUNCTION("""COMPUTED_VALUE"""),107.0)</f>
        <v>107</v>
      </c>
      <c r="I288" s="94"/>
      <c r="J288" s="94"/>
      <c r="K288" s="94">
        <f>IFERROR(__xludf.DUMMYFUNCTION("""COMPUTED_VALUE"""),60.0)</f>
        <v>60</v>
      </c>
      <c r="L288" s="94">
        <f>IFERROR(__xludf.DUMMYFUNCTION("""COMPUTED_VALUE"""),50.0)</f>
        <v>50</v>
      </c>
      <c r="M288" s="94">
        <f>IFERROR(__xludf.DUMMYFUNCTION("""COMPUTED_VALUE"""),10.0)</f>
        <v>10</v>
      </c>
      <c r="N288" s="94"/>
      <c r="O288" s="1430">
        <f>IFERROR(__xludf.DUMMYFUNCTION("""COMPUTED_VALUE"""),10.0)</f>
        <v>10</v>
      </c>
      <c r="P288" s="1431">
        <f>IFERROR(__xludf.DUMMYFUNCTION("""COMPUTED_VALUE"""),2.78)</f>
        <v>2.78</v>
      </c>
      <c r="Q288" s="1432">
        <f>IFERROR(__xludf.DUMMYFUNCTION("""COMPUTED_VALUE"""),297.46)</f>
        <v>297.46</v>
      </c>
    </row>
    <row r="289" ht="15.75" customHeight="1">
      <c r="A289" s="94"/>
      <c r="B289" s="94" t="str">
        <f>IFERROR(__xludf.DUMMYFUNCTION("""COMPUTED_VALUE"""),"Горизонт 2705")</f>
        <v>Горизонт 2705</v>
      </c>
      <c r="C289" s="1429" t="str">
        <f>IFERROR(__xludf.DUMMYFUNCTION("""COMPUTED_VALUE"""),"Other")</f>
        <v>Other</v>
      </c>
      <c r="D289" s="1432">
        <f>IFERROR(__xludf.DUMMYFUNCTION("""COMPUTED_VALUE"""),6.0)</f>
        <v>6</v>
      </c>
      <c r="E289" s="1429">
        <f>IFERROR(__xludf.DUMMYFUNCTION("""COMPUTED_VALUE"""),45446.0)</f>
        <v>45446</v>
      </c>
      <c r="F289" s="1429">
        <f>IFERROR(__xludf.DUMMYFUNCTION("""COMPUTED_VALUE"""),45536.0)</f>
        <v>45536</v>
      </c>
      <c r="G289" s="1164">
        <f>IFERROR(__xludf.DUMMYFUNCTION("""COMPUTED_VALUE"""),30.0)</f>
        <v>30</v>
      </c>
      <c r="H289" s="1430">
        <f>IFERROR(__xludf.DUMMYFUNCTION("""COMPUTED_VALUE"""),682.0)</f>
        <v>682</v>
      </c>
      <c r="I289" s="94"/>
      <c r="J289" s="94"/>
      <c r="K289" s="94">
        <f>IFERROR(__xludf.DUMMYFUNCTION("""COMPUTED_VALUE"""),60.0)</f>
        <v>60</v>
      </c>
      <c r="L289" s="94">
        <f>IFERROR(__xludf.DUMMYFUNCTION("""COMPUTED_VALUE"""),50.0)</f>
        <v>50</v>
      </c>
      <c r="M289" s="94">
        <f>IFERROR(__xludf.DUMMYFUNCTION("""COMPUTED_VALUE"""),10.0)</f>
        <v>10</v>
      </c>
      <c r="N289" s="94"/>
      <c r="O289" s="1430">
        <f>IFERROR(__xludf.DUMMYFUNCTION("""COMPUTED_VALUE"""),10.0)</f>
        <v>10</v>
      </c>
      <c r="P289" s="1431">
        <f>IFERROR(__xludf.DUMMYFUNCTION("""COMPUTED_VALUE"""),2.78)</f>
        <v>2.78</v>
      </c>
      <c r="Q289" s="1432">
        <f>IFERROR(__xludf.DUMMYFUNCTION("""COMPUTED_VALUE"""),1895.9599999999998)</f>
        <v>1895.96</v>
      </c>
    </row>
    <row r="290" ht="15.75" customHeight="1">
      <c r="A290" s="94"/>
      <c r="B290" s="94" t="str">
        <f>IFERROR(__xludf.DUMMYFUNCTION("""COMPUTED_VALUE"""),"DL 14-1214")</f>
        <v>DL 14-1214</v>
      </c>
      <c r="C290" s="1429" t="str">
        <f>IFERROR(__xludf.DUMMYFUNCTION("""COMPUTED_VALUE"""),"DL")</f>
        <v>DL</v>
      </c>
      <c r="D290" s="1432">
        <f>IFERROR(__xludf.DUMMYFUNCTION("""COMPUTED_VALUE"""),6.0)</f>
        <v>6</v>
      </c>
      <c r="E290" s="1429">
        <f>IFERROR(__xludf.DUMMYFUNCTION("""COMPUTED_VALUE"""),45446.0)</f>
        <v>45446</v>
      </c>
      <c r="F290" s="1429">
        <f>IFERROR(__xludf.DUMMYFUNCTION("""COMPUTED_VALUE"""),45459.0)</f>
        <v>45459</v>
      </c>
      <c r="G290" s="1164">
        <f>IFERROR(__xludf.DUMMYFUNCTION("""COMPUTED_VALUE"""),13.0)</f>
        <v>13</v>
      </c>
      <c r="H290" s="1430">
        <f>IFERROR(__xludf.DUMMYFUNCTION("""COMPUTED_VALUE"""),530.0)</f>
        <v>530</v>
      </c>
      <c r="I290" s="94"/>
      <c r="J290" s="94"/>
      <c r="K290" s="94">
        <f>IFERROR(__xludf.DUMMYFUNCTION("""COMPUTED_VALUE"""),95.0)</f>
        <v>95</v>
      </c>
      <c r="L290" s="94">
        <f>IFERROR(__xludf.DUMMYFUNCTION("""COMPUTED_VALUE"""),95.0)</f>
        <v>95</v>
      </c>
      <c r="M290" s="94">
        <f>IFERROR(__xludf.DUMMYFUNCTION("""COMPUTED_VALUE"""),0.0)</f>
        <v>0</v>
      </c>
      <c r="N290" s="94"/>
      <c r="O290" s="1430">
        <f>IFERROR(__xludf.DUMMYFUNCTION("""COMPUTED_VALUE"""),0.0)</f>
        <v>0</v>
      </c>
      <c r="P290" s="1431">
        <f>IFERROR(__xludf.DUMMYFUNCTION("""COMPUTED_VALUE"""),2.78)</f>
        <v>2.78</v>
      </c>
      <c r="Q290" s="1432">
        <f>IFERROR(__xludf.DUMMYFUNCTION("""COMPUTED_VALUE"""),1473.3999999999999)</f>
        <v>1473.4</v>
      </c>
    </row>
    <row r="291" ht="15.75" customHeight="1">
      <c r="A291" s="94"/>
      <c r="B291" s="94" t="str">
        <f>IFERROR(__xludf.DUMMYFUNCTION("""COMPUTED_VALUE"""),"DL 4-09")</f>
        <v>DL 4-09</v>
      </c>
      <c r="C291" s="1429" t="str">
        <f>IFERROR(__xludf.DUMMYFUNCTION("""COMPUTED_VALUE"""),"DL")</f>
        <v>DL</v>
      </c>
      <c r="D291" s="1432">
        <f>IFERROR(__xludf.DUMMYFUNCTION("""COMPUTED_VALUE"""),6.0)</f>
        <v>6</v>
      </c>
      <c r="E291" s="1429">
        <f>IFERROR(__xludf.DUMMYFUNCTION("""COMPUTED_VALUE"""),45446.0)</f>
        <v>45446</v>
      </c>
      <c r="F291" s="1429">
        <f>IFERROR(__xludf.DUMMYFUNCTION("""COMPUTED_VALUE"""),45447.0)</f>
        <v>45447</v>
      </c>
      <c r="G291" s="1164">
        <f>IFERROR(__xludf.DUMMYFUNCTION("""COMPUTED_VALUE"""),1.0)</f>
        <v>1</v>
      </c>
      <c r="H291" s="94"/>
      <c r="I291" s="94">
        <f>IFERROR(__xludf.DUMMYFUNCTION("""COMPUTED_VALUE"""),170.0)</f>
        <v>170</v>
      </c>
      <c r="J291" s="94"/>
      <c r="K291" s="94">
        <f>IFERROR(__xludf.DUMMYFUNCTION("""COMPUTED_VALUE"""),95.0)</f>
        <v>95</v>
      </c>
      <c r="L291" s="94">
        <f>IFERROR(__xludf.DUMMYFUNCTION("""COMPUTED_VALUE"""),95.0)</f>
        <v>95</v>
      </c>
      <c r="M291" s="94">
        <f>IFERROR(__xludf.DUMMYFUNCTION("""COMPUTED_VALUE"""),0.0)</f>
        <v>0</v>
      </c>
      <c r="N291" s="94"/>
      <c r="O291" s="1430">
        <f>IFERROR(__xludf.DUMMYFUNCTION("""COMPUTED_VALUE"""),0.0)</f>
        <v>0</v>
      </c>
      <c r="P291" s="1431">
        <f>IFERROR(__xludf.DUMMYFUNCTION("""COMPUTED_VALUE"""),2.78)</f>
        <v>2.78</v>
      </c>
      <c r="Q291" s="1432">
        <f>IFERROR(__xludf.DUMMYFUNCTION("""COMPUTED_VALUE"""),170.0)</f>
        <v>170</v>
      </c>
    </row>
    <row r="292" ht="15.75" customHeight="1">
      <c r="A292" s="94"/>
      <c r="B292" s="94" t="str">
        <f>IFERROR(__xludf.DUMMYFUNCTION("""COMPUTED_VALUE"""),"С 2756")</f>
        <v>С 2756</v>
      </c>
      <c r="C292" s="1429" t="str">
        <f>IFERROR(__xludf.DUMMYFUNCTION("""COMPUTED_VALUE"""),"ORBI")</f>
        <v>ORBI</v>
      </c>
      <c r="D292" s="1432">
        <f>IFERROR(__xludf.DUMMYFUNCTION("""COMPUTED_VALUE"""),6.0)</f>
        <v>6</v>
      </c>
      <c r="E292" s="1429">
        <f>IFERROR(__xludf.DUMMYFUNCTION("""COMPUTED_VALUE"""),45447.0)</f>
        <v>45447</v>
      </c>
      <c r="F292" s="1429">
        <f>IFERROR(__xludf.DUMMYFUNCTION("""COMPUTED_VALUE"""),45450.0)</f>
        <v>45450</v>
      </c>
      <c r="G292" s="1164">
        <f>IFERROR(__xludf.DUMMYFUNCTION("""COMPUTED_VALUE"""),3.0)</f>
        <v>3</v>
      </c>
      <c r="H292" s="1430">
        <f>IFERROR(__xludf.DUMMYFUNCTION("""COMPUTED_VALUE"""),72.0)</f>
        <v>72</v>
      </c>
      <c r="I292" s="94"/>
      <c r="J292" s="94"/>
      <c r="K292" s="94">
        <f>IFERROR(__xludf.DUMMYFUNCTION("""COMPUTED_VALUE"""),50.0)</f>
        <v>50</v>
      </c>
      <c r="L292" s="94">
        <f>IFERROR(__xludf.DUMMYFUNCTION("""COMPUTED_VALUE"""),45.0)</f>
        <v>45</v>
      </c>
      <c r="M292" s="94">
        <f>IFERROR(__xludf.DUMMYFUNCTION("""COMPUTED_VALUE"""),5.0)</f>
        <v>5</v>
      </c>
      <c r="N292" s="94"/>
      <c r="O292" s="1430">
        <f>IFERROR(__xludf.DUMMYFUNCTION("""COMPUTED_VALUE"""),5.0)</f>
        <v>5</v>
      </c>
      <c r="P292" s="1431">
        <f>IFERROR(__xludf.DUMMYFUNCTION("""COMPUTED_VALUE"""),2.78)</f>
        <v>2.78</v>
      </c>
      <c r="Q292" s="1432">
        <f>IFERROR(__xludf.DUMMYFUNCTION("""COMPUTED_VALUE"""),200.16)</f>
        <v>200.16</v>
      </c>
    </row>
    <row r="293" ht="15.75" customHeight="1">
      <c r="A293" s="94"/>
      <c r="B293" s="94" t="str">
        <f>IFERROR(__xludf.DUMMYFUNCTION("""COMPUTED_VALUE"""),"WS  B 405")</f>
        <v>WS  B 405</v>
      </c>
      <c r="C293" s="1429" t="str">
        <f>IFERROR(__xludf.DUMMYFUNCTION("""COMPUTED_VALUE"""),"WS")</f>
        <v>WS</v>
      </c>
      <c r="D293" s="1432">
        <f>IFERROR(__xludf.DUMMYFUNCTION("""COMPUTED_VALUE"""),6.0)</f>
        <v>6</v>
      </c>
      <c r="E293" s="1429">
        <f>IFERROR(__xludf.DUMMYFUNCTION("""COMPUTED_VALUE"""),45447.0)</f>
        <v>45447</v>
      </c>
      <c r="F293" s="1429">
        <f>IFERROR(__xludf.DUMMYFUNCTION("""COMPUTED_VALUE"""),45453.0)</f>
        <v>45453</v>
      </c>
      <c r="G293" s="1164">
        <f>IFERROR(__xludf.DUMMYFUNCTION("""COMPUTED_VALUE"""),6.0)</f>
        <v>6</v>
      </c>
      <c r="H293" s="1430">
        <f>IFERROR(__xludf.DUMMYFUNCTION("""COMPUTED_VALUE"""),155.0)</f>
        <v>155</v>
      </c>
      <c r="I293" s="94"/>
      <c r="J293" s="94"/>
      <c r="K293" s="94">
        <f>IFERROR(__xludf.DUMMYFUNCTION("""COMPUTED_VALUE"""),60.0)</f>
        <v>60</v>
      </c>
      <c r="L293" s="94">
        <f>IFERROR(__xludf.DUMMYFUNCTION("""COMPUTED_VALUE"""),50.0)</f>
        <v>50</v>
      </c>
      <c r="M293" s="94">
        <f>IFERROR(__xludf.DUMMYFUNCTION("""COMPUTED_VALUE"""),10.0)</f>
        <v>10</v>
      </c>
      <c r="N293" s="94"/>
      <c r="O293" s="1430">
        <f>IFERROR(__xludf.DUMMYFUNCTION("""COMPUTED_VALUE"""),10.0)</f>
        <v>10</v>
      </c>
      <c r="P293" s="1431">
        <f>IFERROR(__xludf.DUMMYFUNCTION("""COMPUTED_VALUE"""),2.78)</f>
        <v>2.78</v>
      </c>
      <c r="Q293" s="1432">
        <f>IFERROR(__xludf.DUMMYFUNCTION("""COMPUTED_VALUE"""),430.9)</f>
        <v>430.9</v>
      </c>
    </row>
    <row r="294" ht="15.75" customHeight="1">
      <c r="A294" s="94"/>
      <c r="B294" s="94" t="str">
        <f>IFERROR(__xludf.DUMMYFUNCTION("""COMPUTED_VALUE"""),"CM 1606")</f>
        <v>CM 1606</v>
      </c>
      <c r="C294" s="1429" t="str">
        <f>IFERROR(__xludf.DUMMYFUNCTION("""COMPUTED_VALUE"""),"MAR")</f>
        <v>MAR</v>
      </c>
      <c r="D294" s="1432">
        <f>IFERROR(__xludf.DUMMYFUNCTION("""COMPUTED_VALUE"""),6.0)</f>
        <v>6</v>
      </c>
      <c r="E294" s="1429">
        <f>IFERROR(__xludf.DUMMYFUNCTION("""COMPUTED_VALUE"""),45448.0)</f>
        <v>45448</v>
      </c>
      <c r="F294" s="1429">
        <f>IFERROR(__xludf.DUMMYFUNCTION("""COMPUTED_VALUE"""),45451.0)</f>
        <v>45451</v>
      </c>
      <c r="G294" s="1164">
        <f>IFERROR(__xludf.DUMMYFUNCTION("""COMPUTED_VALUE"""),3.0)</f>
        <v>3</v>
      </c>
      <c r="H294" s="1430">
        <f>IFERROR(__xludf.DUMMYFUNCTION("""COMPUTED_VALUE"""),107.0)</f>
        <v>107</v>
      </c>
      <c r="I294" s="94"/>
      <c r="J294" s="94"/>
      <c r="K294" s="94">
        <f>IFERROR(__xludf.DUMMYFUNCTION("""COMPUTED_VALUE"""),60.0)</f>
        <v>60</v>
      </c>
      <c r="L294" s="94">
        <f>IFERROR(__xludf.DUMMYFUNCTION("""COMPUTED_VALUE"""),50.0)</f>
        <v>50</v>
      </c>
      <c r="M294" s="94">
        <f>IFERROR(__xludf.DUMMYFUNCTION("""COMPUTED_VALUE"""),10.0)</f>
        <v>10</v>
      </c>
      <c r="N294" s="94"/>
      <c r="O294" s="1430">
        <f>IFERROR(__xludf.DUMMYFUNCTION("""COMPUTED_VALUE"""),10.0)</f>
        <v>10</v>
      </c>
      <c r="P294" s="1431">
        <f>IFERROR(__xludf.DUMMYFUNCTION("""COMPUTED_VALUE"""),2.78)</f>
        <v>2.78</v>
      </c>
      <c r="Q294" s="1432">
        <f>IFERROR(__xludf.DUMMYFUNCTION("""COMPUTED_VALUE"""),297.46)</f>
        <v>297.46</v>
      </c>
    </row>
    <row r="295" ht="15.75" customHeight="1">
      <c r="A295" s="94"/>
      <c r="B295" s="94" t="str">
        <f>IFERROR(__xludf.DUMMYFUNCTION("""COMPUTED_VALUE"""),"А 4049")</f>
        <v>А 4049</v>
      </c>
      <c r="C295" s="1429" t="str">
        <f>IFERROR(__xludf.DUMMYFUNCTION("""COMPUTED_VALUE"""),"ORBI")</f>
        <v>ORBI</v>
      </c>
      <c r="D295" s="1432">
        <f>IFERROR(__xludf.DUMMYFUNCTION("""COMPUTED_VALUE"""),6.0)</f>
        <v>6</v>
      </c>
      <c r="E295" s="1429">
        <f>IFERROR(__xludf.DUMMYFUNCTION("""COMPUTED_VALUE"""),45449.0)</f>
        <v>45449</v>
      </c>
      <c r="F295" s="1429">
        <f>IFERROR(__xludf.DUMMYFUNCTION("""COMPUTED_VALUE"""),45452.0)</f>
        <v>45452</v>
      </c>
      <c r="G295" s="1164">
        <f>IFERROR(__xludf.DUMMYFUNCTION("""COMPUTED_VALUE"""),3.0)</f>
        <v>3</v>
      </c>
      <c r="H295" s="1430">
        <f>IFERROR(__xludf.DUMMYFUNCTION("""COMPUTED_VALUE"""),113.0)</f>
        <v>113</v>
      </c>
      <c r="I295" s="94"/>
      <c r="J295" s="94"/>
      <c r="K295" s="94">
        <f>IFERROR(__xludf.DUMMYFUNCTION("""COMPUTED_VALUE"""),50.0)</f>
        <v>50</v>
      </c>
      <c r="L295" s="94">
        <f>IFERROR(__xludf.DUMMYFUNCTION("""COMPUTED_VALUE"""),45.0)</f>
        <v>45</v>
      </c>
      <c r="M295" s="94">
        <f>IFERROR(__xludf.DUMMYFUNCTION("""COMPUTED_VALUE"""),5.0)</f>
        <v>5</v>
      </c>
      <c r="N295" s="94"/>
      <c r="O295" s="1430">
        <f>IFERROR(__xludf.DUMMYFUNCTION("""COMPUTED_VALUE"""),5.0)</f>
        <v>5</v>
      </c>
      <c r="P295" s="1431">
        <f>IFERROR(__xludf.DUMMYFUNCTION("""COMPUTED_VALUE"""),2.78)</f>
        <v>2.78</v>
      </c>
      <c r="Q295" s="1432">
        <f>IFERROR(__xludf.DUMMYFUNCTION("""COMPUTED_VALUE"""),314.14)</f>
        <v>314.14</v>
      </c>
    </row>
    <row r="296" ht="15.75" customHeight="1">
      <c r="A296" s="94"/>
      <c r="B296" s="94" t="str">
        <f>IFERROR(__xludf.DUMMYFUNCTION("""COMPUTED_VALUE"""),"WS A 905")</f>
        <v>WS A 905</v>
      </c>
      <c r="C296" s="94" t="str">
        <f>IFERROR(__xludf.DUMMYFUNCTION("""COMPUTED_VALUE"""),"WS")</f>
        <v>WS</v>
      </c>
      <c r="D296" s="1432">
        <f>IFERROR(__xludf.DUMMYFUNCTION("""COMPUTED_VALUE"""),6.0)</f>
        <v>6</v>
      </c>
      <c r="E296" s="1429">
        <f>IFERROR(__xludf.DUMMYFUNCTION("""COMPUTED_VALUE"""),45449.0)</f>
        <v>45449</v>
      </c>
      <c r="F296" s="1429">
        <f>IFERROR(__xludf.DUMMYFUNCTION("""COMPUTED_VALUE"""),45452.0)</f>
        <v>45452</v>
      </c>
      <c r="G296" s="1164">
        <f>IFERROR(__xludf.DUMMYFUNCTION("""COMPUTED_VALUE"""),3.0)</f>
        <v>3</v>
      </c>
      <c r="H296" s="1430">
        <f>IFERROR(__xludf.DUMMYFUNCTION("""COMPUTED_VALUE"""),70.0)</f>
        <v>70</v>
      </c>
      <c r="I296" s="94"/>
      <c r="J296" s="94"/>
      <c r="K296" s="94">
        <f>IFERROR(__xludf.DUMMYFUNCTION("""COMPUTED_VALUE"""),60.0)</f>
        <v>60</v>
      </c>
      <c r="L296" s="94">
        <f>IFERROR(__xludf.DUMMYFUNCTION("""COMPUTED_VALUE"""),50.0)</f>
        <v>50</v>
      </c>
      <c r="M296" s="94">
        <f>IFERROR(__xludf.DUMMYFUNCTION("""COMPUTED_VALUE"""),10.0)</f>
        <v>10</v>
      </c>
      <c r="N296" s="94"/>
      <c r="O296" s="1430">
        <f>IFERROR(__xludf.DUMMYFUNCTION("""COMPUTED_VALUE"""),10.0)</f>
        <v>10</v>
      </c>
      <c r="P296" s="1431">
        <f>IFERROR(__xludf.DUMMYFUNCTION("""COMPUTED_VALUE"""),2.78)</f>
        <v>2.78</v>
      </c>
      <c r="Q296" s="1432">
        <f>IFERROR(__xludf.DUMMYFUNCTION("""COMPUTED_VALUE"""),194.6)</f>
        <v>194.6</v>
      </c>
    </row>
    <row r="297" ht="15.75" customHeight="1">
      <c r="A297" s="94"/>
      <c r="B297" s="94" t="str">
        <f>IFERROR(__xludf.DUMMYFUNCTION("""COMPUTED_VALUE"""),"WS А 908")</f>
        <v>WS А 908</v>
      </c>
      <c r="C297" s="1429" t="str">
        <f>IFERROR(__xludf.DUMMYFUNCTION("""COMPUTED_VALUE"""),"WS")</f>
        <v>WS</v>
      </c>
      <c r="D297" s="1432">
        <f>IFERROR(__xludf.DUMMYFUNCTION("""COMPUTED_VALUE"""),6.0)</f>
        <v>6</v>
      </c>
      <c r="E297" s="1429">
        <f>IFERROR(__xludf.DUMMYFUNCTION("""COMPUTED_VALUE"""),45449.0)</f>
        <v>45449</v>
      </c>
      <c r="F297" s="1437">
        <f>IFERROR(__xludf.DUMMYFUNCTION("""COMPUTED_VALUE"""),45452.0)</f>
        <v>45452</v>
      </c>
      <c r="G297" s="1164">
        <f>IFERROR(__xludf.DUMMYFUNCTION("""COMPUTED_VALUE"""),3.0)</f>
        <v>3</v>
      </c>
      <c r="H297" s="1430">
        <f>IFERROR(__xludf.DUMMYFUNCTION("""COMPUTED_VALUE"""),70.0)</f>
        <v>70</v>
      </c>
      <c r="I297" s="94"/>
      <c r="J297" s="94"/>
      <c r="K297" s="94">
        <f>IFERROR(__xludf.DUMMYFUNCTION("""COMPUTED_VALUE"""),60.0)</f>
        <v>60</v>
      </c>
      <c r="L297" s="94">
        <f>IFERROR(__xludf.DUMMYFUNCTION("""COMPUTED_VALUE"""),50.0)</f>
        <v>50</v>
      </c>
      <c r="M297" s="94">
        <f>IFERROR(__xludf.DUMMYFUNCTION("""COMPUTED_VALUE"""),10.0)</f>
        <v>10</v>
      </c>
      <c r="N297" s="94"/>
      <c r="O297" s="1430">
        <f>IFERROR(__xludf.DUMMYFUNCTION("""COMPUTED_VALUE"""),10.0)</f>
        <v>10</v>
      </c>
      <c r="P297" s="1431">
        <f>IFERROR(__xludf.DUMMYFUNCTION("""COMPUTED_VALUE"""),2.78)</f>
        <v>2.78</v>
      </c>
      <c r="Q297" s="1432">
        <f>IFERROR(__xludf.DUMMYFUNCTION("""COMPUTED_VALUE"""),194.6)</f>
        <v>194.6</v>
      </c>
    </row>
    <row r="298" ht="15.75" customHeight="1">
      <c r="A298" s="94"/>
      <c r="B298" s="94" t="str">
        <f>IFERROR(__xludf.DUMMYFUNCTION("""COMPUTED_VALUE"""),"DL 4-09")</f>
        <v>DL 4-09</v>
      </c>
      <c r="C298" s="1429" t="str">
        <f>IFERROR(__xludf.DUMMYFUNCTION("""COMPUTED_VALUE"""),"DL")</f>
        <v>DL</v>
      </c>
      <c r="D298" s="1432">
        <f>IFERROR(__xludf.DUMMYFUNCTION("""COMPUTED_VALUE"""),6.0)</f>
        <v>6</v>
      </c>
      <c r="E298" s="1429">
        <f>IFERROR(__xludf.DUMMYFUNCTION("""COMPUTED_VALUE"""),45449.0)</f>
        <v>45449</v>
      </c>
      <c r="F298" s="1429">
        <f>IFERROR(__xludf.DUMMYFUNCTION("""COMPUTED_VALUE"""),45452.0)</f>
        <v>45452</v>
      </c>
      <c r="G298" s="1164">
        <f>IFERROR(__xludf.DUMMYFUNCTION("""COMPUTED_VALUE"""),3.0)</f>
        <v>3</v>
      </c>
      <c r="H298" s="1430">
        <f>IFERROR(__xludf.DUMMYFUNCTION("""COMPUTED_VALUE"""),145.0)</f>
        <v>145</v>
      </c>
      <c r="I298" s="94"/>
      <c r="J298" s="94"/>
      <c r="K298" s="94">
        <f>IFERROR(__xludf.DUMMYFUNCTION("""COMPUTED_VALUE"""),95.0)</f>
        <v>95</v>
      </c>
      <c r="L298" s="94">
        <f>IFERROR(__xludf.DUMMYFUNCTION("""COMPUTED_VALUE"""),95.0)</f>
        <v>95</v>
      </c>
      <c r="M298" s="94">
        <f>IFERROR(__xludf.DUMMYFUNCTION("""COMPUTED_VALUE"""),0.0)</f>
        <v>0</v>
      </c>
      <c r="N298" s="94"/>
      <c r="O298" s="1430">
        <f>IFERROR(__xludf.DUMMYFUNCTION("""COMPUTED_VALUE"""),0.0)</f>
        <v>0</v>
      </c>
      <c r="P298" s="1431">
        <f>IFERROR(__xludf.DUMMYFUNCTION("""COMPUTED_VALUE"""),2.78)</f>
        <v>2.78</v>
      </c>
      <c r="Q298" s="1432">
        <f>IFERROR(__xludf.DUMMYFUNCTION("""COMPUTED_VALUE"""),403.09999999999997)</f>
        <v>403.1</v>
      </c>
    </row>
    <row r="299" ht="15.75" customHeight="1">
      <c r="A299" s="94"/>
      <c r="B299" s="94" t="str">
        <f>IFERROR(__xludf.DUMMYFUNCTION("""COMPUTED_VALUE"""),"DL 11-1112")</f>
        <v>DL 11-1112</v>
      </c>
      <c r="C299" s="1429" t="str">
        <f>IFERROR(__xludf.DUMMYFUNCTION("""COMPUTED_VALUE"""),"DL")</f>
        <v>DL</v>
      </c>
      <c r="D299" s="1432">
        <f>IFERROR(__xludf.DUMMYFUNCTION("""COMPUTED_VALUE"""),6.0)</f>
        <v>6</v>
      </c>
      <c r="E299" s="1429">
        <f>IFERROR(__xludf.DUMMYFUNCTION("""COMPUTED_VALUE"""),45449.0)</f>
        <v>45449</v>
      </c>
      <c r="F299" s="1429">
        <f>IFERROR(__xludf.DUMMYFUNCTION("""COMPUTED_VALUE"""),45450.0)</f>
        <v>45450</v>
      </c>
      <c r="G299" s="1164">
        <f>IFERROR(__xludf.DUMMYFUNCTION("""COMPUTED_VALUE"""),1.0)</f>
        <v>1</v>
      </c>
      <c r="H299" s="1430">
        <f>IFERROR(__xludf.DUMMYFUNCTION("""COMPUTED_VALUE"""),52.0)</f>
        <v>52</v>
      </c>
      <c r="I299" s="94"/>
      <c r="J299" s="94"/>
      <c r="K299" s="94">
        <f>IFERROR(__xludf.DUMMYFUNCTION("""COMPUTED_VALUE"""),95.0)</f>
        <v>95</v>
      </c>
      <c r="L299" s="94">
        <f>IFERROR(__xludf.DUMMYFUNCTION("""COMPUTED_VALUE"""),95.0)</f>
        <v>95</v>
      </c>
      <c r="M299" s="94">
        <f>IFERROR(__xludf.DUMMYFUNCTION("""COMPUTED_VALUE"""),0.0)</f>
        <v>0</v>
      </c>
      <c r="N299" s="94"/>
      <c r="O299" s="1430">
        <f>IFERROR(__xludf.DUMMYFUNCTION("""COMPUTED_VALUE"""),0.0)</f>
        <v>0</v>
      </c>
      <c r="P299" s="1431">
        <f>IFERROR(__xludf.DUMMYFUNCTION("""COMPUTED_VALUE"""),2.78)</f>
        <v>2.78</v>
      </c>
      <c r="Q299" s="1432">
        <f>IFERROR(__xludf.DUMMYFUNCTION("""COMPUTED_VALUE"""),144.56)</f>
        <v>144.56</v>
      </c>
    </row>
    <row r="300" ht="15.75" customHeight="1">
      <c r="A300" s="94"/>
      <c r="B300" s="94" t="str">
        <f>IFERROR(__xludf.DUMMYFUNCTION("""COMPUTED_VALUE"""),"DL 14-702")</f>
        <v>DL 14-702</v>
      </c>
      <c r="C300" s="1429" t="str">
        <f>IFERROR(__xludf.DUMMYFUNCTION("""COMPUTED_VALUE"""),"DL")</f>
        <v>DL</v>
      </c>
      <c r="D300" s="1432">
        <f>IFERROR(__xludf.DUMMYFUNCTION("""COMPUTED_VALUE"""),6.0)</f>
        <v>6</v>
      </c>
      <c r="E300" s="1429">
        <f>IFERROR(__xludf.DUMMYFUNCTION("""COMPUTED_VALUE"""),45449.0)</f>
        <v>45449</v>
      </c>
      <c r="F300" s="1429">
        <f>IFERROR(__xludf.DUMMYFUNCTION("""COMPUTED_VALUE"""),45452.0)</f>
        <v>45452</v>
      </c>
      <c r="G300" s="1164">
        <f>IFERROR(__xludf.DUMMYFUNCTION("""COMPUTED_VALUE"""),3.0)</f>
        <v>3</v>
      </c>
      <c r="H300" s="1430">
        <f>IFERROR(__xludf.DUMMYFUNCTION("""COMPUTED_VALUE"""),201.0)</f>
        <v>201</v>
      </c>
      <c r="I300" s="94"/>
      <c r="J300" s="94"/>
      <c r="K300" s="94">
        <f>IFERROR(__xludf.DUMMYFUNCTION("""COMPUTED_VALUE"""),105.0)</f>
        <v>105</v>
      </c>
      <c r="L300" s="94">
        <f>IFERROR(__xludf.DUMMYFUNCTION("""COMPUTED_VALUE"""),105.0)</f>
        <v>105</v>
      </c>
      <c r="M300" s="94">
        <f>IFERROR(__xludf.DUMMYFUNCTION("""COMPUTED_VALUE"""),0.0)</f>
        <v>0</v>
      </c>
      <c r="N300" s="94"/>
      <c r="O300" s="1430">
        <f>IFERROR(__xludf.DUMMYFUNCTION("""COMPUTED_VALUE"""),0.0)</f>
        <v>0</v>
      </c>
      <c r="P300" s="1431">
        <f>IFERROR(__xludf.DUMMYFUNCTION("""COMPUTED_VALUE"""),2.78)</f>
        <v>2.78</v>
      </c>
      <c r="Q300" s="1432">
        <f>IFERROR(__xludf.DUMMYFUNCTION("""COMPUTED_VALUE"""),558.78)</f>
        <v>558.78</v>
      </c>
    </row>
    <row r="301" ht="15.75" customHeight="1">
      <c r="A301" s="94"/>
      <c r="B301" s="94" t="str">
        <f>IFERROR(__xludf.DUMMYFUNCTION("""COMPUTED_VALUE"""),"WS В 212")</f>
        <v>WS В 212</v>
      </c>
      <c r="C301" s="1429" t="str">
        <f>IFERROR(__xludf.DUMMYFUNCTION("""COMPUTED_VALUE"""),"WS")</f>
        <v>WS</v>
      </c>
      <c r="D301" s="1432">
        <f>IFERROR(__xludf.DUMMYFUNCTION("""COMPUTED_VALUE"""),6.0)</f>
        <v>6</v>
      </c>
      <c r="E301" s="1429">
        <f>IFERROR(__xludf.DUMMYFUNCTION("""COMPUTED_VALUE"""),45450.0)</f>
        <v>45450</v>
      </c>
      <c r="F301" s="1429">
        <f>IFERROR(__xludf.DUMMYFUNCTION("""COMPUTED_VALUE"""),45452.0)</f>
        <v>45452</v>
      </c>
      <c r="G301" s="1164">
        <f>IFERROR(__xludf.DUMMYFUNCTION("""COMPUTED_VALUE"""),2.0)</f>
        <v>2</v>
      </c>
      <c r="H301" s="1430">
        <f>IFERROR(__xludf.DUMMYFUNCTION("""COMPUTED_VALUE"""),190.0)</f>
        <v>190</v>
      </c>
      <c r="I301" s="94"/>
      <c r="J301" s="94"/>
      <c r="K301" s="94">
        <f>IFERROR(__xludf.DUMMYFUNCTION("""COMPUTED_VALUE"""),70.0)</f>
        <v>70</v>
      </c>
      <c r="L301" s="94">
        <f>IFERROR(__xludf.DUMMYFUNCTION("""COMPUTED_VALUE"""),50.0)</f>
        <v>50</v>
      </c>
      <c r="M301" s="94">
        <f>IFERROR(__xludf.DUMMYFUNCTION("""COMPUTED_VALUE"""),20.0)</f>
        <v>20</v>
      </c>
      <c r="N301" s="94"/>
      <c r="O301" s="1430">
        <f>IFERROR(__xludf.DUMMYFUNCTION("""COMPUTED_VALUE"""),20.0)</f>
        <v>20</v>
      </c>
      <c r="P301" s="1431">
        <f>IFERROR(__xludf.DUMMYFUNCTION("""COMPUTED_VALUE"""),2.78)</f>
        <v>2.78</v>
      </c>
      <c r="Q301" s="1432">
        <f>IFERROR(__xludf.DUMMYFUNCTION("""COMPUTED_VALUE"""),528.1999999999999)</f>
        <v>528.2</v>
      </c>
    </row>
    <row r="302" ht="15.75" customHeight="1">
      <c r="A302" s="94"/>
      <c r="B302" s="94" t="str">
        <f>IFERROR(__xludf.DUMMYFUNCTION("""COMPUTED_VALUE"""),"D 1321")</f>
        <v>D 1321</v>
      </c>
      <c r="C302" s="1429" t="str">
        <f>IFERROR(__xludf.DUMMYFUNCTION("""COMPUTED_VALUE"""),"ORBI")</f>
        <v>ORBI</v>
      </c>
      <c r="D302" s="1432">
        <f>IFERROR(__xludf.DUMMYFUNCTION("""COMPUTED_VALUE"""),6.0)</f>
        <v>6</v>
      </c>
      <c r="E302" s="1429">
        <f>IFERROR(__xludf.DUMMYFUNCTION("""COMPUTED_VALUE"""),45450.0)</f>
        <v>45450</v>
      </c>
      <c r="F302" s="1429">
        <f>IFERROR(__xludf.DUMMYFUNCTION("""COMPUTED_VALUE"""),45460.0)</f>
        <v>45460</v>
      </c>
      <c r="G302" s="1164">
        <f>IFERROR(__xludf.DUMMYFUNCTION("""COMPUTED_VALUE"""),10.0)</f>
        <v>10</v>
      </c>
      <c r="H302" s="1430">
        <f>IFERROR(__xludf.DUMMYFUNCTION("""COMPUTED_VALUE"""),344.0)</f>
        <v>344</v>
      </c>
      <c r="I302" s="94"/>
      <c r="J302" s="94"/>
      <c r="K302" s="94">
        <f>IFERROR(__xludf.DUMMYFUNCTION("""COMPUTED_VALUE"""),50.0)</f>
        <v>50</v>
      </c>
      <c r="L302" s="94">
        <f>IFERROR(__xludf.DUMMYFUNCTION("""COMPUTED_VALUE"""),45.0)</f>
        <v>45</v>
      </c>
      <c r="M302" s="94">
        <f>IFERROR(__xludf.DUMMYFUNCTION("""COMPUTED_VALUE"""),5.0)</f>
        <v>5</v>
      </c>
      <c r="N302" s="94"/>
      <c r="O302" s="1430">
        <f>IFERROR(__xludf.DUMMYFUNCTION("""COMPUTED_VALUE"""),5.0)</f>
        <v>5</v>
      </c>
      <c r="P302" s="1431">
        <f>IFERROR(__xludf.DUMMYFUNCTION("""COMPUTED_VALUE"""),2.78)</f>
        <v>2.78</v>
      </c>
      <c r="Q302" s="1432">
        <f>IFERROR(__xludf.DUMMYFUNCTION("""COMPUTED_VALUE"""),956.3199999999999)</f>
        <v>956.32</v>
      </c>
    </row>
    <row r="303" ht="15.75" customHeight="1">
      <c r="A303" s="94"/>
      <c r="B303" s="94" t="str">
        <f>IFERROR(__xludf.DUMMYFUNCTION("""COMPUTED_VALUE"""),"14-411")</f>
        <v>14-411</v>
      </c>
      <c r="C303" s="1429" t="str">
        <f>IFERROR(__xludf.DUMMYFUNCTION("""COMPUTED_VALUE"""),"DL")</f>
        <v>DL</v>
      </c>
      <c r="D303" s="1432">
        <f>IFERROR(__xludf.DUMMYFUNCTION("""COMPUTED_VALUE"""),6.0)</f>
        <v>6</v>
      </c>
      <c r="E303" s="1429">
        <f>IFERROR(__xludf.DUMMYFUNCTION("""COMPUTED_VALUE"""),45450.0)</f>
        <v>45450</v>
      </c>
      <c r="F303" s="1429">
        <f>IFERROR(__xludf.DUMMYFUNCTION("""COMPUTED_VALUE"""),45459.0)</f>
        <v>45459</v>
      </c>
      <c r="G303" s="1164">
        <f>IFERROR(__xludf.DUMMYFUNCTION("""COMPUTED_VALUE"""),9.0)</f>
        <v>9</v>
      </c>
      <c r="H303" s="1430">
        <f>IFERROR(__xludf.DUMMYFUNCTION("""COMPUTED_VALUE"""),308.0)</f>
        <v>308</v>
      </c>
      <c r="I303" s="94"/>
      <c r="J303" s="94"/>
      <c r="K303" s="94">
        <f>IFERROR(__xludf.DUMMYFUNCTION("""COMPUTED_VALUE"""),95.0)</f>
        <v>95</v>
      </c>
      <c r="L303" s="94">
        <f>IFERROR(__xludf.DUMMYFUNCTION("""COMPUTED_VALUE"""),95.0)</f>
        <v>95</v>
      </c>
      <c r="M303" s="94">
        <f>IFERROR(__xludf.DUMMYFUNCTION("""COMPUTED_VALUE"""),0.0)</f>
        <v>0</v>
      </c>
      <c r="N303" s="94"/>
      <c r="O303" s="1430">
        <f>IFERROR(__xludf.DUMMYFUNCTION("""COMPUTED_VALUE"""),0.0)</f>
        <v>0</v>
      </c>
      <c r="P303" s="1431">
        <f>IFERROR(__xludf.DUMMYFUNCTION("""COMPUTED_VALUE"""),2.78)</f>
        <v>2.78</v>
      </c>
      <c r="Q303" s="1432">
        <f>IFERROR(__xludf.DUMMYFUNCTION("""COMPUTED_VALUE"""),856.2399999999999)</f>
        <v>856.24</v>
      </c>
    </row>
    <row r="304" ht="15.75" customHeight="1">
      <c r="A304" s="94"/>
      <c r="B304" s="94" t="str">
        <f>IFERROR(__xludf.DUMMYFUNCTION("""COMPUTED_VALUE"""),"WS В 1510")</f>
        <v>WS В 1510</v>
      </c>
      <c r="C304" s="1429" t="str">
        <f>IFERROR(__xludf.DUMMYFUNCTION("""COMPUTED_VALUE"""),"WS")</f>
        <v>WS</v>
      </c>
      <c r="D304" s="1432">
        <f>IFERROR(__xludf.DUMMYFUNCTION("""COMPUTED_VALUE"""),6.0)</f>
        <v>6</v>
      </c>
      <c r="E304" s="1429">
        <f>IFERROR(__xludf.DUMMYFUNCTION("""COMPUTED_VALUE"""),45450.0)</f>
        <v>45450</v>
      </c>
      <c r="F304" s="1429">
        <f>IFERROR(__xludf.DUMMYFUNCTION("""COMPUTED_VALUE"""),45454.0)</f>
        <v>45454</v>
      </c>
      <c r="G304" s="1164">
        <f>IFERROR(__xludf.DUMMYFUNCTION("""COMPUTED_VALUE"""),4.0)</f>
        <v>4</v>
      </c>
      <c r="H304" s="1430">
        <f>IFERROR(__xludf.DUMMYFUNCTION("""COMPUTED_VALUE"""),147.0)</f>
        <v>147</v>
      </c>
      <c r="I304" s="94"/>
      <c r="J304" s="94"/>
      <c r="K304" s="94">
        <f>IFERROR(__xludf.DUMMYFUNCTION("""COMPUTED_VALUE"""),60.0)</f>
        <v>60</v>
      </c>
      <c r="L304" s="94">
        <f>IFERROR(__xludf.DUMMYFUNCTION("""COMPUTED_VALUE"""),50.0)</f>
        <v>50</v>
      </c>
      <c r="M304" s="94">
        <f>IFERROR(__xludf.DUMMYFUNCTION("""COMPUTED_VALUE"""),10.0)</f>
        <v>10</v>
      </c>
      <c r="N304" s="94"/>
      <c r="O304" s="1430">
        <f>IFERROR(__xludf.DUMMYFUNCTION("""COMPUTED_VALUE"""),10.0)</f>
        <v>10</v>
      </c>
      <c r="P304" s="1431">
        <f>IFERROR(__xludf.DUMMYFUNCTION("""COMPUTED_VALUE"""),2.78)</f>
        <v>2.78</v>
      </c>
      <c r="Q304" s="1432">
        <f>IFERROR(__xludf.DUMMYFUNCTION("""COMPUTED_VALUE"""),408.65999999999997)</f>
        <v>408.66</v>
      </c>
    </row>
    <row r="305" ht="15.75" customHeight="1">
      <c r="A305" s="94"/>
      <c r="B305" s="94" t="str">
        <f>IFERROR(__xludf.DUMMYFUNCTION("""COMPUTED_VALUE"""),"WS В 503")</f>
        <v>WS В 503</v>
      </c>
      <c r="C305" s="1429" t="str">
        <f>IFERROR(__xludf.DUMMYFUNCTION("""COMPUTED_VALUE"""),"WS")</f>
        <v>WS</v>
      </c>
      <c r="D305" s="1432">
        <f>IFERROR(__xludf.DUMMYFUNCTION("""COMPUTED_VALUE"""),6.0)</f>
        <v>6</v>
      </c>
      <c r="E305" s="1429">
        <f>IFERROR(__xludf.DUMMYFUNCTION("""COMPUTED_VALUE"""),45450.0)</f>
        <v>45450</v>
      </c>
      <c r="F305" s="1429">
        <f>IFERROR(__xludf.DUMMYFUNCTION("""COMPUTED_VALUE"""),45454.0)</f>
        <v>45454</v>
      </c>
      <c r="G305" s="1164">
        <f>IFERROR(__xludf.DUMMYFUNCTION("""COMPUTED_VALUE"""),4.0)</f>
        <v>4</v>
      </c>
      <c r="H305" s="1430">
        <f>IFERROR(__xludf.DUMMYFUNCTION("""COMPUTED_VALUE"""),260.0)</f>
        <v>260</v>
      </c>
      <c r="I305" s="94"/>
      <c r="J305" s="94"/>
      <c r="K305" s="94">
        <f>IFERROR(__xludf.DUMMYFUNCTION("""COMPUTED_VALUE"""),70.0)</f>
        <v>70</v>
      </c>
      <c r="L305" s="94">
        <f>IFERROR(__xludf.DUMMYFUNCTION("""COMPUTED_VALUE"""),50.0)</f>
        <v>50</v>
      </c>
      <c r="M305" s="94">
        <f>IFERROR(__xludf.DUMMYFUNCTION("""COMPUTED_VALUE"""),20.0)</f>
        <v>20</v>
      </c>
      <c r="N305" s="94"/>
      <c r="O305" s="1430">
        <f>IFERROR(__xludf.DUMMYFUNCTION("""COMPUTED_VALUE"""),20.0)</f>
        <v>20</v>
      </c>
      <c r="P305" s="1431">
        <f>IFERROR(__xludf.DUMMYFUNCTION("""COMPUTED_VALUE"""),2.78)</f>
        <v>2.78</v>
      </c>
      <c r="Q305" s="1432">
        <f>IFERROR(__xludf.DUMMYFUNCTION("""COMPUTED_VALUE"""),722.8)</f>
        <v>722.8</v>
      </c>
    </row>
    <row r="306" ht="15.75" customHeight="1">
      <c r="A306" s="94"/>
      <c r="B306" s="94" t="str">
        <f>IFERROR(__xludf.DUMMYFUNCTION("""COMPUTED_VALUE"""),"WS F 907")</f>
        <v>WS F 907</v>
      </c>
      <c r="C306" s="1429" t="str">
        <f>IFERROR(__xludf.DUMMYFUNCTION("""COMPUTED_VALUE"""),"WS")</f>
        <v>WS</v>
      </c>
      <c r="D306" s="1432">
        <f>IFERROR(__xludf.DUMMYFUNCTION("""COMPUTED_VALUE"""),6.0)</f>
        <v>6</v>
      </c>
      <c r="E306" s="1429">
        <f>IFERROR(__xludf.DUMMYFUNCTION("""COMPUTED_VALUE"""),45450.0)</f>
        <v>45450</v>
      </c>
      <c r="F306" s="1429">
        <f>IFERROR(__xludf.DUMMYFUNCTION("""COMPUTED_VALUE"""),45456.0)</f>
        <v>45456</v>
      </c>
      <c r="G306" s="1164">
        <f>IFERROR(__xludf.DUMMYFUNCTION("""COMPUTED_VALUE"""),6.0)</f>
        <v>6</v>
      </c>
      <c r="H306" s="1430">
        <f>IFERROR(__xludf.DUMMYFUNCTION("""COMPUTED_VALUE"""),169.0)</f>
        <v>169</v>
      </c>
      <c r="I306" s="94"/>
      <c r="J306" s="94"/>
      <c r="K306" s="94">
        <f>IFERROR(__xludf.DUMMYFUNCTION("""COMPUTED_VALUE"""),60.0)</f>
        <v>60</v>
      </c>
      <c r="L306" s="94">
        <f>IFERROR(__xludf.DUMMYFUNCTION("""COMPUTED_VALUE"""),50.0)</f>
        <v>50</v>
      </c>
      <c r="M306" s="94">
        <f>IFERROR(__xludf.DUMMYFUNCTION("""COMPUTED_VALUE"""),10.0)</f>
        <v>10</v>
      </c>
      <c r="N306" s="94"/>
      <c r="O306" s="1430">
        <f>IFERROR(__xludf.DUMMYFUNCTION("""COMPUTED_VALUE"""),10.0)</f>
        <v>10</v>
      </c>
      <c r="P306" s="1431">
        <f>IFERROR(__xludf.DUMMYFUNCTION("""COMPUTED_VALUE"""),2.78)</f>
        <v>2.78</v>
      </c>
      <c r="Q306" s="1432">
        <f>IFERROR(__xludf.DUMMYFUNCTION("""COMPUTED_VALUE"""),469.82)</f>
        <v>469.82</v>
      </c>
    </row>
    <row r="307" ht="15.75" customHeight="1">
      <c r="A307" s="94"/>
      <c r="B307" s="94" t="str">
        <f>IFERROR(__xludf.DUMMYFUNCTION("""COMPUTED_VALUE"""),"WS A 713")</f>
        <v>WS A 713</v>
      </c>
      <c r="C307" s="1429" t="str">
        <f>IFERROR(__xludf.DUMMYFUNCTION("""COMPUTED_VALUE"""),"WS")</f>
        <v>WS</v>
      </c>
      <c r="D307" s="1432">
        <f>IFERROR(__xludf.DUMMYFUNCTION("""COMPUTED_VALUE"""),6.0)</f>
        <v>6</v>
      </c>
      <c r="E307" s="1429">
        <f>IFERROR(__xludf.DUMMYFUNCTION("""COMPUTED_VALUE"""),45451.0)</f>
        <v>45451</v>
      </c>
      <c r="F307" s="1429">
        <f>IFERROR(__xludf.DUMMYFUNCTION("""COMPUTED_VALUE"""),45457.0)</f>
        <v>45457</v>
      </c>
      <c r="G307" s="1164">
        <f>IFERROR(__xludf.DUMMYFUNCTION("""COMPUTED_VALUE"""),6.0)</f>
        <v>6</v>
      </c>
      <c r="H307" s="94"/>
      <c r="I307" s="94">
        <f>IFERROR(__xludf.DUMMYFUNCTION("""COMPUTED_VALUE"""),663.5)</f>
        <v>663.5</v>
      </c>
      <c r="J307" s="94"/>
      <c r="K307" s="94">
        <f>IFERROR(__xludf.DUMMYFUNCTION("""COMPUTED_VALUE"""),60.0)</f>
        <v>60</v>
      </c>
      <c r="L307" s="94">
        <f>IFERROR(__xludf.DUMMYFUNCTION("""COMPUTED_VALUE"""),50.0)</f>
        <v>50</v>
      </c>
      <c r="M307" s="94">
        <f>IFERROR(__xludf.DUMMYFUNCTION("""COMPUTED_VALUE"""),10.0)</f>
        <v>10</v>
      </c>
      <c r="N307" s="94"/>
      <c r="O307" s="1430">
        <f>IFERROR(__xludf.DUMMYFUNCTION("""COMPUTED_VALUE"""),10.0)</f>
        <v>10</v>
      </c>
      <c r="P307" s="1431">
        <f>IFERROR(__xludf.DUMMYFUNCTION("""COMPUTED_VALUE"""),2.78)</f>
        <v>2.78</v>
      </c>
      <c r="Q307" s="1432">
        <f>IFERROR(__xludf.DUMMYFUNCTION("""COMPUTED_VALUE"""),663.5)</f>
        <v>663.5</v>
      </c>
    </row>
    <row r="308" ht="15.75" customHeight="1">
      <c r="A308" s="94"/>
      <c r="B308" s="94" t="str">
        <f>IFERROR(__xludf.DUMMYFUNCTION("""COMPUTED_VALUE"""),"WS A 409")</f>
        <v>WS A 409</v>
      </c>
      <c r="C308" s="1429" t="str">
        <f>IFERROR(__xludf.DUMMYFUNCTION("""COMPUTED_VALUE"""),"WS")</f>
        <v>WS</v>
      </c>
      <c r="D308" s="1432">
        <f>IFERROR(__xludf.DUMMYFUNCTION("""COMPUTED_VALUE"""),6.0)</f>
        <v>6</v>
      </c>
      <c r="E308" s="1429">
        <f>IFERROR(__xludf.DUMMYFUNCTION("""COMPUTED_VALUE"""),45451.0)</f>
        <v>45451</v>
      </c>
      <c r="F308" s="1429">
        <f>IFERROR(__xludf.DUMMYFUNCTION("""COMPUTED_VALUE"""),45457.0)</f>
        <v>45457</v>
      </c>
      <c r="G308" s="1164">
        <f>IFERROR(__xludf.DUMMYFUNCTION("""COMPUTED_VALUE"""),6.0)</f>
        <v>6</v>
      </c>
      <c r="H308" s="94"/>
      <c r="I308" s="94">
        <f>IFERROR(__xludf.DUMMYFUNCTION("""COMPUTED_VALUE"""),663.5)</f>
        <v>663.5</v>
      </c>
      <c r="J308" s="94"/>
      <c r="K308" s="94">
        <f>IFERROR(__xludf.DUMMYFUNCTION("""COMPUTED_VALUE"""),60.0)</f>
        <v>60</v>
      </c>
      <c r="L308" s="94">
        <f>IFERROR(__xludf.DUMMYFUNCTION("""COMPUTED_VALUE"""),50.0)</f>
        <v>50</v>
      </c>
      <c r="M308" s="94">
        <f>IFERROR(__xludf.DUMMYFUNCTION("""COMPUTED_VALUE"""),10.0)</f>
        <v>10</v>
      </c>
      <c r="N308" s="94"/>
      <c r="O308" s="1430">
        <f>IFERROR(__xludf.DUMMYFUNCTION("""COMPUTED_VALUE"""),10.0)</f>
        <v>10</v>
      </c>
      <c r="P308" s="1431">
        <f>IFERROR(__xludf.DUMMYFUNCTION("""COMPUTED_VALUE"""),2.78)</f>
        <v>2.78</v>
      </c>
      <c r="Q308" s="1432">
        <f>IFERROR(__xludf.DUMMYFUNCTION("""COMPUTED_VALUE"""),663.5)</f>
        <v>663.5</v>
      </c>
    </row>
    <row r="309" ht="15.75" customHeight="1">
      <c r="A309" s="94"/>
      <c r="B309" s="94" t="str">
        <f>IFERROR(__xludf.DUMMYFUNCTION("""COMPUTED_VALUE"""),"CM 1604")</f>
        <v>CM 1604</v>
      </c>
      <c r="C309" s="1429" t="str">
        <f>IFERROR(__xludf.DUMMYFUNCTION("""COMPUTED_VALUE"""),"MAR")</f>
        <v>MAR</v>
      </c>
      <c r="D309" s="1432">
        <f>IFERROR(__xludf.DUMMYFUNCTION("""COMPUTED_VALUE"""),6.0)</f>
        <v>6</v>
      </c>
      <c r="E309" s="1429">
        <f>IFERROR(__xludf.DUMMYFUNCTION("""COMPUTED_VALUE"""),45451.0)</f>
        <v>45451</v>
      </c>
      <c r="F309" s="1429">
        <f>IFERROR(__xludf.DUMMYFUNCTION("""COMPUTED_VALUE"""),45454.0)</f>
        <v>45454</v>
      </c>
      <c r="G309" s="1164">
        <f>IFERROR(__xludf.DUMMYFUNCTION("""COMPUTED_VALUE"""),3.0)</f>
        <v>3</v>
      </c>
      <c r="H309" s="1430">
        <f>IFERROR(__xludf.DUMMYFUNCTION("""COMPUTED_VALUE"""),190.0)</f>
        <v>190</v>
      </c>
      <c r="I309" s="94"/>
      <c r="J309" s="94"/>
      <c r="K309" s="94">
        <f>IFERROR(__xludf.DUMMYFUNCTION("""COMPUTED_VALUE"""),70.0)</f>
        <v>70</v>
      </c>
      <c r="L309" s="94">
        <f>IFERROR(__xludf.DUMMYFUNCTION("""COMPUTED_VALUE"""),60.0)</f>
        <v>60</v>
      </c>
      <c r="M309" s="94">
        <f>IFERROR(__xludf.DUMMYFUNCTION("""COMPUTED_VALUE"""),10.0)</f>
        <v>10</v>
      </c>
      <c r="N309" s="94"/>
      <c r="O309" s="1430">
        <f>IFERROR(__xludf.DUMMYFUNCTION("""COMPUTED_VALUE"""),10.0)</f>
        <v>10</v>
      </c>
      <c r="P309" s="1431">
        <f>IFERROR(__xludf.DUMMYFUNCTION("""COMPUTED_VALUE"""),2.78)</f>
        <v>2.78</v>
      </c>
      <c r="Q309" s="1432">
        <f>IFERROR(__xludf.DUMMYFUNCTION("""COMPUTED_VALUE"""),528.1999999999999)</f>
        <v>528.2</v>
      </c>
    </row>
    <row r="310" ht="15.75" customHeight="1">
      <c r="A310" s="94"/>
      <c r="B310" s="94" t="str">
        <f>IFERROR(__xludf.DUMMYFUNCTION("""COMPUTED_VALUE"""),"CM 1606")</f>
        <v>CM 1606</v>
      </c>
      <c r="C310" s="1429" t="str">
        <f>IFERROR(__xludf.DUMMYFUNCTION("""COMPUTED_VALUE"""),"MAR")</f>
        <v>MAR</v>
      </c>
      <c r="D310" s="1432">
        <f>IFERROR(__xludf.DUMMYFUNCTION("""COMPUTED_VALUE"""),6.0)</f>
        <v>6</v>
      </c>
      <c r="E310" s="1429">
        <f>IFERROR(__xludf.DUMMYFUNCTION("""COMPUTED_VALUE"""),45451.0)</f>
        <v>45451</v>
      </c>
      <c r="F310" s="1429">
        <f>IFERROR(__xludf.DUMMYFUNCTION("""COMPUTED_VALUE"""),45454.0)</f>
        <v>45454</v>
      </c>
      <c r="G310" s="1164">
        <f>IFERROR(__xludf.DUMMYFUNCTION("""COMPUTED_VALUE"""),3.0)</f>
        <v>3</v>
      </c>
      <c r="H310" s="1430">
        <f>IFERROR(__xludf.DUMMYFUNCTION("""COMPUTED_VALUE"""),111.0)</f>
        <v>111</v>
      </c>
      <c r="I310" s="94"/>
      <c r="J310" s="94"/>
      <c r="K310" s="94">
        <f>IFERROR(__xludf.DUMMYFUNCTION("""COMPUTED_VALUE"""),60.0)</f>
        <v>60</v>
      </c>
      <c r="L310" s="94">
        <f>IFERROR(__xludf.DUMMYFUNCTION("""COMPUTED_VALUE"""),50.0)</f>
        <v>50</v>
      </c>
      <c r="M310" s="94">
        <f>IFERROR(__xludf.DUMMYFUNCTION("""COMPUTED_VALUE"""),10.0)</f>
        <v>10</v>
      </c>
      <c r="N310" s="94"/>
      <c r="O310" s="1430">
        <f>IFERROR(__xludf.DUMMYFUNCTION("""COMPUTED_VALUE"""),10.0)</f>
        <v>10</v>
      </c>
      <c r="P310" s="1431">
        <f>IFERROR(__xludf.DUMMYFUNCTION("""COMPUTED_VALUE"""),2.78)</f>
        <v>2.78</v>
      </c>
      <c r="Q310" s="1432">
        <f>IFERROR(__xludf.DUMMYFUNCTION("""COMPUTED_VALUE"""),308.58)</f>
        <v>308.58</v>
      </c>
    </row>
    <row r="311" ht="15.75" customHeight="1">
      <c r="A311" s="94"/>
      <c r="B311" s="94" t="str">
        <f>IFERROR(__xludf.DUMMYFUNCTION("""COMPUTED_VALUE"""),"CM 1931")</f>
        <v>CM 1931</v>
      </c>
      <c r="C311" s="1429" t="str">
        <f>IFERROR(__xludf.DUMMYFUNCTION("""COMPUTED_VALUE"""),"MAR")</f>
        <v>MAR</v>
      </c>
      <c r="D311" s="1432">
        <f>IFERROR(__xludf.DUMMYFUNCTION("""COMPUTED_VALUE"""),6.0)</f>
        <v>6</v>
      </c>
      <c r="E311" s="1429">
        <f>IFERROR(__xludf.DUMMYFUNCTION("""COMPUTED_VALUE"""),45451.0)</f>
        <v>45451</v>
      </c>
      <c r="F311" s="1429">
        <f>IFERROR(__xludf.DUMMYFUNCTION("""COMPUTED_VALUE"""),45454.0)</f>
        <v>45454</v>
      </c>
      <c r="G311" s="1164">
        <f>IFERROR(__xludf.DUMMYFUNCTION("""COMPUTED_VALUE"""),3.0)</f>
        <v>3</v>
      </c>
      <c r="H311" s="1430">
        <f>IFERROR(__xludf.DUMMYFUNCTION("""COMPUTED_VALUE"""),105.0)</f>
        <v>105</v>
      </c>
      <c r="I311" s="94"/>
      <c r="J311" s="94"/>
      <c r="K311" s="94">
        <f>IFERROR(__xludf.DUMMYFUNCTION("""COMPUTED_VALUE"""),60.0)</f>
        <v>60</v>
      </c>
      <c r="L311" s="94">
        <f>IFERROR(__xludf.DUMMYFUNCTION("""COMPUTED_VALUE"""),50.0)</f>
        <v>50</v>
      </c>
      <c r="M311" s="94">
        <f>IFERROR(__xludf.DUMMYFUNCTION("""COMPUTED_VALUE"""),10.0)</f>
        <v>10</v>
      </c>
      <c r="N311" s="94"/>
      <c r="O311" s="1430">
        <f>IFERROR(__xludf.DUMMYFUNCTION("""COMPUTED_VALUE"""),10.0)</f>
        <v>10</v>
      </c>
      <c r="P311" s="1431">
        <f>IFERROR(__xludf.DUMMYFUNCTION("""COMPUTED_VALUE"""),2.78)</f>
        <v>2.78</v>
      </c>
      <c r="Q311" s="1432">
        <f>IFERROR(__xludf.DUMMYFUNCTION("""COMPUTED_VALUE"""),291.9)</f>
        <v>291.9</v>
      </c>
    </row>
    <row r="312" ht="15.75" customHeight="1">
      <c r="A312" s="94"/>
      <c r="B312" s="94" t="str">
        <f>IFERROR(__xludf.DUMMYFUNCTION("""COMPUTED_VALUE"""),"DL 4-09")</f>
        <v>DL 4-09</v>
      </c>
      <c r="C312" s="1429" t="str">
        <f>IFERROR(__xludf.DUMMYFUNCTION("""COMPUTED_VALUE"""),"DL")</f>
        <v>DL</v>
      </c>
      <c r="D312" s="1432">
        <f>IFERROR(__xludf.DUMMYFUNCTION("""COMPUTED_VALUE"""),6.0)</f>
        <v>6</v>
      </c>
      <c r="E312" s="1429">
        <f>IFERROR(__xludf.DUMMYFUNCTION("""COMPUTED_VALUE"""),45452.0)</f>
        <v>45452</v>
      </c>
      <c r="F312" s="1429">
        <f>IFERROR(__xludf.DUMMYFUNCTION("""COMPUTED_VALUE"""),45455.0)</f>
        <v>45455</v>
      </c>
      <c r="G312" s="1164">
        <f>IFERROR(__xludf.DUMMYFUNCTION("""COMPUTED_VALUE"""),3.0)</f>
        <v>3</v>
      </c>
      <c r="H312" s="1430">
        <f>IFERROR(__xludf.DUMMYFUNCTION("""COMPUTED_VALUE"""),141.0)</f>
        <v>141</v>
      </c>
      <c r="I312" s="94"/>
      <c r="J312" s="94"/>
      <c r="K312" s="94">
        <f>IFERROR(__xludf.DUMMYFUNCTION("""COMPUTED_VALUE"""),95.0)</f>
        <v>95</v>
      </c>
      <c r="L312" s="94">
        <f>IFERROR(__xludf.DUMMYFUNCTION("""COMPUTED_VALUE"""),95.0)</f>
        <v>95</v>
      </c>
      <c r="M312" s="94">
        <f>IFERROR(__xludf.DUMMYFUNCTION("""COMPUTED_VALUE"""),0.0)</f>
        <v>0</v>
      </c>
      <c r="N312" s="94"/>
      <c r="O312" s="1430">
        <f>IFERROR(__xludf.DUMMYFUNCTION("""COMPUTED_VALUE"""),0.0)</f>
        <v>0</v>
      </c>
      <c r="P312" s="1431">
        <f>IFERROR(__xludf.DUMMYFUNCTION("""COMPUTED_VALUE"""),2.78)</f>
        <v>2.78</v>
      </c>
      <c r="Q312" s="1432">
        <f>IFERROR(__xludf.DUMMYFUNCTION("""COMPUTED_VALUE"""),391.97999999999996)</f>
        <v>391.98</v>
      </c>
    </row>
    <row r="313" ht="15.75" customHeight="1">
      <c r="A313" s="94"/>
      <c r="B313" s="94" t="str">
        <f>IFERROR(__xludf.DUMMYFUNCTION("""COMPUTED_VALUE"""),"Wyn")</f>
        <v>Wyn</v>
      </c>
      <c r="C313" s="1429" t="str">
        <f>IFERROR(__xludf.DUMMYFUNCTION("""COMPUTED_VALUE"""),"Other")</f>
        <v>Other</v>
      </c>
      <c r="D313" s="1432">
        <f>IFERROR(__xludf.DUMMYFUNCTION("""COMPUTED_VALUE"""),6.0)</f>
        <v>6</v>
      </c>
      <c r="E313" s="1429">
        <f>IFERROR(__xludf.DUMMYFUNCTION("""COMPUTED_VALUE"""),45452.0)</f>
        <v>45452</v>
      </c>
      <c r="F313" s="1429">
        <f>IFERROR(__xludf.DUMMYFUNCTION("""COMPUTED_VALUE"""),45455.0)</f>
        <v>45455</v>
      </c>
      <c r="G313" s="1164">
        <f>IFERROR(__xludf.DUMMYFUNCTION("""COMPUTED_VALUE"""),3.0)</f>
        <v>3</v>
      </c>
      <c r="H313" s="1430">
        <f>IFERROR(__xludf.DUMMYFUNCTION("""COMPUTED_VALUE"""),88.0)</f>
        <v>88</v>
      </c>
      <c r="I313" s="94"/>
      <c r="J313" s="94"/>
      <c r="K313" s="94">
        <f>IFERROR(__xludf.DUMMYFUNCTION("""COMPUTED_VALUE"""),70.0)</f>
        <v>70</v>
      </c>
      <c r="L313" s="94">
        <f>IFERROR(__xludf.DUMMYFUNCTION("""COMPUTED_VALUE"""),60.0)</f>
        <v>60</v>
      </c>
      <c r="M313" s="94">
        <f>IFERROR(__xludf.DUMMYFUNCTION("""COMPUTED_VALUE"""),10.0)</f>
        <v>10</v>
      </c>
      <c r="N313" s="94"/>
      <c r="O313" s="1430">
        <f>IFERROR(__xludf.DUMMYFUNCTION("""COMPUTED_VALUE"""),10.0)</f>
        <v>10</v>
      </c>
      <c r="P313" s="1431">
        <f>IFERROR(__xludf.DUMMYFUNCTION("""COMPUTED_VALUE"""),2.78)</f>
        <v>2.78</v>
      </c>
      <c r="Q313" s="1432">
        <f>IFERROR(__xludf.DUMMYFUNCTION("""COMPUTED_VALUE"""),244.64)</f>
        <v>244.64</v>
      </c>
    </row>
    <row r="314" ht="15.75" customHeight="1">
      <c r="A314" s="94"/>
      <c r="B314" s="94" t="str">
        <f>IFERROR(__xludf.DUMMYFUNCTION("""COMPUTED_VALUE"""),"С 2756")</f>
        <v>С 2756</v>
      </c>
      <c r="C314" s="1429" t="str">
        <f>IFERROR(__xludf.DUMMYFUNCTION("""COMPUTED_VALUE"""),"ORBI")</f>
        <v>ORBI</v>
      </c>
      <c r="D314" s="1432">
        <f>IFERROR(__xludf.DUMMYFUNCTION("""COMPUTED_VALUE"""),6.0)</f>
        <v>6</v>
      </c>
      <c r="E314" s="1429">
        <f>IFERROR(__xludf.DUMMYFUNCTION("""COMPUTED_VALUE"""),45451.0)</f>
        <v>45451</v>
      </c>
      <c r="F314" s="1429">
        <f>IFERROR(__xludf.DUMMYFUNCTION("""COMPUTED_VALUE"""),45454.0)</f>
        <v>45454</v>
      </c>
      <c r="G314" s="1164">
        <f>IFERROR(__xludf.DUMMYFUNCTION("""COMPUTED_VALUE"""),3.0)</f>
        <v>3</v>
      </c>
      <c r="H314" s="1430">
        <f>IFERROR(__xludf.DUMMYFUNCTION("""COMPUTED_VALUE"""),72.0)</f>
        <v>72</v>
      </c>
      <c r="I314" s="94"/>
      <c r="J314" s="94"/>
      <c r="K314" s="94">
        <f>IFERROR(__xludf.DUMMYFUNCTION("""COMPUTED_VALUE"""),50.0)</f>
        <v>50</v>
      </c>
      <c r="L314" s="94">
        <f>IFERROR(__xludf.DUMMYFUNCTION("""COMPUTED_VALUE"""),45.0)</f>
        <v>45</v>
      </c>
      <c r="M314" s="94">
        <f>IFERROR(__xludf.DUMMYFUNCTION("""COMPUTED_VALUE"""),5.0)</f>
        <v>5</v>
      </c>
      <c r="N314" s="94"/>
      <c r="O314" s="1430">
        <f>IFERROR(__xludf.DUMMYFUNCTION("""COMPUTED_VALUE"""),5.0)</f>
        <v>5</v>
      </c>
      <c r="P314" s="1431">
        <f>IFERROR(__xludf.DUMMYFUNCTION("""COMPUTED_VALUE"""),2.78)</f>
        <v>2.78</v>
      </c>
      <c r="Q314" s="1432">
        <f>IFERROR(__xludf.DUMMYFUNCTION("""COMPUTED_VALUE"""),200.16)</f>
        <v>200.16</v>
      </c>
    </row>
    <row r="315" ht="15.75" customHeight="1">
      <c r="A315" s="94"/>
      <c r="B315" s="94" t="str">
        <f>IFERROR(__xludf.DUMMYFUNCTION("""COMPUTED_VALUE"""),"WS A 1312")</f>
        <v>WS A 1312</v>
      </c>
      <c r="C315" s="1429" t="str">
        <f>IFERROR(__xludf.DUMMYFUNCTION("""COMPUTED_VALUE"""),"WS")</f>
        <v>WS</v>
      </c>
      <c r="D315" s="1432">
        <f>IFERROR(__xludf.DUMMYFUNCTION("""COMPUTED_VALUE"""),6.0)</f>
        <v>6</v>
      </c>
      <c r="E315" s="1429">
        <f>IFERROR(__xludf.DUMMYFUNCTION("""COMPUTED_VALUE"""),45452.0)</f>
        <v>45452</v>
      </c>
      <c r="F315" s="1429">
        <f>IFERROR(__xludf.DUMMYFUNCTION("""COMPUTED_VALUE"""),45464.0)</f>
        <v>45464</v>
      </c>
      <c r="G315" s="1164">
        <f>IFERROR(__xludf.DUMMYFUNCTION("""COMPUTED_VALUE"""),12.0)</f>
        <v>12</v>
      </c>
      <c r="H315" s="94"/>
      <c r="I315" s="94">
        <f>IFERROR(__xludf.DUMMYFUNCTION("""COMPUTED_VALUE"""),1092.0)</f>
        <v>1092</v>
      </c>
      <c r="J315" s="94"/>
      <c r="K315" s="94">
        <f>IFERROR(__xludf.DUMMYFUNCTION("""COMPUTED_VALUE"""),60.0)</f>
        <v>60</v>
      </c>
      <c r="L315" s="94">
        <f>IFERROR(__xludf.DUMMYFUNCTION("""COMPUTED_VALUE"""),50.0)</f>
        <v>50</v>
      </c>
      <c r="M315" s="94">
        <f>IFERROR(__xludf.DUMMYFUNCTION("""COMPUTED_VALUE"""),10.0)</f>
        <v>10</v>
      </c>
      <c r="N315" s="94"/>
      <c r="O315" s="1430">
        <f>IFERROR(__xludf.DUMMYFUNCTION("""COMPUTED_VALUE"""),10.0)</f>
        <v>10</v>
      </c>
      <c r="P315" s="1431">
        <f>IFERROR(__xludf.DUMMYFUNCTION("""COMPUTED_VALUE"""),2.78)</f>
        <v>2.78</v>
      </c>
      <c r="Q315" s="1432">
        <f>IFERROR(__xludf.DUMMYFUNCTION("""COMPUTED_VALUE"""),1092.0)</f>
        <v>1092</v>
      </c>
    </row>
    <row r="316" ht="15.75" customHeight="1">
      <c r="A316" s="94" t="str">
        <f>IFERROR(__xludf.DUMMYFUNCTION("""COMPUTED_VALUE"""),"Итого неделя")</f>
        <v>Итого неделя</v>
      </c>
      <c r="B316" s="94" t="str">
        <f>IFERROR(__xludf.DUMMYFUNCTION("""COMPUTED_VALUE"""),"23 неделя")</f>
        <v>23 неделя</v>
      </c>
      <c r="C316" s="94">
        <f>IFERROR(__xludf.DUMMYFUNCTION("""COMPUTED_VALUE"""),0.0)</f>
        <v>0</v>
      </c>
      <c r="D316" s="94"/>
      <c r="E316" s="94"/>
      <c r="F316" s="94"/>
      <c r="G316" s="1164">
        <f>IFERROR(__xludf.DUMMYFUNCTION("""COMPUTED_VALUE"""),160.0)</f>
        <v>160</v>
      </c>
      <c r="H316" s="1430">
        <f>IFERROR(__xludf.DUMMYFUNCTION("""COMPUTED_VALUE"""),4662.0)</f>
        <v>4662</v>
      </c>
      <c r="I316" s="94">
        <f>IFERROR(__xludf.DUMMYFUNCTION("""COMPUTED_VALUE"""),2589.0)</f>
        <v>2589</v>
      </c>
      <c r="J316" s="94">
        <f>IFERROR(__xludf.DUMMYFUNCTION("""COMPUTED_VALUE"""),0.0)</f>
        <v>0</v>
      </c>
      <c r="K316" s="94">
        <f>IFERROR(__xludf.DUMMYFUNCTION("""COMPUTED_VALUE"""),1995.0)</f>
        <v>1995</v>
      </c>
      <c r="L316" s="94">
        <f>IFERROR(__xludf.DUMMYFUNCTION("""COMPUTED_VALUE"""),1775.0)</f>
        <v>1775</v>
      </c>
      <c r="M316" s="94">
        <f>IFERROR(__xludf.DUMMYFUNCTION("""COMPUTED_VALUE"""),220.0)</f>
        <v>220</v>
      </c>
      <c r="N316" s="94">
        <f>IFERROR(__xludf.DUMMYFUNCTION("""COMPUTED_VALUE"""),0.0)</f>
        <v>0</v>
      </c>
      <c r="O316" s="1430">
        <f>IFERROR(__xludf.DUMMYFUNCTION("""COMPUTED_VALUE"""),220.0)</f>
        <v>220</v>
      </c>
      <c r="P316" s="94"/>
      <c r="Q316" s="1432">
        <f>IFERROR(__xludf.DUMMYFUNCTION("""COMPUTED_VALUE"""),15549.359999999999)</f>
        <v>15549.36</v>
      </c>
    </row>
    <row r="317" ht="15.75" customHeight="1">
      <c r="A317" s="94"/>
      <c r="B317" s="94" t="str">
        <f>IFERROR(__xludf.DUMMYFUNCTION("""COMPUTED_VALUE"""),"DL 11-1305")</f>
        <v>DL 11-1305</v>
      </c>
      <c r="C317" s="1429" t="str">
        <f>IFERROR(__xludf.DUMMYFUNCTION("""COMPUTED_VALUE"""),"DL")</f>
        <v>DL</v>
      </c>
      <c r="D317" s="1432">
        <f>IFERROR(__xludf.DUMMYFUNCTION("""COMPUTED_VALUE"""),6.0)</f>
        <v>6</v>
      </c>
      <c r="E317" s="1429">
        <f>IFERROR(__xludf.DUMMYFUNCTION("""COMPUTED_VALUE"""),45453.0)</f>
        <v>45453</v>
      </c>
      <c r="F317" s="1429">
        <f>IFERROR(__xludf.DUMMYFUNCTION("""COMPUTED_VALUE"""),45457.0)</f>
        <v>45457</v>
      </c>
      <c r="G317" s="1164">
        <f>IFERROR(__xludf.DUMMYFUNCTION("""COMPUTED_VALUE"""),4.0)</f>
        <v>4</v>
      </c>
      <c r="H317" s="1430">
        <f>IFERROR(__xludf.DUMMYFUNCTION("""COMPUTED_VALUE"""),261.0)</f>
        <v>261</v>
      </c>
      <c r="I317" s="94"/>
      <c r="J317" s="94"/>
      <c r="K317" s="94">
        <f>IFERROR(__xludf.DUMMYFUNCTION("""COMPUTED_VALUE"""),105.0)</f>
        <v>105</v>
      </c>
      <c r="L317" s="94">
        <f>IFERROR(__xludf.DUMMYFUNCTION("""COMPUTED_VALUE"""),105.0)</f>
        <v>105</v>
      </c>
      <c r="M317" s="94">
        <f>IFERROR(__xludf.DUMMYFUNCTION("""COMPUTED_VALUE"""),0.0)</f>
        <v>0</v>
      </c>
      <c r="N317" s="94"/>
      <c r="O317" s="1430">
        <f>IFERROR(__xludf.DUMMYFUNCTION("""COMPUTED_VALUE"""),0.0)</f>
        <v>0</v>
      </c>
      <c r="P317" s="1431">
        <f>IFERROR(__xludf.DUMMYFUNCTION("""COMPUTED_VALUE"""),2.78)</f>
        <v>2.78</v>
      </c>
      <c r="Q317" s="1432">
        <f>IFERROR(__xludf.DUMMYFUNCTION("""COMPUTED_VALUE"""),725.5799999999999)</f>
        <v>725.58</v>
      </c>
    </row>
    <row r="318" ht="15.75" customHeight="1">
      <c r="A318" s="94"/>
      <c r="B318" s="94" t="str">
        <f>IFERROR(__xludf.DUMMYFUNCTION("""COMPUTED_VALUE"""),"Шар 2505")</f>
        <v>Шар 2505</v>
      </c>
      <c r="C318" s="1429" t="str">
        <f>IFERROR(__xludf.DUMMYFUNCTION("""COMPUTED_VALUE"""),"Other")</f>
        <v>Other</v>
      </c>
      <c r="D318" s="1432">
        <f>IFERROR(__xludf.DUMMYFUNCTION("""COMPUTED_VALUE"""),6.0)</f>
        <v>6</v>
      </c>
      <c r="E318" s="1429">
        <f>IFERROR(__xludf.DUMMYFUNCTION("""COMPUTED_VALUE"""),45454.0)</f>
        <v>45454</v>
      </c>
      <c r="F318" s="1429">
        <f>IFERROR(__xludf.DUMMYFUNCTION("""COMPUTED_VALUE"""),45459.0)</f>
        <v>45459</v>
      </c>
      <c r="G318" s="1164">
        <f>IFERROR(__xludf.DUMMYFUNCTION("""COMPUTED_VALUE"""),5.0)</f>
        <v>5</v>
      </c>
      <c r="H318" s="1430">
        <f>IFERROR(__xludf.DUMMYFUNCTION("""COMPUTED_VALUE"""),244.0)</f>
        <v>244</v>
      </c>
      <c r="I318" s="94"/>
      <c r="J318" s="94"/>
      <c r="K318" s="94">
        <f>IFERROR(__xludf.DUMMYFUNCTION("""COMPUTED_VALUE"""),60.0)</f>
        <v>60</v>
      </c>
      <c r="L318" s="94">
        <f>IFERROR(__xludf.DUMMYFUNCTION("""COMPUTED_VALUE"""),50.0)</f>
        <v>50</v>
      </c>
      <c r="M318" s="94">
        <f>IFERROR(__xludf.DUMMYFUNCTION("""COMPUTED_VALUE"""),10.0)</f>
        <v>10</v>
      </c>
      <c r="N318" s="94"/>
      <c r="O318" s="1430">
        <f>IFERROR(__xludf.DUMMYFUNCTION("""COMPUTED_VALUE"""),10.0)</f>
        <v>10</v>
      </c>
      <c r="P318" s="1431">
        <f>IFERROR(__xludf.DUMMYFUNCTION("""COMPUTED_VALUE"""),2.78)</f>
        <v>2.78</v>
      </c>
      <c r="Q318" s="1432">
        <f>IFERROR(__xludf.DUMMYFUNCTION("""COMPUTED_VALUE"""),678.3199999999999)</f>
        <v>678.32</v>
      </c>
    </row>
    <row r="319" ht="15.75" customHeight="1">
      <c r="A319" s="94"/>
      <c r="B319" s="94" t="str">
        <f>IFERROR(__xludf.DUMMYFUNCTION("""COMPUTED_VALUE"""),"С 1443")</f>
        <v>С 1443</v>
      </c>
      <c r="C319" s="1429" t="str">
        <f>IFERROR(__xludf.DUMMYFUNCTION("""COMPUTED_VALUE"""),"ORBI")</f>
        <v>ORBI</v>
      </c>
      <c r="D319" s="1432">
        <f>IFERROR(__xludf.DUMMYFUNCTION("""COMPUTED_VALUE"""),6.0)</f>
        <v>6</v>
      </c>
      <c r="E319" s="1429">
        <f>IFERROR(__xludf.DUMMYFUNCTION("""COMPUTED_VALUE"""),45453.0)</f>
        <v>45453</v>
      </c>
      <c r="F319" s="1429">
        <f>IFERROR(__xludf.DUMMYFUNCTION("""COMPUTED_VALUE"""),45456.0)</f>
        <v>45456</v>
      </c>
      <c r="G319" s="1164">
        <f>IFERROR(__xludf.DUMMYFUNCTION("""COMPUTED_VALUE"""),3.0)</f>
        <v>3</v>
      </c>
      <c r="H319" s="1430">
        <f>IFERROR(__xludf.DUMMYFUNCTION("""COMPUTED_VALUE"""),82.0)</f>
        <v>82</v>
      </c>
      <c r="I319" s="94"/>
      <c r="J319" s="94"/>
      <c r="K319" s="94">
        <f>IFERROR(__xludf.DUMMYFUNCTION("""COMPUTED_VALUE"""),70.0)</f>
        <v>70</v>
      </c>
      <c r="L319" s="94">
        <f>IFERROR(__xludf.DUMMYFUNCTION("""COMPUTED_VALUE"""),55.0)</f>
        <v>55</v>
      </c>
      <c r="M319" s="94">
        <f>IFERROR(__xludf.DUMMYFUNCTION("""COMPUTED_VALUE"""),15.0)</f>
        <v>15</v>
      </c>
      <c r="N319" s="94"/>
      <c r="O319" s="1430">
        <f>IFERROR(__xludf.DUMMYFUNCTION("""COMPUTED_VALUE"""),15.0)</f>
        <v>15</v>
      </c>
      <c r="P319" s="1431">
        <f>IFERROR(__xludf.DUMMYFUNCTION("""COMPUTED_VALUE"""),2.78)</f>
        <v>2.78</v>
      </c>
      <c r="Q319" s="1432">
        <f>IFERROR(__xludf.DUMMYFUNCTION("""COMPUTED_VALUE"""),227.95999999999998)</f>
        <v>227.96</v>
      </c>
    </row>
    <row r="320" ht="15.75" customHeight="1">
      <c r="A320" s="94"/>
      <c r="B320" s="94" t="str">
        <f>IFERROR(__xludf.DUMMYFUNCTION("""COMPUTED_VALUE"""),"А 4049")</f>
        <v>А 4049</v>
      </c>
      <c r="C320" s="1429" t="str">
        <f>IFERROR(__xludf.DUMMYFUNCTION("""COMPUTED_VALUE"""),"ORBI")</f>
        <v>ORBI</v>
      </c>
      <c r="D320" s="1432">
        <f>IFERROR(__xludf.DUMMYFUNCTION("""COMPUTED_VALUE"""),6.0)</f>
        <v>6</v>
      </c>
      <c r="E320" s="1429">
        <f>IFERROR(__xludf.DUMMYFUNCTION("""COMPUTED_VALUE"""),45454.0)</f>
        <v>45454</v>
      </c>
      <c r="F320" s="1429">
        <f>IFERROR(__xludf.DUMMYFUNCTION("""COMPUTED_VALUE"""),45458.0)</f>
        <v>45458</v>
      </c>
      <c r="G320" s="1164">
        <f>IFERROR(__xludf.DUMMYFUNCTION("""COMPUTED_VALUE"""),4.0)</f>
        <v>4</v>
      </c>
      <c r="H320" s="1430">
        <f>IFERROR(__xludf.DUMMYFUNCTION("""COMPUTED_VALUE"""),148.0)</f>
        <v>148</v>
      </c>
      <c r="I320" s="94"/>
      <c r="J320" s="94"/>
      <c r="K320" s="94">
        <f>IFERROR(__xludf.DUMMYFUNCTION("""COMPUTED_VALUE"""),50.0)</f>
        <v>50</v>
      </c>
      <c r="L320" s="94">
        <f>IFERROR(__xludf.DUMMYFUNCTION("""COMPUTED_VALUE"""),45.0)</f>
        <v>45</v>
      </c>
      <c r="M320" s="94">
        <f>IFERROR(__xludf.DUMMYFUNCTION("""COMPUTED_VALUE"""),5.0)</f>
        <v>5</v>
      </c>
      <c r="N320" s="94"/>
      <c r="O320" s="1430">
        <f>IFERROR(__xludf.DUMMYFUNCTION("""COMPUTED_VALUE"""),5.0)</f>
        <v>5</v>
      </c>
      <c r="P320" s="1431">
        <f>IFERROR(__xludf.DUMMYFUNCTION("""COMPUTED_VALUE"""),2.78)</f>
        <v>2.78</v>
      </c>
      <c r="Q320" s="1432">
        <f>IFERROR(__xludf.DUMMYFUNCTION("""COMPUTED_VALUE"""),411.44)</f>
        <v>411.44</v>
      </c>
    </row>
    <row r="321" ht="15.75" customHeight="1">
      <c r="A321" s="94"/>
      <c r="B321" s="94" t="str">
        <f>IFERROR(__xludf.DUMMYFUNCTION("""COMPUTED_VALUE"""),"CM 1604")</f>
        <v>CM 1604</v>
      </c>
      <c r="C321" s="94" t="str">
        <f>IFERROR(__xludf.DUMMYFUNCTION("""COMPUTED_VALUE"""),"WS")</f>
        <v>WS</v>
      </c>
      <c r="D321" s="1432">
        <f>IFERROR(__xludf.DUMMYFUNCTION("""COMPUTED_VALUE"""),6.0)</f>
        <v>6</v>
      </c>
      <c r="E321" s="1429">
        <f>IFERROR(__xludf.DUMMYFUNCTION("""COMPUTED_VALUE"""),45455.0)</f>
        <v>45455</v>
      </c>
      <c r="F321" s="1429">
        <f>IFERROR(__xludf.DUMMYFUNCTION("""COMPUTED_VALUE"""),45463.0)</f>
        <v>45463</v>
      </c>
      <c r="G321" s="1164">
        <f>IFERROR(__xludf.DUMMYFUNCTION("""COMPUTED_VALUE"""),8.0)</f>
        <v>8</v>
      </c>
      <c r="H321" s="1430">
        <f>IFERROR(__xludf.DUMMYFUNCTION("""COMPUTED_VALUE"""),371.0)</f>
        <v>371</v>
      </c>
      <c r="I321" s="94"/>
      <c r="J321" s="94"/>
      <c r="K321" s="94">
        <f>IFERROR(__xludf.DUMMYFUNCTION("""COMPUTED_VALUE"""),70.0)</f>
        <v>70</v>
      </c>
      <c r="L321" s="94">
        <f>IFERROR(__xludf.DUMMYFUNCTION("""COMPUTED_VALUE"""),60.0)</f>
        <v>60</v>
      </c>
      <c r="M321" s="94">
        <f>IFERROR(__xludf.DUMMYFUNCTION("""COMPUTED_VALUE"""),10.0)</f>
        <v>10</v>
      </c>
      <c r="N321" s="94"/>
      <c r="O321" s="1430">
        <f>IFERROR(__xludf.DUMMYFUNCTION("""COMPUTED_VALUE"""),10.0)</f>
        <v>10</v>
      </c>
      <c r="P321" s="1431">
        <f>IFERROR(__xludf.DUMMYFUNCTION("""COMPUTED_VALUE"""),2.78)</f>
        <v>2.78</v>
      </c>
      <c r="Q321" s="1432">
        <f>IFERROR(__xludf.DUMMYFUNCTION("""COMPUTED_VALUE"""),1031.3799999999999)</f>
        <v>1031.38</v>
      </c>
    </row>
    <row r="322" ht="15.75" customHeight="1">
      <c r="A322" s="94"/>
      <c r="B322" s="94" t="str">
        <f>IFERROR(__xludf.DUMMYFUNCTION("""COMPUTED_VALUE"""),"CM 1931")</f>
        <v>CM 1931</v>
      </c>
      <c r="C322" s="1429" t="str">
        <f>IFERROR(__xludf.DUMMYFUNCTION("""COMPUTED_VALUE"""),"MAR")</f>
        <v>MAR</v>
      </c>
      <c r="D322" s="1432">
        <f>IFERROR(__xludf.DUMMYFUNCTION("""COMPUTED_VALUE"""),6.0)</f>
        <v>6</v>
      </c>
      <c r="E322" s="1429">
        <f>IFERROR(__xludf.DUMMYFUNCTION("""COMPUTED_VALUE"""),45455.0)</f>
        <v>45455</v>
      </c>
      <c r="F322" s="1429">
        <f>IFERROR(__xludf.DUMMYFUNCTION("""COMPUTED_VALUE"""),45463.0)</f>
        <v>45463</v>
      </c>
      <c r="G322" s="1164">
        <f>IFERROR(__xludf.DUMMYFUNCTION("""COMPUTED_VALUE"""),8.0)</f>
        <v>8</v>
      </c>
      <c r="H322" s="1430">
        <f>IFERROR(__xludf.DUMMYFUNCTION("""COMPUTED_VALUE"""),290.0)</f>
        <v>290</v>
      </c>
      <c r="I322" s="94"/>
      <c r="J322" s="94"/>
      <c r="K322" s="94">
        <f>IFERROR(__xludf.DUMMYFUNCTION("""COMPUTED_VALUE"""),60.0)</f>
        <v>60</v>
      </c>
      <c r="L322" s="94">
        <f>IFERROR(__xludf.DUMMYFUNCTION("""COMPUTED_VALUE"""),50.0)</f>
        <v>50</v>
      </c>
      <c r="M322" s="94">
        <f>IFERROR(__xludf.DUMMYFUNCTION("""COMPUTED_VALUE"""),10.0)</f>
        <v>10</v>
      </c>
      <c r="N322" s="94"/>
      <c r="O322" s="1430">
        <f>IFERROR(__xludf.DUMMYFUNCTION("""COMPUTED_VALUE"""),10.0)</f>
        <v>10</v>
      </c>
      <c r="P322" s="1431">
        <f>IFERROR(__xludf.DUMMYFUNCTION("""COMPUTED_VALUE"""),2.78)</f>
        <v>2.78</v>
      </c>
      <c r="Q322" s="1432">
        <f>IFERROR(__xludf.DUMMYFUNCTION("""COMPUTED_VALUE"""),806.1999999999999)</f>
        <v>806.2</v>
      </c>
    </row>
    <row r="323" ht="15.75" customHeight="1">
      <c r="A323" s="94"/>
      <c r="B323" s="94" t="str">
        <f>IFERROR(__xludf.DUMMYFUNCTION("""COMPUTED_VALUE"""),"DL 4-09")</f>
        <v>DL 4-09</v>
      </c>
      <c r="C323" s="1429" t="str">
        <f>IFERROR(__xludf.DUMMYFUNCTION("""COMPUTED_VALUE"""),"DL")</f>
        <v>DL</v>
      </c>
      <c r="D323" s="1432">
        <f>IFERROR(__xludf.DUMMYFUNCTION("""COMPUTED_VALUE"""),6.0)</f>
        <v>6</v>
      </c>
      <c r="E323" s="1429">
        <f>IFERROR(__xludf.DUMMYFUNCTION("""COMPUTED_VALUE"""),45455.0)</f>
        <v>45455</v>
      </c>
      <c r="F323" s="1436">
        <f>IFERROR(__xludf.DUMMYFUNCTION("""COMPUTED_VALUE"""),45476.0)</f>
        <v>45476</v>
      </c>
      <c r="G323" s="1164">
        <f>IFERROR(__xludf.DUMMYFUNCTION("""COMPUTED_VALUE"""),21.0)</f>
        <v>21</v>
      </c>
      <c r="H323" s="1430">
        <f>IFERROR(__xludf.DUMMYFUNCTION("""COMPUTED_VALUE"""),1147.0)</f>
        <v>1147</v>
      </c>
      <c r="I323" s="94"/>
      <c r="J323" s="94"/>
      <c r="K323" s="94">
        <f>IFERROR(__xludf.DUMMYFUNCTION("""COMPUTED_VALUE"""),95.0)</f>
        <v>95</v>
      </c>
      <c r="L323" s="94">
        <f>IFERROR(__xludf.DUMMYFUNCTION("""COMPUTED_VALUE"""),95.0)</f>
        <v>95</v>
      </c>
      <c r="M323" s="94">
        <f>IFERROR(__xludf.DUMMYFUNCTION("""COMPUTED_VALUE"""),0.0)</f>
        <v>0</v>
      </c>
      <c r="N323" s="94"/>
      <c r="O323" s="1430">
        <f>IFERROR(__xludf.DUMMYFUNCTION("""COMPUTED_VALUE"""),0.0)</f>
        <v>0</v>
      </c>
      <c r="P323" s="1431">
        <f>IFERROR(__xludf.DUMMYFUNCTION("""COMPUTED_VALUE"""),2.78)</f>
        <v>2.78</v>
      </c>
      <c r="Q323" s="1432">
        <f>IFERROR(__xludf.DUMMYFUNCTION("""COMPUTED_VALUE"""),3188.66)</f>
        <v>3188.66</v>
      </c>
    </row>
    <row r="324" ht="15.75" customHeight="1">
      <c r="A324" s="94"/>
      <c r="B324" s="94" t="str">
        <f>IFERROR(__xludf.DUMMYFUNCTION("""COMPUTED_VALUE"""),"С 2756")</f>
        <v>С 2756</v>
      </c>
      <c r="C324" s="1429" t="str">
        <f>IFERROR(__xludf.DUMMYFUNCTION("""COMPUTED_VALUE"""),"ORBI")</f>
        <v>ORBI</v>
      </c>
      <c r="D324" s="1432">
        <f>IFERROR(__xludf.DUMMYFUNCTION("""COMPUTED_VALUE"""),6.0)</f>
        <v>6</v>
      </c>
      <c r="E324" s="1429">
        <f>IFERROR(__xludf.DUMMYFUNCTION("""COMPUTED_VALUE"""),45455.0)</f>
        <v>45455</v>
      </c>
      <c r="F324" s="1436">
        <f>IFERROR(__xludf.DUMMYFUNCTION("""COMPUTED_VALUE"""),45459.0)</f>
        <v>45459</v>
      </c>
      <c r="G324" s="1164">
        <f>IFERROR(__xludf.DUMMYFUNCTION("""COMPUTED_VALUE"""),4.0)</f>
        <v>4</v>
      </c>
      <c r="H324" s="1430">
        <f>IFERROR(__xludf.DUMMYFUNCTION("""COMPUTED_VALUE"""),100.0)</f>
        <v>100</v>
      </c>
      <c r="I324" s="94"/>
      <c r="J324" s="94"/>
      <c r="K324" s="94">
        <f>IFERROR(__xludf.DUMMYFUNCTION("""COMPUTED_VALUE"""),50.0)</f>
        <v>50</v>
      </c>
      <c r="L324" s="94">
        <f>IFERROR(__xludf.DUMMYFUNCTION("""COMPUTED_VALUE"""),45.0)</f>
        <v>45</v>
      </c>
      <c r="M324" s="94">
        <f>IFERROR(__xludf.DUMMYFUNCTION("""COMPUTED_VALUE"""),5.0)</f>
        <v>5</v>
      </c>
      <c r="N324" s="94"/>
      <c r="O324" s="1430">
        <f>IFERROR(__xludf.DUMMYFUNCTION("""COMPUTED_VALUE"""),5.0)</f>
        <v>5</v>
      </c>
      <c r="P324" s="1431">
        <f>IFERROR(__xludf.DUMMYFUNCTION("""COMPUTED_VALUE"""),2.78)</f>
        <v>2.78</v>
      </c>
      <c r="Q324" s="1432">
        <f>IFERROR(__xludf.DUMMYFUNCTION("""COMPUTED_VALUE"""),278.0)</f>
        <v>278</v>
      </c>
    </row>
    <row r="325" ht="15.75" customHeight="1">
      <c r="A325" s="94"/>
      <c r="B325" s="94" t="str">
        <f>IFERROR(__xludf.DUMMYFUNCTION("""COMPUTED_VALUE"""),"WS В 212")</f>
        <v>WS В 212</v>
      </c>
      <c r="C325" s="1429" t="str">
        <f>IFERROR(__xludf.DUMMYFUNCTION("""COMPUTED_VALUE"""),"WS")</f>
        <v>WS</v>
      </c>
      <c r="D325" s="1432">
        <f>IFERROR(__xludf.DUMMYFUNCTION("""COMPUTED_VALUE"""),6.0)</f>
        <v>6</v>
      </c>
      <c r="E325" s="1429">
        <f>IFERROR(__xludf.DUMMYFUNCTION("""COMPUTED_VALUE"""),45453.0)</f>
        <v>45453</v>
      </c>
      <c r="F325" s="1429">
        <f>IFERROR(__xludf.DUMMYFUNCTION("""COMPUTED_VALUE"""),45458.0)</f>
        <v>45458</v>
      </c>
      <c r="G325" s="1164">
        <f>IFERROR(__xludf.DUMMYFUNCTION("""COMPUTED_VALUE"""),5.0)</f>
        <v>5</v>
      </c>
      <c r="H325" s="1430">
        <f>IFERROR(__xludf.DUMMYFUNCTION("""COMPUTED_VALUE"""),504.0)</f>
        <v>504</v>
      </c>
      <c r="I325" s="94"/>
      <c r="J325" s="94"/>
      <c r="K325" s="94">
        <f>IFERROR(__xludf.DUMMYFUNCTION("""COMPUTED_VALUE"""),70.0)</f>
        <v>70</v>
      </c>
      <c r="L325" s="94">
        <f>IFERROR(__xludf.DUMMYFUNCTION("""COMPUTED_VALUE"""),50.0)</f>
        <v>50</v>
      </c>
      <c r="M325" s="94">
        <f>IFERROR(__xludf.DUMMYFUNCTION("""COMPUTED_VALUE"""),20.0)</f>
        <v>20</v>
      </c>
      <c r="N325" s="94"/>
      <c r="O325" s="1430">
        <f>IFERROR(__xludf.DUMMYFUNCTION("""COMPUTED_VALUE"""),20.0)</f>
        <v>20</v>
      </c>
      <c r="P325" s="1431">
        <f>IFERROR(__xludf.DUMMYFUNCTION("""COMPUTED_VALUE"""),2.78)</f>
        <v>2.78</v>
      </c>
      <c r="Q325" s="1432">
        <f>IFERROR(__xludf.DUMMYFUNCTION("""COMPUTED_VALUE"""),1401.12)</f>
        <v>1401.12</v>
      </c>
    </row>
    <row r="326" ht="15.75" customHeight="1">
      <c r="A326" s="94"/>
      <c r="B326" s="94" t="str">
        <f>IFERROR(__xludf.DUMMYFUNCTION("""COMPUTED_VALUE"""),"WS A907")</f>
        <v>WS A907</v>
      </c>
      <c r="C326" s="1429" t="str">
        <f>IFERROR(__xludf.DUMMYFUNCTION("""COMPUTED_VALUE"""),"WS")</f>
        <v>WS</v>
      </c>
      <c r="D326" s="1432">
        <f>IFERROR(__xludf.DUMMYFUNCTION("""COMPUTED_VALUE"""),6.0)</f>
        <v>6</v>
      </c>
      <c r="E326" s="1429">
        <f>IFERROR(__xludf.DUMMYFUNCTION("""COMPUTED_VALUE"""),45455.0)</f>
        <v>45455</v>
      </c>
      <c r="F326" s="1436">
        <f>IFERROR(__xludf.DUMMYFUNCTION("""COMPUTED_VALUE"""),45457.0)</f>
        <v>45457</v>
      </c>
      <c r="G326" s="1164">
        <f>IFERROR(__xludf.DUMMYFUNCTION("""COMPUTED_VALUE"""),2.0)</f>
        <v>2</v>
      </c>
      <c r="H326" s="1430">
        <f>IFERROR(__xludf.DUMMYFUNCTION("""COMPUTED_VALUE"""),75.0)</f>
        <v>75</v>
      </c>
      <c r="I326" s="94"/>
      <c r="J326" s="94"/>
      <c r="K326" s="94">
        <f>IFERROR(__xludf.DUMMYFUNCTION("""COMPUTED_VALUE"""),60.0)</f>
        <v>60</v>
      </c>
      <c r="L326" s="94">
        <f>IFERROR(__xludf.DUMMYFUNCTION("""COMPUTED_VALUE"""),50.0)</f>
        <v>50</v>
      </c>
      <c r="M326" s="94">
        <f>IFERROR(__xludf.DUMMYFUNCTION("""COMPUTED_VALUE"""),10.0)</f>
        <v>10</v>
      </c>
      <c r="N326" s="94"/>
      <c r="O326" s="1430">
        <f>IFERROR(__xludf.DUMMYFUNCTION("""COMPUTED_VALUE"""),10.0)</f>
        <v>10</v>
      </c>
      <c r="P326" s="1431">
        <f>IFERROR(__xludf.DUMMYFUNCTION("""COMPUTED_VALUE"""),2.78)</f>
        <v>2.78</v>
      </c>
      <c r="Q326" s="1432">
        <f>IFERROR(__xludf.DUMMYFUNCTION("""COMPUTED_VALUE"""),208.49999999999997)</f>
        <v>208.5</v>
      </c>
    </row>
    <row r="327" ht="15.75" customHeight="1">
      <c r="A327" s="94"/>
      <c r="B327" s="94" t="str">
        <f>IFERROR(__xludf.DUMMYFUNCTION("""COMPUTED_VALUE"""),"WS В 1510")</f>
        <v>WS В 1510</v>
      </c>
      <c r="C327" s="1429" t="str">
        <f>IFERROR(__xludf.DUMMYFUNCTION("""COMPUTED_VALUE"""),"WS")</f>
        <v>WS</v>
      </c>
      <c r="D327" s="1432">
        <f>IFERROR(__xludf.DUMMYFUNCTION("""COMPUTED_VALUE"""),6.0)</f>
        <v>6</v>
      </c>
      <c r="E327" s="1429">
        <f>IFERROR(__xludf.DUMMYFUNCTION("""COMPUTED_VALUE"""),45455.0)</f>
        <v>45455</v>
      </c>
      <c r="F327" s="1436">
        <f>IFERROR(__xludf.DUMMYFUNCTION("""COMPUTED_VALUE"""),45458.0)</f>
        <v>45458</v>
      </c>
      <c r="G327" s="1164">
        <f>IFERROR(__xludf.DUMMYFUNCTION("""COMPUTED_VALUE"""),3.0)</f>
        <v>3</v>
      </c>
      <c r="H327" s="1430">
        <f>IFERROR(__xludf.DUMMYFUNCTION("""COMPUTED_VALUE"""),114.0)</f>
        <v>114</v>
      </c>
      <c r="I327" s="94"/>
      <c r="J327" s="94"/>
      <c r="K327" s="94">
        <f>IFERROR(__xludf.DUMMYFUNCTION("""COMPUTED_VALUE"""),60.0)</f>
        <v>60</v>
      </c>
      <c r="L327" s="94">
        <f>IFERROR(__xludf.DUMMYFUNCTION("""COMPUTED_VALUE"""),50.0)</f>
        <v>50</v>
      </c>
      <c r="M327" s="94">
        <f>IFERROR(__xludf.DUMMYFUNCTION("""COMPUTED_VALUE"""),10.0)</f>
        <v>10</v>
      </c>
      <c r="N327" s="94"/>
      <c r="O327" s="1430">
        <f>IFERROR(__xludf.DUMMYFUNCTION("""COMPUTED_VALUE"""),10.0)</f>
        <v>10</v>
      </c>
      <c r="P327" s="1431">
        <f>IFERROR(__xludf.DUMMYFUNCTION("""COMPUTED_VALUE"""),2.78)</f>
        <v>2.78</v>
      </c>
      <c r="Q327" s="1432">
        <f>IFERROR(__xludf.DUMMYFUNCTION("""COMPUTED_VALUE"""),316.91999999999996)</f>
        <v>316.92</v>
      </c>
    </row>
    <row r="328" ht="15.75" customHeight="1">
      <c r="A328" s="94"/>
      <c r="B328" s="94" t="str">
        <f>IFERROR(__xludf.DUMMYFUNCTION("""COMPUTED_VALUE"""),"WS A 608")</f>
        <v>WS A 608</v>
      </c>
      <c r="C328" s="1429" t="str">
        <f>IFERROR(__xludf.DUMMYFUNCTION("""COMPUTED_VALUE"""),"WS")</f>
        <v>WS</v>
      </c>
      <c r="D328" s="1432">
        <f>IFERROR(__xludf.DUMMYFUNCTION("""COMPUTED_VALUE"""),6.0)</f>
        <v>6</v>
      </c>
      <c r="E328" s="1429">
        <f>IFERROR(__xludf.DUMMYFUNCTION("""COMPUTED_VALUE"""),45455.0)</f>
        <v>45455</v>
      </c>
      <c r="F328" s="1436">
        <f>IFERROR(__xludf.DUMMYFUNCTION("""COMPUTED_VALUE"""),45459.0)</f>
        <v>45459</v>
      </c>
      <c r="G328" s="1164">
        <f>IFERROR(__xludf.DUMMYFUNCTION("""COMPUTED_VALUE"""),4.0)</f>
        <v>4</v>
      </c>
      <c r="H328" s="94"/>
      <c r="I328" s="94">
        <f>IFERROR(__xludf.DUMMYFUNCTION("""COMPUTED_VALUE"""),400.0)</f>
        <v>400</v>
      </c>
      <c r="J328" s="94"/>
      <c r="K328" s="94">
        <f>IFERROR(__xludf.DUMMYFUNCTION("""COMPUTED_VALUE"""),60.0)</f>
        <v>60</v>
      </c>
      <c r="L328" s="94">
        <f>IFERROR(__xludf.DUMMYFUNCTION("""COMPUTED_VALUE"""),50.0)</f>
        <v>50</v>
      </c>
      <c r="M328" s="94">
        <f>IFERROR(__xludf.DUMMYFUNCTION("""COMPUTED_VALUE"""),10.0)</f>
        <v>10</v>
      </c>
      <c r="N328" s="94"/>
      <c r="O328" s="1430">
        <f>IFERROR(__xludf.DUMMYFUNCTION("""COMPUTED_VALUE"""),10.0)</f>
        <v>10</v>
      </c>
      <c r="P328" s="1431">
        <f>IFERROR(__xludf.DUMMYFUNCTION("""COMPUTED_VALUE"""),2.78)</f>
        <v>2.78</v>
      </c>
      <c r="Q328" s="1432">
        <f>IFERROR(__xludf.DUMMYFUNCTION("""COMPUTED_VALUE"""),400.0)</f>
        <v>400</v>
      </c>
    </row>
    <row r="329" ht="15.75" customHeight="1">
      <c r="A329" s="94"/>
      <c r="B329" s="94" t="str">
        <f>IFERROR(__xludf.DUMMYFUNCTION("""COMPUTED_VALUE"""),"WS E 1202")</f>
        <v>WS E 1202</v>
      </c>
      <c r="C329" s="1429" t="str">
        <f>IFERROR(__xludf.DUMMYFUNCTION("""COMPUTED_VALUE"""),"WS")</f>
        <v>WS</v>
      </c>
      <c r="D329" s="1432">
        <f>IFERROR(__xludf.DUMMYFUNCTION("""COMPUTED_VALUE"""),6.0)</f>
        <v>6</v>
      </c>
      <c r="E329" s="1429">
        <f>IFERROR(__xludf.DUMMYFUNCTION("""COMPUTED_VALUE"""),45456.0)</f>
        <v>45456</v>
      </c>
      <c r="F329" s="1436">
        <f>IFERROR(__xludf.DUMMYFUNCTION("""COMPUTED_VALUE"""),45458.0)</f>
        <v>45458</v>
      </c>
      <c r="G329" s="1164">
        <f>IFERROR(__xludf.DUMMYFUNCTION("""COMPUTED_VALUE"""),2.0)</f>
        <v>2</v>
      </c>
      <c r="H329" s="1430">
        <f>IFERROR(__xludf.DUMMYFUNCTION("""COMPUTED_VALUE"""),125.0)</f>
        <v>125</v>
      </c>
      <c r="I329" s="94"/>
      <c r="J329" s="94"/>
      <c r="K329" s="94">
        <f>IFERROR(__xludf.DUMMYFUNCTION("""COMPUTED_VALUE"""),70.0)</f>
        <v>70</v>
      </c>
      <c r="L329" s="94">
        <f>IFERROR(__xludf.DUMMYFUNCTION("""COMPUTED_VALUE"""),50.0)</f>
        <v>50</v>
      </c>
      <c r="M329" s="94">
        <f>IFERROR(__xludf.DUMMYFUNCTION("""COMPUTED_VALUE"""),20.0)</f>
        <v>20</v>
      </c>
      <c r="N329" s="94"/>
      <c r="O329" s="1430">
        <f>IFERROR(__xludf.DUMMYFUNCTION("""COMPUTED_VALUE"""),20.0)</f>
        <v>20</v>
      </c>
      <c r="P329" s="1431">
        <f>IFERROR(__xludf.DUMMYFUNCTION("""COMPUTED_VALUE"""),2.78)</f>
        <v>2.78</v>
      </c>
      <c r="Q329" s="1432">
        <f>IFERROR(__xludf.DUMMYFUNCTION("""COMPUTED_VALUE"""),347.5)</f>
        <v>347.5</v>
      </c>
    </row>
    <row r="330" ht="15.75" customHeight="1">
      <c r="A330" s="94"/>
      <c r="B330" s="94" t="str">
        <f>IFERROR(__xludf.DUMMYFUNCTION("""COMPUTED_VALUE"""),"Wyn")</f>
        <v>Wyn</v>
      </c>
      <c r="C330" s="1429" t="str">
        <f>IFERROR(__xludf.DUMMYFUNCTION("""COMPUTED_VALUE"""),"Other")</f>
        <v>Other</v>
      </c>
      <c r="D330" s="1432">
        <f>IFERROR(__xludf.DUMMYFUNCTION("""COMPUTED_VALUE"""),6.0)</f>
        <v>6</v>
      </c>
      <c r="E330" s="1429">
        <f>IFERROR(__xludf.DUMMYFUNCTION("""COMPUTED_VALUE"""),45456.0)</f>
        <v>45456</v>
      </c>
      <c r="F330" s="1436">
        <f>IFERROR(__xludf.DUMMYFUNCTION("""COMPUTED_VALUE"""),45460.0)</f>
        <v>45460</v>
      </c>
      <c r="G330" s="1164">
        <f>IFERROR(__xludf.DUMMYFUNCTION("""COMPUTED_VALUE"""),4.0)</f>
        <v>4</v>
      </c>
      <c r="H330" s="1430">
        <f>IFERROR(__xludf.DUMMYFUNCTION("""COMPUTED_VALUE"""),133.0)</f>
        <v>133</v>
      </c>
      <c r="I330" s="94"/>
      <c r="J330" s="94"/>
      <c r="K330" s="94">
        <f>IFERROR(__xludf.DUMMYFUNCTION("""COMPUTED_VALUE"""),70.0)</f>
        <v>70</v>
      </c>
      <c r="L330" s="94">
        <f>IFERROR(__xludf.DUMMYFUNCTION("""COMPUTED_VALUE"""),60.0)</f>
        <v>60</v>
      </c>
      <c r="M330" s="94">
        <f>IFERROR(__xludf.DUMMYFUNCTION("""COMPUTED_VALUE"""),10.0)</f>
        <v>10</v>
      </c>
      <c r="N330" s="94"/>
      <c r="O330" s="1430">
        <f>IFERROR(__xludf.DUMMYFUNCTION("""COMPUTED_VALUE"""),10.0)</f>
        <v>10</v>
      </c>
      <c r="P330" s="1431">
        <f>IFERROR(__xludf.DUMMYFUNCTION("""COMPUTED_VALUE"""),2.78)</f>
        <v>2.78</v>
      </c>
      <c r="Q330" s="1432">
        <f>IFERROR(__xludf.DUMMYFUNCTION("""COMPUTED_VALUE"""),369.73999999999995)</f>
        <v>369.74</v>
      </c>
    </row>
    <row r="331" ht="15.75" customHeight="1">
      <c r="A331" s="94"/>
      <c r="B331" s="94" t="str">
        <f>IFERROR(__xludf.DUMMYFUNCTION("""COMPUTED_VALUE"""),"CM 1606")</f>
        <v>CM 1606</v>
      </c>
      <c r="C331" s="1429" t="str">
        <f>IFERROR(__xludf.DUMMYFUNCTION("""COMPUTED_VALUE"""),"MAR")</f>
        <v>MAR</v>
      </c>
      <c r="D331" s="1432">
        <f>IFERROR(__xludf.DUMMYFUNCTION("""COMPUTED_VALUE"""),6.0)</f>
        <v>6</v>
      </c>
      <c r="E331" s="1429">
        <f>IFERROR(__xludf.DUMMYFUNCTION("""COMPUTED_VALUE"""),45456.0)</f>
        <v>45456</v>
      </c>
      <c r="F331" s="1436">
        <f>IFERROR(__xludf.DUMMYFUNCTION("""COMPUTED_VALUE"""),45461.0)</f>
        <v>45461</v>
      </c>
      <c r="G331" s="1164">
        <f>IFERROR(__xludf.DUMMYFUNCTION("""COMPUTED_VALUE"""),5.0)</f>
        <v>5</v>
      </c>
      <c r="H331" s="1430">
        <f>IFERROR(__xludf.DUMMYFUNCTION("""COMPUTED_VALUE"""),133.0)</f>
        <v>133</v>
      </c>
      <c r="I331" s="94"/>
      <c r="J331" s="94"/>
      <c r="K331" s="94">
        <f>IFERROR(__xludf.DUMMYFUNCTION("""COMPUTED_VALUE"""),60.0)</f>
        <v>60</v>
      </c>
      <c r="L331" s="94">
        <f>IFERROR(__xludf.DUMMYFUNCTION("""COMPUTED_VALUE"""),50.0)</f>
        <v>50</v>
      </c>
      <c r="M331" s="94">
        <f>IFERROR(__xludf.DUMMYFUNCTION("""COMPUTED_VALUE"""),10.0)</f>
        <v>10</v>
      </c>
      <c r="N331" s="94"/>
      <c r="O331" s="1430">
        <f>IFERROR(__xludf.DUMMYFUNCTION("""COMPUTED_VALUE"""),10.0)</f>
        <v>10</v>
      </c>
      <c r="P331" s="1431">
        <f>IFERROR(__xludf.DUMMYFUNCTION("""COMPUTED_VALUE"""),2.78)</f>
        <v>2.78</v>
      </c>
      <c r="Q331" s="1432">
        <f>IFERROR(__xludf.DUMMYFUNCTION("""COMPUTED_VALUE"""),369.73999999999995)</f>
        <v>369.74</v>
      </c>
    </row>
    <row r="332" ht="15.75" customHeight="1">
      <c r="A332" s="94"/>
      <c r="B332" s="94" t="str">
        <f>IFERROR(__xludf.DUMMYFUNCTION("""COMPUTED_VALUE"""),"WS А 908")</f>
        <v>WS А 908</v>
      </c>
      <c r="C332" s="1429" t="str">
        <f>IFERROR(__xludf.DUMMYFUNCTION("""COMPUTED_VALUE"""),"WS")</f>
        <v>WS</v>
      </c>
      <c r="D332" s="1432">
        <f>IFERROR(__xludf.DUMMYFUNCTION("""COMPUTED_VALUE"""),6.0)</f>
        <v>6</v>
      </c>
      <c r="E332" s="1429">
        <f>IFERROR(__xludf.DUMMYFUNCTION("""COMPUTED_VALUE"""),45456.0)</f>
        <v>45456</v>
      </c>
      <c r="F332" s="1436">
        <f>IFERROR(__xludf.DUMMYFUNCTION("""COMPUTED_VALUE"""),45465.0)</f>
        <v>45465</v>
      </c>
      <c r="G332" s="1164">
        <f>IFERROR(__xludf.DUMMYFUNCTION("""COMPUTED_VALUE"""),9.0)</f>
        <v>9</v>
      </c>
      <c r="H332" s="1430">
        <f>IFERROR(__xludf.DUMMYFUNCTION("""COMPUTED_VALUE"""),530.0)</f>
        <v>530</v>
      </c>
      <c r="I332" s="94"/>
      <c r="J332" s="94"/>
      <c r="K332" s="94">
        <f>IFERROR(__xludf.DUMMYFUNCTION("""COMPUTED_VALUE"""),60.0)</f>
        <v>60</v>
      </c>
      <c r="L332" s="94">
        <f>IFERROR(__xludf.DUMMYFUNCTION("""COMPUTED_VALUE"""),50.0)</f>
        <v>50</v>
      </c>
      <c r="M332" s="94">
        <f>IFERROR(__xludf.DUMMYFUNCTION("""COMPUTED_VALUE"""),10.0)</f>
        <v>10</v>
      </c>
      <c r="N332" s="94"/>
      <c r="O332" s="1430">
        <f>IFERROR(__xludf.DUMMYFUNCTION("""COMPUTED_VALUE"""),10.0)</f>
        <v>10</v>
      </c>
      <c r="P332" s="1431">
        <f>IFERROR(__xludf.DUMMYFUNCTION("""COMPUTED_VALUE"""),2.78)</f>
        <v>2.78</v>
      </c>
      <c r="Q332" s="1432">
        <f>IFERROR(__xludf.DUMMYFUNCTION("""COMPUTED_VALUE"""),1473.3999999999999)</f>
        <v>1473.4</v>
      </c>
    </row>
    <row r="333" ht="15.75" customHeight="1">
      <c r="A333" s="94"/>
      <c r="B333" s="94" t="str">
        <f>IFERROR(__xludf.DUMMYFUNCTION("""COMPUTED_VALUE"""),"С 1125")</f>
        <v>С 1125</v>
      </c>
      <c r="C333" s="1429" t="str">
        <f>IFERROR(__xludf.DUMMYFUNCTION("""COMPUTED_VALUE"""),"ORBI")</f>
        <v>ORBI</v>
      </c>
      <c r="D333" s="1432">
        <f>IFERROR(__xludf.DUMMYFUNCTION("""COMPUTED_VALUE"""),6.0)</f>
        <v>6</v>
      </c>
      <c r="E333" s="1429">
        <f>IFERROR(__xludf.DUMMYFUNCTION("""COMPUTED_VALUE"""),45456.0)</f>
        <v>45456</v>
      </c>
      <c r="F333" s="1429">
        <f>IFERROR(__xludf.DUMMYFUNCTION("""COMPUTED_VALUE"""),45458.0)</f>
        <v>45458</v>
      </c>
      <c r="G333" s="1164">
        <f>IFERROR(__xludf.DUMMYFUNCTION("""COMPUTED_VALUE"""),2.0)</f>
        <v>2</v>
      </c>
      <c r="H333" s="1430">
        <f>IFERROR(__xludf.DUMMYFUNCTION("""COMPUTED_VALUE"""),64.0)</f>
        <v>64</v>
      </c>
      <c r="I333" s="94"/>
      <c r="J333" s="94"/>
      <c r="K333" s="94">
        <f>IFERROR(__xludf.DUMMYFUNCTION("""COMPUTED_VALUE"""),50.0)</f>
        <v>50</v>
      </c>
      <c r="L333" s="94">
        <f>IFERROR(__xludf.DUMMYFUNCTION("""COMPUTED_VALUE"""),45.0)</f>
        <v>45</v>
      </c>
      <c r="M333" s="94">
        <f>IFERROR(__xludf.DUMMYFUNCTION("""COMPUTED_VALUE"""),5.0)</f>
        <v>5</v>
      </c>
      <c r="N333" s="94"/>
      <c r="O333" s="1430">
        <f>IFERROR(__xludf.DUMMYFUNCTION("""COMPUTED_VALUE"""),5.0)</f>
        <v>5</v>
      </c>
      <c r="P333" s="1431">
        <f>IFERROR(__xludf.DUMMYFUNCTION("""COMPUTED_VALUE"""),2.78)</f>
        <v>2.78</v>
      </c>
      <c r="Q333" s="1432">
        <f>IFERROR(__xludf.DUMMYFUNCTION("""COMPUTED_VALUE"""),177.92)</f>
        <v>177.92</v>
      </c>
    </row>
    <row r="334" ht="15.75" customHeight="1">
      <c r="A334" s="94"/>
      <c r="B334" s="94" t="str">
        <f>IFERROR(__xludf.DUMMYFUNCTION("""COMPUTED_VALUE"""),"WS  B 405")</f>
        <v>WS  B 405</v>
      </c>
      <c r="C334" s="1429" t="str">
        <f>IFERROR(__xludf.DUMMYFUNCTION("""COMPUTED_VALUE"""),"WS")</f>
        <v>WS</v>
      </c>
      <c r="D334" s="1432">
        <f>IFERROR(__xludf.DUMMYFUNCTION("""COMPUTED_VALUE"""),6.0)</f>
        <v>6</v>
      </c>
      <c r="E334" s="1429">
        <f>IFERROR(__xludf.DUMMYFUNCTION("""COMPUTED_VALUE"""),45456.0)</f>
        <v>45456</v>
      </c>
      <c r="F334" s="1429">
        <f>IFERROR(__xludf.DUMMYFUNCTION("""COMPUTED_VALUE"""),45460.0)</f>
        <v>45460</v>
      </c>
      <c r="G334" s="1164">
        <f>IFERROR(__xludf.DUMMYFUNCTION("""COMPUTED_VALUE"""),4.0)</f>
        <v>4</v>
      </c>
      <c r="H334" s="1430">
        <f>IFERROR(__xludf.DUMMYFUNCTION("""COMPUTED_VALUE"""),138.0)</f>
        <v>138</v>
      </c>
      <c r="I334" s="94"/>
      <c r="J334" s="94"/>
      <c r="K334" s="94">
        <f>IFERROR(__xludf.DUMMYFUNCTION("""COMPUTED_VALUE"""),60.0)</f>
        <v>60</v>
      </c>
      <c r="L334" s="94">
        <f>IFERROR(__xludf.DUMMYFUNCTION("""COMPUTED_VALUE"""),50.0)</f>
        <v>50</v>
      </c>
      <c r="M334" s="94">
        <f>IFERROR(__xludf.DUMMYFUNCTION("""COMPUTED_VALUE"""),10.0)</f>
        <v>10</v>
      </c>
      <c r="N334" s="94"/>
      <c r="O334" s="1430">
        <f>IFERROR(__xludf.DUMMYFUNCTION("""COMPUTED_VALUE"""),10.0)</f>
        <v>10</v>
      </c>
      <c r="P334" s="1431">
        <f>IFERROR(__xludf.DUMMYFUNCTION("""COMPUTED_VALUE"""),2.78)</f>
        <v>2.78</v>
      </c>
      <c r="Q334" s="1432">
        <f>IFERROR(__xludf.DUMMYFUNCTION("""COMPUTED_VALUE"""),383.64)</f>
        <v>383.64</v>
      </c>
    </row>
    <row r="335" ht="15.75" customHeight="1">
      <c r="A335" s="94"/>
      <c r="B335" s="94" t="str">
        <f>IFERROR(__xludf.DUMMYFUNCTION("""COMPUTED_VALUE"""),"WS В 503")</f>
        <v>WS В 503</v>
      </c>
      <c r="C335" s="1429" t="str">
        <f>IFERROR(__xludf.DUMMYFUNCTION("""COMPUTED_VALUE"""),"WS")</f>
        <v>WS</v>
      </c>
      <c r="D335" s="1432">
        <f>IFERROR(__xludf.DUMMYFUNCTION("""COMPUTED_VALUE"""),6.0)</f>
        <v>6</v>
      </c>
      <c r="E335" s="1429">
        <f>IFERROR(__xludf.DUMMYFUNCTION("""COMPUTED_VALUE"""),45456.0)</f>
        <v>45456</v>
      </c>
      <c r="F335" s="1429">
        <f>IFERROR(__xludf.DUMMYFUNCTION("""COMPUTED_VALUE"""),45458.0)</f>
        <v>45458</v>
      </c>
      <c r="G335" s="1164">
        <f>IFERROR(__xludf.DUMMYFUNCTION("""COMPUTED_VALUE"""),2.0)</f>
        <v>2</v>
      </c>
      <c r="H335" s="94"/>
      <c r="I335" s="94">
        <f>IFERROR(__xludf.DUMMYFUNCTION("""COMPUTED_VALUE"""),250.0)</f>
        <v>250</v>
      </c>
      <c r="J335" s="94"/>
      <c r="K335" s="94">
        <f>IFERROR(__xludf.DUMMYFUNCTION("""COMPUTED_VALUE"""),70.0)</f>
        <v>70</v>
      </c>
      <c r="L335" s="94">
        <f>IFERROR(__xludf.DUMMYFUNCTION("""COMPUTED_VALUE"""),50.0)</f>
        <v>50</v>
      </c>
      <c r="M335" s="94">
        <f>IFERROR(__xludf.DUMMYFUNCTION("""COMPUTED_VALUE"""),20.0)</f>
        <v>20</v>
      </c>
      <c r="N335" s="94"/>
      <c r="O335" s="1430">
        <f>IFERROR(__xludf.DUMMYFUNCTION("""COMPUTED_VALUE"""),20.0)</f>
        <v>20</v>
      </c>
      <c r="P335" s="1431">
        <f>IFERROR(__xludf.DUMMYFUNCTION("""COMPUTED_VALUE"""),2.78)</f>
        <v>2.78</v>
      </c>
      <c r="Q335" s="1432">
        <f>IFERROR(__xludf.DUMMYFUNCTION("""COMPUTED_VALUE"""),250.0)</f>
        <v>250</v>
      </c>
    </row>
    <row r="336" ht="15.75" customHeight="1">
      <c r="A336" s="94"/>
      <c r="B336" s="94" t="str">
        <f>IFERROR(__xludf.DUMMYFUNCTION("""COMPUTED_VALUE"""),"С 1443")</f>
        <v>С 1443</v>
      </c>
      <c r="C336" s="1429" t="str">
        <f>IFERROR(__xludf.DUMMYFUNCTION("""COMPUTED_VALUE"""),"ORBI")</f>
        <v>ORBI</v>
      </c>
      <c r="D336" s="1432">
        <f>IFERROR(__xludf.DUMMYFUNCTION("""COMPUTED_VALUE"""),6.0)</f>
        <v>6</v>
      </c>
      <c r="E336" s="1429">
        <f>IFERROR(__xludf.DUMMYFUNCTION("""COMPUTED_VALUE"""),45457.0)</f>
        <v>45457</v>
      </c>
      <c r="F336" s="1429">
        <f>IFERROR(__xludf.DUMMYFUNCTION("""COMPUTED_VALUE"""),45460.0)</f>
        <v>45460</v>
      </c>
      <c r="G336" s="1164">
        <f>IFERROR(__xludf.DUMMYFUNCTION("""COMPUTED_VALUE"""),3.0)</f>
        <v>3</v>
      </c>
      <c r="H336" s="1430">
        <f>IFERROR(__xludf.DUMMYFUNCTION("""COMPUTED_VALUE"""),147.0)</f>
        <v>147</v>
      </c>
      <c r="I336" s="94"/>
      <c r="J336" s="94"/>
      <c r="K336" s="94">
        <f>IFERROR(__xludf.DUMMYFUNCTION("""COMPUTED_VALUE"""),70.0)</f>
        <v>70</v>
      </c>
      <c r="L336" s="94">
        <f>IFERROR(__xludf.DUMMYFUNCTION("""COMPUTED_VALUE"""),55.0)</f>
        <v>55</v>
      </c>
      <c r="M336" s="94">
        <f>IFERROR(__xludf.DUMMYFUNCTION("""COMPUTED_VALUE"""),15.0)</f>
        <v>15</v>
      </c>
      <c r="N336" s="94"/>
      <c r="O336" s="1430">
        <f>IFERROR(__xludf.DUMMYFUNCTION("""COMPUTED_VALUE"""),15.0)</f>
        <v>15</v>
      </c>
      <c r="P336" s="1431">
        <f>IFERROR(__xludf.DUMMYFUNCTION("""COMPUTED_VALUE"""),2.78)</f>
        <v>2.78</v>
      </c>
      <c r="Q336" s="1432">
        <f>IFERROR(__xludf.DUMMYFUNCTION("""COMPUTED_VALUE"""),408.65999999999997)</f>
        <v>408.66</v>
      </c>
    </row>
    <row r="337" ht="15.75" customHeight="1">
      <c r="A337" s="94"/>
      <c r="B337" s="94" t="str">
        <f>IFERROR(__xludf.DUMMYFUNCTION("""COMPUTED_VALUE"""),"DL 11-1305")</f>
        <v>DL 11-1305</v>
      </c>
      <c r="C337" s="1429" t="str">
        <f>IFERROR(__xludf.DUMMYFUNCTION("""COMPUTED_VALUE"""),"DL")</f>
        <v>DL</v>
      </c>
      <c r="D337" s="1432">
        <f>IFERROR(__xludf.DUMMYFUNCTION("""COMPUTED_VALUE"""),6.0)</f>
        <v>6</v>
      </c>
      <c r="E337" s="1429">
        <f>IFERROR(__xludf.DUMMYFUNCTION("""COMPUTED_VALUE"""),45458.0)</f>
        <v>45458</v>
      </c>
      <c r="F337" s="1429">
        <f>IFERROR(__xludf.DUMMYFUNCTION("""COMPUTED_VALUE"""),45459.0)</f>
        <v>45459</v>
      </c>
      <c r="G337" s="1164">
        <f>IFERROR(__xludf.DUMMYFUNCTION("""COMPUTED_VALUE"""),1.0)</f>
        <v>1</v>
      </c>
      <c r="H337" s="1430">
        <f>IFERROR(__xludf.DUMMYFUNCTION("""COMPUTED_VALUE"""),150.0)</f>
        <v>150</v>
      </c>
      <c r="I337" s="94"/>
      <c r="J337" s="94"/>
      <c r="K337" s="94">
        <f>IFERROR(__xludf.DUMMYFUNCTION("""COMPUTED_VALUE"""),105.0)</f>
        <v>105</v>
      </c>
      <c r="L337" s="94">
        <f>IFERROR(__xludf.DUMMYFUNCTION("""COMPUTED_VALUE"""),105.0)</f>
        <v>105</v>
      </c>
      <c r="M337" s="94">
        <f>IFERROR(__xludf.DUMMYFUNCTION("""COMPUTED_VALUE"""),0.0)</f>
        <v>0</v>
      </c>
      <c r="N337" s="94"/>
      <c r="O337" s="1430">
        <f>IFERROR(__xludf.DUMMYFUNCTION("""COMPUTED_VALUE"""),0.0)</f>
        <v>0</v>
      </c>
      <c r="P337" s="1431">
        <f>IFERROR(__xludf.DUMMYFUNCTION("""COMPUTED_VALUE"""),2.78)</f>
        <v>2.78</v>
      </c>
      <c r="Q337" s="1432">
        <f>IFERROR(__xludf.DUMMYFUNCTION("""COMPUTED_VALUE"""),416.99999999999994)</f>
        <v>417</v>
      </c>
    </row>
    <row r="338" ht="15.75" customHeight="1">
      <c r="A338" s="94"/>
      <c r="B338" s="94" t="str">
        <f>IFERROR(__xludf.DUMMYFUNCTION("""COMPUTED_VALUE"""),"WS A 713")</f>
        <v>WS A 713</v>
      </c>
      <c r="C338" s="1429" t="str">
        <f>IFERROR(__xludf.DUMMYFUNCTION("""COMPUTED_VALUE"""),"WS")</f>
        <v>WS</v>
      </c>
      <c r="D338" s="1432">
        <f>IFERROR(__xludf.DUMMYFUNCTION("""COMPUTED_VALUE"""),6.0)</f>
        <v>6</v>
      </c>
      <c r="E338" s="1429">
        <f>IFERROR(__xludf.DUMMYFUNCTION("""COMPUTED_VALUE"""),45458.0)</f>
        <v>45458</v>
      </c>
      <c r="F338" s="1429">
        <f>IFERROR(__xludf.DUMMYFUNCTION("""COMPUTED_VALUE"""),45462.0)</f>
        <v>45462</v>
      </c>
      <c r="G338" s="1164">
        <f>IFERROR(__xludf.DUMMYFUNCTION("""COMPUTED_VALUE"""),4.0)</f>
        <v>4</v>
      </c>
      <c r="H338" s="1430">
        <f>IFERROR(__xludf.DUMMYFUNCTION("""COMPUTED_VALUE"""),205.0)</f>
        <v>205</v>
      </c>
      <c r="I338" s="94"/>
      <c r="J338" s="94"/>
      <c r="K338" s="94">
        <f>IFERROR(__xludf.DUMMYFUNCTION("""COMPUTED_VALUE"""),60.0)</f>
        <v>60</v>
      </c>
      <c r="L338" s="94">
        <f>IFERROR(__xludf.DUMMYFUNCTION("""COMPUTED_VALUE"""),50.0)</f>
        <v>50</v>
      </c>
      <c r="M338" s="94">
        <f>IFERROR(__xludf.DUMMYFUNCTION("""COMPUTED_VALUE"""),10.0)</f>
        <v>10</v>
      </c>
      <c r="N338" s="94"/>
      <c r="O338" s="1430">
        <f>IFERROR(__xludf.DUMMYFUNCTION("""COMPUTED_VALUE"""),10.0)</f>
        <v>10</v>
      </c>
      <c r="P338" s="1431">
        <f>IFERROR(__xludf.DUMMYFUNCTION("""COMPUTED_VALUE"""),2.78)</f>
        <v>2.78</v>
      </c>
      <c r="Q338" s="1432">
        <f>IFERROR(__xludf.DUMMYFUNCTION("""COMPUTED_VALUE"""),569.9)</f>
        <v>569.9</v>
      </c>
    </row>
    <row r="339" ht="15.75" customHeight="1">
      <c r="A339" s="94"/>
      <c r="B339" s="94" t="str">
        <f>IFERROR(__xludf.DUMMYFUNCTION("""COMPUTED_VALUE"""),"WS E 1202")</f>
        <v>WS E 1202</v>
      </c>
      <c r="C339" s="1429" t="str">
        <f>IFERROR(__xludf.DUMMYFUNCTION("""COMPUTED_VALUE"""),"WS")</f>
        <v>WS</v>
      </c>
      <c r="D339" s="1432">
        <f>IFERROR(__xludf.DUMMYFUNCTION("""COMPUTED_VALUE"""),6.0)</f>
        <v>6</v>
      </c>
      <c r="E339" s="1429">
        <f>IFERROR(__xludf.DUMMYFUNCTION("""COMPUTED_VALUE"""),45458.0)</f>
        <v>45458</v>
      </c>
      <c r="F339" s="1429">
        <f>IFERROR(__xludf.DUMMYFUNCTION("""COMPUTED_VALUE"""),45465.0)</f>
        <v>45465</v>
      </c>
      <c r="G339" s="1164">
        <f>IFERROR(__xludf.DUMMYFUNCTION("""COMPUTED_VALUE"""),7.0)</f>
        <v>7</v>
      </c>
      <c r="H339" s="1430">
        <f>IFERROR(__xludf.DUMMYFUNCTION("""COMPUTED_VALUE"""),442.0)</f>
        <v>442</v>
      </c>
      <c r="I339" s="94"/>
      <c r="J339" s="94"/>
      <c r="K339" s="94">
        <f>IFERROR(__xludf.DUMMYFUNCTION("""COMPUTED_VALUE"""),70.0)</f>
        <v>70</v>
      </c>
      <c r="L339" s="94">
        <f>IFERROR(__xludf.DUMMYFUNCTION("""COMPUTED_VALUE"""),50.0)</f>
        <v>50</v>
      </c>
      <c r="M339" s="94">
        <f>IFERROR(__xludf.DUMMYFUNCTION("""COMPUTED_VALUE"""),20.0)</f>
        <v>20</v>
      </c>
      <c r="N339" s="94"/>
      <c r="O339" s="1430">
        <f>IFERROR(__xludf.DUMMYFUNCTION("""COMPUTED_VALUE"""),20.0)</f>
        <v>20</v>
      </c>
      <c r="P339" s="1431">
        <f>IFERROR(__xludf.DUMMYFUNCTION("""COMPUTED_VALUE"""),2.78)</f>
        <v>2.78</v>
      </c>
      <c r="Q339" s="1432">
        <f>IFERROR(__xludf.DUMMYFUNCTION("""COMPUTED_VALUE"""),1228.76)</f>
        <v>1228.76</v>
      </c>
    </row>
    <row r="340" ht="15.75" customHeight="1">
      <c r="A340" s="94"/>
      <c r="B340" s="94" t="str">
        <f>IFERROR(__xludf.DUMMYFUNCTION("""COMPUTED_VALUE"""),"WS A 409")</f>
        <v>WS A 409</v>
      </c>
      <c r="C340" s="1429" t="str">
        <f>IFERROR(__xludf.DUMMYFUNCTION("""COMPUTED_VALUE"""),"WS")</f>
        <v>WS</v>
      </c>
      <c r="D340" s="1432">
        <f>IFERROR(__xludf.DUMMYFUNCTION("""COMPUTED_VALUE"""),6.0)</f>
        <v>6</v>
      </c>
      <c r="E340" s="1429">
        <f>IFERROR(__xludf.DUMMYFUNCTION("""COMPUTED_VALUE"""),45458.0)</f>
        <v>45458</v>
      </c>
      <c r="F340" s="1429">
        <f>IFERROR(__xludf.DUMMYFUNCTION("""COMPUTED_VALUE"""),45462.0)</f>
        <v>45462</v>
      </c>
      <c r="G340" s="1164">
        <f>IFERROR(__xludf.DUMMYFUNCTION("""COMPUTED_VALUE"""),4.0)</f>
        <v>4</v>
      </c>
      <c r="H340" s="1430">
        <f>IFERROR(__xludf.DUMMYFUNCTION("""COMPUTED_VALUE"""),128.0)</f>
        <v>128</v>
      </c>
      <c r="I340" s="94"/>
      <c r="J340" s="94"/>
      <c r="K340" s="94">
        <f>IFERROR(__xludf.DUMMYFUNCTION("""COMPUTED_VALUE"""),60.0)</f>
        <v>60</v>
      </c>
      <c r="L340" s="94">
        <f>IFERROR(__xludf.DUMMYFUNCTION("""COMPUTED_VALUE"""),50.0)</f>
        <v>50</v>
      </c>
      <c r="M340" s="94">
        <f>IFERROR(__xludf.DUMMYFUNCTION("""COMPUTED_VALUE"""),10.0)</f>
        <v>10</v>
      </c>
      <c r="N340" s="94"/>
      <c r="O340" s="1430">
        <f>IFERROR(__xludf.DUMMYFUNCTION("""COMPUTED_VALUE"""),10.0)</f>
        <v>10</v>
      </c>
      <c r="P340" s="1431">
        <f>IFERROR(__xludf.DUMMYFUNCTION("""COMPUTED_VALUE"""),2.78)</f>
        <v>2.78</v>
      </c>
      <c r="Q340" s="1432">
        <f>IFERROR(__xludf.DUMMYFUNCTION("""COMPUTED_VALUE"""),355.84)</f>
        <v>355.84</v>
      </c>
    </row>
    <row r="341" ht="15.75" customHeight="1">
      <c r="A341" s="94"/>
      <c r="B341" s="94" t="str">
        <f>IFERROR(__xludf.DUMMYFUNCTION("""COMPUTED_VALUE"""),"DL 11-1305")</f>
        <v>DL 11-1305</v>
      </c>
      <c r="C341" s="1429" t="str">
        <f>IFERROR(__xludf.DUMMYFUNCTION("""COMPUTED_VALUE"""),"DL")</f>
        <v>DL</v>
      </c>
      <c r="D341" s="1432">
        <f>IFERROR(__xludf.DUMMYFUNCTION("""COMPUTED_VALUE"""),6.0)</f>
        <v>6</v>
      </c>
      <c r="E341" s="1429">
        <f>IFERROR(__xludf.DUMMYFUNCTION("""COMPUTED_VALUE"""),45458.0)</f>
        <v>45458</v>
      </c>
      <c r="F341" s="1429">
        <f>IFERROR(__xludf.DUMMYFUNCTION("""COMPUTED_VALUE"""),45459.0)</f>
        <v>45459</v>
      </c>
      <c r="G341" s="1164">
        <f>IFERROR(__xludf.DUMMYFUNCTION("""COMPUTED_VALUE"""),1.0)</f>
        <v>1</v>
      </c>
      <c r="H341" s="1430">
        <f>IFERROR(__xludf.DUMMYFUNCTION("""COMPUTED_VALUE"""),150.0)</f>
        <v>150</v>
      </c>
      <c r="I341" s="94"/>
      <c r="J341" s="94"/>
      <c r="K341" s="94">
        <f>IFERROR(__xludf.DUMMYFUNCTION("""COMPUTED_VALUE"""),105.0)</f>
        <v>105</v>
      </c>
      <c r="L341" s="94">
        <f>IFERROR(__xludf.DUMMYFUNCTION("""COMPUTED_VALUE"""),105.0)</f>
        <v>105</v>
      </c>
      <c r="M341" s="94">
        <f>IFERROR(__xludf.DUMMYFUNCTION("""COMPUTED_VALUE"""),0.0)</f>
        <v>0</v>
      </c>
      <c r="N341" s="94"/>
      <c r="O341" s="1430">
        <f>IFERROR(__xludf.DUMMYFUNCTION("""COMPUTED_VALUE"""),0.0)</f>
        <v>0</v>
      </c>
      <c r="P341" s="1431">
        <f>IFERROR(__xludf.DUMMYFUNCTION("""COMPUTED_VALUE"""),2.78)</f>
        <v>2.78</v>
      </c>
      <c r="Q341" s="1432">
        <f>IFERROR(__xludf.DUMMYFUNCTION("""COMPUTED_VALUE"""),416.99999999999994)</f>
        <v>417</v>
      </c>
    </row>
    <row r="342" ht="15.75" customHeight="1">
      <c r="A342" s="94"/>
      <c r="B342" s="94" t="str">
        <f>IFERROR(__xludf.DUMMYFUNCTION("""COMPUTED_VALUE"""),"C 4245")</f>
        <v>C 4245</v>
      </c>
      <c r="C342" s="1429" t="str">
        <f>IFERROR(__xludf.DUMMYFUNCTION("""COMPUTED_VALUE"""),"ORBI")</f>
        <v>ORBI</v>
      </c>
      <c r="D342" s="1432">
        <f>IFERROR(__xludf.DUMMYFUNCTION("""COMPUTED_VALUE"""),6.0)</f>
        <v>6</v>
      </c>
      <c r="E342" s="1429">
        <f>IFERROR(__xludf.DUMMYFUNCTION("""COMPUTED_VALUE"""),45457.0)</f>
        <v>45457</v>
      </c>
      <c r="F342" s="1429">
        <f>IFERROR(__xludf.DUMMYFUNCTION("""COMPUTED_VALUE"""),45467.0)</f>
        <v>45467</v>
      </c>
      <c r="G342" s="1164">
        <f>IFERROR(__xludf.DUMMYFUNCTION("""COMPUTED_VALUE"""),10.0)</f>
        <v>10</v>
      </c>
      <c r="H342" s="1430">
        <f>IFERROR(__xludf.DUMMYFUNCTION("""COMPUTED_VALUE"""),627.0)</f>
        <v>627</v>
      </c>
      <c r="I342" s="94"/>
      <c r="J342" s="94"/>
      <c r="K342" s="94">
        <f>IFERROR(__xludf.DUMMYFUNCTION("""COMPUTED_VALUE"""),70.0)</f>
        <v>70</v>
      </c>
      <c r="L342" s="94">
        <f>IFERROR(__xludf.DUMMYFUNCTION("""COMPUTED_VALUE"""),55.0)</f>
        <v>55</v>
      </c>
      <c r="M342" s="94">
        <f>IFERROR(__xludf.DUMMYFUNCTION("""COMPUTED_VALUE"""),15.0)</f>
        <v>15</v>
      </c>
      <c r="N342" s="94"/>
      <c r="O342" s="1430">
        <f>IFERROR(__xludf.DUMMYFUNCTION("""COMPUTED_VALUE"""),15.0)</f>
        <v>15</v>
      </c>
      <c r="P342" s="1431">
        <f>IFERROR(__xludf.DUMMYFUNCTION("""COMPUTED_VALUE"""),2.78)</f>
        <v>2.78</v>
      </c>
      <c r="Q342" s="1432">
        <f>IFERROR(__xludf.DUMMYFUNCTION("""COMPUTED_VALUE"""),1743.06)</f>
        <v>1743.06</v>
      </c>
    </row>
    <row r="343" ht="15.75" customHeight="1">
      <c r="A343" s="94"/>
      <c r="B343" s="94" t="str">
        <f>IFERROR(__xludf.DUMMYFUNCTION("""COMPUTED_VALUE"""),"WS E1405")</f>
        <v>WS E1405</v>
      </c>
      <c r="C343" s="1429" t="str">
        <f>IFERROR(__xludf.DUMMYFUNCTION("""COMPUTED_VALUE"""),"WS")</f>
        <v>WS</v>
      </c>
      <c r="D343" s="1432">
        <f>IFERROR(__xludf.DUMMYFUNCTION("""COMPUTED_VALUE"""),6.0)</f>
        <v>6</v>
      </c>
      <c r="E343" s="1429">
        <f>IFERROR(__xludf.DUMMYFUNCTION("""COMPUTED_VALUE"""),45459.0)</f>
        <v>45459</v>
      </c>
      <c r="F343" s="1429">
        <f>IFERROR(__xludf.DUMMYFUNCTION("""COMPUTED_VALUE"""),45474.0)</f>
        <v>45474</v>
      </c>
      <c r="G343" s="1164">
        <f>IFERROR(__xludf.DUMMYFUNCTION("""COMPUTED_VALUE"""),15.0)</f>
        <v>15</v>
      </c>
      <c r="H343" s="1430">
        <f>IFERROR(__xludf.DUMMYFUNCTION("""COMPUTED_VALUE"""),631.0)</f>
        <v>631</v>
      </c>
      <c r="I343" s="94"/>
      <c r="J343" s="94"/>
      <c r="K343" s="94">
        <f>IFERROR(__xludf.DUMMYFUNCTION("""COMPUTED_VALUE"""),60.0)</f>
        <v>60</v>
      </c>
      <c r="L343" s="94">
        <f>IFERROR(__xludf.DUMMYFUNCTION("""COMPUTED_VALUE"""),50.0)</f>
        <v>50</v>
      </c>
      <c r="M343" s="94">
        <f>IFERROR(__xludf.DUMMYFUNCTION("""COMPUTED_VALUE"""),10.0)</f>
        <v>10</v>
      </c>
      <c r="N343" s="94"/>
      <c r="O343" s="1430">
        <f>IFERROR(__xludf.DUMMYFUNCTION("""COMPUTED_VALUE"""),10.0)</f>
        <v>10</v>
      </c>
      <c r="P343" s="1431">
        <f>IFERROR(__xludf.DUMMYFUNCTION("""COMPUTED_VALUE"""),2.78)</f>
        <v>2.78</v>
      </c>
      <c r="Q343" s="1432">
        <f>IFERROR(__xludf.DUMMYFUNCTION("""COMPUTED_VALUE"""),1754.1799999999998)</f>
        <v>1754.18</v>
      </c>
    </row>
    <row r="344" ht="15.75" customHeight="1">
      <c r="A344" s="94"/>
      <c r="B344" s="94" t="str">
        <f>IFERROR(__xludf.DUMMYFUNCTION("""COMPUTED_VALUE"""),"WS В 1510")</f>
        <v>WS В 1510</v>
      </c>
      <c r="C344" s="1429" t="str">
        <f>IFERROR(__xludf.DUMMYFUNCTION("""COMPUTED_VALUE"""),"WS")</f>
        <v>WS</v>
      </c>
      <c r="D344" s="1432">
        <f>IFERROR(__xludf.DUMMYFUNCTION("""COMPUTED_VALUE"""),6.0)</f>
        <v>6</v>
      </c>
      <c r="E344" s="1429">
        <f>IFERROR(__xludf.DUMMYFUNCTION("""COMPUTED_VALUE"""),45459.0)</f>
        <v>45459</v>
      </c>
      <c r="F344" s="1429">
        <f>IFERROR(__xludf.DUMMYFUNCTION("""COMPUTED_VALUE"""),45462.0)</f>
        <v>45462</v>
      </c>
      <c r="G344" s="1164">
        <f>IFERROR(__xludf.DUMMYFUNCTION("""COMPUTED_VALUE"""),3.0)</f>
        <v>3</v>
      </c>
      <c r="H344" s="1430">
        <f>IFERROR(__xludf.DUMMYFUNCTION("""COMPUTED_VALUE"""),142.0)</f>
        <v>142</v>
      </c>
      <c r="I344" s="94"/>
      <c r="J344" s="94"/>
      <c r="K344" s="94">
        <f>IFERROR(__xludf.DUMMYFUNCTION("""COMPUTED_VALUE"""),60.0)</f>
        <v>60</v>
      </c>
      <c r="L344" s="94">
        <f>IFERROR(__xludf.DUMMYFUNCTION("""COMPUTED_VALUE"""),50.0)</f>
        <v>50</v>
      </c>
      <c r="M344" s="94">
        <f>IFERROR(__xludf.DUMMYFUNCTION("""COMPUTED_VALUE"""),10.0)</f>
        <v>10</v>
      </c>
      <c r="N344" s="94"/>
      <c r="O344" s="1430">
        <f>IFERROR(__xludf.DUMMYFUNCTION("""COMPUTED_VALUE"""),10.0)</f>
        <v>10</v>
      </c>
      <c r="P344" s="1431">
        <f>IFERROR(__xludf.DUMMYFUNCTION("""COMPUTED_VALUE"""),2.78)</f>
        <v>2.78</v>
      </c>
      <c r="Q344" s="1432">
        <f>IFERROR(__xludf.DUMMYFUNCTION("""COMPUTED_VALUE"""),394.76)</f>
        <v>394.76</v>
      </c>
    </row>
    <row r="345" ht="15.75" customHeight="1">
      <c r="A345" s="94"/>
      <c r="B345" s="94" t="str">
        <f>IFERROR(__xludf.DUMMYFUNCTION("""COMPUTED_VALUE"""),"С 1125")</f>
        <v>С 1125</v>
      </c>
      <c r="C345" s="1429" t="str">
        <f>IFERROR(__xludf.DUMMYFUNCTION("""COMPUTED_VALUE"""),"ORBI")</f>
        <v>ORBI</v>
      </c>
      <c r="D345" s="1432">
        <f>IFERROR(__xludf.DUMMYFUNCTION("""COMPUTED_VALUE"""),6.0)</f>
        <v>6</v>
      </c>
      <c r="E345" s="1429">
        <f>IFERROR(__xludf.DUMMYFUNCTION("""COMPUTED_VALUE"""),45459.0)</f>
        <v>45459</v>
      </c>
      <c r="F345" s="1429">
        <f>IFERROR(__xludf.DUMMYFUNCTION("""COMPUTED_VALUE"""),45461.0)</f>
        <v>45461</v>
      </c>
      <c r="G345" s="1164">
        <f>IFERROR(__xludf.DUMMYFUNCTION("""COMPUTED_VALUE"""),2.0)</f>
        <v>2</v>
      </c>
      <c r="H345" s="1430">
        <f>IFERROR(__xludf.DUMMYFUNCTION("""COMPUTED_VALUE"""),64.0)</f>
        <v>64</v>
      </c>
      <c r="I345" s="94"/>
      <c r="J345" s="94"/>
      <c r="K345" s="94">
        <f>IFERROR(__xludf.DUMMYFUNCTION("""COMPUTED_VALUE"""),50.0)</f>
        <v>50</v>
      </c>
      <c r="L345" s="94">
        <f>IFERROR(__xludf.DUMMYFUNCTION("""COMPUTED_VALUE"""),45.0)</f>
        <v>45</v>
      </c>
      <c r="M345" s="94">
        <f>IFERROR(__xludf.DUMMYFUNCTION("""COMPUTED_VALUE"""),5.0)</f>
        <v>5</v>
      </c>
      <c r="N345" s="94"/>
      <c r="O345" s="1430">
        <f>IFERROR(__xludf.DUMMYFUNCTION("""COMPUTED_VALUE"""),5.0)</f>
        <v>5</v>
      </c>
      <c r="P345" s="1431">
        <f>IFERROR(__xludf.DUMMYFUNCTION("""COMPUTED_VALUE"""),2.78)</f>
        <v>2.78</v>
      </c>
      <c r="Q345" s="1432">
        <f>IFERROR(__xludf.DUMMYFUNCTION("""COMPUTED_VALUE"""),177.92)</f>
        <v>177.92</v>
      </c>
    </row>
    <row r="346" ht="15.75" customHeight="1">
      <c r="A346" s="94"/>
      <c r="B346" s="94" t="str">
        <f>IFERROR(__xludf.DUMMYFUNCTION("""COMPUTED_VALUE"""),"A 2851")</f>
        <v>A 2851</v>
      </c>
      <c r="C346" s="94" t="str">
        <f>IFERROR(__xludf.DUMMYFUNCTION("""COMPUTED_VALUE"""),"ORBI")</f>
        <v>ORBI</v>
      </c>
      <c r="D346" s="1432">
        <f>IFERROR(__xludf.DUMMYFUNCTION("""COMPUTED_VALUE"""),6.0)</f>
        <v>6</v>
      </c>
      <c r="E346" s="1429">
        <f>IFERROR(__xludf.DUMMYFUNCTION("""COMPUTED_VALUE"""),45459.0)</f>
        <v>45459</v>
      </c>
      <c r="F346" s="1429">
        <f>IFERROR(__xludf.DUMMYFUNCTION("""COMPUTED_VALUE"""),45462.0)</f>
        <v>45462</v>
      </c>
      <c r="G346" s="1164">
        <f>IFERROR(__xludf.DUMMYFUNCTION("""COMPUTED_VALUE"""),3.0)</f>
        <v>3</v>
      </c>
      <c r="H346" s="1430">
        <f>IFERROR(__xludf.DUMMYFUNCTION("""COMPUTED_VALUE"""),100.0)</f>
        <v>100</v>
      </c>
      <c r="I346" s="94"/>
      <c r="J346" s="94"/>
      <c r="K346" s="94">
        <f>IFERROR(__xludf.DUMMYFUNCTION("""COMPUTED_VALUE"""),50.0)</f>
        <v>50</v>
      </c>
      <c r="L346" s="94">
        <f>IFERROR(__xludf.DUMMYFUNCTION("""COMPUTED_VALUE"""),45.0)</f>
        <v>45</v>
      </c>
      <c r="M346" s="94">
        <f>IFERROR(__xludf.DUMMYFUNCTION("""COMPUTED_VALUE"""),5.0)</f>
        <v>5</v>
      </c>
      <c r="N346" s="94"/>
      <c r="O346" s="1430">
        <f>IFERROR(__xludf.DUMMYFUNCTION("""COMPUTED_VALUE"""),5.0)</f>
        <v>5</v>
      </c>
      <c r="P346" s="1431">
        <f>IFERROR(__xludf.DUMMYFUNCTION("""COMPUTED_VALUE"""),2.78)</f>
        <v>2.78</v>
      </c>
      <c r="Q346" s="1432">
        <f>IFERROR(__xludf.DUMMYFUNCTION("""COMPUTED_VALUE"""),278.0)</f>
        <v>278</v>
      </c>
    </row>
    <row r="347" ht="15.75" customHeight="1">
      <c r="A347" s="94"/>
      <c r="B347" s="94" t="str">
        <f>IFERROR(__xludf.DUMMYFUNCTION("""COMPUTED_VALUE"""),"А 4049")</f>
        <v>А 4049</v>
      </c>
      <c r="C347" s="1429" t="str">
        <f>IFERROR(__xludf.DUMMYFUNCTION("""COMPUTED_VALUE"""),"ORBI")</f>
        <v>ORBI</v>
      </c>
      <c r="D347" s="1432">
        <f>IFERROR(__xludf.DUMMYFUNCTION("""COMPUTED_VALUE"""),6.0)</f>
        <v>6</v>
      </c>
      <c r="E347" s="1429">
        <f>IFERROR(__xludf.DUMMYFUNCTION("""COMPUTED_VALUE"""),45459.0)</f>
        <v>45459</v>
      </c>
      <c r="F347" s="1429">
        <f>IFERROR(__xludf.DUMMYFUNCTION("""COMPUTED_VALUE"""),45461.0)</f>
        <v>45461</v>
      </c>
      <c r="G347" s="1164">
        <f>IFERROR(__xludf.DUMMYFUNCTION("""COMPUTED_VALUE"""),2.0)</f>
        <v>2</v>
      </c>
      <c r="H347" s="1430">
        <f>IFERROR(__xludf.DUMMYFUNCTION("""COMPUTED_VALUE"""),80.0)</f>
        <v>80</v>
      </c>
      <c r="I347" s="94"/>
      <c r="J347" s="94"/>
      <c r="K347" s="94">
        <f>IFERROR(__xludf.DUMMYFUNCTION("""COMPUTED_VALUE"""),50.0)</f>
        <v>50</v>
      </c>
      <c r="L347" s="94">
        <f>IFERROR(__xludf.DUMMYFUNCTION("""COMPUTED_VALUE"""),45.0)</f>
        <v>45</v>
      </c>
      <c r="M347" s="94">
        <f>IFERROR(__xludf.DUMMYFUNCTION("""COMPUTED_VALUE"""),5.0)</f>
        <v>5</v>
      </c>
      <c r="N347" s="94"/>
      <c r="O347" s="1430">
        <f>IFERROR(__xludf.DUMMYFUNCTION("""COMPUTED_VALUE"""),5.0)</f>
        <v>5</v>
      </c>
      <c r="P347" s="1431">
        <f>IFERROR(__xludf.DUMMYFUNCTION("""COMPUTED_VALUE"""),2.78)</f>
        <v>2.78</v>
      </c>
      <c r="Q347" s="1432">
        <f>IFERROR(__xludf.DUMMYFUNCTION("""COMPUTED_VALUE"""),222.39999999999998)</f>
        <v>222.4</v>
      </c>
    </row>
    <row r="348" ht="15.75" customHeight="1">
      <c r="A348" s="94" t="str">
        <f>IFERROR(__xludf.DUMMYFUNCTION("""COMPUTED_VALUE"""),"Итого неделя")</f>
        <v>Итого неделя</v>
      </c>
      <c r="B348" s="94" t="str">
        <f>IFERROR(__xludf.DUMMYFUNCTION("""COMPUTED_VALUE"""),"24 неделя")</f>
        <v>24 неделя</v>
      </c>
      <c r="C348" s="94">
        <f>IFERROR(__xludf.DUMMYFUNCTION("""COMPUTED_VALUE"""),0.0)</f>
        <v>0</v>
      </c>
      <c r="D348" s="94"/>
      <c r="E348" s="94"/>
      <c r="F348" s="94"/>
      <c r="G348" s="1164">
        <f>IFERROR(__xludf.DUMMYFUNCTION("""COMPUTED_VALUE"""),154.0)</f>
        <v>154</v>
      </c>
      <c r="H348" s="1430">
        <f>IFERROR(__xludf.DUMMYFUNCTION("""COMPUTED_VALUE"""),7325.0)</f>
        <v>7325</v>
      </c>
      <c r="I348" s="94">
        <f>IFERROR(__xludf.DUMMYFUNCTION("""COMPUTED_VALUE"""),650.0)</f>
        <v>650</v>
      </c>
      <c r="J348" s="94">
        <f>IFERROR(__xludf.DUMMYFUNCTION("""COMPUTED_VALUE"""),0.0)</f>
        <v>0</v>
      </c>
      <c r="K348" s="94"/>
      <c r="L348" s="94"/>
      <c r="M348" s="94">
        <f>IFERROR(__xludf.DUMMYFUNCTION("""COMPUTED_VALUE"""),0.0)</f>
        <v>0</v>
      </c>
      <c r="N348" s="94">
        <f>IFERROR(__xludf.DUMMYFUNCTION("""COMPUTED_VALUE"""),0.0)</f>
        <v>0</v>
      </c>
      <c r="O348" s="1430">
        <f>IFERROR(__xludf.DUMMYFUNCTION("""COMPUTED_VALUE"""),295.0)</f>
        <v>295</v>
      </c>
      <c r="P348" s="94"/>
      <c r="Q348" s="1432">
        <f>IFERROR(__xludf.DUMMYFUNCTION("""COMPUTED_VALUE"""),21013.499999999996)</f>
        <v>21013.5</v>
      </c>
    </row>
    <row r="349" ht="15.75" customHeight="1">
      <c r="A349" s="94"/>
      <c r="B349" s="94" t="str">
        <f>IFERROR(__xludf.DUMMYFUNCTION("""COMPUTED_VALUE"""),"WS В 503")</f>
        <v>WS В 503</v>
      </c>
      <c r="C349" s="1429" t="str">
        <f>IFERROR(__xludf.DUMMYFUNCTION("""COMPUTED_VALUE"""),"WS")</f>
        <v>WS</v>
      </c>
      <c r="D349" s="1432">
        <f>IFERROR(__xludf.DUMMYFUNCTION("""COMPUTED_VALUE"""),6.0)</f>
        <v>6</v>
      </c>
      <c r="E349" s="1429">
        <f>IFERROR(__xludf.DUMMYFUNCTION("""COMPUTED_VALUE"""),45460.0)</f>
        <v>45460</v>
      </c>
      <c r="F349" s="1429">
        <f>IFERROR(__xludf.DUMMYFUNCTION("""COMPUTED_VALUE"""),45471.0)</f>
        <v>45471</v>
      </c>
      <c r="G349" s="1164">
        <f>IFERROR(__xludf.DUMMYFUNCTION("""COMPUTED_VALUE"""),11.0)</f>
        <v>11</v>
      </c>
      <c r="H349" s="1430">
        <f>IFERROR(__xludf.DUMMYFUNCTION("""COMPUTED_VALUE"""),693.0)</f>
        <v>693</v>
      </c>
      <c r="I349" s="94"/>
      <c r="J349" s="94"/>
      <c r="K349" s="94">
        <f>IFERROR(__xludf.DUMMYFUNCTION("""COMPUTED_VALUE"""),70.0)</f>
        <v>70</v>
      </c>
      <c r="L349" s="94">
        <f>IFERROR(__xludf.DUMMYFUNCTION("""COMPUTED_VALUE"""),40.0)</f>
        <v>40</v>
      </c>
      <c r="M349" s="94">
        <f>IFERROR(__xludf.DUMMYFUNCTION("""COMPUTED_VALUE"""),30.0)</f>
        <v>30</v>
      </c>
      <c r="N349" s="94"/>
      <c r="O349" s="1430">
        <f>IFERROR(__xludf.DUMMYFUNCTION("""COMPUTED_VALUE"""),30.0)</f>
        <v>30</v>
      </c>
      <c r="P349" s="1431">
        <f>IFERROR(__xludf.DUMMYFUNCTION("""COMPUTED_VALUE"""),2.78)</f>
        <v>2.78</v>
      </c>
      <c r="Q349" s="1432">
        <f>IFERROR(__xludf.DUMMYFUNCTION("""COMPUTED_VALUE"""),1926.54)</f>
        <v>1926.54</v>
      </c>
    </row>
    <row r="350" ht="15.75" customHeight="1">
      <c r="A350" s="94"/>
      <c r="B350" s="94" t="str">
        <f>IFERROR(__xludf.DUMMYFUNCTION("""COMPUTED_VALUE"""),"DL 14-1214")</f>
        <v>DL 14-1214</v>
      </c>
      <c r="C350" s="1429" t="str">
        <f>IFERROR(__xludf.DUMMYFUNCTION("""COMPUTED_VALUE"""),"DL")</f>
        <v>DL</v>
      </c>
      <c r="D350" s="1432">
        <f>IFERROR(__xludf.DUMMYFUNCTION("""COMPUTED_VALUE"""),6.0)</f>
        <v>6</v>
      </c>
      <c r="E350" s="1429">
        <f>IFERROR(__xludf.DUMMYFUNCTION("""COMPUTED_VALUE"""),45460.0)</f>
        <v>45460</v>
      </c>
      <c r="F350" s="1429">
        <f>IFERROR(__xludf.DUMMYFUNCTION("""COMPUTED_VALUE"""),45463.0)</f>
        <v>45463</v>
      </c>
      <c r="G350" s="1164">
        <f>IFERROR(__xludf.DUMMYFUNCTION("""COMPUTED_VALUE"""),3.0)</f>
        <v>3</v>
      </c>
      <c r="H350" s="1430">
        <f>IFERROR(__xludf.DUMMYFUNCTION("""COMPUTED_VALUE"""),172.0)</f>
        <v>172</v>
      </c>
      <c r="I350" s="94"/>
      <c r="J350" s="94"/>
      <c r="K350" s="94">
        <f>IFERROR(__xludf.DUMMYFUNCTION("""COMPUTED_VALUE"""),95.0)</f>
        <v>95</v>
      </c>
      <c r="L350" s="94">
        <f>IFERROR(__xludf.DUMMYFUNCTION("""COMPUTED_VALUE"""),95.0)</f>
        <v>95</v>
      </c>
      <c r="M350" s="94">
        <f>IFERROR(__xludf.DUMMYFUNCTION("""COMPUTED_VALUE"""),0.0)</f>
        <v>0</v>
      </c>
      <c r="N350" s="94"/>
      <c r="O350" s="1430">
        <f>IFERROR(__xludf.DUMMYFUNCTION("""COMPUTED_VALUE"""),0.0)</f>
        <v>0</v>
      </c>
      <c r="P350" s="1431">
        <f>IFERROR(__xludf.DUMMYFUNCTION("""COMPUTED_VALUE"""),2.85)</f>
        <v>2.85</v>
      </c>
      <c r="Q350" s="1432">
        <f>IFERROR(__xludf.DUMMYFUNCTION("""COMPUTED_VALUE"""),490.2)</f>
        <v>490.2</v>
      </c>
    </row>
    <row r="351" ht="15.75" customHeight="1">
      <c r="A351" s="94"/>
      <c r="B351" s="94" t="str">
        <f>IFERROR(__xludf.DUMMYFUNCTION("""COMPUTED_VALUE"""),"WS A 608")</f>
        <v>WS A 608</v>
      </c>
      <c r="C351" s="1429" t="str">
        <f>IFERROR(__xludf.DUMMYFUNCTION("""COMPUTED_VALUE"""),"WS")</f>
        <v>WS</v>
      </c>
      <c r="D351" s="1432">
        <f>IFERROR(__xludf.DUMMYFUNCTION("""COMPUTED_VALUE"""),6.0)</f>
        <v>6</v>
      </c>
      <c r="E351" s="1429">
        <f>IFERROR(__xludf.DUMMYFUNCTION("""COMPUTED_VALUE"""),45460.0)</f>
        <v>45460</v>
      </c>
      <c r="F351" s="1429">
        <f>IFERROR(__xludf.DUMMYFUNCTION("""COMPUTED_VALUE"""),45463.0)</f>
        <v>45463</v>
      </c>
      <c r="G351" s="1164">
        <f>IFERROR(__xludf.DUMMYFUNCTION("""COMPUTED_VALUE"""),3.0)</f>
        <v>3</v>
      </c>
      <c r="H351" s="1430">
        <f>IFERROR(__xludf.DUMMYFUNCTION("""COMPUTED_VALUE"""),105.0)</f>
        <v>105</v>
      </c>
      <c r="I351" s="94"/>
      <c r="J351" s="94"/>
      <c r="K351" s="94">
        <f>IFERROR(__xludf.DUMMYFUNCTION("""COMPUTED_VALUE"""),60.0)</f>
        <v>60</v>
      </c>
      <c r="L351" s="94">
        <f>IFERROR(__xludf.DUMMYFUNCTION("""COMPUTED_VALUE"""),40.0)</f>
        <v>40</v>
      </c>
      <c r="M351" s="94">
        <f>IFERROR(__xludf.DUMMYFUNCTION("""COMPUTED_VALUE"""),20.0)</f>
        <v>20</v>
      </c>
      <c r="N351" s="94"/>
      <c r="O351" s="1430">
        <f>IFERROR(__xludf.DUMMYFUNCTION("""COMPUTED_VALUE"""),20.0)</f>
        <v>20</v>
      </c>
      <c r="P351" s="1431">
        <f>IFERROR(__xludf.DUMMYFUNCTION("""COMPUTED_VALUE"""),2.78)</f>
        <v>2.78</v>
      </c>
      <c r="Q351" s="1432">
        <f>IFERROR(__xludf.DUMMYFUNCTION("""COMPUTED_VALUE"""),291.9)</f>
        <v>291.9</v>
      </c>
    </row>
    <row r="352" ht="15.75" customHeight="1">
      <c r="A352" s="94"/>
      <c r="B352" s="94" t="str">
        <f>IFERROR(__xludf.DUMMYFUNCTION("""COMPUTED_VALUE"""),"WS F 907")</f>
        <v>WS F 907</v>
      </c>
      <c r="C352" s="1429" t="str">
        <f>IFERROR(__xludf.DUMMYFUNCTION("""COMPUTED_VALUE"""),"WS")</f>
        <v>WS</v>
      </c>
      <c r="D352" s="1432">
        <f>IFERROR(__xludf.DUMMYFUNCTION("""COMPUTED_VALUE"""),6.0)</f>
        <v>6</v>
      </c>
      <c r="E352" s="1429">
        <f>IFERROR(__xludf.DUMMYFUNCTION("""COMPUTED_VALUE"""),45460.0)</f>
        <v>45460</v>
      </c>
      <c r="F352" s="1429">
        <f>IFERROR(__xludf.DUMMYFUNCTION("""COMPUTED_VALUE"""),45462.0)</f>
        <v>45462</v>
      </c>
      <c r="G352" s="1164">
        <f>IFERROR(__xludf.DUMMYFUNCTION("""COMPUTED_VALUE"""),2.0)</f>
        <v>2</v>
      </c>
      <c r="H352" s="94"/>
      <c r="I352" s="94">
        <f>IFERROR(__xludf.DUMMYFUNCTION("""COMPUTED_VALUE"""),263.0)</f>
        <v>263</v>
      </c>
      <c r="J352" s="94"/>
      <c r="K352" s="94">
        <f>IFERROR(__xludf.DUMMYFUNCTION("""COMPUTED_VALUE"""),60.0)</f>
        <v>60</v>
      </c>
      <c r="L352" s="94">
        <f>IFERROR(__xludf.DUMMYFUNCTION("""COMPUTED_VALUE"""),40.0)</f>
        <v>40</v>
      </c>
      <c r="M352" s="94">
        <f>IFERROR(__xludf.DUMMYFUNCTION("""COMPUTED_VALUE"""),20.0)</f>
        <v>20</v>
      </c>
      <c r="N352" s="94"/>
      <c r="O352" s="1430">
        <f>IFERROR(__xludf.DUMMYFUNCTION("""COMPUTED_VALUE"""),20.0)</f>
        <v>20</v>
      </c>
      <c r="P352" s="1431">
        <f>IFERROR(__xludf.DUMMYFUNCTION("""COMPUTED_VALUE"""),2.78)</f>
        <v>2.78</v>
      </c>
      <c r="Q352" s="1432">
        <f>IFERROR(__xludf.DUMMYFUNCTION("""COMPUTED_VALUE"""),263.0)</f>
        <v>263</v>
      </c>
    </row>
    <row r="353" ht="15.75" customHeight="1">
      <c r="A353" s="94"/>
      <c r="B353" s="94" t="str">
        <f>IFERROR(__xludf.DUMMYFUNCTION("""COMPUTED_VALUE"""),"А 4049")</f>
        <v>А 4049</v>
      </c>
      <c r="C353" s="1429" t="str">
        <f>IFERROR(__xludf.DUMMYFUNCTION("""COMPUTED_VALUE"""),"ORBI")</f>
        <v>ORBI</v>
      </c>
      <c r="D353" s="1432">
        <f>IFERROR(__xludf.DUMMYFUNCTION("""COMPUTED_VALUE"""),6.0)</f>
        <v>6</v>
      </c>
      <c r="E353" s="1429">
        <f>IFERROR(__xludf.DUMMYFUNCTION("""COMPUTED_VALUE"""),45461.0)</f>
        <v>45461</v>
      </c>
      <c r="F353" s="1429">
        <f>IFERROR(__xludf.DUMMYFUNCTION("""COMPUTED_VALUE"""),45464.0)</f>
        <v>45464</v>
      </c>
      <c r="G353" s="1164">
        <f>IFERROR(__xludf.DUMMYFUNCTION("""COMPUTED_VALUE"""),3.0)</f>
        <v>3</v>
      </c>
      <c r="H353" s="1430">
        <f>IFERROR(__xludf.DUMMYFUNCTION("""COMPUTED_VALUE"""),114.0)</f>
        <v>114</v>
      </c>
      <c r="I353" s="94"/>
      <c r="J353" s="94"/>
      <c r="K353" s="94">
        <f>IFERROR(__xludf.DUMMYFUNCTION("""COMPUTED_VALUE"""),50.0)</f>
        <v>50</v>
      </c>
      <c r="L353" s="94">
        <f>IFERROR(__xludf.DUMMYFUNCTION("""COMPUTED_VALUE"""),45.0)</f>
        <v>45</v>
      </c>
      <c r="M353" s="94">
        <f>IFERROR(__xludf.DUMMYFUNCTION("""COMPUTED_VALUE"""),5.0)</f>
        <v>5</v>
      </c>
      <c r="N353" s="94"/>
      <c r="O353" s="1430">
        <f>IFERROR(__xludf.DUMMYFUNCTION("""COMPUTED_VALUE"""),5.0)</f>
        <v>5</v>
      </c>
      <c r="P353" s="1431">
        <f>IFERROR(__xludf.DUMMYFUNCTION("""COMPUTED_VALUE"""),2.78)</f>
        <v>2.78</v>
      </c>
      <c r="Q353" s="1432">
        <f>IFERROR(__xludf.DUMMYFUNCTION("""COMPUTED_VALUE"""),316.91999999999996)</f>
        <v>316.92</v>
      </c>
    </row>
    <row r="354" ht="15.75" customHeight="1">
      <c r="A354" s="94"/>
      <c r="B354" s="94" t="str">
        <f>IFERROR(__xludf.DUMMYFUNCTION("""COMPUTED_VALUE"""),"Шар 2505")</f>
        <v>Шар 2505</v>
      </c>
      <c r="C354" s="1429" t="str">
        <f>IFERROR(__xludf.DUMMYFUNCTION("""COMPUTED_VALUE"""),"Other")</f>
        <v>Other</v>
      </c>
      <c r="D354" s="1432">
        <f>IFERROR(__xludf.DUMMYFUNCTION("""COMPUTED_VALUE"""),6.0)</f>
        <v>6</v>
      </c>
      <c r="E354" s="1429">
        <f>IFERROR(__xludf.DUMMYFUNCTION("""COMPUTED_VALUE"""),45461.0)</f>
        <v>45461</v>
      </c>
      <c r="F354" s="1429">
        <f>IFERROR(__xludf.DUMMYFUNCTION("""COMPUTED_VALUE"""),45468.0)</f>
        <v>45468</v>
      </c>
      <c r="G354" s="1164">
        <f>IFERROR(__xludf.DUMMYFUNCTION("""COMPUTED_VALUE"""),7.0)</f>
        <v>7</v>
      </c>
      <c r="H354" s="1430">
        <f>IFERROR(__xludf.DUMMYFUNCTION("""COMPUTED_VALUE"""),270.0)</f>
        <v>270</v>
      </c>
      <c r="I354" s="94"/>
      <c r="J354" s="94"/>
      <c r="K354" s="94">
        <f>IFERROR(__xludf.DUMMYFUNCTION("""COMPUTED_VALUE"""),60.0)</f>
        <v>60</v>
      </c>
      <c r="L354" s="94">
        <f>IFERROR(__xludf.DUMMYFUNCTION("""COMPUTED_VALUE"""),40.0)</f>
        <v>40</v>
      </c>
      <c r="M354" s="94">
        <f>IFERROR(__xludf.DUMMYFUNCTION("""COMPUTED_VALUE"""),20.0)</f>
        <v>20</v>
      </c>
      <c r="N354" s="94"/>
      <c r="O354" s="1430">
        <f>IFERROR(__xludf.DUMMYFUNCTION("""COMPUTED_VALUE"""),20.0)</f>
        <v>20</v>
      </c>
      <c r="P354" s="1431">
        <f>IFERROR(__xludf.DUMMYFUNCTION("""COMPUTED_VALUE"""),2.78)</f>
        <v>2.78</v>
      </c>
      <c r="Q354" s="1432">
        <f>IFERROR(__xludf.DUMMYFUNCTION("""COMPUTED_VALUE"""),750.5999999999999)</f>
        <v>750.6</v>
      </c>
    </row>
    <row r="355" ht="15.75" customHeight="1">
      <c r="A355" s="94"/>
      <c r="B355" s="94" t="str">
        <f>IFERROR(__xludf.DUMMYFUNCTION("""COMPUTED_VALUE"""),"С 1125")</f>
        <v>С 1125</v>
      </c>
      <c r="C355" s="1429" t="str">
        <f>IFERROR(__xludf.DUMMYFUNCTION("""COMPUTED_VALUE"""),"ORBI")</f>
        <v>ORBI</v>
      </c>
      <c r="D355" s="1432">
        <f>IFERROR(__xludf.DUMMYFUNCTION("""COMPUTED_VALUE"""),6.0)</f>
        <v>6</v>
      </c>
      <c r="E355" s="1429">
        <f>IFERROR(__xludf.DUMMYFUNCTION("""COMPUTED_VALUE"""),45461.0)</f>
        <v>45461</v>
      </c>
      <c r="F355" s="1429">
        <f>IFERROR(__xludf.DUMMYFUNCTION("""COMPUTED_VALUE"""),45463.0)</f>
        <v>45463</v>
      </c>
      <c r="G355" s="1164">
        <f>IFERROR(__xludf.DUMMYFUNCTION("""COMPUTED_VALUE"""),2.0)</f>
        <v>2</v>
      </c>
      <c r="H355" s="1430">
        <f>IFERROR(__xludf.DUMMYFUNCTION("""COMPUTED_VALUE"""),56.0)</f>
        <v>56</v>
      </c>
      <c r="I355" s="94"/>
      <c r="J355" s="94"/>
      <c r="K355" s="94">
        <f>IFERROR(__xludf.DUMMYFUNCTION("""COMPUTED_VALUE"""),50.0)</f>
        <v>50</v>
      </c>
      <c r="L355" s="94">
        <f>IFERROR(__xludf.DUMMYFUNCTION("""COMPUTED_VALUE"""),45.0)</f>
        <v>45</v>
      </c>
      <c r="M355" s="94">
        <f>IFERROR(__xludf.DUMMYFUNCTION("""COMPUTED_VALUE"""),5.0)</f>
        <v>5</v>
      </c>
      <c r="N355" s="94"/>
      <c r="O355" s="1430">
        <f>IFERROR(__xludf.DUMMYFUNCTION("""COMPUTED_VALUE"""),5.0)</f>
        <v>5</v>
      </c>
      <c r="P355" s="1431">
        <f>IFERROR(__xludf.DUMMYFUNCTION("""COMPUTED_VALUE"""),2.78)</f>
        <v>2.78</v>
      </c>
      <c r="Q355" s="1432">
        <f>IFERROR(__xludf.DUMMYFUNCTION("""COMPUTED_VALUE"""),155.67999999999998)</f>
        <v>155.68</v>
      </c>
    </row>
    <row r="356" ht="15.75" customHeight="1">
      <c r="A356" s="94"/>
      <c r="B356" s="94" t="str">
        <f>IFERROR(__xludf.DUMMYFUNCTION("""COMPUTED_VALUE"""),"С 1443")</f>
        <v>С 1443</v>
      </c>
      <c r="C356" s="1429" t="str">
        <f>IFERROR(__xludf.DUMMYFUNCTION("""COMPUTED_VALUE"""),"ORBI")</f>
        <v>ORBI</v>
      </c>
      <c r="D356" s="1432">
        <f>IFERROR(__xludf.DUMMYFUNCTION("""COMPUTED_VALUE"""),6.0)</f>
        <v>6</v>
      </c>
      <c r="E356" s="1429">
        <f>IFERROR(__xludf.DUMMYFUNCTION("""COMPUTED_VALUE"""),45461.0)</f>
        <v>45461</v>
      </c>
      <c r="F356" s="1429">
        <f>IFERROR(__xludf.DUMMYFUNCTION("""COMPUTED_VALUE"""),45463.0)</f>
        <v>45463</v>
      </c>
      <c r="G356" s="1164">
        <f>IFERROR(__xludf.DUMMYFUNCTION("""COMPUTED_VALUE"""),2.0)</f>
        <v>2</v>
      </c>
      <c r="H356" s="1430">
        <f>IFERROR(__xludf.DUMMYFUNCTION("""COMPUTED_VALUE"""),75.0)</f>
        <v>75</v>
      </c>
      <c r="I356" s="94"/>
      <c r="J356" s="94"/>
      <c r="K356" s="94">
        <f>IFERROR(__xludf.DUMMYFUNCTION("""COMPUTED_VALUE"""),70.0)</f>
        <v>70</v>
      </c>
      <c r="L356" s="94">
        <f>IFERROR(__xludf.DUMMYFUNCTION("""COMPUTED_VALUE"""),55.0)</f>
        <v>55</v>
      </c>
      <c r="M356" s="94">
        <f>IFERROR(__xludf.DUMMYFUNCTION("""COMPUTED_VALUE"""),15.0)</f>
        <v>15</v>
      </c>
      <c r="N356" s="94"/>
      <c r="O356" s="1430">
        <f>IFERROR(__xludf.DUMMYFUNCTION("""COMPUTED_VALUE"""),15.0)</f>
        <v>15</v>
      </c>
      <c r="P356" s="1431">
        <f>IFERROR(__xludf.DUMMYFUNCTION("""COMPUTED_VALUE"""),2.78)</f>
        <v>2.78</v>
      </c>
      <c r="Q356" s="1432">
        <f>IFERROR(__xludf.DUMMYFUNCTION("""COMPUTED_VALUE"""),208.49999999999997)</f>
        <v>208.5</v>
      </c>
    </row>
    <row r="357" ht="15.75" customHeight="1">
      <c r="A357" s="94"/>
      <c r="B357" s="94" t="str">
        <f>IFERROR(__xludf.DUMMYFUNCTION("""COMPUTED_VALUE"""),"Wyn")</f>
        <v>Wyn</v>
      </c>
      <c r="C357" s="1429" t="str">
        <f>IFERROR(__xludf.DUMMYFUNCTION("""COMPUTED_VALUE"""),"Other")</f>
        <v>Other</v>
      </c>
      <c r="D357" s="1432">
        <f>IFERROR(__xludf.DUMMYFUNCTION("""COMPUTED_VALUE"""),6.0)</f>
        <v>6</v>
      </c>
      <c r="E357" s="1429">
        <f>IFERROR(__xludf.DUMMYFUNCTION("""COMPUTED_VALUE"""),45461.0)</f>
        <v>45461</v>
      </c>
      <c r="F357" s="1429">
        <f>IFERROR(__xludf.DUMMYFUNCTION("""COMPUTED_VALUE"""),45464.0)</f>
        <v>45464</v>
      </c>
      <c r="G357" s="1164">
        <f>IFERROR(__xludf.DUMMYFUNCTION("""COMPUTED_VALUE"""),3.0)</f>
        <v>3</v>
      </c>
      <c r="H357" s="1430">
        <f>IFERROR(__xludf.DUMMYFUNCTION("""COMPUTED_VALUE"""),88.0)</f>
        <v>88</v>
      </c>
      <c r="I357" s="94"/>
      <c r="J357" s="94"/>
      <c r="K357" s="94">
        <f>IFERROR(__xludf.DUMMYFUNCTION("""COMPUTED_VALUE"""),70.0)</f>
        <v>70</v>
      </c>
      <c r="L357" s="94">
        <f>IFERROR(__xludf.DUMMYFUNCTION("""COMPUTED_VALUE"""),40.0)</f>
        <v>40</v>
      </c>
      <c r="M357" s="94">
        <f>IFERROR(__xludf.DUMMYFUNCTION("""COMPUTED_VALUE"""),30.0)</f>
        <v>30</v>
      </c>
      <c r="N357" s="94"/>
      <c r="O357" s="1430">
        <f>IFERROR(__xludf.DUMMYFUNCTION("""COMPUTED_VALUE"""),30.0)</f>
        <v>30</v>
      </c>
      <c r="P357" s="1431">
        <f>IFERROR(__xludf.DUMMYFUNCTION("""COMPUTED_VALUE"""),2.78)</f>
        <v>2.78</v>
      </c>
      <c r="Q357" s="1432">
        <f>IFERROR(__xludf.DUMMYFUNCTION("""COMPUTED_VALUE"""),244.64)</f>
        <v>244.64</v>
      </c>
    </row>
    <row r="358" ht="15.75" customHeight="1">
      <c r="A358" s="94"/>
      <c r="B358" s="94" t="str">
        <f>IFERROR(__xludf.DUMMYFUNCTION("""COMPUTED_VALUE"""),"WS A907")</f>
        <v>WS A907</v>
      </c>
      <c r="C358" s="1429" t="str">
        <f>IFERROR(__xludf.DUMMYFUNCTION("""COMPUTED_VALUE"""),"WS")</f>
        <v>WS</v>
      </c>
      <c r="D358" s="1432">
        <f>IFERROR(__xludf.DUMMYFUNCTION("""COMPUTED_VALUE"""),6.0)</f>
        <v>6</v>
      </c>
      <c r="E358" s="1429">
        <f>IFERROR(__xludf.DUMMYFUNCTION("""COMPUTED_VALUE"""),45461.0)</f>
        <v>45461</v>
      </c>
      <c r="F358" s="1429">
        <f>IFERROR(__xludf.DUMMYFUNCTION("""COMPUTED_VALUE"""),45476.0)</f>
        <v>45476</v>
      </c>
      <c r="G358" s="1164">
        <f>IFERROR(__xludf.DUMMYFUNCTION("""COMPUTED_VALUE"""),15.0)</f>
        <v>15</v>
      </c>
      <c r="H358" s="1430">
        <f>IFERROR(__xludf.DUMMYFUNCTION("""COMPUTED_VALUE"""),515.0)</f>
        <v>515</v>
      </c>
      <c r="I358" s="94"/>
      <c r="J358" s="94"/>
      <c r="K358" s="94">
        <f>IFERROR(__xludf.DUMMYFUNCTION("""COMPUTED_VALUE"""),60.0)</f>
        <v>60</v>
      </c>
      <c r="L358" s="94">
        <f>IFERROR(__xludf.DUMMYFUNCTION("""COMPUTED_VALUE"""),40.0)</f>
        <v>40</v>
      </c>
      <c r="M358" s="94">
        <f>IFERROR(__xludf.DUMMYFUNCTION("""COMPUTED_VALUE"""),20.0)</f>
        <v>20</v>
      </c>
      <c r="N358" s="94"/>
      <c r="O358" s="1430">
        <f>IFERROR(__xludf.DUMMYFUNCTION("""COMPUTED_VALUE"""),20.0)</f>
        <v>20</v>
      </c>
      <c r="P358" s="1431">
        <f>IFERROR(__xludf.DUMMYFUNCTION("""COMPUTED_VALUE"""),2.78)</f>
        <v>2.78</v>
      </c>
      <c r="Q358" s="1432">
        <f>IFERROR(__xludf.DUMMYFUNCTION("""COMPUTED_VALUE"""),1431.6999999999998)</f>
        <v>1431.7</v>
      </c>
    </row>
    <row r="359" ht="15.75" customHeight="1">
      <c r="A359" s="94"/>
      <c r="B359" s="94" t="str">
        <f>IFERROR(__xludf.DUMMYFUNCTION("""COMPUTED_VALUE"""),"WS  B 405")</f>
        <v>WS  B 405</v>
      </c>
      <c r="C359" s="1429" t="str">
        <f>IFERROR(__xludf.DUMMYFUNCTION("""COMPUTED_VALUE"""),"WS")</f>
        <v>WS</v>
      </c>
      <c r="D359" s="1432">
        <f>IFERROR(__xludf.DUMMYFUNCTION("""COMPUTED_VALUE"""),6.0)</f>
        <v>6</v>
      </c>
      <c r="E359" s="1429">
        <f>IFERROR(__xludf.DUMMYFUNCTION("""COMPUTED_VALUE"""),45461.0)</f>
        <v>45461</v>
      </c>
      <c r="F359" s="1429">
        <f>IFERROR(__xludf.DUMMYFUNCTION("""COMPUTED_VALUE"""),45463.0)</f>
        <v>45463</v>
      </c>
      <c r="G359" s="1164">
        <f>IFERROR(__xludf.DUMMYFUNCTION("""COMPUTED_VALUE"""),2.0)</f>
        <v>2</v>
      </c>
      <c r="H359" s="1430">
        <f>IFERROR(__xludf.DUMMYFUNCTION("""COMPUTED_VALUE"""),75.0)</f>
        <v>75</v>
      </c>
      <c r="I359" s="94"/>
      <c r="J359" s="94"/>
      <c r="K359" s="94">
        <f>IFERROR(__xludf.DUMMYFUNCTION("""COMPUTED_VALUE"""),60.0)</f>
        <v>60</v>
      </c>
      <c r="L359" s="94">
        <f>IFERROR(__xludf.DUMMYFUNCTION("""COMPUTED_VALUE"""),40.0)</f>
        <v>40</v>
      </c>
      <c r="M359" s="94">
        <f>IFERROR(__xludf.DUMMYFUNCTION("""COMPUTED_VALUE"""),20.0)</f>
        <v>20</v>
      </c>
      <c r="N359" s="94"/>
      <c r="O359" s="1430">
        <f>IFERROR(__xludf.DUMMYFUNCTION("""COMPUTED_VALUE"""),20.0)</f>
        <v>20</v>
      </c>
      <c r="P359" s="1431">
        <f>IFERROR(__xludf.DUMMYFUNCTION("""COMPUTED_VALUE"""),2.8)</f>
        <v>2.8</v>
      </c>
      <c r="Q359" s="1432">
        <f>IFERROR(__xludf.DUMMYFUNCTION("""COMPUTED_VALUE"""),210.0)</f>
        <v>210</v>
      </c>
    </row>
    <row r="360" ht="15.75" customHeight="1">
      <c r="A360" s="94"/>
      <c r="B360" s="94" t="str">
        <f>IFERROR(__xludf.DUMMYFUNCTION("""COMPUTED_VALUE"""),"WS В 212")</f>
        <v>WS В 212</v>
      </c>
      <c r="C360" s="1429" t="str">
        <f>IFERROR(__xludf.DUMMYFUNCTION("""COMPUTED_VALUE"""),"WS")</f>
        <v>WS</v>
      </c>
      <c r="D360" s="1432">
        <f>IFERROR(__xludf.DUMMYFUNCTION("""COMPUTED_VALUE"""),6.0)</f>
        <v>6</v>
      </c>
      <c r="E360" s="1429">
        <f>IFERROR(__xludf.DUMMYFUNCTION("""COMPUTED_VALUE"""),45462.0)</f>
        <v>45462</v>
      </c>
      <c r="F360" s="1429">
        <f>IFERROR(__xludf.DUMMYFUNCTION("""COMPUTED_VALUE"""),45466.0)</f>
        <v>45466</v>
      </c>
      <c r="G360" s="1164">
        <f>IFERROR(__xludf.DUMMYFUNCTION("""COMPUTED_VALUE"""),4.0)</f>
        <v>4</v>
      </c>
      <c r="H360" s="1430">
        <f>IFERROR(__xludf.DUMMYFUNCTION("""COMPUTED_VALUE"""),408.0)</f>
        <v>408</v>
      </c>
      <c r="I360" s="94"/>
      <c r="J360" s="94"/>
      <c r="K360" s="94">
        <f>IFERROR(__xludf.DUMMYFUNCTION("""COMPUTED_VALUE"""),70.0)</f>
        <v>70</v>
      </c>
      <c r="L360" s="94">
        <f>IFERROR(__xludf.DUMMYFUNCTION("""COMPUTED_VALUE"""),40.0)</f>
        <v>40</v>
      </c>
      <c r="M360" s="94">
        <f>IFERROR(__xludf.DUMMYFUNCTION("""COMPUTED_VALUE"""),30.0)</f>
        <v>30</v>
      </c>
      <c r="N360" s="94"/>
      <c r="O360" s="1430">
        <f>IFERROR(__xludf.DUMMYFUNCTION("""COMPUTED_VALUE"""),30.0)</f>
        <v>30</v>
      </c>
      <c r="P360" s="1431">
        <f>IFERROR(__xludf.DUMMYFUNCTION("""COMPUTED_VALUE"""),2.8)</f>
        <v>2.8</v>
      </c>
      <c r="Q360" s="1432">
        <f>IFERROR(__xludf.DUMMYFUNCTION("""COMPUTED_VALUE"""),1142.3999999999999)</f>
        <v>1142.4</v>
      </c>
    </row>
    <row r="361" ht="15.75" customHeight="1">
      <c r="A361" s="94"/>
      <c r="B361" s="94" t="str">
        <f>IFERROR(__xludf.DUMMYFUNCTION("""COMPUTED_VALUE"""),"WS A 409")</f>
        <v>WS A 409</v>
      </c>
      <c r="C361" s="1429" t="str">
        <f>IFERROR(__xludf.DUMMYFUNCTION("""COMPUTED_VALUE"""),"WS")</f>
        <v>WS</v>
      </c>
      <c r="D361" s="1432">
        <f>IFERROR(__xludf.DUMMYFUNCTION("""COMPUTED_VALUE"""),6.0)</f>
        <v>6</v>
      </c>
      <c r="E361" s="1429">
        <f>IFERROR(__xludf.DUMMYFUNCTION("""COMPUTED_VALUE"""),45462.0)</f>
        <v>45462</v>
      </c>
      <c r="F361" s="1429">
        <f>IFERROR(__xludf.DUMMYFUNCTION("""COMPUTED_VALUE"""),45465.0)</f>
        <v>45465</v>
      </c>
      <c r="G361" s="1164">
        <f>IFERROR(__xludf.DUMMYFUNCTION("""COMPUTED_VALUE"""),3.0)</f>
        <v>3</v>
      </c>
      <c r="H361" s="1430">
        <f>IFERROR(__xludf.DUMMYFUNCTION("""COMPUTED_VALUE"""),128.0)</f>
        <v>128</v>
      </c>
      <c r="I361" s="94"/>
      <c r="J361" s="94"/>
      <c r="K361" s="94">
        <f>IFERROR(__xludf.DUMMYFUNCTION("""COMPUTED_VALUE"""),60.0)</f>
        <v>60</v>
      </c>
      <c r="L361" s="94">
        <f>IFERROR(__xludf.DUMMYFUNCTION("""COMPUTED_VALUE"""),40.0)</f>
        <v>40</v>
      </c>
      <c r="M361" s="94">
        <f>IFERROR(__xludf.DUMMYFUNCTION("""COMPUTED_VALUE"""),20.0)</f>
        <v>20</v>
      </c>
      <c r="N361" s="94"/>
      <c r="O361" s="1430">
        <f>IFERROR(__xludf.DUMMYFUNCTION("""COMPUTED_VALUE"""),20.0)</f>
        <v>20</v>
      </c>
      <c r="P361" s="1431">
        <f>IFERROR(__xludf.DUMMYFUNCTION("""COMPUTED_VALUE"""),2.8)</f>
        <v>2.8</v>
      </c>
      <c r="Q361" s="1432">
        <f>IFERROR(__xludf.DUMMYFUNCTION("""COMPUTED_VALUE"""),358.4)</f>
        <v>358.4</v>
      </c>
    </row>
    <row r="362" ht="15.75" customHeight="1">
      <c r="A362" s="94"/>
      <c r="B362" s="94" t="str">
        <f>IFERROR(__xludf.DUMMYFUNCTION("""COMPUTED_VALUE"""),"D 1321")</f>
        <v>D 1321</v>
      </c>
      <c r="C362" s="1429" t="str">
        <f>IFERROR(__xludf.DUMMYFUNCTION("""COMPUTED_VALUE"""),"ORBI")</f>
        <v>ORBI</v>
      </c>
      <c r="D362" s="1432">
        <f>IFERROR(__xludf.DUMMYFUNCTION("""COMPUTED_VALUE"""),6.0)</f>
        <v>6</v>
      </c>
      <c r="E362" s="1429">
        <f>IFERROR(__xludf.DUMMYFUNCTION("""COMPUTED_VALUE"""),45462.0)</f>
        <v>45462</v>
      </c>
      <c r="F362" s="1429">
        <f>IFERROR(__xludf.DUMMYFUNCTION("""COMPUTED_VALUE"""),45464.0)</f>
        <v>45464</v>
      </c>
      <c r="G362" s="1164">
        <f>IFERROR(__xludf.DUMMYFUNCTION("""COMPUTED_VALUE"""),2.0)</f>
        <v>2</v>
      </c>
      <c r="H362" s="1430">
        <f>IFERROR(__xludf.DUMMYFUNCTION("""COMPUTED_VALUE"""),55.0)</f>
        <v>55</v>
      </c>
      <c r="I362" s="94"/>
      <c r="J362" s="94"/>
      <c r="K362" s="94">
        <f>IFERROR(__xludf.DUMMYFUNCTION("""COMPUTED_VALUE"""),50.0)</f>
        <v>50</v>
      </c>
      <c r="L362" s="94">
        <f>IFERROR(__xludf.DUMMYFUNCTION("""COMPUTED_VALUE"""),45.0)</f>
        <v>45</v>
      </c>
      <c r="M362" s="94">
        <f>IFERROR(__xludf.DUMMYFUNCTION("""COMPUTED_VALUE"""),5.0)</f>
        <v>5</v>
      </c>
      <c r="N362" s="94"/>
      <c r="O362" s="1430">
        <f>IFERROR(__xludf.DUMMYFUNCTION("""COMPUTED_VALUE"""),5.0)</f>
        <v>5</v>
      </c>
      <c r="P362" s="1431">
        <f>IFERROR(__xludf.DUMMYFUNCTION("""COMPUTED_VALUE"""),2.8)</f>
        <v>2.8</v>
      </c>
      <c r="Q362" s="1432">
        <f>IFERROR(__xludf.DUMMYFUNCTION("""COMPUTED_VALUE"""),154.0)</f>
        <v>154</v>
      </c>
    </row>
    <row r="363" ht="15.75" customHeight="1">
      <c r="A363" s="94"/>
      <c r="B363" s="94" t="str">
        <f>IFERROR(__xludf.DUMMYFUNCTION("""COMPUTED_VALUE"""),"С 2756")</f>
        <v>С 2756</v>
      </c>
      <c r="C363" s="1429" t="str">
        <f>IFERROR(__xludf.DUMMYFUNCTION("""COMPUTED_VALUE"""),"ORBI")</f>
        <v>ORBI</v>
      </c>
      <c r="D363" s="1432">
        <f>IFERROR(__xludf.DUMMYFUNCTION("""COMPUTED_VALUE"""),6.0)</f>
        <v>6</v>
      </c>
      <c r="E363" s="1429">
        <f>IFERROR(__xludf.DUMMYFUNCTION("""COMPUTED_VALUE"""),45462.0)</f>
        <v>45462</v>
      </c>
      <c r="F363" s="1429">
        <f>IFERROR(__xludf.DUMMYFUNCTION("""COMPUTED_VALUE"""),45464.0)</f>
        <v>45464</v>
      </c>
      <c r="G363" s="1164">
        <f>IFERROR(__xludf.DUMMYFUNCTION("""COMPUTED_VALUE"""),2.0)</f>
        <v>2</v>
      </c>
      <c r="H363" s="1430">
        <f>IFERROR(__xludf.DUMMYFUNCTION("""COMPUTED_VALUE"""),63.0)</f>
        <v>63</v>
      </c>
      <c r="I363" s="94"/>
      <c r="J363" s="94"/>
      <c r="K363" s="94">
        <f>IFERROR(__xludf.DUMMYFUNCTION("""COMPUTED_VALUE"""),50.0)</f>
        <v>50</v>
      </c>
      <c r="L363" s="94">
        <f>IFERROR(__xludf.DUMMYFUNCTION("""COMPUTED_VALUE"""),45.0)</f>
        <v>45</v>
      </c>
      <c r="M363" s="94">
        <f>IFERROR(__xludf.DUMMYFUNCTION("""COMPUTED_VALUE"""),5.0)</f>
        <v>5</v>
      </c>
      <c r="N363" s="94"/>
      <c r="O363" s="1430">
        <f>IFERROR(__xludf.DUMMYFUNCTION("""COMPUTED_VALUE"""),5.0)</f>
        <v>5</v>
      </c>
      <c r="P363" s="1431">
        <f>IFERROR(__xludf.DUMMYFUNCTION("""COMPUTED_VALUE"""),2.8)</f>
        <v>2.8</v>
      </c>
      <c r="Q363" s="1432">
        <f>IFERROR(__xludf.DUMMYFUNCTION("""COMPUTED_VALUE"""),176.39999999999998)</f>
        <v>176.4</v>
      </c>
    </row>
    <row r="364" ht="15.75" customHeight="1">
      <c r="A364" s="94"/>
      <c r="B364" s="94" t="str">
        <f>IFERROR(__xludf.DUMMYFUNCTION("""COMPUTED_VALUE"""),"С 1125")</f>
        <v>С 1125</v>
      </c>
      <c r="C364" s="1429" t="str">
        <f>IFERROR(__xludf.DUMMYFUNCTION("""COMPUTED_VALUE"""),"ORBI")</f>
        <v>ORBI</v>
      </c>
      <c r="D364" s="1432">
        <f>IFERROR(__xludf.DUMMYFUNCTION("""COMPUTED_VALUE"""),6.0)</f>
        <v>6</v>
      </c>
      <c r="E364" s="1429">
        <f>IFERROR(__xludf.DUMMYFUNCTION("""COMPUTED_VALUE"""),45463.0)</f>
        <v>45463</v>
      </c>
      <c r="F364" s="1429">
        <f>IFERROR(__xludf.DUMMYFUNCTION("""COMPUTED_VALUE"""),45465.0)</f>
        <v>45465</v>
      </c>
      <c r="G364" s="1164">
        <f>IFERROR(__xludf.DUMMYFUNCTION("""COMPUTED_VALUE"""),2.0)</f>
        <v>2</v>
      </c>
      <c r="H364" s="1430">
        <f>IFERROR(__xludf.DUMMYFUNCTION("""COMPUTED_VALUE"""),56.0)</f>
        <v>56</v>
      </c>
      <c r="I364" s="94"/>
      <c r="J364" s="94"/>
      <c r="K364" s="94">
        <f>IFERROR(__xludf.DUMMYFUNCTION("""COMPUTED_VALUE"""),50.0)</f>
        <v>50</v>
      </c>
      <c r="L364" s="94">
        <f>IFERROR(__xludf.DUMMYFUNCTION("""COMPUTED_VALUE"""),45.0)</f>
        <v>45</v>
      </c>
      <c r="M364" s="94">
        <f>IFERROR(__xludf.DUMMYFUNCTION("""COMPUTED_VALUE"""),5.0)</f>
        <v>5</v>
      </c>
      <c r="N364" s="94"/>
      <c r="O364" s="1430">
        <f>IFERROR(__xludf.DUMMYFUNCTION("""COMPUTED_VALUE"""),5.0)</f>
        <v>5</v>
      </c>
      <c r="P364" s="1431">
        <f>IFERROR(__xludf.DUMMYFUNCTION("""COMPUTED_VALUE"""),2.8)</f>
        <v>2.8</v>
      </c>
      <c r="Q364" s="1432">
        <f>IFERROR(__xludf.DUMMYFUNCTION("""COMPUTED_VALUE"""),156.79999999999998)</f>
        <v>156.8</v>
      </c>
    </row>
    <row r="365" ht="15.75" customHeight="1">
      <c r="A365" s="94"/>
      <c r="B365" s="94" t="str">
        <f>IFERROR(__xludf.DUMMYFUNCTION("""COMPUTED_VALUE"""),"WS В 1510")</f>
        <v>WS В 1510</v>
      </c>
      <c r="C365" s="1429" t="str">
        <f>IFERROR(__xludf.DUMMYFUNCTION("""COMPUTED_VALUE"""),"WS")</f>
        <v>WS</v>
      </c>
      <c r="D365" s="1432">
        <f>IFERROR(__xludf.DUMMYFUNCTION("""COMPUTED_VALUE"""),6.0)</f>
        <v>6</v>
      </c>
      <c r="E365" s="1429">
        <f>IFERROR(__xludf.DUMMYFUNCTION("""COMPUTED_VALUE"""),45463.0)</f>
        <v>45463</v>
      </c>
      <c r="F365" s="1429">
        <f>IFERROR(__xludf.DUMMYFUNCTION("""COMPUTED_VALUE"""),45471.0)</f>
        <v>45471</v>
      </c>
      <c r="G365" s="1164">
        <f>IFERROR(__xludf.DUMMYFUNCTION("""COMPUTED_VALUE"""),8.0)</f>
        <v>8</v>
      </c>
      <c r="H365" s="1430">
        <f>IFERROR(__xludf.DUMMYFUNCTION("""COMPUTED_VALUE"""),325.0)</f>
        <v>325</v>
      </c>
      <c r="I365" s="94"/>
      <c r="J365" s="94"/>
      <c r="K365" s="94">
        <f>IFERROR(__xludf.DUMMYFUNCTION("""COMPUTED_VALUE"""),60.0)</f>
        <v>60</v>
      </c>
      <c r="L365" s="94">
        <f>IFERROR(__xludf.DUMMYFUNCTION("""COMPUTED_VALUE"""),40.0)</f>
        <v>40</v>
      </c>
      <c r="M365" s="94">
        <f>IFERROR(__xludf.DUMMYFUNCTION("""COMPUTED_VALUE"""),20.0)</f>
        <v>20</v>
      </c>
      <c r="N365" s="94"/>
      <c r="O365" s="1430">
        <f>IFERROR(__xludf.DUMMYFUNCTION("""COMPUTED_VALUE"""),20.0)</f>
        <v>20</v>
      </c>
      <c r="P365" s="1431">
        <f>IFERROR(__xludf.DUMMYFUNCTION("""COMPUTED_VALUE"""),2.8)</f>
        <v>2.8</v>
      </c>
      <c r="Q365" s="1432">
        <f>IFERROR(__xludf.DUMMYFUNCTION("""COMPUTED_VALUE"""),909.9999999999999)</f>
        <v>910</v>
      </c>
    </row>
    <row r="366" ht="15.75" customHeight="1">
      <c r="A366" s="94"/>
      <c r="B366" s="94" t="str">
        <f>IFERROR(__xludf.DUMMYFUNCTION("""COMPUTED_VALUE"""),"WS A 608")</f>
        <v>WS A 608</v>
      </c>
      <c r="C366" s="1429" t="str">
        <f>IFERROR(__xludf.DUMMYFUNCTION("""COMPUTED_VALUE"""),"WS")</f>
        <v>WS</v>
      </c>
      <c r="D366" s="1432">
        <f>IFERROR(__xludf.DUMMYFUNCTION("""COMPUTED_VALUE"""),6.0)</f>
        <v>6</v>
      </c>
      <c r="E366" s="1429">
        <f>IFERROR(__xludf.DUMMYFUNCTION("""COMPUTED_VALUE"""),45463.0)</f>
        <v>45463</v>
      </c>
      <c r="F366" s="1429">
        <f>IFERROR(__xludf.DUMMYFUNCTION("""COMPUTED_VALUE"""),45466.0)</f>
        <v>45466</v>
      </c>
      <c r="G366" s="1164">
        <f>IFERROR(__xludf.DUMMYFUNCTION("""COMPUTED_VALUE"""),3.0)</f>
        <v>3</v>
      </c>
      <c r="H366" s="1430">
        <f>IFERROR(__xludf.DUMMYFUNCTION("""COMPUTED_VALUE"""),129.0)</f>
        <v>129</v>
      </c>
      <c r="I366" s="94"/>
      <c r="J366" s="94"/>
      <c r="K366" s="94">
        <f>IFERROR(__xludf.DUMMYFUNCTION("""COMPUTED_VALUE"""),60.0)</f>
        <v>60</v>
      </c>
      <c r="L366" s="94">
        <f>IFERROR(__xludf.DUMMYFUNCTION("""COMPUTED_VALUE"""),40.0)</f>
        <v>40</v>
      </c>
      <c r="M366" s="94">
        <f>IFERROR(__xludf.DUMMYFUNCTION("""COMPUTED_VALUE"""),20.0)</f>
        <v>20</v>
      </c>
      <c r="N366" s="94"/>
      <c r="O366" s="1430">
        <f>IFERROR(__xludf.DUMMYFUNCTION("""COMPUTED_VALUE"""),20.0)</f>
        <v>20</v>
      </c>
      <c r="P366" s="1431">
        <f>IFERROR(__xludf.DUMMYFUNCTION("""COMPUTED_VALUE"""),2.8)</f>
        <v>2.8</v>
      </c>
      <c r="Q366" s="1432">
        <f>IFERROR(__xludf.DUMMYFUNCTION("""COMPUTED_VALUE"""),361.2)</f>
        <v>361.2</v>
      </c>
    </row>
    <row r="367" ht="15.75" customHeight="1">
      <c r="A367" s="94"/>
      <c r="B367" s="94" t="str">
        <f>IFERROR(__xludf.DUMMYFUNCTION("""COMPUTED_VALUE"""),"CM 1604")</f>
        <v>CM 1604</v>
      </c>
      <c r="C367" s="1429" t="str">
        <f>IFERROR(__xludf.DUMMYFUNCTION("""COMPUTED_VALUE"""),"MAR")</f>
        <v>MAR</v>
      </c>
      <c r="D367" s="1432">
        <f>IFERROR(__xludf.DUMMYFUNCTION("""COMPUTED_VALUE"""),6.0)</f>
        <v>6</v>
      </c>
      <c r="E367" s="1429">
        <f>IFERROR(__xludf.DUMMYFUNCTION("""COMPUTED_VALUE"""),45463.0)</f>
        <v>45463</v>
      </c>
      <c r="F367" s="1429">
        <f>IFERROR(__xludf.DUMMYFUNCTION("""COMPUTED_VALUE"""),45467.0)</f>
        <v>45467</v>
      </c>
      <c r="G367" s="1164">
        <f>IFERROR(__xludf.DUMMYFUNCTION("""COMPUTED_VALUE"""),4.0)</f>
        <v>4</v>
      </c>
      <c r="H367" s="1430">
        <f>IFERROR(__xludf.DUMMYFUNCTION("""COMPUTED_VALUE"""),247.0)</f>
        <v>247</v>
      </c>
      <c r="I367" s="94"/>
      <c r="J367" s="94"/>
      <c r="K367" s="94">
        <f>IFERROR(__xludf.DUMMYFUNCTION("""COMPUTED_VALUE"""),70.0)</f>
        <v>70</v>
      </c>
      <c r="L367" s="94">
        <f>IFERROR(__xludf.DUMMYFUNCTION("""COMPUTED_VALUE"""),40.0)</f>
        <v>40</v>
      </c>
      <c r="M367" s="94">
        <f>IFERROR(__xludf.DUMMYFUNCTION("""COMPUTED_VALUE"""),30.0)</f>
        <v>30</v>
      </c>
      <c r="N367" s="94"/>
      <c r="O367" s="1430">
        <f>IFERROR(__xludf.DUMMYFUNCTION("""COMPUTED_VALUE"""),30.0)</f>
        <v>30</v>
      </c>
      <c r="P367" s="1431">
        <f>IFERROR(__xludf.DUMMYFUNCTION("""COMPUTED_VALUE"""),2.8)</f>
        <v>2.8</v>
      </c>
      <c r="Q367" s="1432">
        <f>IFERROR(__xludf.DUMMYFUNCTION("""COMPUTED_VALUE"""),691.5999999999999)</f>
        <v>691.6</v>
      </c>
    </row>
    <row r="368" ht="15.75" customHeight="1">
      <c r="A368" s="94"/>
      <c r="B368" s="94" t="str">
        <f>IFERROR(__xludf.DUMMYFUNCTION("""COMPUTED_VALUE"""),"CM 1931")</f>
        <v>CM 1931</v>
      </c>
      <c r="C368" s="1429" t="str">
        <f>IFERROR(__xludf.DUMMYFUNCTION("""COMPUTED_VALUE"""),"MAR")</f>
        <v>MAR</v>
      </c>
      <c r="D368" s="1432">
        <f>IFERROR(__xludf.DUMMYFUNCTION("""COMPUTED_VALUE"""),6.0)</f>
        <v>6</v>
      </c>
      <c r="E368" s="1429">
        <f>IFERROR(__xludf.DUMMYFUNCTION("""COMPUTED_VALUE"""),45463.0)</f>
        <v>45463</v>
      </c>
      <c r="F368" s="1429">
        <f>IFERROR(__xludf.DUMMYFUNCTION("""COMPUTED_VALUE"""),45471.0)</f>
        <v>45471</v>
      </c>
      <c r="G368" s="1164">
        <f>IFERROR(__xludf.DUMMYFUNCTION("""COMPUTED_VALUE"""),8.0)</f>
        <v>8</v>
      </c>
      <c r="H368" s="1430">
        <f>IFERROR(__xludf.DUMMYFUNCTION("""COMPUTED_VALUE"""),290.0)</f>
        <v>290</v>
      </c>
      <c r="I368" s="94"/>
      <c r="J368" s="94"/>
      <c r="K368" s="94">
        <f>IFERROR(__xludf.DUMMYFUNCTION("""COMPUTED_VALUE"""),60.0)</f>
        <v>60</v>
      </c>
      <c r="L368" s="94">
        <f>IFERROR(__xludf.DUMMYFUNCTION("""COMPUTED_VALUE"""),40.0)</f>
        <v>40</v>
      </c>
      <c r="M368" s="94">
        <f>IFERROR(__xludf.DUMMYFUNCTION("""COMPUTED_VALUE"""),20.0)</f>
        <v>20</v>
      </c>
      <c r="N368" s="94"/>
      <c r="O368" s="1430">
        <f>IFERROR(__xludf.DUMMYFUNCTION("""COMPUTED_VALUE"""),20.0)</f>
        <v>20</v>
      </c>
      <c r="P368" s="1431">
        <f>IFERROR(__xludf.DUMMYFUNCTION("""COMPUTED_VALUE"""),2.8)</f>
        <v>2.8</v>
      </c>
      <c r="Q368" s="1432">
        <f>IFERROR(__xludf.DUMMYFUNCTION("""COMPUTED_VALUE"""),812.0)</f>
        <v>812</v>
      </c>
    </row>
    <row r="369" ht="15.75" customHeight="1">
      <c r="A369" s="94"/>
      <c r="B369" s="94" t="str">
        <f>IFERROR(__xludf.DUMMYFUNCTION("""COMPUTED_VALUE"""),"WS A 713")</f>
        <v>WS A 713</v>
      </c>
      <c r="C369" s="1429" t="str">
        <f>IFERROR(__xludf.DUMMYFUNCTION("""COMPUTED_VALUE"""),"WS")</f>
        <v>WS</v>
      </c>
      <c r="D369" s="1432">
        <f>IFERROR(__xludf.DUMMYFUNCTION("""COMPUTED_VALUE"""),6.0)</f>
        <v>6</v>
      </c>
      <c r="E369" s="1429">
        <f>IFERROR(__xludf.DUMMYFUNCTION("""COMPUTED_VALUE"""),45464.0)</f>
        <v>45464</v>
      </c>
      <c r="F369" s="1429">
        <f>IFERROR(__xludf.DUMMYFUNCTION("""COMPUTED_VALUE"""),45467.0)</f>
        <v>45467</v>
      </c>
      <c r="G369" s="1164">
        <f>IFERROR(__xludf.DUMMYFUNCTION("""COMPUTED_VALUE"""),3.0)</f>
        <v>3</v>
      </c>
      <c r="H369" s="94"/>
      <c r="I369" s="94">
        <f>IFERROR(__xludf.DUMMYFUNCTION("""COMPUTED_VALUE"""),304.0)</f>
        <v>304</v>
      </c>
      <c r="J369" s="94"/>
      <c r="K369" s="94">
        <f>IFERROR(__xludf.DUMMYFUNCTION("""COMPUTED_VALUE"""),60.0)</f>
        <v>60</v>
      </c>
      <c r="L369" s="94">
        <f>IFERROR(__xludf.DUMMYFUNCTION("""COMPUTED_VALUE"""),40.0)</f>
        <v>40</v>
      </c>
      <c r="M369" s="94">
        <f>IFERROR(__xludf.DUMMYFUNCTION("""COMPUTED_VALUE"""),20.0)</f>
        <v>20</v>
      </c>
      <c r="N369" s="94"/>
      <c r="O369" s="1430">
        <f>IFERROR(__xludf.DUMMYFUNCTION("""COMPUTED_VALUE"""),20.0)</f>
        <v>20</v>
      </c>
      <c r="P369" s="1431">
        <f>IFERROR(__xludf.DUMMYFUNCTION("""COMPUTED_VALUE"""),2.8)</f>
        <v>2.8</v>
      </c>
      <c r="Q369" s="1432">
        <f>IFERROR(__xludf.DUMMYFUNCTION("""COMPUTED_VALUE"""),304.0)</f>
        <v>304</v>
      </c>
    </row>
    <row r="370" ht="15.75" customHeight="1">
      <c r="A370" s="94"/>
      <c r="B370" s="94" t="str">
        <f>IFERROR(__xludf.DUMMYFUNCTION("""COMPUTED_VALUE"""),"CM 1606")</f>
        <v>CM 1606</v>
      </c>
      <c r="C370" s="1429" t="str">
        <f>IFERROR(__xludf.DUMMYFUNCTION("""COMPUTED_VALUE"""),"MAR")</f>
        <v>MAR</v>
      </c>
      <c r="D370" s="1432">
        <f>IFERROR(__xludf.DUMMYFUNCTION("""COMPUTED_VALUE"""),6.0)</f>
        <v>6</v>
      </c>
      <c r="E370" s="1429">
        <f>IFERROR(__xludf.DUMMYFUNCTION("""COMPUTED_VALUE"""),45464.0)</f>
        <v>45464</v>
      </c>
      <c r="F370" s="1429">
        <f>IFERROR(__xludf.DUMMYFUNCTION("""COMPUTED_VALUE"""),45466.0)</f>
        <v>45466</v>
      </c>
      <c r="G370" s="1164">
        <f>IFERROR(__xludf.DUMMYFUNCTION("""COMPUTED_VALUE"""),2.0)</f>
        <v>2</v>
      </c>
      <c r="H370" s="1430">
        <f>IFERROR(__xludf.DUMMYFUNCTION("""COMPUTED_VALUE"""),83.0)</f>
        <v>83</v>
      </c>
      <c r="I370" s="94"/>
      <c r="J370" s="94"/>
      <c r="K370" s="94">
        <f>IFERROR(__xludf.DUMMYFUNCTION("""COMPUTED_VALUE"""),60.0)</f>
        <v>60</v>
      </c>
      <c r="L370" s="94">
        <f>IFERROR(__xludf.DUMMYFUNCTION("""COMPUTED_VALUE"""),40.0)</f>
        <v>40</v>
      </c>
      <c r="M370" s="94">
        <f>IFERROR(__xludf.DUMMYFUNCTION("""COMPUTED_VALUE"""),20.0)</f>
        <v>20</v>
      </c>
      <c r="N370" s="94"/>
      <c r="O370" s="1430">
        <f>IFERROR(__xludf.DUMMYFUNCTION("""COMPUTED_VALUE"""),20.0)</f>
        <v>20</v>
      </c>
      <c r="P370" s="1431">
        <f>IFERROR(__xludf.DUMMYFUNCTION("""COMPUTED_VALUE"""),2.8)</f>
        <v>2.8</v>
      </c>
      <c r="Q370" s="1432">
        <f>IFERROR(__xludf.DUMMYFUNCTION("""COMPUTED_VALUE"""),232.39999999999998)</f>
        <v>232.4</v>
      </c>
    </row>
    <row r="371" ht="15.75" customHeight="1">
      <c r="A371" s="94"/>
      <c r="B371" s="94" t="str">
        <f>IFERROR(__xludf.DUMMYFUNCTION("""COMPUTED_VALUE"""),"Вилла Ева")</f>
        <v>Вилла Ева</v>
      </c>
      <c r="C371" s="1429" t="str">
        <f>IFERROR(__xludf.DUMMYFUNCTION("""COMPUTED_VALUE"""),"Other")</f>
        <v>Other</v>
      </c>
      <c r="D371" s="1432">
        <f>IFERROR(__xludf.DUMMYFUNCTION("""COMPUTED_VALUE"""),6.0)</f>
        <v>6</v>
      </c>
      <c r="E371" s="1429">
        <f>IFERROR(__xludf.DUMMYFUNCTION("""COMPUTED_VALUE"""),45464.0)</f>
        <v>45464</v>
      </c>
      <c r="F371" s="1429">
        <f>IFERROR(__xludf.DUMMYFUNCTION("""COMPUTED_VALUE"""),45475.0)</f>
        <v>45475</v>
      </c>
      <c r="G371" s="1164">
        <f>IFERROR(__xludf.DUMMYFUNCTION("""COMPUTED_VALUE"""),11.0)</f>
        <v>11</v>
      </c>
      <c r="H371" s="1430">
        <f>IFERROR(__xludf.DUMMYFUNCTION("""COMPUTED_VALUE"""),1652.0)</f>
        <v>1652</v>
      </c>
      <c r="I371" s="94"/>
      <c r="J371" s="94"/>
      <c r="K371" s="94"/>
      <c r="L371" s="94"/>
      <c r="M371" s="94">
        <f>IFERROR(__xludf.DUMMYFUNCTION("""COMPUTED_VALUE"""),0.0)</f>
        <v>0</v>
      </c>
      <c r="N371" s="94"/>
      <c r="O371" s="1430">
        <f>IFERROR(__xludf.DUMMYFUNCTION("""COMPUTED_VALUE"""),0.0)</f>
        <v>0</v>
      </c>
      <c r="P371" s="1431">
        <f>IFERROR(__xludf.DUMMYFUNCTION("""COMPUTED_VALUE"""),2.8)</f>
        <v>2.8</v>
      </c>
      <c r="Q371" s="1432">
        <f>IFERROR(__xludf.DUMMYFUNCTION("""COMPUTED_VALUE"""),4625.599999999999)</f>
        <v>4625.6</v>
      </c>
    </row>
    <row r="372" ht="15.75" customHeight="1">
      <c r="A372" s="94"/>
      <c r="B372" s="94" t="str">
        <f>IFERROR(__xludf.DUMMYFUNCTION("""COMPUTED_VALUE"""),"А 4049")</f>
        <v>А 4049</v>
      </c>
      <c r="C372" s="1429" t="str">
        <f>IFERROR(__xludf.DUMMYFUNCTION("""COMPUTED_VALUE"""),"ORBI")</f>
        <v>ORBI</v>
      </c>
      <c r="D372" s="1432">
        <f>IFERROR(__xludf.DUMMYFUNCTION("""COMPUTED_VALUE"""),6.0)</f>
        <v>6</v>
      </c>
      <c r="E372" s="1429">
        <f>IFERROR(__xludf.DUMMYFUNCTION("""COMPUTED_VALUE"""),45464.0)</f>
        <v>45464</v>
      </c>
      <c r="F372" s="1429">
        <f>IFERROR(__xludf.DUMMYFUNCTION("""COMPUTED_VALUE"""),45469.0)</f>
        <v>45469</v>
      </c>
      <c r="G372" s="1164">
        <f>IFERROR(__xludf.DUMMYFUNCTION("""COMPUTED_VALUE"""),5.0)</f>
        <v>5</v>
      </c>
      <c r="H372" s="1430">
        <f>IFERROR(__xludf.DUMMYFUNCTION("""COMPUTED_VALUE"""),207.0)</f>
        <v>207</v>
      </c>
      <c r="I372" s="94"/>
      <c r="J372" s="94"/>
      <c r="K372" s="94">
        <f>IFERROR(__xludf.DUMMYFUNCTION("""COMPUTED_VALUE"""),50.0)</f>
        <v>50</v>
      </c>
      <c r="L372" s="94">
        <f>IFERROR(__xludf.DUMMYFUNCTION("""COMPUTED_VALUE"""),45.0)</f>
        <v>45</v>
      </c>
      <c r="M372" s="94">
        <f>IFERROR(__xludf.DUMMYFUNCTION("""COMPUTED_VALUE"""),5.0)</f>
        <v>5</v>
      </c>
      <c r="N372" s="94"/>
      <c r="O372" s="1430">
        <f>IFERROR(__xludf.DUMMYFUNCTION("""COMPUTED_VALUE"""),5.0)</f>
        <v>5</v>
      </c>
      <c r="P372" s="1431">
        <f>IFERROR(__xludf.DUMMYFUNCTION("""COMPUTED_VALUE"""),2.8)</f>
        <v>2.8</v>
      </c>
      <c r="Q372" s="1432">
        <f>IFERROR(__xludf.DUMMYFUNCTION("""COMPUTED_VALUE"""),579.5999999999999)</f>
        <v>579.6</v>
      </c>
    </row>
    <row r="373" ht="15.75" customHeight="1">
      <c r="A373" s="94"/>
      <c r="B373" s="94" t="str">
        <f>IFERROR(__xludf.DUMMYFUNCTION("""COMPUTED_VALUE"""),"Int 2905")</f>
        <v>Int 2905</v>
      </c>
      <c r="C373" s="1429" t="str">
        <f>IFERROR(__xludf.DUMMYFUNCTION("""COMPUTED_VALUE"""),"Other")</f>
        <v>Other</v>
      </c>
      <c r="D373" s="1432">
        <f>IFERROR(__xludf.DUMMYFUNCTION("""COMPUTED_VALUE"""),6.0)</f>
        <v>6</v>
      </c>
      <c r="E373" s="1429">
        <f>IFERROR(__xludf.DUMMYFUNCTION("""COMPUTED_VALUE"""),45464.0)</f>
        <v>45464</v>
      </c>
      <c r="F373" s="1429">
        <f>IFERROR(__xludf.DUMMYFUNCTION("""COMPUTED_VALUE"""),45471.0)</f>
        <v>45471</v>
      </c>
      <c r="G373" s="1164">
        <f>IFERROR(__xludf.DUMMYFUNCTION("""COMPUTED_VALUE"""),7.0)</f>
        <v>7</v>
      </c>
      <c r="H373" s="1430">
        <f>IFERROR(__xludf.DUMMYFUNCTION("""COMPUTED_VALUE"""),323.0)</f>
        <v>323</v>
      </c>
      <c r="I373" s="94"/>
      <c r="J373" s="94"/>
      <c r="K373" s="94">
        <f>IFERROR(__xludf.DUMMYFUNCTION("""COMPUTED_VALUE"""),60.0)</f>
        <v>60</v>
      </c>
      <c r="L373" s="94">
        <f>IFERROR(__xludf.DUMMYFUNCTION("""COMPUTED_VALUE"""),40.0)</f>
        <v>40</v>
      </c>
      <c r="M373" s="94">
        <f>IFERROR(__xludf.DUMMYFUNCTION("""COMPUTED_VALUE"""),20.0)</f>
        <v>20</v>
      </c>
      <c r="N373" s="94"/>
      <c r="O373" s="1430">
        <f>IFERROR(__xludf.DUMMYFUNCTION("""COMPUTED_VALUE"""),20.0)</f>
        <v>20</v>
      </c>
      <c r="P373" s="1431">
        <f>IFERROR(__xludf.DUMMYFUNCTION("""COMPUTED_VALUE"""),2.8)</f>
        <v>2.8</v>
      </c>
      <c r="Q373" s="1432">
        <f>IFERROR(__xludf.DUMMYFUNCTION("""COMPUTED_VALUE"""),904.4)</f>
        <v>904.4</v>
      </c>
    </row>
    <row r="374" ht="15.75" customHeight="1">
      <c r="A374" s="94"/>
      <c r="B374" s="94" t="str">
        <f>IFERROR(__xludf.DUMMYFUNCTION("""COMPUTED_VALUE"""),"14-411")</f>
        <v>14-411</v>
      </c>
      <c r="C374" s="1429" t="str">
        <f>IFERROR(__xludf.DUMMYFUNCTION("""COMPUTED_VALUE"""),"DL")</f>
        <v>DL</v>
      </c>
      <c r="D374" s="1432">
        <f>IFERROR(__xludf.DUMMYFUNCTION("""COMPUTED_VALUE"""),6.0)</f>
        <v>6</v>
      </c>
      <c r="E374" s="1429">
        <f>IFERROR(__xludf.DUMMYFUNCTION("""COMPUTED_VALUE"""),45464.0)</f>
        <v>45464</v>
      </c>
      <c r="F374" s="1429">
        <f>IFERROR(__xludf.DUMMYFUNCTION("""COMPUTED_VALUE"""),45469.0)</f>
        <v>45469</v>
      </c>
      <c r="G374" s="1164">
        <f>IFERROR(__xludf.DUMMYFUNCTION("""COMPUTED_VALUE"""),5.0)</f>
        <v>5</v>
      </c>
      <c r="H374" s="1430">
        <f>IFERROR(__xludf.DUMMYFUNCTION("""COMPUTED_VALUE"""),297.0)</f>
        <v>297</v>
      </c>
      <c r="I374" s="94"/>
      <c r="J374" s="94"/>
      <c r="K374" s="94">
        <f>IFERROR(__xludf.DUMMYFUNCTION("""COMPUTED_VALUE"""),95.0)</f>
        <v>95</v>
      </c>
      <c r="L374" s="94">
        <f>IFERROR(__xludf.DUMMYFUNCTION("""COMPUTED_VALUE"""),95.0)</f>
        <v>95</v>
      </c>
      <c r="M374" s="94">
        <f>IFERROR(__xludf.DUMMYFUNCTION("""COMPUTED_VALUE"""),0.0)</f>
        <v>0</v>
      </c>
      <c r="N374" s="94"/>
      <c r="O374" s="1430">
        <f>IFERROR(__xludf.DUMMYFUNCTION("""COMPUTED_VALUE"""),0.0)</f>
        <v>0</v>
      </c>
      <c r="P374" s="1431">
        <f>IFERROR(__xludf.DUMMYFUNCTION("""COMPUTED_VALUE"""),2.8)</f>
        <v>2.8</v>
      </c>
      <c r="Q374" s="1432">
        <f>IFERROR(__xludf.DUMMYFUNCTION("""COMPUTED_VALUE"""),831.5999999999999)</f>
        <v>831.6</v>
      </c>
    </row>
    <row r="375" ht="15.75" customHeight="1">
      <c r="A375" s="94"/>
      <c r="B375" s="94" t="str">
        <f>IFERROR(__xludf.DUMMYFUNCTION("""COMPUTED_VALUE"""),"DL 11-1112")</f>
        <v>DL 11-1112</v>
      </c>
      <c r="C375" s="1429" t="str">
        <f>IFERROR(__xludf.DUMMYFUNCTION("""COMPUTED_VALUE"""),"DL")</f>
        <v>DL</v>
      </c>
      <c r="D375" s="1432">
        <f>IFERROR(__xludf.DUMMYFUNCTION("""COMPUTED_VALUE"""),6.0)</f>
        <v>6</v>
      </c>
      <c r="E375" s="1429">
        <f>IFERROR(__xludf.DUMMYFUNCTION("""COMPUTED_VALUE"""),45464.0)</f>
        <v>45464</v>
      </c>
      <c r="F375" s="1429">
        <f>IFERROR(__xludf.DUMMYFUNCTION("""COMPUTED_VALUE"""),45469.0)</f>
        <v>45469</v>
      </c>
      <c r="G375" s="1164">
        <f>IFERROR(__xludf.DUMMYFUNCTION("""COMPUTED_VALUE"""),5.0)</f>
        <v>5</v>
      </c>
      <c r="H375" s="1430">
        <f>IFERROR(__xludf.DUMMYFUNCTION("""COMPUTED_VALUE"""),298.0)</f>
        <v>298</v>
      </c>
      <c r="I375" s="94"/>
      <c r="J375" s="94"/>
      <c r="K375" s="94">
        <f>IFERROR(__xludf.DUMMYFUNCTION("""COMPUTED_VALUE"""),95.0)</f>
        <v>95</v>
      </c>
      <c r="L375" s="94">
        <f>IFERROR(__xludf.DUMMYFUNCTION("""COMPUTED_VALUE"""),95.0)</f>
        <v>95</v>
      </c>
      <c r="M375" s="94">
        <f>IFERROR(__xludf.DUMMYFUNCTION("""COMPUTED_VALUE"""),0.0)</f>
        <v>0</v>
      </c>
      <c r="N375" s="94"/>
      <c r="O375" s="1430">
        <f>IFERROR(__xludf.DUMMYFUNCTION("""COMPUTED_VALUE"""),0.0)</f>
        <v>0</v>
      </c>
      <c r="P375" s="1431">
        <f>IFERROR(__xludf.DUMMYFUNCTION("""COMPUTED_VALUE"""),2.8)</f>
        <v>2.8</v>
      </c>
      <c r="Q375" s="1432">
        <f>IFERROR(__xludf.DUMMYFUNCTION("""COMPUTED_VALUE"""),834.4)</f>
        <v>834.4</v>
      </c>
    </row>
    <row r="376" ht="15.75" customHeight="1">
      <c r="A376" s="94"/>
      <c r="B376" s="94" t="str">
        <f>IFERROR(__xludf.DUMMYFUNCTION("""COMPUTED_VALUE"""),"WS F 907")</f>
        <v>WS F 907</v>
      </c>
      <c r="C376" s="1429" t="str">
        <f>IFERROR(__xludf.DUMMYFUNCTION("""COMPUTED_VALUE"""),"WS")</f>
        <v>WS</v>
      </c>
      <c r="D376" s="1432">
        <f>IFERROR(__xludf.DUMMYFUNCTION("""COMPUTED_VALUE"""),6.0)</f>
        <v>6</v>
      </c>
      <c r="E376" s="1429">
        <f>IFERROR(__xludf.DUMMYFUNCTION("""COMPUTED_VALUE"""),45464.0)</f>
        <v>45464</v>
      </c>
      <c r="F376" s="1429">
        <f>IFERROR(__xludf.DUMMYFUNCTION("""COMPUTED_VALUE"""),45466.0)</f>
        <v>45466</v>
      </c>
      <c r="G376" s="1164">
        <f>IFERROR(__xludf.DUMMYFUNCTION("""COMPUTED_VALUE"""),2.0)</f>
        <v>2</v>
      </c>
      <c r="H376" s="94"/>
      <c r="I376" s="94">
        <f>IFERROR(__xludf.DUMMYFUNCTION("""COMPUTED_VALUE"""),263.0)</f>
        <v>263</v>
      </c>
      <c r="J376" s="94"/>
      <c r="K376" s="94">
        <f>IFERROR(__xludf.DUMMYFUNCTION("""COMPUTED_VALUE"""),60.0)</f>
        <v>60</v>
      </c>
      <c r="L376" s="94">
        <f>IFERROR(__xludf.DUMMYFUNCTION("""COMPUTED_VALUE"""),50.0)</f>
        <v>50</v>
      </c>
      <c r="M376" s="94">
        <f>IFERROR(__xludf.DUMMYFUNCTION("""COMPUTED_VALUE"""),10.0)</f>
        <v>10</v>
      </c>
      <c r="N376" s="94"/>
      <c r="O376" s="1430">
        <f>IFERROR(__xludf.DUMMYFUNCTION("""COMPUTED_VALUE"""),10.0)</f>
        <v>10</v>
      </c>
      <c r="P376" s="1431">
        <f>IFERROR(__xludf.DUMMYFUNCTION("""COMPUTED_VALUE"""),2.8)</f>
        <v>2.8</v>
      </c>
      <c r="Q376" s="1432">
        <f>IFERROR(__xludf.DUMMYFUNCTION("""COMPUTED_VALUE"""),263.0)</f>
        <v>263</v>
      </c>
    </row>
    <row r="377" ht="15.75" customHeight="1">
      <c r="A377" s="94"/>
      <c r="B377" s="94" t="str">
        <f>IFERROR(__xludf.DUMMYFUNCTION("""COMPUTED_VALUE"""),"DL 14-702")</f>
        <v>DL 14-702</v>
      </c>
      <c r="C377" s="1429" t="str">
        <f>IFERROR(__xludf.DUMMYFUNCTION("""COMPUTED_VALUE"""),"DL")</f>
        <v>DL</v>
      </c>
      <c r="D377" s="1432">
        <f>IFERROR(__xludf.DUMMYFUNCTION("""COMPUTED_VALUE"""),6.0)</f>
        <v>6</v>
      </c>
      <c r="E377" s="1429">
        <f>IFERROR(__xludf.DUMMYFUNCTION("""COMPUTED_VALUE"""),45465.0)</f>
        <v>45465</v>
      </c>
      <c r="F377" s="1429">
        <f>IFERROR(__xludf.DUMMYFUNCTION("""COMPUTED_VALUE"""),45468.0)</f>
        <v>45468</v>
      </c>
      <c r="G377" s="1164">
        <f>IFERROR(__xludf.DUMMYFUNCTION("""COMPUTED_VALUE"""),3.0)</f>
        <v>3</v>
      </c>
      <c r="H377" s="94"/>
      <c r="I377" s="94">
        <f>IFERROR(__xludf.DUMMYFUNCTION("""COMPUTED_VALUE"""),840.0)</f>
        <v>840</v>
      </c>
      <c r="J377" s="94"/>
      <c r="K377" s="94">
        <f>IFERROR(__xludf.DUMMYFUNCTION("""COMPUTED_VALUE"""),105.0)</f>
        <v>105</v>
      </c>
      <c r="L377" s="94">
        <f>IFERROR(__xludf.DUMMYFUNCTION("""COMPUTED_VALUE"""),105.0)</f>
        <v>105</v>
      </c>
      <c r="M377" s="94">
        <f>IFERROR(__xludf.DUMMYFUNCTION("""COMPUTED_VALUE"""),0.0)</f>
        <v>0</v>
      </c>
      <c r="N377" s="94"/>
      <c r="O377" s="1430">
        <f>IFERROR(__xludf.DUMMYFUNCTION("""COMPUTED_VALUE"""),0.0)</f>
        <v>0</v>
      </c>
      <c r="P377" s="1431">
        <f>IFERROR(__xludf.DUMMYFUNCTION("""COMPUTED_VALUE"""),2.8)</f>
        <v>2.8</v>
      </c>
      <c r="Q377" s="1432">
        <f>IFERROR(__xludf.DUMMYFUNCTION("""COMPUTED_VALUE"""),840.0)</f>
        <v>840</v>
      </c>
    </row>
    <row r="378" ht="15.75" customHeight="1">
      <c r="A378" s="94"/>
      <c r="B378" s="94" t="str">
        <f>IFERROR(__xludf.DUMMYFUNCTION("""COMPUTED_VALUE"""),"D 1321")</f>
        <v>D 1321</v>
      </c>
      <c r="C378" s="1429" t="str">
        <f>IFERROR(__xludf.DUMMYFUNCTION("""COMPUTED_VALUE"""),"ORBI")</f>
        <v>ORBI</v>
      </c>
      <c r="D378" s="1432">
        <f>IFERROR(__xludf.DUMMYFUNCTION("""COMPUTED_VALUE"""),6.0)</f>
        <v>6</v>
      </c>
      <c r="E378" s="1429">
        <f>IFERROR(__xludf.DUMMYFUNCTION("""COMPUTED_VALUE"""),45465.0)</f>
        <v>45465</v>
      </c>
      <c r="F378" s="1429">
        <f>IFERROR(__xludf.DUMMYFUNCTION("""COMPUTED_VALUE"""),45467.0)</f>
        <v>45467</v>
      </c>
      <c r="G378" s="1164">
        <f>IFERROR(__xludf.DUMMYFUNCTION("""COMPUTED_VALUE"""),2.0)</f>
        <v>2</v>
      </c>
      <c r="H378" s="1430">
        <f>IFERROR(__xludf.DUMMYFUNCTION("""COMPUTED_VALUE"""),66.0)</f>
        <v>66</v>
      </c>
      <c r="I378" s="94"/>
      <c r="J378" s="94"/>
      <c r="K378" s="94">
        <f>IFERROR(__xludf.DUMMYFUNCTION("""COMPUTED_VALUE"""),50.0)</f>
        <v>50</v>
      </c>
      <c r="L378" s="94">
        <f>IFERROR(__xludf.DUMMYFUNCTION("""COMPUTED_VALUE"""),45.0)</f>
        <v>45</v>
      </c>
      <c r="M378" s="94">
        <f>IFERROR(__xludf.DUMMYFUNCTION("""COMPUTED_VALUE"""),5.0)</f>
        <v>5</v>
      </c>
      <c r="N378" s="94"/>
      <c r="O378" s="1430">
        <f>IFERROR(__xludf.DUMMYFUNCTION("""COMPUTED_VALUE"""),5.0)</f>
        <v>5</v>
      </c>
      <c r="P378" s="1431">
        <f>IFERROR(__xludf.DUMMYFUNCTION("""COMPUTED_VALUE"""),2.8)</f>
        <v>2.8</v>
      </c>
      <c r="Q378" s="1432">
        <f>IFERROR(__xludf.DUMMYFUNCTION("""COMPUTED_VALUE"""),184.79999999999998)</f>
        <v>184.8</v>
      </c>
    </row>
    <row r="379" ht="15.75" customHeight="1">
      <c r="A379" s="94"/>
      <c r="B379" s="94" t="str">
        <f>IFERROR(__xludf.DUMMYFUNCTION("""COMPUTED_VALUE"""),"DL 14-1214")</f>
        <v>DL 14-1214</v>
      </c>
      <c r="C379" s="1429" t="str">
        <f>IFERROR(__xludf.DUMMYFUNCTION("""COMPUTED_VALUE"""),"DL")</f>
        <v>DL</v>
      </c>
      <c r="D379" s="1432">
        <f>IFERROR(__xludf.DUMMYFUNCTION("""COMPUTED_VALUE"""),6.0)</f>
        <v>6</v>
      </c>
      <c r="E379" s="1429">
        <f>IFERROR(__xludf.DUMMYFUNCTION("""COMPUTED_VALUE"""),45465.0)</f>
        <v>45465</v>
      </c>
      <c r="F379" s="1429">
        <f>IFERROR(__xludf.DUMMYFUNCTION("""COMPUTED_VALUE"""),45473.0)</f>
        <v>45473</v>
      </c>
      <c r="G379" s="1164">
        <f>IFERROR(__xludf.DUMMYFUNCTION("""COMPUTED_VALUE"""),8.0)</f>
        <v>8</v>
      </c>
      <c r="H379" s="1430">
        <f>IFERROR(__xludf.DUMMYFUNCTION("""COMPUTED_VALUE"""),425.0)</f>
        <v>425</v>
      </c>
      <c r="I379" s="94"/>
      <c r="J379" s="94"/>
      <c r="K379" s="94">
        <f>IFERROR(__xludf.DUMMYFUNCTION("""COMPUTED_VALUE"""),95.0)</f>
        <v>95</v>
      </c>
      <c r="L379" s="94">
        <f>IFERROR(__xludf.DUMMYFUNCTION("""COMPUTED_VALUE"""),95.0)</f>
        <v>95</v>
      </c>
      <c r="M379" s="94">
        <f>IFERROR(__xludf.DUMMYFUNCTION("""COMPUTED_VALUE"""),0.0)</f>
        <v>0</v>
      </c>
      <c r="N379" s="94"/>
      <c r="O379" s="1430">
        <f>IFERROR(__xludf.DUMMYFUNCTION("""COMPUTED_VALUE"""),0.0)</f>
        <v>0</v>
      </c>
      <c r="P379" s="1431">
        <f>IFERROR(__xludf.DUMMYFUNCTION("""COMPUTED_VALUE"""),2.8)</f>
        <v>2.8</v>
      </c>
      <c r="Q379" s="1432">
        <f>IFERROR(__xludf.DUMMYFUNCTION("""COMPUTED_VALUE"""),1190.0)</f>
        <v>1190</v>
      </c>
    </row>
    <row r="380" ht="15.75" customHeight="1">
      <c r="A380" s="94"/>
      <c r="B380" s="94" t="str">
        <f>IFERROR(__xludf.DUMMYFUNCTION("""COMPUTED_VALUE"""),"WS A 409")</f>
        <v>WS A 409</v>
      </c>
      <c r="C380" s="1429" t="str">
        <f>IFERROR(__xludf.DUMMYFUNCTION("""COMPUTED_VALUE"""),"WS")</f>
        <v>WS</v>
      </c>
      <c r="D380" s="1432">
        <f>IFERROR(__xludf.DUMMYFUNCTION("""COMPUTED_VALUE"""),6.0)</f>
        <v>6</v>
      </c>
      <c r="E380" s="1429">
        <f>IFERROR(__xludf.DUMMYFUNCTION("""COMPUTED_VALUE"""),45465.0)</f>
        <v>45465</v>
      </c>
      <c r="F380" s="1429">
        <f>IFERROR(__xludf.DUMMYFUNCTION("""COMPUTED_VALUE"""),45470.0)</f>
        <v>45470</v>
      </c>
      <c r="G380" s="1164">
        <f>IFERROR(__xludf.DUMMYFUNCTION("""COMPUTED_VALUE"""),5.0)</f>
        <v>5</v>
      </c>
      <c r="H380" s="94"/>
      <c r="I380" s="94">
        <f>IFERROR(__xludf.DUMMYFUNCTION("""COMPUTED_VALUE"""),600.0)</f>
        <v>600</v>
      </c>
      <c r="J380" s="94"/>
      <c r="K380" s="94">
        <f>IFERROR(__xludf.DUMMYFUNCTION("""COMPUTED_VALUE"""),60.0)</f>
        <v>60</v>
      </c>
      <c r="L380" s="94">
        <f>IFERROR(__xludf.DUMMYFUNCTION("""COMPUTED_VALUE"""),40.0)</f>
        <v>40</v>
      </c>
      <c r="M380" s="94">
        <f>IFERROR(__xludf.DUMMYFUNCTION("""COMPUTED_VALUE"""),20.0)</f>
        <v>20</v>
      </c>
      <c r="N380" s="94"/>
      <c r="O380" s="1430">
        <f>IFERROR(__xludf.DUMMYFUNCTION("""COMPUTED_VALUE"""),20.0)</f>
        <v>20</v>
      </c>
      <c r="P380" s="1431">
        <f>IFERROR(__xludf.DUMMYFUNCTION("""COMPUTED_VALUE"""),2.8)</f>
        <v>2.8</v>
      </c>
      <c r="Q380" s="1432">
        <f>IFERROR(__xludf.DUMMYFUNCTION("""COMPUTED_VALUE"""),600.0)</f>
        <v>600</v>
      </c>
    </row>
    <row r="381" ht="15.75" customHeight="1">
      <c r="A381" s="94"/>
      <c r="B381" s="94" t="str">
        <f>IFERROR(__xludf.DUMMYFUNCTION("""COMPUTED_VALUE"""),"WS E 1202")</f>
        <v>WS E 1202</v>
      </c>
      <c r="C381" s="1429" t="str">
        <f>IFERROR(__xludf.DUMMYFUNCTION("""COMPUTED_VALUE"""),"WS")</f>
        <v>WS</v>
      </c>
      <c r="D381" s="1432">
        <f>IFERROR(__xludf.DUMMYFUNCTION("""COMPUTED_VALUE"""),6.0)</f>
        <v>6</v>
      </c>
      <c r="E381" s="1429">
        <f>IFERROR(__xludf.DUMMYFUNCTION("""COMPUTED_VALUE"""),45465.0)</f>
        <v>45465</v>
      </c>
      <c r="F381" s="1429">
        <f>IFERROR(__xludf.DUMMYFUNCTION("""COMPUTED_VALUE"""),45474.0)</f>
        <v>45474</v>
      </c>
      <c r="G381" s="1164">
        <f>IFERROR(__xludf.DUMMYFUNCTION("""COMPUTED_VALUE"""),9.0)</f>
        <v>9</v>
      </c>
      <c r="H381" s="1430">
        <f>IFERROR(__xludf.DUMMYFUNCTION("""COMPUTED_VALUE"""),642.0)</f>
        <v>642</v>
      </c>
      <c r="I381" s="94"/>
      <c r="J381" s="94"/>
      <c r="K381" s="94">
        <f>IFERROR(__xludf.DUMMYFUNCTION("""COMPUTED_VALUE"""),70.0)</f>
        <v>70</v>
      </c>
      <c r="L381" s="94">
        <f>IFERROR(__xludf.DUMMYFUNCTION("""COMPUTED_VALUE"""),40.0)</f>
        <v>40</v>
      </c>
      <c r="M381" s="94">
        <f>IFERROR(__xludf.DUMMYFUNCTION("""COMPUTED_VALUE"""),30.0)</f>
        <v>30</v>
      </c>
      <c r="N381" s="94"/>
      <c r="O381" s="1430">
        <f>IFERROR(__xludf.DUMMYFUNCTION("""COMPUTED_VALUE"""),30.0)</f>
        <v>30</v>
      </c>
      <c r="P381" s="1431">
        <f>IFERROR(__xludf.DUMMYFUNCTION("""COMPUTED_VALUE"""),2.8)</f>
        <v>2.8</v>
      </c>
      <c r="Q381" s="1432">
        <f>IFERROR(__xludf.DUMMYFUNCTION("""COMPUTED_VALUE"""),1797.6)</f>
        <v>1797.6</v>
      </c>
    </row>
    <row r="382" ht="15.75" customHeight="1">
      <c r="A382" s="94"/>
      <c r="B382" s="94" t="str">
        <f>IFERROR(__xludf.DUMMYFUNCTION("""COMPUTED_VALUE"""),"WS  B 405")</f>
        <v>WS  B 405</v>
      </c>
      <c r="C382" s="1429" t="str">
        <f>IFERROR(__xludf.DUMMYFUNCTION("""COMPUTED_VALUE"""),"WS")</f>
        <v>WS</v>
      </c>
      <c r="D382" s="1432">
        <f>IFERROR(__xludf.DUMMYFUNCTION("""COMPUTED_VALUE"""),6.0)</f>
        <v>6</v>
      </c>
      <c r="E382" s="1429">
        <f>IFERROR(__xludf.DUMMYFUNCTION("""COMPUTED_VALUE"""),45466.0)</f>
        <v>45466</v>
      </c>
      <c r="F382" s="1429">
        <f>IFERROR(__xludf.DUMMYFUNCTION("""COMPUTED_VALUE"""),45472.0)</f>
        <v>45472</v>
      </c>
      <c r="G382" s="1164">
        <f>IFERROR(__xludf.DUMMYFUNCTION("""COMPUTED_VALUE"""),6.0)</f>
        <v>6</v>
      </c>
      <c r="H382" s="94"/>
      <c r="I382" s="94">
        <f>IFERROR(__xludf.DUMMYFUNCTION("""COMPUTED_VALUE"""),1122.0)</f>
        <v>1122</v>
      </c>
      <c r="J382" s="94"/>
      <c r="K382" s="94">
        <f>IFERROR(__xludf.DUMMYFUNCTION("""COMPUTED_VALUE"""),60.0)</f>
        <v>60</v>
      </c>
      <c r="L382" s="94">
        <f>IFERROR(__xludf.DUMMYFUNCTION("""COMPUTED_VALUE"""),40.0)</f>
        <v>40</v>
      </c>
      <c r="M382" s="94">
        <f>IFERROR(__xludf.DUMMYFUNCTION("""COMPUTED_VALUE"""),20.0)</f>
        <v>20</v>
      </c>
      <c r="N382" s="94"/>
      <c r="O382" s="1430">
        <f>IFERROR(__xludf.DUMMYFUNCTION("""COMPUTED_VALUE"""),20.0)</f>
        <v>20</v>
      </c>
      <c r="P382" s="1431">
        <f>IFERROR(__xludf.DUMMYFUNCTION("""COMPUTED_VALUE"""),2.8)</f>
        <v>2.8</v>
      </c>
      <c r="Q382" s="1432">
        <f>IFERROR(__xludf.DUMMYFUNCTION("""COMPUTED_VALUE"""),1122.0)</f>
        <v>1122</v>
      </c>
    </row>
    <row r="383" ht="15.75" customHeight="1">
      <c r="A383" s="94"/>
      <c r="B383" s="94" t="str">
        <f>IFERROR(__xludf.DUMMYFUNCTION("""COMPUTED_VALUE"""),"WS A 608")</f>
        <v>WS A 608</v>
      </c>
      <c r="C383" s="1429" t="str">
        <f>IFERROR(__xludf.DUMMYFUNCTION("""COMPUTED_VALUE"""),"WS")</f>
        <v>WS</v>
      </c>
      <c r="D383" s="1432">
        <f>IFERROR(__xludf.DUMMYFUNCTION("""COMPUTED_VALUE"""),6.0)</f>
        <v>6</v>
      </c>
      <c r="E383" s="1429">
        <f>IFERROR(__xludf.DUMMYFUNCTION("""COMPUTED_VALUE"""),45466.0)</f>
        <v>45466</v>
      </c>
      <c r="F383" s="1429">
        <f>IFERROR(__xludf.DUMMYFUNCTION("""COMPUTED_VALUE"""),45469.0)</f>
        <v>45469</v>
      </c>
      <c r="G383" s="1164">
        <f>IFERROR(__xludf.DUMMYFUNCTION("""COMPUTED_VALUE"""),3.0)</f>
        <v>3</v>
      </c>
      <c r="H383" s="1430">
        <f>IFERROR(__xludf.DUMMYFUNCTION("""COMPUTED_VALUE"""),129.0)</f>
        <v>129</v>
      </c>
      <c r="I383" s="94"/>
      <c r="J383" s="94"/>
      <c r="K383" s="94">
        <f>IFERROR(__xludf.DUMMYFUNCTION("""COMPUTED_VALUE"""),60.0)</f>
        <v>60</v>
      </c>
      <c r="L383" s="94">
        <f>IFERROR(__xludf.DUMMYFUNCTION("""COMPUTED_VALUE"""),40.0)</f>
        <v>40</v>
      </c>
      <c r="M383" s="94">
        <f>IFERROR(__xludf.DUMMYFUNCTION("""COMPUTED_VALUE"""),20.0)</f>
        <v>20</v>
      </c>
      <c r="N383" s="94"/>
      <c r="O383" s="1430">
        <f>IFERROR(__xludf.DUMMYFUNCTION("""COMPUTED_VALUE"""),20.0)</f>
        <v>20</v>
      </c>
      <c r="P383" s="1431">
        <f>IFERROR(__xludf.DUMMYFUNCTION("""COMPUTED_VALUE"""),2.8)</f>
        <v>2.8</v>
      </c>
      <c r="Q383" s="1432">
        <f>IFERROR(__xludf.DUMMYFUNCTION("""COMPUTED_VALUE"""),361.2)</f>
        <v>361.2</v>
      </c>
    </row>
    <row r="384" ht="15.75" customHeight="1">
      <c r="A384" s="94"/>
      <c r="B384" s="94" t="str">
        <f>IFERROR(__xludf.DUMMYFUNCTION("""COMPUTED_VALUE"""),"CM 1606")</f>
        <v>CM 1606</v>
      </c>
      <c r="C384" s="1429" t="str">
        <f>IFERROR(__xludf.DUMMYFUNCTION("""COMPUTED_VALUE"""),"MAR")</f>
        <v>MAR</v>
      </c>
      <c r="D384" s="1432">
        <f>IFERROR(__xludf.DUMMYFUNCTION("""COMPUTED_VALUE"""),6.0)</f>
        <v>6</v>
      </c>
      <c r="E384" s="1429">
        <f>IFERROR(__xludf.DUMMYFUNCTION("""COMPUTED_VALUE"""),45466.0)</f>
        <v>45466</v>
      </c>
      <c r="F384" s="1429">
        <f>IFERROR(__xludf.DUMMYFUNCTION("""COMPUTED_VALUE"""),45470.0)</f>
        <v>45470</v>
      </c>
      <c r="G384" s="1164">
        <f>IFERROR(__xludf.DUMMYFUNCTION("""COMPUTED_VALUE"""),4.0)</f>
        <v>4</v>
      </c>
      <c r="H384" s="1430">
        <f>IFERROR(__xludf.DUMMYFUNCTION("""COMPUTED_VALUE"""),187.0)</f>
        <v>187</v>
      </c>
      <c r="I384" s="94"/>
      <c r="J384" s="94"/>
      <c r="K384" s="94">
        <f>IFERROR(__xludf.DUMMYFUNCTION("""COMPUTED_VALUE"""),60.0)</f>
        <v>60</v>
      </c>
      <c r="L384" s="94">
        <f>IFERROR(__xludf.DUMMYFUNCTION("""COMPUTED_VALUE"""),40.0)</f>
        <v>40</v>
      </c>
      <c r="M384" s="94">
        <f>IFERROR(__xludf.DUMMYFUNCTION("""COMPUTED_VALUE"""),20.0)</f>
        <v>20</v>
      </c>
      <c r="N384" s="94"/>
      <c r="O384" s="1430">
        <f>IFERROR(__xludf.DUMMYFUNCTION("""COMPUTED_VALUE"""),20.0)</f>
        <v>20</v>
      </c>
      <c r="P384" s="1431">
        <f>IFERROR(__xludf.DUMMYFUNCTION("""COMPUTED_VALUE"""),2.8)</f>
        <v>2.8</v>
      </c>
      <c r="Q384" s="1432">
        <f>IFERROR(__xludf.DUMMYFUNCTION("""COMPUTED_VALUE"""),523.6)</f>
        <v>523.6</v>
      </c>
    </row>
    <row r="385" ht="15.75" customHeight="1">
      <c r="A385" s="94"/>
      <c r="B385" s="94" t="str">
        <f>IFERROR(__xludf.DUMMYFUNCTION("""COMPUTED_VALUE"""),"WS A 1312")</f>
        <v>WS A 1312</v>
      </c>
      <c r="C385" s="1429" t="str">
        <f>IFERROR(__xludf.DUMMYFUNCTION("""COMPUTED_VALUE"""),"WS")</f>
        <v>WS</v>
      </c>
      <c r="D385" s="1432">
        <f>IFERROR(__xludf.DUMMYFUNCTION("""COMPUTED_VALUE"""),6.0)</f>
        <v>6</v>
      </c>
      <c r="E385" s="1429">
        <f>IFERROR(__xludf.DUMMYFUNCTION("""COMPUTED_VALUE"""),45466.0)</f>
        <v>45466</v>
      </c>
      <c r="F385" s="1429">
        <f>IFERROR(__xludf.DUMMYFUNCTION("""COMPUTED_VALUE"""),45469.0)</f>
        <v>45469</v>
      </c>
      <c r="G385" s="1164">
        <f>IFERROR(__xludf.DUMMYFUNCTION("""COMPUTED_VALUE"""),3.0)</f>
        <v>3</v>
      </c>
      <c r="H385" s="94"/>
      <c r="I385" s="94">
        <f>IFERROR(__xludf.DUMMYFUNCTION("""COMPUTED_VALUE"""),405.0)</f>
        <v>405</v>
      </c>
      <c r="J385" s="94"/>
      <c r="K385" s="94">
        <f>IFERROR(__xludf.DUMMYFUNCTION("""COMPUTED_VALUE"""),60.0)</f>
        <v>60</v>
      </c>
      <c r="L385" s="94">
        <f>IFERROR(__xludf.DUMMYFUNCTION("""COMPUTED_VALUE"""),40.0)</f>
        <v>40</v>
      </c>
      <c r="M385" s="94">
        <f>IFERROR(__xludf.DUMMYFUNCTION("""COMPUTED_VALUE"""),20.0)</f>
        <v>20</v>
      </c>
      <c r="N385" s="94"/>
      <c r="O385" s="1430">
        <f>IFERROR(__xludf.DUMMYFUNCTION("""COMPUTED_VALUE"""),20.0)</f>
        <v>20</v>
      </c>
      <c r="P385" s="1431">
        <f>IFERROR(__xludf.DUMMYFUNCTION("""COMPUTED_VALUE"""),2.8)</f>
        <v>2.8</v>
      </c>
      <c r="Q385" s="1432">
        <f>IFERROR(__xludf.DUMMYFUNCTION("""COMPUTED_VALUE"""),405.0)</f>
        <v>405</v>
      </c>
    </row>
    <row r="386" ht="15.75" customHeight="1">
      <c r="A386" s="94" t="str">
        <f>IFERROR(__xludf.DUMMYFUNCTION("""COMPUTED_VALUE"""),"Итого неделя")</f>
        <v>Итого неделя</v>
      </c>
      <c r="B386" s="94" t="str">
        <f>IFERROR(__xludf.DUMMYFUNCTION("""COMPUTED_VALUE"""),"25 неделя")</f>
        <v>25 неделя</v>
      </c>
      <c r="C386" s="94">
        <f>IFERROR(__xludf.DUMMYFUNCTION("""COMPUTED_VALUE"""),0.0)</f>
        <v>0</v>
      </c>
      <c r="D386" s="94"/>
      <c r="E386" s="94"/>
      <c r="F386" s="94"/>
      <c r="G386" s="1164">
        <f>IFERROR(__xludf.DUMMYFUNCTION("""COMPUTED_VALUE"""),172.0)</f>
        <v>172</v>
      </c>
      <c r="H386" s="1430">
        <f>IFERROR(__xludf.DUMMYFUNCTION("""COMPUTED_VALUE"""),8173.0)</f>
        <v>8173</v>
      </c>
      <c r="I386" s="94">
        <f>IFERROR(__xludf.DUMMYFUNCTION("""COMPUTED_VALUE"""),3797.0)</f>
        <v>3797</v>
      </c>
      <c r="J386" s="94">
        <f>IFERROR(__xludf.DUMMYFUNCTION("""COMPUTED_VALUE"""),0.0)</f>
        <v>0</v>
      </c>
      <c r="K386" s="94">
        <f>IFERROR(__xludf.DUMMYFUNCTION("""COMPUTED_VALUE"""),2335.0)</f>
        <v>2335</v>
      </c>
      <c r="L386" s="94">
        <f>IFERROR(__xludf.DUMMYFUNCTION("""COMPUTED_VALUE"""),1785.0)</f>
        <v>1785</v>
      </c>
      <c r="M386" s="94">
        <f>IFERROR(__xludf.DUMMYFUNCTION("""COMPUTED_VALUE"""),550.0)</f>
        <v>550</v>
      </c>
      <c r="N386" s="94">
        <f>IFERROR(__xludf.DUMMYFUNCTION("""COMPUTED_VALUE"""),0.0)</f>
        <v>0</v>
      </c>
      <c r="O386" s="1430">
        <f>IFERROR(__xludf.DUMMYFUNCTION("""COMPUTED_VALUE"""),550.0)</f>
        <v>550</v>
      </c>
      <c r="P386" s="94"/>
      <c r="Q386" s="1432">
        <f>IFERROR(__xludf.DUMMYFUNCTION("""COMPUTED_VALUE"""),26651.679999999997)</f>
        <v>26651.68</v>
      </c>
    </row>
    <row r="387" ht="15.75" customHeight="1">
      <c r="A387" s="94"/>
      <c r="B387" s="94" t="str">
        <f>IFERROR(__xludf.DUMMYFUNCTION("""COMPUTED_VALUE"""),"WS В 212")</f>
        <v>WS В 212</v>
      </c>
      <c r="C387" s="1429" t="str">
        <f>IFERROR(__xludf.DUMMYFUNCTION("""COMPUTED_VALUE"""),"WS")</f>
        <v>WS</v>
      </c>
      <c r="D387" s="1432">
        <f>IFERROR(__xludf.DUMMYFUNCTION("""COMPUTED_VALUE"""),6.0)</f>
        <v>6</v>
      </c>
      <c r="E387" s="1429">
        <f>IFERROR(__xludf.DUMMYFUNCTION("""COMPUTED_VALUE"""),45467.0)</f>
        <v>45467</v>
      </c>
      <c r="F387" s="1429">
        <f>IFERROR(__xludf.DUMMYFUNCTION("""COMPUTED_VALUE"""),45470.0)</f>
        <v>45470</v>
      </c>
      <c r="G387" s="1164">
        <f>IFERROR(__xludf.DUMMYFUNCTION("""COMPUTED_VALUE"""),3.0)</f>
        <v>3</v>
      </c>
      <c r="H387" s="94"/>
      <c r="I387" s="94">
        <f>IFERROR(__xludf.DUMMYFUNCTION("""COMPUTED_VALUE"""),1153.0)</f>
        <v>1153</v>
      </c>
      <c r="J387" s="94"/>
      <c r="K387" s="94">
        <f>IFERROR(__xludf.DUMMYFUNCTION("""COMPUTED_VALUE"""),70.0)</f>
        <v>70</v>
      </c>
      <c r="L387" s="94">
        <f>IFERROR(__xludf.DUMMYFUNCTION("""COMPUTED_VALUE"""),40.0)</f>
        <v>40</v>
      </c>
      <c r="M387" s="94">
        <f>IFERROR(__xludf.DUMMYFUNCTION("""COMPUTED_VALUE"""),30.0)</f>
        <v>30</v>
      </c>
      <c r="N387" s="94"/>
      <c r="O387" s="1430">
        <f>IFERROR(__xludf.DUMMYFUNCTION("""COMPUTED_VALUE"""),30.0)</f>
        <v>30</v>
      </c>
      <c r="P387" s="1431">
        <f>IFERROR(__xludf.DUMMYFUNCTION("""COMPUTED_VALUE"""),2.78)</f>
        <v>2.78</v>
      </c>
      <c r="Q387" s="1432">
        <f>IFERROR(__xludf.DUMMYFUNCTION("""COMPUTED_VALUE"""),1153.0)</f>
        <v>1153</v>
      </c>
    </row>
    <row r="388" ht="15.75" customHeight="1">
      <c r="A388" s="94"/>
      <c r="B388" s="94" t="str">
        <f>IFERROR(__xludf.DUMMYFUNCTION("""COMPUTED_VALUE"""),"D 1321")</f>
        <v>D 1321</v>
      </c>
      <c r="C388" s="1429" t="str">
        <f>IFERROR(__xludf.DUMMYFUNCTION("""COMPUTED_VALUE"""),"ORBI")</f>
        <v>ORBI</v>
      </c>
      <c r="D388" s="1432">
        <f>IFERROR(__xludf.DUMMYFUNCTION("""COMPUTED_VALUE"""),6.0)</f>
        <v>6</v>
      </c>
      <c r="E388" s="1429">
        <f>IFERROR(__xludf.DUMMYFUNCTION("""COMPUTED_VALUE"""),45467.0)</f>
        <v>45467</v>
      </c>
      <c r="F388" s="1429">
        <f>IFERROR(__xludf.DUMMYFUNCTION("""COMPUTED_VALUE"""),45469.0)</f>
        <v>45469</v>
      </c>
      <c r="G388" s="1164">
        <f>IFERROR(__xludf.DUMMYFUNCTION("""COMPUTED_VALUE"""),2.0)</f>
        <v>2</v>
      </c>
      <c r="H388" s="1430">
        <f>IFERROR(__xludf.DUMMYFUNCTION("""COMPUTED_VALUE"""),56.0)</f>
        <v>56</v>
      </c>
      <c r="I388" s="94"/>
      <c r="J388" s="94"/>
      <c r="K388" s="94">
        <f>IFERROR(__xludf.DUMMYFUNCTION("""COMPUTED_VALUE"""),50.0)</f>
        <v>50</v>
      </c>
      <c r="L388" s="94">
        <f>IFERROR(__xludf.DUMMYFUNCTION("""COMPUTED_VALUE"""),40.0)</f>
        <v>40</v>
      </c>
      <c r="M388" s="94">
        <f>IFERROR(__xludf.DUMMYFUNCTION("""COMPUTED_VALUE"""),10.0)</f>
        <v>10</v>
      </c>
      <c r="N388" s="94"/>
      <c r="O388" s="1430">
        <f>IFERROR(__xludf.DUMMYFUNCTION("""COMPUTED_VALUE"""),10.0)</f>
        <v>10</v>
      </c>
      <c r="P388" s="1431">
        <f>IFERROR(__xludf.DUMMYFUNCTION("""COMPUTED_VALUE"""),2.78)</f>
        <v>2.78</v>
      </c>
      <c r="Q388" s="1432">
        <f>IFERROR(__xludf.DUMMYFUNCTION("""COMPUTED_VALUE"""),155.67999999999998)</f>
        <v>155.68</v>
      </c>
    </row>
    <row r="389" ht="15.75" customHeight="1">
      <c r="A389" s="94"/>
      <c r="B389" s="94" t="str">
        <f>IFERROR(__xludf.DUMMYFUNCTION("""COMPUTED_VALUE"""),"DL 11-1305")</f>
        <v>DL 11-1305</v>
      </c>
      <c r="C389" s="1429" t="str">
        <f>IFERROR(__xludf.DUMMYFUNCTION("""COMPUTED_VALUE"""),"DL")</f>
        <v>DL</v>
      </c>
      <c r="D389" s="1432">
        <f>IFERROR(__xludf.DUMMYFUNCTION("""COMPUTED_VALUE"""),6.0)</f>
        <v>6</v>
      </c>
      <c r="E389" s="1429">
        <f>IFERROR(__xludf.DUMMYFUNCTION("""COMPUTED_VALUE"""),45467.0)</f>
        <v>45467</v>
      </c>
      <c r="F389" s="1429">
        <f>IFERROR(__xludf.DUMMYFUNCTION("""COMPUTED_VALUE"""),45470.0)</f>
        <v>45470</v>
      </c>
      <c r="G389" s="1164">
        <f>IFERROR(__xludf.DUMMYFUNCTION("""COMPUTED_VALUE"""),3.0)</f>
        <v>3</v>
      </c>
      <c r="H389" s="1430">
        <f>IFERROR(__xludf.DUMMYFUNCTION("""COMPUTED_VALUE"""),153.0)</f>
        <v>153</v>
      </c>
      <c r="I389" s="94"/>
      <c r="J389" s="94"/>
      <c r="K389" s="94">
        <f>IFERROR(__xludf.DUMMYFUNCTION("""COMPUTED_VALUE"""),105.0)</f>
        <v>105</v>
      </c>
      <c r="L389" s="94">
        <f>IFERROR(__xludf.DUMMYFUNCTION("""COMPUTED_VALUE"""),105.0)</f>
        <v>105</v>
      </c>
      <c r="M389" s="94">
        <f>IFERROR(__xludf.DUMMYFUNCTION("""COMPUTED_VALUE"""),0.0)</f>
        <v>0</v>
      </c>
      <c r="N389" s="94"/>
      <c r="O389" s="1430">
        <f>IFERROR(__xludf.DUMMYFUNCTION("""COMPUTED_VALUE"""),0.0)</f>
        <v>0</v>
      </c>
      <c r="P389" s="1431">
        <f>IFERROR(__xludf.DUMMYFUNCTION("""COMPUTED_VALUE"""),2.78)</f>
        <v>2.78</v>
      </c>
      <c r="Q389" s="1432">
        <f>IFERROR(__xludf.DUMMYFUNCTION("""COMPUTED_VALUE"""),425.34)</f>
        <v>425.34</v>
      </c>
    </row>
    <row r="390" ht="15.75" customHeight="1">
      <c r="A390" s="94"/>
      <c r="B390" s="94" t="str">
        <f>IFERROR(__xludf.DUMMYFUNCTION("""COMPUTED_VALUE"""),"С 1125")</f>
        <v>С 1125</v>
      </c>
      <c r="C390" s="1429" t="str">
        <f>IFERROR(__xludf.DUMMYFUNCTION("""COMPUTED_VALUE"""),"ORBI")</f>
        <v>ORBI</v>
      </c>
      <c r="D390" s="1432">
        <f>IFERROR(__xludf.DUMMYFUNCTION("""COMPUTED_VALUE"""),6.0)</f>
        <v>6</v>
      </c>
      <c r="E390" s="1429">
        <f>IFERROR(__xludf.DUMMYFUNCTION("""COMPUTED_VALUE"""),45467.0)</f>
        <v>45467</v>
      </c>
      <c r="F390" s="1429">
        <f>IFERROR(__xludf.DUMMYFUNCTION("""COMPUTED_VALUE"""),45474.0)</f>
        <v>45474</v>
      </c>
      <c r="G390" s="1164">
        <f>IFERROR(__xludf.DUMMYFUNCTION("""COMPUTED_VALUE"""),7.0)</f>
        <v>7</v>
      </c>
      <c r="H390" s="1430">
        <f>IFERROR(__xludf.DUMMYFUNCTION("""COMPUTED_VALUE"""),164.0)</f>
        <v>164</v>
      </c>
      <c r="I390" s="94"/>
      <c r="J390" s="94"/>
      <c r="K390" s="94">
        <f>IFERROR(__xludf.DUMMYFUNCTION("""COMPUTED_VALUE"""),50.0)</f>
        <v>50</v>
      </c>
      <c r="L390" s="94">
        <f>IFERROR(__xludf.DUMMYFUNCTION("""COMPUTED_VALUE"""),40.0)</f>
        <v>40</v>
      </c>
      <c r="M390" s="94">
        <f>IFERROR(__xludf.DUMMYFUNCTION("""COMPUTED_VALUE"""),10.0)</f>
        <v>10</v>
      </c>
      <c r="N390" s="94"/>
      <c r="O390" s="1430">
        <f>IFERROR(__xludf.DUMMYFUNCTION("""COMPUTED_VALUE"""),10.0)</f>
        <v>10</v>
      </c>
      <c r="P390" s="1431">
        <f>IFERROR(__xludf.DUMMYFUNCTION("""COMPUTED_VALUE"""),2.78)</f>
        <v>2.78</v>
      </c>
      <c r="Q390" s="1432">
        <f>IFERROR(__xludf.DUMMYFUNCTION("""COMPUTED_VALUE"""),455.91999999999996)</f>
        <v>455.92</v>
      </c>
    </row>
    <row r="391" ht="15.75" customHeight="1">
      <c r="A391" s="94"/>
      <c r="B391" s="94" t="str">
        <f>IFERROR(__xludf.DUMMYFUNCTION("""COMPUTED_VALUE"""),"Wyn")</f>
        <v>Wyn</v>
      </c>
      <c r="C391" s="1429" t="str">
        <f>IFERROR(__xludf.DUMMYFUNCTION("""COMPUTED_VALUE"""),"Other")</f>
        <v>Other</v>
      </c>
      <c r="D391" s="1432">
        <f>IFERROR(__xludf.DUMMYFUNCTION("""COMPUTED_VALUE"""),6.0)</f>
        <v>6</v>
      </c>
      <c r="E391" s="1429">
        <f>IFERROR(__xludf.DUMMYFUNCTION("""COMPUTED_VALUE"""),45467.0)</f>
        <v>45467</v>
      </c>
      <c r="F391" s="1429">
        <f>IFERROR(__xludf.DUMMYFUNCTION("""COMPUTED_VALUE"""),45469.0)</f>
        <v>45469</v>
      </c>
      <c r="G391" s="1164">
        <f>IFERROR(__xludf.DUMMYFUNCTION("""COMPUTED_VALUE"""),2.0)</f>
        <v>2</v>
      </c>
      <c r="H391" s="1430">
        <f>IFERROR(__xludf.DUMMYFUNCTION("""COMPUTED_VALUE"""),64.0)</f>
        <v>64</v>
      </c>
      <c r="I391" s="94"/>
      <c r="J391" s="94"/>
      <c r="K391" s="94">
        <f>IFERROR(__xludf.DUMMYFUNCTION("""COMPUTED_VALUE"""),70.0)</f>
        <v>70</v>
      </c>
      <c r="L391" s="94">
        <f>IFERROR(__xludf.DUMMYFUNCTION("""COMPUTED_VALUE"""),40.0)</f>
        <v>40</v>
      </c>
      <c r="M391" s="94">
        <f>IFERROR(__xludf.DUMMYFUNCTION("""COMPUTED_VALUE"""),30.0)</f>
        <v>30</v>
      </c>
      <c r="N391" s="94"/>
      <c r="O391" s="1430">
        <f>IFERROR(__xludf.DUMMYFUNCTION("""COMPUTED_VALUE"""),30.0)</f>
        <v>30</v>
      </c>
      <c r="P391" s="1431">
        <f>IFERROR(__xludf.DUMMYFUNCTION("""COMPUTED_VALUE"""),2.78)</f>
        <v>2.78</v>
      </c>
      <c r="Q391" s="1432">
        <f>IFERROR(__xludf.DUMMYFUNCTION("""COMPUTED_VALUE"""),177.92)</f>
        <v>177.92</v>
      </c>
    </row>
    <row r="392" ht="15.75" customHeight="1">
      <c r="A392" s="94"/>
      <c r="B392" s="94" t="str">
        <f>IFERROR(__xludf.DUMMYFUNCTION("""COMPUTED_VALUE"""),"С 2756")</f>
        <v>С 2756</v>
      </c>
      <c r="C392" s="1429" t="str">
        <f>IFERROR(__xludf.DUMMYFUNCTION("""COMPUTED_VALUE"""),"ORBI")</f>
        <v>ORBI</v>
      </c>
      <c r="D392" s="1432">
        <f>IFERROR(__xludf.DUMMYFUNCTION("""COMPUTED_VALUE"""),6.0)</f>
        <v>6</v>
      </c>
      <c r="E392" s="1429">
        <f>IFERROR(__xludf.DUMMYFUNCTION("""COMPUTED_VALUE"""),45468.0)</f>
        <v>45468</v>
      </c>
      <c r="F392" s="1429">
        <f>IFERROR(__xludf.DUMMYFUNCTION("""COMPUTED_VALUE"""),45482.0)</f>
        <v>45482</v>
      </c>
      <c r="G392" s="1164">
        <f>IFERROR(__xludf.DUMMYFUNCTION("""COMPUTED_VALUE"""),14.0)</f>
        <v>14</v>
      </c>
      <c r="H392" s="1430">
        <f>IFERROR(__xludf.DUMMYFUNCTION("""COMPUTED_VALUE"""),475.0)</f>
        <v>475</v>
      </c>
      <c r="I392" s="94"/>
      <c r="J392" s="94"/>
      <c r="K392" s="94">
        <f>IFERROR(__xludf.DUMMYFUNCTION("""COMPUTED_VALUE"""),50.0)</f>
        <v>50</v>
      </c>
      <c r="L392" s="94">
        <f>IFERROR(__xludf.DUMMYFUNCTION("""COMPUTED_VALUE"""),40.0)</f>
        <v>40</v>
      </c>
      <c r="M392" s="94">
        <f>IFERROR(__xludf.DUMMYFUNCTION("""COMPUTED_VALUE"""),10.0)</f>
        <v>10</v>
      </c>
      <c r="N392" s="94"/>
      <c r="O392" s="1430">
        <f>IFERROR(__xludf.DUMMYFUNCTION("""COMPUTED_VALUE"""),10.0)</f>
        <v>10</v>
      </c>
      <c r="P392" s="1431">
        <f>IFERROR(__xludf.DUMMYFUNCTION("""COMPUTED_VALUE"""),2.78)</f>
        <v>2.78</v>
      </c>
      <c r="Q392" s="1432">
        <f>IFERROR(__xludf.DUMMYFUNCTION("""COMPUTED_VALUE"""),1320.5)</f>
        <v>1320.5</v>
      </c>
    </row>
    <row r="393" ht="15.75" customHeight="1">
      <c r="A393" s="94"/>
      <c r="B393" s="94" t="str">
        <f>IFERROR(__xludf.DUMMYFUNCTION("""COMPUTED_VALUE"""),"DL 14-516")</f>
        <v>DL 14-516</v>
      </c>
      <c r="C393" s="1429" t="str">
        <f>IFERROR(__xludf.DUMMYFUNCTION("""COMPUTED_VALUE"""),"DL")</f>
        <v>DL</v>
      </c>
      <c r="D393" s="1432">
        <f>IFERROR(__xludf.DUMMYFUNCTION("""COMPUTED_VALUE"""),6.0)</f>
        <v>6</v>
      </c>
      <c r="E393" s="1429">
        <f>IFERROR(__xludf.DUMMYFUNCTION("""COMPUTED_VALUE"""),45468.0)</f>
        <v>45468</v>
      </c>
      <c r="F393" s="1429">
        <f>IFERROR(__xludf.DUMMYFUNCTION("""COMPUTED_VALUE"""),45471.0)</f>
        <v>45471</v>
      </c>
      <c r="G393" s="1164">
        <f>IFERROR(__xludf.DUMMYFUNCTION("""COMPUTED_VALUE"""),3.0)</f>
        <v>3</v>
      </c>
      <c r="H393" s="1430">
        <f>IFERROR(__xludf.DUMMYFUNCTION("""COMPUTED_VALUE"""),279.0)</f>
        <v>279</v>
      </c>
      <c r="I393" s="94"/>
      <c r="J393" s="94"/>
      <c r="K393" s="94">
        <f>IFERROR(__xludf.DUMMYFUNCTION("""COMPUTED_VALUE"""),105.0)</f>
        <v>105</v>
      </c>
      <c r="L393" s="94">
        <f>IFERROR(__xludf.DUMMYFUNCTION("""COMPUTED_VALUE"""),105.0)</f>
        <v>105</v>
      </c>
      <c r="M393" s="94">
        <f>IFERROR(__xludf.DUMMYFUNCTION("""COMPUTED_VALUE"""),0.0)</f>
        <v>0</v>
      </c>
      <c r="N393" s="94"/>
      <c r="O393" s="1430">
        <f>IFERROR(__xludf.DUMMYFUNCTION("""COMPUTED_VALUE"""),0.0)</f>
        <v>0</v>
      </c>
      <c r="P393" s="1431">
        <f>IFERROR(__xludf.DUMMYFUNCTION("""COMPUTED_VALUE"""),2.78)</f>
        <v>2.78</v>
      </c>
      <c r="Q393" s="1432">
        <f>IFERROR(__xludf.DUMMYFUNCTION("""COMPUTED_VALUE"""),775.6199999999999)</f>
        <v>775.62</v>
      </c>
    </row>
    <row r="394" ht="15.75" customHeight="1">
      <c r="A394" s="94"/>
      <c r="B394" s="94" t="str">
        <f>IFERROR(__xludf.DUMMYFUNCTION("""COMPUTED_VALUE"""),"CM 1604")</f>
        <v>CM 1604</v>
      </c>
      <c r="C394" s="1429" t="str">
        <f>IFERROR(__xludf.DUMMYFUNCTION("""COMPUTED_VALUE"""),"MAR")</f>
        <v>MAR</v>
      </c>
      <c r="D394" s="1432">
        <f>IFERROR(__xludf.DUMMYFUNCTION("""COMPUTED_VALUE"""),6.0)</f>
        <v>6</v>
      </c>
      <c r="E394" s="1429">
        <f>IFERROR(__xludf.DUMMYFUNCTION("""COMPUTED_VALUE"""),45468.0)</f>
        <v>45468</v>
      </c>
      <c r="F394" s="1429">
        <f>IFERROR(__xludf.DUMMYFUNCTION("""COMPUTED_VALUE"""),45472.0)</f>
        <v>45472</v>
      </c>
      <c r="G394" s="1164">
        <f>IFERROR(__xludf.DUMMYFUNCTION("""COMPUTED_VALUE"""),4.0)</f>
        <v>4</v>
      </c>
      <c r="H394" s="1430">
        <f>IFERROR(__xludf.DUMMYFUNCTION("""COMPUTED_VALUE"""),247.0)</f>
        <v>247</v>
      </c>
      <c r="I394" s="94"/>
      <c r="J394" s="94"/>
      <c r="K394" s="94">
        <f>IFERROR(__xludf.DUMMYFUNCTION("""COMPUTED_VALUE"""),70.0)</f>
        <v>70</v>
      </c>
      <c r="L394" s="94">
        <f>IFERROR(__xludf.DUMMYFUNCTION("""COMPUTED_VALUE"""),40.0)</f>
        <v>40</v>
      </c>
      <c r="M394" s="94">
        <f>IFERROR(__xludf.DUMMYFUNCTION("""COMPUTED_VALUE"""),30.0)</f>
        <v>30</v>
      </c>
      <c r="N394" s="94"/>
      <c r="O394" s="1430">
        <f>IFERROR(__xludf.DUMMYFUNCTION("""COMPUTED_VALUE"""),30.0)</f>
        <v>30</v>
      </c>
      <c r="P394" s="1431">
        <f>IFERROR(__xludf.DUMMYFUNCTION("""COMPUTED_VALUE"""),2.78)</f>
        <v>2.78</v>
      </c>
      <c r="Q394" s="1432">
        <f>IFERROR(__xludf.DUMMYFUNCTION("""COMPUTED_VALUE"""),686.66)</f>
        <v>686.66</v>
      </c>
    </row>
    <row r="395" ht="15.75" customHeight="1">
      <c r="A395" s="94"/>
      <c r="B395" s="94" t="str">
        <f>IFERROR(__xludf.DUMMYFUNCTION("""COMPUTED_VALUE"""),"WS F 907")</f>
        <v>WS F 907</v>
      </c>
      <c r="C395" s="1429" t="str">
        <f>IFERROR(__xludf.DUMMYFUNCTION("""COMPUTED_VALUE"""),"WS")</f>
        <v>WS</v>
      </c>
      <c r="D395" s="1432">
        <f>IFERROR(__xludf.DUMMYFUNCTION("""COMPUTED_VALUE"""),6.0)</f>
        <v>6</v>
      </c>
      <c r="E395" s="1429">
        <f>IFERROR(__xludf.DUMMYFUNCTION("""COMPUTED_VALUE"""),45468.0)</f>
        <v>45468</v>
      </c>
      <c r="F395" s="1429">
        <f>IFERROR(__xludf.DUMMYFUNCTION("""COMPUTED_VALUE"""),45471.0)</f>
        <v>45471</v>
      </c>
      <c r="G395" s="1164">
        <f>IFERROR(__xludf.DUMMYFUNCTION("""COMPUTED_VALUE"""),3.0)</f>
        <v>3</v>
      </c>
      <c r="H395" s="94"/>
      <c r="I395" s="94">
        <f>IFERROR(__xludf.DUMMYFUNCTION("""COMPUTED_VALUE"""),378.0)</f>
        <v>378</v>
      </c>
      <c r="J395" s="94"/>
      <c r="K395" s="94">
        <f>IFERROR(__xludf.DUMMYFUNCTION("""COMPUTED_VALUE"""),60.0)</f>
        <v>60</v>
      </c>
      <c r="L395" s="94">
        <f>IFERROR(__xludf.DUMMYFUNCTION("""COMPUTED_VALUE"""),40.0)</f>
        <v>40</v>
      </c>
      <c r="M395" s="94">
        <f>IFERROR(__xludf.DUMMYFUNCTION("""COMPUTED_VALUE"""),20.0)</f>
        <v>20</v>
      </c>
      <c r="N395" s="94"/>
      <c r="O395" s="1430">
        <f>IFERROR(__xludf.DUMMYFUNCTION("""COMPUTED_VALUE"""),20.0)</f>
        <v>20</v>
      </c>
      <c r="P395" s="1431">
        <f>IFERROR(__xludf.DUMMYFUNCTION("""COMPUTED_VALUE"""),2.78)</f>
        <v>2.78</v>
      </c>
      <c r="Q395" s="1432">
        <f>IFERROR(__xludf.DUMMYFUNCTION("""COMPUTED_VALUE"""),378.0)</f>
        <v>378</v>
      </c>
    </row>
    <row r="396" ht="15.75" customHeight="1">
      <c r="A396" s="94"/>
      <c r="B396" s="94" t="str">
        <f>IFERROR(__xludf.DUMMYFUNCTION("""COMPUTED_VALUE"""),"14-411")</f>
        <v>14-411</v>
      </c>
      <c r="C396" s="1429" t="str">
        <f>IFERROR(__xludf.DUMMYFUNCTION("""COMPUTED_VALUE"""),"DL")</f>
        <v>DL</v>
      </c>
      <c r="D396" s="1432">
        <f>IFERROR(__xludf.DUMMYFUNCTION("""COMPUTED_VALUE"""),6.0)</f>
        <v>6</v>
      </c>
      <c r="E396" s="1429">
        <f>IFERROR(__xludf.DUMMYFUNCTION("""COMPUTED_VALUE"""),45469.0)</f>
        <v>45469</v>
      </c>
      <c r="F396" s="1429">
        <f>IFERROR(__xludf.DUMMYFUNCTION("""COMPUTED_VALUE"""),45471.0)</f>
        <v>45471</v>
      </c>
      <c r="G396" s="1164">
        <f>IFERROR(__xludf.DUMMYFUNCTION("""COMPUTED_VALUE"""),2.0)</f>
        <v>2</v>
      </c>
      <c r="H396" s="1430">
        <f>IFERROR(__xludf.DUMMYFUNCTION("""COMPUTED_VALUE"""),114.0)</f>
        <v>114</v>
      </c>
      <c r="I396" s="94"/>
      <c r="J396" s="94"/>
      <c r="K396" s="94">
        <f>IFERROR(__xludf.DUMMYFUNCTION("""COMPUTED_VALUE"""),105.0)</f>
        <v>105</v>
      </c>
      <c r="L396" s="94">
        <f>IFERROR(__xludf.DUMMYFUNCTION("""COMPUTED_VALUE"""),105.0)</f>
        <v>105</v>
      </c>
      <c r="M396" s="94">
        <f>IFERROR(__xludf.DUMMYFUNCTION("""COMPUTED_VALUE"""),0.0)</f>
        <v>0</v>
      </c>
      <c r="N396" s="94"/>
      <c r="O396" s="1430">
        <f>IFERROR(__xludf.DUMMYFUNCTION("""COMPUTED_VALUE"""),0.0)</f>
        <v>0</v>
      </c>
      <c r="P396" s="1431">
        <f>IFERROR(__xludf.DUMMYFUNCTION("""COMPUTED_VALUE"""),2.78)</f>
        <v>2.78</v>
      </c>
      <c r="Q396" s="1432">
        <f>IFERROR(__xludf.DUMMYFUNCTION("""COMPUTED_VALUE"""),316.91999999999996)</f>
        <v>316.92</v>
      </c>
    </row>
    <row r="397" ht="15.75" customHeight="1">
      <c r="A397" s="94"/>
      <c r="B397" s="94" t="str">
        <f>IFERROR(__xludf.DUMMYFUNCTION("""COMPUTED_VALUE"""),"Шар 2505")</f>
        <v>Шар 2505</v>
      </c>
      <c r="C397" s="1429" t="str">
        <f>IFERROR(__xludf.DUMMYFUNCTION("""COMPUTED_VALUE"""),"Other")</f>
        <v>Other</v>
      </c>
      <c r="D397" s="1432">
        <f>IFERROR(__xludf.DUMMYFUNCTION("""COMPUTED_VALUE"""),6.0)</f>
        <v>6</v>
      </c>
      <c r="E397" s="1429">
        <f>IFERROR(__xludf.DUMMYFUNCTION("""COMPUTED_VALUE"""),45469.0)</f>
        <v>45469</v>
      </c>
      <c r="F397" s="1429">
        <f>IFERROR(__xludf.DUMMYFUNCTION("""COMPUTED_VALUE"""),45474.0)</f>
        <v>45474</v>
      </c>
      <c r="G397" s="1164">
        <f>IFERROR(__xludf.DUMMYFUNCTION("""COMPUTED_VALUE"""),5.0)</f>
        <v>5</v>
      </c>
      <c r="H397" s="1430">
        <f>IFERROR(__xludf.DUMMYFUNCTION("""COMPUTED_VALUE"""),205.0)</f>
        <v>205</v>
      </c>
      <c r="I397" s="94"/>
      <c r="J397" s="94"/>
      <c r="K397" s="94">
        <f>IFERROR(__xludf.DUMMYFUNCTION("""COMPUTED_VALUE"""),60.0)</f>
        <v>60</v>
      </c>
      <c r="L397" s="94">
        <f>IFERROR(__xludf.DUMMYFUNCTION("""COMPUTED_VALUE"""),40.0)</f>
        <v>40</v>
      </c>
      <c r="M397" s="94">
        <f>IFERROR(__xludf.DUMMYFUNCTION("""COMPUTED_VALUE"""),20.0)</f>
        <v>20</v>
      </c>
      <c r="N397" s="94"/>
      <c r="O397" s="1430">
        <f>IFERROR(__xludf.DUMMYFUNCTION("""COMPUTED_VALUE"""),20.0)</f>
        <v>20</v>
      </c>
      <c r="P397" s="1431">
        <f>IFERROR(__xludf.DUMMYFUNCTION("""COMPUTED_VALUE"""),2.78)</f>
        <v>2.78</v>
      </c>
      <c r="Q397" s="1432">
        <f>IFERROR(__xludf.DUMMYFUNCTION("""COMPUTED_VALUE"""),569.9)</f>
        <v>569.9</v>
      </c>
    </row>
    <row r="398" ht="15.75" customHeight="1">
      <c r="A398" s="94"/>
      <c r="B398" s="94" t="str">
        <f>IFERROR(__xludf.DUMMYFUNCTION("""COMPUTED_VALUE"""),"Wyn")</f>
        <v>Wyn</v>
      </c>
      <c r="C398" s="1429" t="str">
        <f>IFERROR(__xludf.DUMMYFUNCTION("""COMPUTED_VALUE"""),"Other")</f>
        <v>Other</v>
      </c>
      <c r="D398" s="1432">
        <f>IFERROR(__xludf.DUMMYFUNCTION("""COMPUTED_VALUE"""),6.0)</f>
        <v>6</v>
      </c>
      <c r="E398" s="1429">
        <f>IFERROR(__xludf.DUMMYFUNCTION("""COMPUTED_VALUE"""),45469.0)</f>
        <v>45469</v>
      </c>
      <c r="F398" s="1429">
        <f>IFERROR(__xludf.DUMMYFUNCTION("""COMPUTED_VALUE"""),45476.0)</f>
        <v>45476</v>
      </c>
      <c r="G398" s="1164">
        <f>IFERROR(__xludf.DUMMYFUNCTION("""COMPUTED_VALUE"""),7.0)</f>
        <v>7</v>
      </c>
      <c r="H398" s="1430">
        <f>IFERROR(__xludf.DUMMYFUNCTION("""COMPUTED_VALUE"""),217.0)</f>
        <v>217</v>
      </c>
      <c r="I398" s="94"/>
      <c r="J398" s="94"/>
      <c r="K398" s="94">
        <f>IFERROR(__xludf.DUMMYFUNCTION("""COMPUTED_VALUE"""),70.0)</f>
        <v>70</v>
      </c>
      <c r="L398" s="94">
        <f>IFERROR(__xludf.DUMMYFUNCTION("""COMPUTED_VALUE"""),40.0)</f>
        <v>40</v>
      </c>
      <c r="M398" s="94">
        <f>IFERROR(__xludf.DUMMYFUNCTION("""COMPUTED_VALUE"""),30.0)</f>
        <v>30</v>
      </c>
      <c r="N398" s="94"/>
      <c r="O398" s="1430">
        <f>IFERROR(__xludf.DUMMYFUNCTION("""COMPUTED_VALUE"""),30.0)</f>
        <v>30</v>
      </c>
      <c r="P398" s="1431">
        <f>IFERROR(__xludf.DUMMYFUNCTION("""COMPUTED_VALUE"""),2.78)</f>
        <v>2.78</v>
      </c>
      <c r="Q398" s="1432">
        <f>IFERROR(__xludf.DUMMYFUNCTION("""COMPUTED_VALUE"""),603.26)</f>
        <v>603.26</v>
      </c>
    </row>
    <row r="399" ht="15.75" customHeight="1">
      <c r="A399" s="94"/>
      <c r="B399" s="94" t="str">
        <f>IFERROR(__xludf.DUMMYFUNCTION("""COMPUTED_VALUE"""),"WS A 409")</f>
        <v>WS A 409</v>
      </c>
      <c r="C399" s="1429" t="str">
        <f>IFERROR(__xludf.DUMMYFUNCTION("""COMPUTED_VALUE"""),"WS")</f>
        <v>WS</v>
      </c>
      <c r="D399" s="1432">
        <f>IFERROR(__xludf.DUMMYFUNCTION("""COMPUTED_VALUE"""),6.0)</f>
        <v>6</v>
      </c>
      <c r="E399" s="1429">
        <f>IFERROR(__xludf.DUMMYFUNCTION("""COMPUTED_VALUE"""),45470.0)</f>
        <v>45470</v>
      </c>
      <c r="F399" s="1429">
        <f>IFERROR(__xludf.DUMMYFUNCTION("""COMPUTED_VALUE"""),45473.0)</f>
        <v>45473</v>
      </c>
      <c r="G399" s="1164">
        <f>IFERROR(__xludf.DUMMYFUNCTION("""COMPUTED_VALUE"""),3.0)</f>
        <v>3</v>
      </c>
      <c r="H399" s="94"/>
      <c r="I399" s="94">
        <f>IFERROR(__xludf.DUMMYFUNCTION("""COMPUTED_VALUE"""),360.0)</f>
        <v>360</v>
      </c>
      <c r="J399" s="94"/>
      <c r="K399" s="94">
        <f>IFERROR(__xludf.DUMMYFUNCTION("""COMPUTED_VALUE"""),60.0)</f>
        <v>60</v>
      </c>
      <c r="L399" s="94">
        <f>IFERROR(__xludf.DUMMYFUNCTION("""COMPUTED_VALUE"""),40.0)</f>
        <v>40</v>
      </c>
      <c r="M399" s="94">
        <f>IFERROR(__xludf.DUMMYFUNCTION("""COMPUTED_VALUE"""),20.0)</f>
        <v>20</v>
      </c>
      <c r="N399" s="94"/>
      <c r="O399" s="1430">
        <f>IFERROR(__xludf.DUMMYFUNCTION("""COMPUTED_VALUE"""),20.0)</f>
        <v>20</v>
      </c>
      <c r="P399" s="1431">
        <f>IFERROR(__xludf.DUMMYFUNCTION("""COMPUTED_VALUE"""),2.78)</f>
        <v>2.78</v>
      </c>
      <c r="Q399" s="1432">
        <f>IFERROR(__xludf.DUMMYFUNCTION("""COMPUTED_VALUE"""),360.0)</f>
        <v>360</v>
      </c>
    </row>
    <row r="400" ht="15.75" customHeight="1">
      <c r="A400" s="94"/>
      <c r="B400" s="94" t="str">
        <f>IFERROR(__xludf.DUMMYFUNCTION("""COMPUTED_VALUE"""),"WS А 908")</f>
        <v>WS А 908</v>
      </c>
      <c r="C400" s="1429" t="str">
        <f>IFERROR(__xludf.DUMMYFUNCTION("""COMPUTED_VALUE"""),"WS")</f>
        <v>WS</v>
      </c>
      <c r="D400" s="1432">
        <f>IFERROR(__xludf.DUMMYFUNCTION("""COMPUTED_VALUE"""),6.0)</f>
        <v>6</v>
      </c>
      <c r="E400" s="1429">
        <f>IFERROR(__xludf.DUMMYFUNCTION("""COMPUTED_VALUE"""),45470.0)</f>
        <v>45470</v>
      </c>
      <c r="F400" s="1429">
        <f>IFERROR(__xludf.DUMMYFUNCTION("""COMPUTED_VALUE"""),45476.0)</f>
        <v>45476</v>
      </c>
      <c r="G400" s="1164">
        <f>IFERROR(__xludf.DUMMYFUNCTION("""COMPUTED_VALUE"""),6.0)</f>
        <v>6</v>
      </c>
      <c r="H400" s="1430">
        <f>IFERROR(__xludf.DUMMYFUNCTION("""COMPUTED_VALUE"""),326.0)</f>
        <v>326</v>
      </c>
      <c r="I400" s="94"/>
      <c r="J400" s="94"/>
      <c r="K400" s="94">
        <f>IFERROR(__xludf.DUMMYFUNCTION("""COMPUTED_VALUE"""),60.0)</f>
        <v>60</v>
      </c>
      <c r="L400" s="94">
        <f>IFERROR(__xludf.DUMMYFUNCTION("""COMPUTED_VALUE"""),40.0)</f>
        <v>40</v>
      </c>
      <c r="M400" s="94">
        <f>IFERROR(__xludf.DUMMYFUNCTION("""COMPUTED_VALUE"""),20.0)</f>
        <v>20</v>
      </c>
      <c r="N400" s="94"/>
      <c r="O400" s="1430">
        <f>IFERROR(__xludf.DUMMYFUNCTION("""COMPUTED_VALUE"""),20.0)</f>
        <v>20</v>
      </c>
      <c r="P400" s="1431">
        <f>IFERROR(__xludf.DUMMYFUNCTION("""COMPUTED_VALUE"""),2.78)</f>
        <v>2.78</v>
      </c>
      <c r="Q400" s="1432">
        <f>IFERROR(__xludf.DUMMYFUNCTION("""COMPUTED_VALUE"""),906.28)</f>
        <v>906.28</v>
      </c>
    </row>
    <row r="401" ht="15.75" customHeight="1">
      <c r="A401" s="94"/>
      <c r="B401" s="94" t="str">
        <f>IFERROR(__xludf.DUMMYFUNCTION("""COMPUTED_VALUE"""),"А 4049")</f>
        <v>А 4049</v>
      </c>
      <c r="C401" s="1429" t="str">
        <f>IFERROR(__xludf.DUMMYFUNCTION("""COMPUTED_VALUE"""),"ORBI")</f>
        <v>ORBI</v>
      </c>
      <c r="D401" s="1432">
        <f>IFERROR(__xludf.DUMMYFUNCTION("""COMPUTED_VALUE"""),6.0)</f>
        <v>6</v>
      </c>
      <c r="E401" s="1429">
        <f>IFERROR(__xludf.DUMMYFUNCTION("""COMPUTED_VALUE"""),45470.0)</f>
        <v>45470</v>
      </c>
      <c r="F401" s="1429">
        <f>IFERROR(__xludf.DUMMYFUNCTION("""COMPUTED_VALUE"""),45472.0)</f>
        <v>45472</v>
      </c>
      <c r="G401" s="1164">
        <f>IFERROR(__xludf.DUMMYFUNCTION("""COMPUTED_VALUE"""),2.0)</f>
        <v>2</v>
      </c>
      <c r="H401" s="1430">
        <f>IFERROR(__xludf.DUMMYFUNCTION("""COMPUTED_VALUE"""),74.0)</f>
        <v>74</v>
      </c>
      <c r="I401" s="94"/>
      <c r="J401" s="94"/>
      <c r="K401" s="94">
        <f>IFERROR(__xludf.DUMMYFUNCTION("""COMPUTED_VALUE"""),50.0)</f>
        <v>50</v>
      </c>
      <c r="L401" s="94">
        <f>IFERROR(__xludf.DUMMYFUNCTION("""COMPUTED_VALUE"""),40.0)</f>
        <v>40</v>
      </c>
      <c r="M401" s="94">
        <f>IFERROR(__xludf.DUMMYFUNCTION("""COMPUTED_VALUE"""),10.0)</f>
        <v>10</v>
      </c>
      <c r="N401" s="94"/>
      <c r="O401" s="1430">
        <f>IFERROR(__xludf.DUMMYFUNCTION("""COMPUTED_VALUE"""),10.0)</f>
        <v>10</v>
      </c>
      <c r="P401" s="1431">
        <f>IFERROR(__xludf.DUMMYFUNCTION("""COMPUTED_VALUE"""),2.78)</f>
        <v>2.78</v>
      </c>
      <c r="Q401" s="1432">
        <f>IFERROR(__xludf.DUMMYFUNCTION("""COMPUTED_VALUE"""),205.72)</f>
        <v>205.72</v>
      </c>
    </row>
    <row r="402" ht="15.75" customHeight="1">
      <c r="A402" s="94"/>
      <c r="B402" s="94" t="str">
        <f>IFERROR(__xludf.DUMMYFUNCTION("""COMPUTED_VALUE"""),"D 1321")</f>
        <v>D 1321</v>
      </c>
      <c r="C402" s="1429" t="str">
        <f>IFERROR(__xludf.DUMMYFUNCTION("""COMPUTED_VALUE"""),"ORBI")</f>
        <v>ORBI</v>
      </c>
      <c r="D402" s="1432">
        <f>IFERROR(__xludf.DUMMYFUNCTION("""COMPUTED_VALUE"""),6.0)</f>
        <v>6</v>
      </c>
      <c r="E402" s="1429">
        <f>IFERROR(__xludf.DUMMYFUNCTION("""COMPUTED_VALUE"""),45470.0)</f>
        <v>45470</v>
      </c>
      <c r="F402" s="1429">
        <f>IFERROR(__xludf.DUMMYFUNCTION("""COMPUTED_VALUE"""),45475.0)</f>
        <v>45475</v>
      </c>
      <c r="G402" s="1164">
        <f>IFERROR(__xludf.DUMMYFUNCTION("""COMPUTED_VALUE"""),5.0)</f>
        <v>5</v>
      </c>
      <c r="H402" s="1430">
        <f>IFERROR(__xludf.DUMMYFUNCTION("""COMPUTED_VALUE"""),132.0)</f>
        <v>132</v>
      </c>
      <c r="I402" s="94"/>
      <c r="J402" s="94"/>
      <c r="K402" s="94">
        <f>IFERROR(__xludf.DUMMYFUNCTION("""COMPUTED_VALUE"""),50.0)</f>
        <v>50</v>
      </c>
      <c r="L402" s="94">
        <f>IFERROR(__xludf.DUMMYFUNCTION("""COMPUTED_VALUE"""),40.0)</f>
        <v>40</v>
      </c>
      <c r="M402" s="94">
        <f>IFERROR(__xludf.DUMMYFUNCTION("""COMPUTED_VALUE"""),10.0)</f>
        <v>10</v>
      </c>
      <c r="N402" s="94"/>
      <c r="O402" s="1430">
        <f>IFERROR(__xludf.DUMMYFUNCTION("""COMPUTED_VALUE"""),10.0)</f>
        <v>10</v>
      </c>
      <c r="P402" s="1431">
        <f>IFERROR(__xludf.DUMMYFUNCTION("""COMPUTED_VALUE"""),2.78)</f>
        <v>2.78</v>
      </c>
      <c r="Q402" s="1432">
        <f>IFERROR(__xludf.DUMMYFUNCTION("""COMPUTED_VALUE"""),366.96)</f>
        <v>366.96</v>
      </c>
    </row>
    <row r="403" ht="15.75" customHeight="1">
      <c r="A403" s="94"/>
      <c r="B403" s="94" t="str">
        <f>IFERROR(__xludf.DUMMYFUNCTION("""COMPUTED_VALUE"""),"С 1443")</f>
        <v>С 1443</v>
      </c>
      <c r="C403" s="1429" t="str">
        <f>IFERROR(__xludf.DUMMYFUNCTION("""COMPUTED_VALUE"""),"ORBI")</f>
        <v>ORBI</v>
      </c>
      <c r="D403" s="1432">
        <f>IFERROR(__xludf.DUMMYFUNCTION("""COMPUTED_VALUE"""),6.0)</f>
        <v>6</v>
      </c>
      <c r="E403" s="1429">
        <f>IFERROR(__xludf.DUMMYFUNCTION("""COMPUTED_VALUE"""),45470.0)</f>
        <v>45470</v>
      </c>
      <c r="F403" s="1429">
        <f>IFERROR(__xludf.DUMMYFUNCTION("""COMPUTED_VALUE"""),45473.0)</f>
        <v>45473</v>
      </c>
      <c r="G403" s="1164">
        <f>IFERROR(__xludf.DUMMYFUNCTION("""COMPUTED_VALUE"""),3.0)</f>
        <v>3</v>
      </c>
      <c r="H403" s="1430">
        <f>IFERROR(__xludf.DUMMYFUNCTION("""COMPUTED_VALUE"""),157.0)</f>
        <v>157</v>
      </c>
      <c r="I403" s="94"/>
      <c r="J403" s="94"/>
      <c r="K403" s="94">
        <f>IFERROR(__xludf.DUMMYFUNCTION("""COMPUTED_VALUE"""),70.0)</f>
        <v>70</v>
      </c>
      <c r="L403" s="94">
        <f>IFERROR(__xludf.DUMMYFUNCTION("""COMPUTED_VALUE"""),40.0)</f>
        <v>40</v>
      </c>
      <c r="M403" s="94">
        <f>IFERROR(__xludf.DUMMYFUNCTION("""COMPUTED_VALUE"""),30.0)</f>
        <v>30</v>
      </c>
      <c r="N403" s="94"/>
      <c r="O403" s="1430">
        <f>IFERROR(__xludf.DUMMYFUNCTION("""COMPUTED_VALUE"""),30.0)</f>
        <v>30</v>
      </c>
      <c r="P403" s="1431">
        <f>IFERROR(__xludf.DUMMYFUNCTION("""COMPUTED_VALUE"""),2.78)</f>
        <v>2.78</v>
      </c>
      <c r="Q403" s="1432">
        <f>IFERROR(__xludf.DUMMYFUNCTION("""COMPUTED_VALUE"""),436.46)</f>
        <v>436.46</v>
      </c>
    </row>
    <row r="404" ht="15.75" customHeight="1">
      <c r="A404" s="94"/>
      <c r="B404" s="94" t="str">
        <f>IFERROR(__xludf.DUMMYFUNCTION("""COMPUTED_VALUE"""),"BV206")</f>
        <v>BV206</v>
      </c>
      <c r="C404" s="1429" t="str">
        <f>IFERROR(__xludf.DUMMYFUNCTION("""COMPUTED_VALUE"""),"Other")</f>
        <v>Other</v>
      </c>
      <c r="D404" s="1432">
        <f>IFERROR(__xludf.DUMMYFUNCTION("""COMPUTED_VALUE"""),6.0)</f>
        <v>6</v>
      </c>
      <c r="E404" s="1429">
        <f>IFERROR(__xludf.DUMMYFUNCTION("""COMPUTED_VALUE"""),45471.0)</f>
        <v>45471</v>
      </c>
      <c r="F404" s="1429">
        <f>IFERROR(__xludf.DUMMYFUNCTION("""COMPUTED_VALUE"""),45479.0)</f>
        <v>45479</v>
      </c>
      <c r="G404" s="1164">
        <f>IFERROR(__xludf.DUMMYFUNCTION("""COMPUTED_VALUE"""),8.0)</f>
        <v>8</v>
      </c>
      <c r="H404" s="1430">
        <f>IFERROR(__xludf.DUMMYFUNCTION("""COMPUTED_VALUE"""),508.0)</f>
        <v>508</v>
      </c>
      <c r="I404" s="94"/>
      <c r="J404" s="94"/>
      <c r="K404" s="94">
        <f>IFERROR(__xludf.DUMMYFUNCTION("""COMPUTED_VALUE"""),70.0)</f>
        <v>70</v>
      </c>
      <c r="L404" s="94">
        <f>IFERROR(__xludf.DUMMYFUNCTION("""COMPUTED_VALUE"""),40.0)</f>
        <v>40</v>
      </c>
      <c r="M404" s="94">
        <f>IFERROR(__xludf.DUMMYFUNCTION("""COMPUTED_VALUE"""),30.0)</f>
        <v>30</v>
      </c>
      <c r="N404" s="94"/>
      <c r="O404" s="1430">
        <f>IFERROR(__xludf.DUMMYFUNCTION("""COMPUTED_VALUE"""),30.0)</f>
        <v>30</v>
      </c>
      <c r="P404" s="1431">
        <f>IFERROR(__xludf.DUMMYFUNCTION("""COMPUTED_VALUE"""),2.78)</f>
        <v>2.78</v>
      </c>
      <c r="Q404" s="1432">
        <f>IFERROR(__xludf.DUMMYFUNCTION("""COMPUTED_VALUE"""),1412.24)</f>
        <v>1412.24</v>
      </c>
    </row>
    <row r="405" ht="15.75" customHeight="1">
      <c r="A405" s="94"/>
      <c r="B405" s="94" t="str">
        <f>IFERROR(__xludf.DUMMYFUNCTION("""COMPUTED_VALUE"""),"WS В 1510")</f>
        <v>WS В 1510</v>
      </c>
      <c r="C405" s="1429" t="str">
        <f>IFERROR(__xludf.DUMMYFUNCTION("""COMPUTED_VALUE"""),"WS")</f>
        <v>WS</v>
      </c>
      <c r="D405" s="1432">
        <f>IFERROR(__xludf.DUMMYFUNCTION("""COMPUTED_VALUE"""),6.0)</f>
        <v>6</v>
      </c>
      <c r="E405" s="1429">
        <f>IFERROR(__xludf.DUMMYFUNCTION("""COMPUTED_VALUE"""),45471.0)</f>
        <v>45471</v>
      </c>
      <c r="F405" s="1429">
        <f>IFERROR(__xludf.DUMMYFUNCTION("""COMPUTED_VALUE"""),45478.0)</f>
        <v>45478</v>
      </c>
      <c r="G405" s="1164">
        <f>IFERROR(__xludf.DUMMYFUNCTION("""COMPUTED_VALUE"""),7.0)</f>
        <v>7</v>
      </c>
      <c r="H405" s="94"/>
      <c r="I405" s="94">
        <f>IFERROR(__xludf.DUMMYFUNCTION("""COMPUTED_VALUE"""),1205.0)</f>
        <v>1205</v>
      </c>
      <c r="J405" s="94"/>
      <c r="K405" s="94">
        <f>IFERROR(__xludf.DUMMYFUNCTION("""COMPUTED_VALUE"""),60.0)</f>
        <v>60</v>
      </c>
      <c r="L405" s="94">
        <f>IFERROR(__xludf.DUMMYFUNCTION("""COMPUTED_VALUE"""),40.0)</f>
        <v>40</v>
      </c>
      <c r="M405" s="94">
        <f>IFERROR(__xludf.DUMMYFUNCTION("""COMPUTED_VALUE"""),20.0)</f>
        <v>20</v>
      </c>
      <c r="N405" s="94"/>
      <c r="O405" s="1430">
        <f>IFERROR(__xludf.DUMMYFUNCTION("""COMPUTED_VALUE"""),20.0)</f>
        <v>20</v>
      </c>
      <c r="P405" s="1431">
        <f>IFERROR(__xludf.DUMMYFUNCTION("""COMPUTED_VALUE"""),2.78)</f>
        <v>2.78</v>
      </c>
      <c r="Q405" s="1432">
        <f>IFERROR(__xludf.DUMMYFUNCTION("""COMPUTED_VALUE"""),1205.0)</f>
        <v>1205</v>
      </c>
    </row>
    <row r="406" ht="15.75" customHeight="1">
      <c r="A406" s="94"/>
      <c r="B406" s="94" t="str">
        <f>IFERROR(__xludf.DUMMYFUNCTION("""COMPUTED_VALUE"""),"WS В 212")</f>
        <v>WS В 212</v>
      </c>
      <c r="C406" s="1429" t="str">
        <f>IFERROR(__xludf.DUMMYFUNCTION("""COMPUTED_VALUE"""),"WS")</f>
        <v>WS</v>
      </c>
      <c r="D406" s="1432">
        <f>IFERROR(__xludf.DUMMYFUNCTION("""COMPUTED_VALUE"""),6.0)</f>
        <v>6</v>
      </c>
      <c r="E406" s="1429">
        <f>IFERROR(__xludf.DUMMYFUNCTION("""COMPUTED_VALUE"""),45471.0)</f>
        <v>45471</v>
      </c>
      <c r="F406" s="1429">
        <f>IFERROR(__xludf.DUMMYFUNCTION("""COMPUTED_VALUE"""),45473.0)</f>
        <v>45473</v>
      </c>
      <c r="G406" s="1164">
        <f>IFERROR(__xludf.DUMMYFUNCTION("""COMPUTED_VALUE"""),2.0)</f>
        <v>2</v>
      </c>
      <c r="H406" s="1430">
        <f>IFERROR(__xludf.DUMMYFUNCTION("""COMPUTED_VALUE"""),190.0)</f>
        <v>190</v>
      </c>
      <c r="I406" s="94"/>
      <c r="J406" s="94"/>
      <c r="K406" s="94">
        <f>IFERROR(__xludf.DUMMYFUNCTION("""COMPUTED_VALUE"""),70.0)</f>
        <v>70</v>
      </c>
      <c r="L406" s="94">
        <f>IFERROR(__xludf.DUMMYFUNCTION("""COMPUTED_VALUE"""),40.0)</f>
        <v>40</v>
      </c>
      <c r="M406" s="94">
        <f>IFERROR(__xludf.DUMMYFUNCTION("""COMPUTED_VALUE"""),30.0)</f>
        <v>30</v>
      </c>
      <c r="N406" s="94"/>
      <c r="O406" s="1430">
        <f>IFERROR(__xludf.DUMMYFUNCTION("""COMPUTED_VALUE"""),30.0)</f>
        <v>30</v>
      </c>
      <c r="P406" s="1431">
        <f>IFERROR(__xludf.DUMMYFUNCTION("""COMPUTED_VALUE"""),2.78)</f>
        <v>2.78</v>
      </c>
      <c r="Q406" s="1432">
        <f>IFERROR(__xludf.DUMMYFUNCTION("""COMPUTED_VALUE"""),528.1999999999999)</f>
        <v>528.2</v>
      </c>
    </row>
    <row r="407" ht="15.75" customHeight="1">
      <c r="A407" s="94"/>
      <c r="B407" s="94" t="str">
        <f>IFERROR(__xludf.DUMMYFUNCTION("""COMPUTED_VALUE"""),"WS A 713")</f>
        <v>WS A 713</v>
      </c>
      <c r="C407" s="1429" t="str">
        <f>IFERROR(__xludf.DUMMYFUNCTION("""COMPUTED_VALUE"""),"WS")</f>
        <v>WS</v>
      </c>
      <c r="D407" s="1432">
        <f>IFERROR(__xludf.DUMMYFUNCTION("""COMPUTED_VALUE"""),6.0)</f>
        <v>6</v>
      </c>
      <c r="E407" s="1429">
        <f>IFERROR(__xludf.DUMMYFUNCTION("""COMPUTED_VALUE"""),45471.0)</f>
        <v>45471</v>
      </c>
      <c r="F407" s="1429">
        <f>IFERROR(__xludf.DUMMYFUNCTION("""COMPUTED_VALUE"""),45476.0)</f>
        <v>45476</v>
      </c>
      <c r="G407" s="1164">
        <f>IFERROR(__xludf.DUMMYFUNCTION("""COMPUTED_VALUE"""),5.0)</f>
        <v>5</v>
      </c>
      <c r="H407" s="94"/>
      <c r="I407" s="94">
        <f>IFERROR(__xludf.DUMMYFUNCTION("""COMPUTED_VALUE"""),595.0)</f>
        <v>595</v>
      </c>
      <c r="J407" s="94"/>
      <c r="K407" s="94">
        <f>IFERROR(__xludf.DUMMYFUNCTION("""COMPUTED_VALUE"""),60.0)</f>
        <v>60</v>
      </c>
      <c r="L407" s="94">
        <f>IFERROR(__xludf.DUMMYFUNCTION("""COMPUTED_VALUE"""),40.0)</f>
        <v>40</v>
      </c>
      <c r="M407" s="94">
        <f>IFERROR(__xludf.DUMMYFUNCTION("""COMPUTED_VALUE"""),20.0)</f>
        <v>20</v>
      </c>
      <c r="N407" s="94"/>
      <c r="O407" s="1430">
        <f>IFERROR(__xludf.DUMMYFUNCTION("""COMPUTED_VALUE"""),20.0)</f>
        <v>20</v>
      </c>
      <c r="P407" s="1431">
        <f>IFERROR(__xludf.DUMMYFUNCTION("""COMPUTED_VALUE"""),2.78)</f>
        <v>2.78</v>
      </c>
      <c r="Q407" s="1432">
        <f>IFERROR(__xludf.DUMMYFUNCTION("""COMPUTED_VALUE"""),595.0)</f>
        <v>595</v>
      </c>
    </row>
    <row r="408" ht="15.75" customHeight="1">
      <c r="A408" s="94"/>
      <c r="B408" s="94" t="str">
        <f>IFERROR(__xludf.DUMMYFUNCTION("""COMPUTED_VALUE"""),"WS A 1312")</f>
        <v>WS A 1312</v>
      </c>
      <c r="C408" s="1429" t="str">
        <f>IFERROR(__xludf.DUMMYFUNCTION("""COMPUTED_VALUE"""),"WS")</f>
        <v>WS</v>
      </c>
      <c r="D408" s="1432">
        <f>IFERROR(__xludf.DUMMYFUNCTION("""COMPUTED_VALUE"""),6.0)</f>
        <v>6</v>
      </c>
      <c r="E408" s="1429">
        <f>IFERROR(__xludf.DUMMYFUNCTION("""COMPUTED_VALUE"""),45471.0)</f>
        <v>45471</v>
      </c>
      <c r="F408" s="1429">
        <f>IFERROR(__xludf.DUMMYFUNCTION("""COMPUTED_VALUE"""),45476.0)</f>
        <v>45476</v>
      </c>
      <c r="G408" s="1164">
        <f>IFERROR(__xludf.DUMMYFUNCTION("""COMPUTED_VALUE"""),5.0)</f>
        <v>5</v>
      </c>
      <c r="H408" s="94"/>
      <c r="I408" s="94">
        <f>IFERROR(__xludf.DUMMYFUNCTION("""COMPUTED_VALUE"""),595.0)</f>
        <v>595</v>
      </c>
      <c r="J408" s="94"/>
      <c r="K408" s="94">
        <f>IFERROR(__xludf.DUMMYFUNCTION("""COMPUTED_VALUE"""),60.0)</f>
        <v>60</v>
      </c>
      <c r="L408" s="94">
        <f>IFERROR(__xludf.DUMMYFUNCTION("""COMPUTED_VALUE"""),40.0)</f>
        <v>40</v>
      </c>
      <c r="M408" s="94">
        <f>IFERROR(__xludf.DUMMYFUNCTION("""COMPUTED_VALUE"""),20.0)</f>
        <v>20</v>
      </c>
      <c r="N408" s="94"/>
      <c r="O408" s="1430">
        <f>IFERROR(__xludf.DUMMYFUNCTION("""COMPUTED_VALUE"""),20.0)</f>
        <v>20</v>
      </c>
      <c r="P408" s="1431">
        <f>IFERROR(__xludf.DUMMYFUNCTION("""COMPUTED_VALUE"""),2.78)</f>
        <v>2.78</v>
      </c>
      <c r="Q408" s="1432">
        <f>IFERROR(__xludf.DUMMYFUNCTION("""COMPUTED_VALUE"""),595.0)</f>
        <v>595</v>
      </c>
    </row>
    <row r="409" ht="15.75" customHeight="1">
      <c r="A409" s="94"/>
      <c r="B409" s="94" t="str">
        <f>IFERROR(__xludf.DUMMYFUNCTION("""COMPUTED_VALUE"""),"C 4245")</f>
        <v>C 4245</v>
      </c>
      <c r="C409" s="1429" t="str">
        <f>IFERROR(__xludf.DUMMYFUNCTION("""COMPUTED_VALUE"""),"ORBI")</f>
        <v>ORBI</v>
      </c>
      <c r="D409" s="1432">
        <f>IFERROR(__xludf.DUMMYFUNCTION("""COMPUTED_VALUE"""),6.0)</f>
        <v>6</v>
      </c>
      <c r="E409" s="1429">
        <f>IFERROR(__xludf.DUMMYFUNCTION("""COMPUTED_VALUE"""),45471.0)</f>
        <v>45471</v>
      </c>
      <c r="F409" s="1429">
        <f>IFERROR(__xludf.DUMMYFUNCTION("""COMPUTED_VALUE"""),45475.0)</f>
        <v>45475</v>
      </c>
      <c r="G409" s="1164">
        <f>IFERROR(__xludf.DUMMYFUNCTION("""COMPUTED_VALUE"""),4.0)</f>
        <v>4</v>
      </c>
      <c r="H409" s="1430">
        <f>IFERROR(__xludf.DUMMYFUNCTION("""COMPUTED_VALUE"""),201.0)</f>
        <v>201</v>
      </c>
      <c r="I409" s="94"/>
      <c r="J409" s="94"/>
      <c r="K409" s="94">
        <f>IFERROR(__xludf.DUMMYFUNCTION("""COMPUTED_VALUE"""),70.0)</f>
        <v>70</v>
      </c>
      <c r="L409" s="94">
        <f>IFERROR(__xludf.DUMMYFUNCTION("""COMPUTED_VALUE"""),40.0)</f>
        <v>40</v>
      </c>
      <c r="M409" s="94">
        <f>IFERROR(__xludf.DUMMYFUNCTION("""COMPUTED_VALUE"""),30.0)</f>
        <v>30</v>
      </c>
      <c r="N409" s="94"/>
      <c r="O409" s="1430">
        <f>IFERROR(__xludf.DUMMYFUNCTION("""COMPUTED_VALUE"""),30.0)</f>
        <v>30</v>
      </c>
      <c r="P409" s="1431">
        <f>IFERROR(__xludf.DUMMYFUNCTION("""COMPUTED_VALUE"""),2.78)</f>
        <v>2.78</v>
      </c>
      <c r="Q409" s="1432">
        <f>IFERROR(__xludf.DUMMYFUNCTION("""COMPUTED_VALUE"""),558.78)</f>
        <v>558.78</v>
      </c>
    </row>
    <row r="410" ht="15.75" customHeight="1">
      <c r="A410" s="94"/>
      <c r="B410" s="94" t="str">
        <f>IFERROR(__xludf.DUMMYFUNCTION("""COMPUTED_VALUE"""),"DL 14-702")</f>
        <v>DL 14-702</v>
      </c>
      <c r="C410" s="1429" t="str">
        <f>IFERROR(__xludf.DUMMYFUNCTION("""COMPUTED_VALUE"""),"DL")</f>
        <v>DL</v>
      </c>
      <c r="D410" s="1432">
        <f>IFERROR(__xludf.DUMMYFUNCTION("""COMPUTED_VALUE"""),6.0)</f>
        <v>6</v>
      </c>
      <c r="E410" s="1429">
        <f>IFERROR(__xludf.DUMMYFUNCTION("""COMPUTED_VALUE"""),45471.0)</f>
        <v>45471</v>
      </c>
      <c r="F410" s="1429">
        <f>IFERROR(__xludf.DUMMYFUNCTION("""COMPUTED_VALUE"""),45474.0)</f>
        <v>45474</v>
      </c>
      <c r="G410" s="1164">
        <f>IFERROR(__xludf.DUMMYFUNCTION("""COMPUTED_VALUE"""),3.0)</f>
        <v>3</v>
      </c>
      <c r="H410" s="94"/>
      <c r="I410" s="94">
        <f>IFERROR(__xludf.DUMMYFUNCTION("""COMPUTED_VALUE"""),840.0)</f>
        <v>840</v>
      </c>
      <c r="J410" s="94"/>
      <c r="K410" s="94">
        <f>IFERROR(__xludf.DUMMYFUNCTION("""COMPUTED_VALUE"""),105.0)</f>
        <v>105</v>
      </c>
      <c r="L410" s="94">
        <f>IFERROR(__xludf.DUMMYFUNCTION("""COMPUTED_VALUE"""),105.0)</f>
        <v>105</v>
      </c>
      <c r="M410" s="94">
        <f>IFERROR(__xludf.DUMMYFUNCTION("""COMPUTED_VALUE"""),0.0)</f>
        <v>0</v>
      </c>
      <c r="N410" s="94"/>
      <c r="O410" s="1430">
        <f>IFERROR(__xludf.DUMMYFUNCTION("""COMPUTED_VALUE"""),0.0)</f>
        <v>0</v>
      </c>
      <c r="P410" s="1431">
        <f>IFERROR(__xludf.DUMMYFUNCTION("""COMPUTED_VALUE"""),2.78)</f>
        <v>2.78</v>
      </c>
      <c r="Q410" s="1432">
        <f>IFERROR(__xludf.DUMMYFUNCTION("""COMPUTED_VALUE"""),840.0)</f>
        <v>840</v>
      </c>
    </row>
    <row r="411" ht="15.75" customHeight="1">
      <c r="A411" s="94"/>
      <c r="B411" s="94" t="str">
        <f>IFERROR(__xludf.DUMMYFUNCTION("""COMPUTED_VALUE"""),"А 4049")</f>
        <v>А 4049</v>
      </c>
      <c r="C411" s="1429" t="str">
        <f>IFERROR(__xludf.DUMMYFUNCTION("""COMPUTED_VALUE"""),"ORBI")</f>
        <v>ORBI</v>
      </c>
      <c r="D411" s="1432">
        <f>IFERROR(__xludf.DUMMYFUNCTION("""COMPUTED_VALUE"""),6.0)</f>
        <v>6</v>
      </c>
      <c r="E411" s="1429">
        <f>IFERROR(__xludf.DUMMYFUNCTION("""COMPUTED_VALUE"""),45472.0)</f>
        <v>45472</v>
      </c>
      <c r="F411" s="1429">
        <f>IFERROR(__xludf.DUMMYFUNCTION("""COMPUTED_VALUE"""),45475.0)</f>
        <v>45475</v>
      </c>
      <c r="G411" s="1164">
        <f>IFERROR(__xludf.DUMMYFUNCTION("""COMPUTED_VALUE"""),3.0)</f>
        <v>3</v>
      </c>
      <c r="H411" s="1430">
        <f>IFERROR(__xludf.DUMMYFUNCTION("""COMPUTED_VALUE"""),107.0)</f>
        <v>107</v>
      </c>
      <c r="I411" s="94"/>
      <c r="J411" s="94"/>
      <c r="K411" s="94">
        <f>IFERROR(__xludf.DUMMYFUNCTION("""COMPUTED_VALUE"""),50.0)</f>
        <v>50</v>
      </c>
      <c r="L411" s="94">
        <f>IFERROR(__xludf.DUMMYFUNCTION("""COMPUTED_VALUE"""),40.0)</f>
        <v>40</v>
      </c>
      <c r="M411" s="94">
        <f>IFERROR(__xludf.DUMMYFUNCTION("""COMPUTED_VALUE"""),10.0)</f>
        <v>10</v>
      </c>
      <c r="N411" s="94"/>
      <c r="O411" s="1430">
        <f>IFERROR(__xludf.DUMMYFUNCTION("""COMPUTED_VALUE"""),10.0)</f>
        <v>10</v>
      </c>
      <c r="P411" s="1431">
        <f>IFERROR(__xludf.DUMMYFUNCTION("""COMPUTED_VALUE"""),2.78)</f>
        <v>2.78</v>
      </c>
      <c r="Q411" s="1432">
        <f>IFERROR(__xludf.DUMMYFUNCTION("""COMPUTED_VALUE"""),297.46)</f>
        <v>297.46</v>
      </c>
    </row>
    <row r="412" ht="15.75" customHeight="1">
      <c r="A412" s="94"/>
      <c r="B412" s="94" t="str">
        <f>IFERROR(__xludf.DUMMYFUNCTION("""COMPUTED_VALUE"""),"CM 1606")</f>
        <v>CM 1606</v>
      </c>
      <c r="C412" s="1429" t="str">
        <f>IFERROR(__xludf.DUMMYFUNCTION("""COMPUTED_VALUE"""),"MAR")</f>
        <v>MAR</v>
      </c>
      <c r="D412" s="1432">
        <f>IFERROR(__xludf.DUMMYFUNCTION("""COMPUTED_VALUE"""),6.0)</f>
        <v>6</v>
      </c>
      <c r="E412" s="1429">
        <f>IFERROR(__xludf.DUMMYFUNCTION("""COMPUTED_VALUE"""),45472.0)</f>
        <v>45472</v>
      </c>
      <c r="F412" s="1429">
        <f>IFERROR(__xludf.DUMMYFUNCTION("""COMPUTED_VALUE"""),45476.0)</f>
        <v>45476</v>
      </c>
      <c r="G412" s="1164">
        <f>IFERROR(__xludf.DUMMYFUNCTION("""COMPUTED_VALUE"""),4.0)</f>
        <v>4</v>
      </c>
      <c r="H412" s="1430">
        <f>IFERROR(__xludf.DUMMYFUNCTION("""COMPUTED_VALUE"""),177.0)</f>
        <v>177</v>
      </c>
      <c r="I412" s="94"/>
      <c r="J412" s="94"/>
      <c r="K412" s="94">
        <f>IFERROR(__xludf.DUMMYFUNCTION("""COMPUTED_VALUE"""),60.0)</f>
        <v>60</v>
      </c>
      <c r="L412" s="94">
        <f>IFERROR(__xludf.DUMMYFUNCTION("""COMPUTED_VALUE"""),40.0)</f>
        <v>40</v>
      </c>
      <c r="M412" s="94">
        <f>IFERROR(__xludf.DUMMYFUNCTION("""COMPUTED_VALUE"""),20.0)</f>
        <v>20</v>
      </c>
      <c r="N412" s="94"/>
      <c r="O412" s="1430">
        <f>IFERROR(__xludf.DUMMYFUNCTION("""COMPUTED_VALUE"""),20.0)</f>
        <v>20</v>
      </c>
      <c r="P412" s="1431">
        <f>IFERROR(__xludf.DUMMYFUNCTION("""COMPUTED_VALUE"""),2.78)</f>
        <v>2.78</v>
      </c>
      <c r="Q412" s="1432">
        <f>IFERROR(__xludf.DUMMYFUNCTION("""COMPUTED_VALUE"""),492.05999999999995)</f>
        <v>492.06</v>
      </c>
    </row>
    <row r="413" ht="15.75" customHeight="1">
      <c r="A413" s="94"/>
      <c r="B413" s="94" t="str">
        <f>IFERROR(__xludf.DUMMYFUNCTION("""COMPUTED_VALUE"""),"DL14-1707")</f>
        <v>DL14-1707</v>
      </c>
      <c r="C413" s="1429" t="str">
        <f>IFERROR(__xludf.DUMMYFUNCTION("""COMPUTED_VALUE"""),"DL")</f>
        <v>DL</v>
      </c>
      <c r="D413" s="1432">
        <f>IFERROR(__xludf.DUMMYFUNCTION("""COMPUTED_VALUE"""),6.0)</f>
        <v>6</v>
      </c>
      <c r="E413" s="1429">
        <f>IFERROR(__xludf.DUMMYFUNCTION("""COMPUTED_VALUE"""),45473.0)</f>
        <v>45473</v>
      </c>
      <c r="F413" s="1429">
        <f>IFERROR(__xludf.DUMMYFUNCTION("""COMPUTED_VALUE"""),45480.0)</f>
        <v>45480</v>
      </c>
      <c r="G413" s="1164">
        <f>IFERROR(__xludf.DUMMYFUNCTION("""COMPUTED_VALUE"""),7.0)</f>
        <v>7</v>
      </c>
      <c r="H413" s="1430">
        <f>IFERROR(__xludf.DUMMYFUNCTION("""COMPUTED_VALUE"""),415.0)</f>
        <v>415</v>
      </c>
      <c r="I413" s="94"/>
      <c r="J413" s="94"/>
      <c r="K413" s="94">
        <f>IFERROR(__xludf.DUMMYFUNCTION("""COMPUTED_VALUE"""),105.0)</f>
        <v>105</v>
      </c>
      <c r="L413" s="94">
        <f>IFERROR(__xludf.DUMMYFUNCTION("""COMPUTED_VALUE"""),105.0)</f>
        <v>105</v>
      </c>
      <c r="M413" s="94">
        <f>IFERROR(__xludf.DUMMYFUNCTION("""COMPUTED_VALUE"""),0.0)</f>
        <v>0</v>
      </c>
      <c r="N413" s="94"/>
      <c r="O413" s="1430">
        <f>IFERROR(__xludf.DUMMYFUNCTION("""COMPUTED_VALUE"""),0.0)</f>
        <v>0</v>
      </c>
      <c r="P413" s="1431">
        <f>IFERROR(__xludf.DUMMYFUNCTION("""COMPUTED_VALUE"""),2.78)</f>
        <v>2.78</v>
      </c>
      <c r="Q413" s="1432">
        <f>IFERROR(__xludf.DUMMYFUNCTION("""COMPUTED_VALUE"""),1153.6999999999998)</f>
        <v>1153.7</v>
      </c>
    </row>
    <row r="414" ht="15.75" customHeight="1">
      <c r="A414" s="94"/>
      <c r="B414" s="94" t="str">
        <f>IFERROR(__xludf.DUMMYFUNCTION("""COMPUTED_VALUE"""),"WS A 409")</f>
        <v>WS A 409</v>
      </c>
      <c r="C414" s="1429" t="str">
        <f>IFERROR(__xludf.DUMMYFUNCTION("""COMPUTED_VALUE"""),"WS")</f>
        <v>WS</v>
      </c>
      <c r="D414" s="1432">
        <f>IFERROR(__xludf.DUMMYFUNCTION("""COMPUTED_VALUE"""),6.0)</f>
        <v>6</v>
      </c>
      <c r="E414" s="1429">
        <f>IFERROR(__xludf.DUMMYFUNCTION("""COMPUTED_VALUE"""),45473.0)</f>
        <v>45473</v>
      </c>
      <c r="F414" s="1429">
        <f>IFERROR(__xludf.DUMMYFUNCTION("""COMPUTED_VALUE"""),45476.0)</f>
        <v>45476</v>
      </c>
      <c r="G414" s="1164">
        <f>IFERROR(__xludf.DUMMYFUNCTION("""COMPUTED_VALUE"""),3.0)</f>
        <v>3</v>
      </c>
      <c r="H414" s="94"/>
      <c r="I414" s="94">
        <f>IFERROR(__xludf.DUMMYFUNCTION("""COMPUTED_VALUE"""),465.0)</f>
        <v>465</v>
      </c>
      <c r="J414" s="94"/>
      <c r="K414" s="94">
        <f>IFERROR(__xludf.DUMMYFUNCTION("""COMPUTED_VALUE"""),60.0)</f>
        <v>60</v>
      </c>
      <c r="L414" s="94">
        <f>IFERROR(__xludf.DUMMYFUNCTION("""COMPUTED_VALUE"""),40.0)</f>
        <v>40</v>
      </c>
      <c r="M414" s="94">
        <f>IFERROR(__xludf.DUMMYFUNCTION("""COMPUTED_VALUE"""),20.0)</f>
        <v>20</v>
      </c>
      <c r="N414" s="94"/>
      <c r="O414" s="1430">
        <f>IFERROR(__xludf.DUMMYFUNCTION("""COMPUTED_VALUE"""),20.0)</f>
        <v>20</v>
      </c>
      <c r="P414" s="1431">
        <f>IFERROR(__xludf.DUMMYFUNCTION("""COMPUTED_VALUE"""),2.78)</f>
        <v>2.78</v>
      </c>
      <c r="Q414" s="1432">
        <f>IFERROR(__xludf.DUMMYFUNCTION("""COMPUTED_VALUE"""),465.0)</f>
        <v>465</v>
      </c>
    </row>
    <row r="415" ht="15.75" customHeight="1">
      <c r="A415" s="94"/>
      <c r="B415" s="94" t="str">
        <f>IFERROR(__xludf.DUMMYFUNCTION("""COMPUTED_VALUE"""),"WS F 907")</f>
        <v>WS F 907</v>
      </c>
      <c r="C415" s="1429" t="str">
        <f>IFERROR(__xludf.DUMMYFUNCTION("""COMPUTED_VALUE"""),"WS")</f>
        <v>WS</v>
      </c>
      <c r="D415" s="1432">
        <f>IFERROR(__xludf.DUMMYFUNCTION("""COMPUTED_VALUE"""),6.0)</f>
        <v>6</v>
      </c>
      <c r="E415" s="1429">
        <f>IFERROR(__xludf.DUMMYFUNCTION("""COMPUTED_VALUE"""),45473.0)</f>
        <v>45473</v>
      </c>
      <c r="F415" s="1429">
        <f>IFERROR(__xludf.DUMMYFUNCTION("""COMPUTED_VALUE"""),45478.0)</f>
        <v>45478</v>
      </c>
      <c r="G415" s="1164">
        <f>IFERROR(__xludf.DUMMYFUNCTION("""COMPUTED_VALUE"""),5.0)</f>
        <v>5</v>
      </c>
      <c r="H415" s="94"/>
      <c r="I415" s="94">
        <f>IFERROR(__xludf.DUMMYFUNCTION("""COMPUTED_VALUE"""),811.0)</f>
        <v>811</v>
      </c>
      <c r="J415" s="94"/>
      <c r="K415" s="94">
        <f>IFERROR(__xludf.DUMMYFUNCTION("""COMPUTED_VALUE"""),60.0)</f>
        <v>60</v>
      </c>
      <c r="L415" s="94">
        <f>IFERROR(__xludf.DUMMYFUNCTION("""COMPUTED_VALUE"""),40.0)</f>
        <v>40</v>
      </c>
      <c r="M415" s="94">
        <f>IFERROR(__xludf.DUMMYFUNCTION("""COMPUTED_VALUE"""),20.0)</f>
        <v>20</v>
      </c>
      <c r="N415" s="94"/>
      <c r="O415" s="1430">
        <f>IFERROR(__xludf.DUMMYFUNCTION("""COMPUTED_VALUE"""),20.0)</f>
        <v>20</v>
      </c>
      <c r="P415" s="1431">
        <f>IFERROR(__xludf.DUMMYFUNCTION("""COMPUTED_VALUE"""),2.78)</f>
        <v>2.78</v>
      </c>
      <c r="Q415" s="1432">
        <f>IFERROR(__xludf.DUMMYFUNCTION("""COMPUTED_VALUE"""),811.0)</f>
        <v>811</v>
      </c>
    </row>
    <row r="416" ht="15.75" customHeight="1">
      <c r="A416" s="94"/>
      <c r="B416" s="94" t="str">
        <f>IFERROR(__xludf.DUMMYFUNCTION("""COMPUTED_VALUE"""),"WS В 212")</f>
        <v>WS В 212</v>
      </c>
      <c r="C416" s="1429" t="str">
        <f>IFERROR(__xludf.DUMMYFUNCTION("""COMPUTED_VALUE"""),"WS")</f>
        <v>WS</v>
      </c>
      <c r="D416" s="1432">
        <f>IFERROR(__xludf.DUMMYFUNCTION("""COMPUTED_VALUE"""),6.0)</f>
        <v>6</v>
      </c>
      <c r="E416" s="1429">
        <f>IFERROR(__xludf.DUMMYFUNCTION("""COMPUTED_VALUE"""),45473.0)</f>
        <v>45473</v>
      </c>
      <c r="F416" s="1429">
        <f>IFERROR(__xludf.DUMMYFUNCTION("""COMPUTED_VALUE"""),45485.0)</f>
        <v>45485</v>
      </c>
      <c r="G416" s="1164">
        <f>IFERROR(__xludf.DUMMYFUNCTION("""COMPUTED_VALUE"""),12.0)</f>
        <v>12</v>
      </c>
      <c r="H416" s="1430">
        <f>IFERROR(__xludf.DUMMYFUNCTION("""COMPUTED_VALUE"""),1216.0)</f>
        <v>1216</v>
      </c>
      <c r="I416" s="94"/>
      <c r="J416" s="94"/>
      <c r="K416" s="94">
        <f>IFERROR(__xludf.DUMMYFUNCTION("""COMPUTED_VALUE"""),70.0)</f>
        <v>70</v>
      </c>
      <c r="L416" s="94">
        <f>IFERROR(__xludf.DUMMYFUNCTION("""COMPUTED_VALUE"""),40.0)</f>
        <v>40</v>
      </c>
      <c r="M416" s="94">
        <f>IFERROR(__xludf.DUMMYFUNCTION("""COMPUTED_VALUE"""),30.0)</f>
        <v>30</v>
      </c>
      <c r="N416" s="94"/>
      <c r="O416" s="1430">
        <f>IFERROR(__xludf.DUMMYFUNCTION("""COMPUTED_VALUE"""),30.0)</f>
        <v>30</v>
      </c>
      <c r="P416" s="1431">
        <f>IFERROR(__xludf.DUMMYFUNCTION("""COMPUTED_VALUE"""),2.78)</f>
        <v>2.78</v>
      </c>
      <c r="Q416" s="1432">
        <f>IFERROR(__xludf.DUMMYFUNCTION("""COMPUTED_VALUE"""),3380.4799999999996)</f>
        <v>3380.48</v>
      </c>
    </row>
    <row r="417" ht="15.75" customHeight="1">
      <c r="A417" s="94"/>
      <c r="B417" s="94" t="str">
        <f>IFERROR(__xludf.DUMMYFUNCTION("""COMPUTED_VALUE"""),"WS A 608")</f>
        <v>WS A 608</v>
      </c>
      <c r="C417" s="1429" t="str">
        <f>IFERROR(__xludf.DUMMYFUNCTION("""COMPUTED_VALUE"""),"WS")</f>
        <v>WS</v>
      </c>
      <c r="D417" s="1432">
        <f>IFERROR(__xludf.DUMMYFUNCTION("""COMPUTED_VALUE"""),6.0)</f>
        <v>6</v>
      </c>
      <c r="E417" s="1429">
        <f>IFERROR(__xludf.DUMMYFUNCTION("""COMPUTED_VALUE"""),45473.0)</f>
        <v>45473</v>
      </c>
      <c r="F417" s="1429">
        <f>IFERROR(__xludf.DUMMYFUNCTION("""COMPUTED_VALUE"""),45480.0)</f>
        <v>45480</v>
      </c>
      <c r="G417" s="1164">
        <f>IFERROR(__xludf.DUMMYFUNCTION("""COMPUTED_VALUE"""),7.0)</f>
        <v>7</v>
      </c>
      <c r="H417" s="1430">
        <f>IFERROR(__xludf.DUMMYFUNCTION("""COMPUTED_VALUE"""),306.0)</f>
        <v>306</v>
      </c>
      <c r="I417" s="94"/>
      <c r="J417" s="94"/>
      <c r="K417" s="94">
        <f>IFERROR(__xludf.DUMMYFUNCTION("""COMPUTED_VALUE"""),60.0)</f>
        <v>60</v>
      </c>
      <c r="L417" s="94">
        <f>IFERROR(__xludf.DUMMYFUNCTION("""COMPUTED_VALUE"""),40.0)</f>
        <v>40</v>
      </c>
      <c r="M417" s="94">
        <f>IFERROR(__xludf.DUMMYFUNCTION("""COMPUTED_VALUE"""),20.0)</f>
        <v>20</v>
      </c>
      <c r="N417" s="94"/>
      <c r="O417" s="1430">
        <f>IFERROR(__xludf.DUMMYFUNCTION("""COMPUTED_VALUE"""),20.0)</f>
        <v>20</v>
      </c>
      <c r="P417" s="1431">
        <f>IFERROR(__xludf.DUMMYFUNCTION("""COMPUTED_VALUE"""),2.78)</f>
        <v>2.78</v>
      </c>
      <c r="Q417" s="1432">
        <f>IFERROR(__xludf.DUMMYFUNCTION("""COMPUTED_VALUE"""),850.68)</f>
        <v>850.68</v>
      </c>
    </row>
    <row r="418" ht="15.75" customHeight="1">
      <c r="A418" s="94" t="str">
        <f>IFERROR(__xludf.DUMMYFUNCTION("""COMPUTED_VALUE"""),"Итого неделя")</f>
        <v>Итого неделя</v>
      </c>
      <c r="B418" s="94" t="str">
        <f>IFERROR(__xludf.DUMMYFUNCTION("""COMPUTED_VALUE"""),"26 неделя")</f>
        <v>26 неделя</v>
      </c>
      <c r="C418" s="94">
        <f>IFERROR(__xludf.DUMMYFUNCTION("""COMPUTED_VALUE"""),0.0)</f>
        <v>0</v>
      </c>
      <c r="D418" s="94"/>
      <c r="E418" s="94"/>
      <c r="F418" s="94"/>
      <c r="G418" s="1164">
        <f>IFERROR(__xludf.DUMMYFUNCTION("""COMPUTED_VALUE"""),149.0)</f>
        <v>149</v>
      </c>
      <c r="H418" s="1430">
        <f>IFERROR(__xludf.DUMMYFUNCTION("""COMPUTED_VALUE"""),5783.0)</f>
        <v>5783</v>
      </c>
      <c r="I418" s="94">
        <f>IFERROR(__xludf.DUMMYFUNCTION("""COMPUTED_VALUE"""),6402.0)</f>
        <v>6402</v>
      </c>
      <c r="J418" s="94">
        <f>IFERROR(__xludf.DUMMYFUNCTION("""COMPUTED_VALUE"""),0.0)</f>
        <v>0</v>
      </c>
      <c r="K418" s="94">
        <f>IFERROR(__xludf.DUMMYFUNCTION("""COMPUTED_VALUE"""),2115.0)</f>
        <v>2115</v>
      </c>
      <c r="L418" s="94">
        <f>IFERROR(__xludf.DUMMYFUNCTION("""COMPUTED_VALUE"""),1565.0)</f>
        <v>1565</v>
      </c>
      <c r="M418" s="94">
        <f>IFERROR(__xludf.DUMMYFUNCTION("""COMPUTED_VALUE"""),550.0)</f>
        <v>550</v>
      </c>
      <c r="N418" s="94">
        <f>IFERROR(__xludf.DUMMYFUNCTION("""COMPUTED_VALUE"""),0.0)</f>
        <v>0</v>
      </c>
      <c r="O418" s="1430">
        <f>IFERROR(__xludf.DUMMYFUNCTION("""COMPUTED_VALUE"""),550.0)</f>
        <v>550</v>
      </c>
      <c r="P418" s="94"/>
      <c r="Q418" s="1432">
        <f>IFERROR(__xludf.DUMMYFUNCTION("""COMPUTED_VALUE"""),22478.739999999998)</f>
        <v>22478.74</v>
      </c>
    </row>
    <row r="419" ht="15.75" customHeight="1">
      <c r="A419" s="94"/>
      <c r="B419" s="94" t="str">
        <f>IFERROR(__xludf.DUMMYFUNCTION("""COMPUTED_VALUE"""),"WS E 1202")</f>
        <v>WS E 1202</v>
      </c>
      <c r="C419" s="1429" t="str">
        <f>IFERROR(__xludf.DUMMYFUNCTION("""COMPUTED_VALUE"""),"WS")</f>
        <v>WS</v>
      </c>
      <c r="D419" s="1432">
        <f>IFERROR(__xludf.DUMMYFUNCTION("""COMPUTED_VALUE"""),7.0)</f>
        <v>7</v>
      </c>
      <c r="E419" s="1429">
        <f>IFERROR(__xludf.DUMMYFUNCTION("""COMPUTED_VALUE"""),45474.0)</f>
        <v>45474</v>
      </c>
      <c r="F419" s="1429">
        <f>IFERROR(__xludf.DUMMYFUNCTION("""COMPUTED_VALUE"""),45477.0)</f>
        <v>45477</v>
      </c>
      <c r="G419" s="1164">
        <f>IFERROR(__xludf.DUMMYFUNCTION("""COMPUTED_VALUE"""),3.0)</f>
        <v>3</v>
      </c>
      <c r="H419" s="1430">
        <f>IFERROR(__xludf.DUMMYFUNCTION("""COMPUTED_VALUE"""),255.0)</f>
        <v>255</v>
      </c>
      <c r="I419" s="94"/>
      <c r="J419" s="94"/>
      <c r="K419" s="94">
        <f>IFERROR(__xludf.DUMMYFUNCTION("""COMPUTED_VALUE"""),70.0)</f>
        <v>70</v>
      </c>
      <c r="L419" s="94">
        <f>IFERROR(__xludf.DUMMYFUNCTION("""COMPUTED_VALUE"""),40.0)</f>
        <v>40</v>
      </c>
      <c r="M419" s="94">
        <f>IFERROR(__xludf.DUMMYFUNCTION("""COMPUTED_VALUE"""),30.0)</f>
        <v>30</v>
      </c>
      <c r="N419" s="94"/>
      <c r="O419" s="1430">
        <f>IFERROR(__xludf.DUMMYFUNCTION("""COMPUTED_VALUE"""),30.0)</f>
        <v>30</v>
      </c>
      <c r="P419" s="1431">
        <f>IFERROR(__xludf.DUMMYFUNCTION("""COMPUTED_VALUE"""),2.75)</f>
        <v>2.75</v>
      </c>
      <c r="Q419" s="1432">
        <f>IFERROR(__xludf.DUMMYFUNCTION("""COMPUTED_VALUE"""),701.25)</f>
        <v>701.25</v>
      </c>
    </row>
    <row r="420" ht="15.75" customHeight="1">
      <c r="A420" s="94"/>
      <c r="B420" s="94" t="str">
        <f>IFERROR(__xludf.DUMMYFUNCTION("""COMPUTED_VALUE"""),"Горизонт 2705")</f>
        <v>Горизонт 2705</v>
      </c>
      <c r="C420" s="1429" t="str">
        <f>IFERROR(__xludf.DUMMYFUNCTION("""COMPUTED_VALUE"""),"Other")</f>
        <v>Other</v>
      </c>
      <c r="D420" s="1432">
        <f>IFERROR(__xludf.DUMMYFUNCTION("""COMPUTED_VALUE"""),7.0)</f>
        <v>7</v>
      </c>
      <c r="E420" s="1429">
        <f>IFERROR(__xludf.DUMMYFUNCTION("""COMPUTED_VALUE"""),45474.0)</f>
        <v>45474</v>
      </c>
      <c r="F420" s="1429">
        <f>IFERROR(__xludf.DUMMYFUNCTION("""COMPUTED_VALUE"""),45504.0)</f>
        <v>45504</v>
      </c>
      <c r="G420" s="1164">
        <f>IFERROR(__xludf.DUMMYFUNCTION("""COMPUTED_VALUE"""),30.0)</f>
        <v>30</v>
      </c>
      <c r="H420" s="1430">
        <f>IFERROR(__xludf.DUMMYFUNCTION("""COMPUTED_VALUE"""),682.0)</f>
        <v>682</v>
      </c>
      <c r="I420" s="94"/>
      <c r="J420" s="94"/>
      <c r="K420" s="94">
        <f>IFERROR(__xludf.DUMMYFUNCTION("""COMPUTED_VALUE"""),60.0)</f>
        <v>60</v>
      </c>
      <c r="L420" s="94">
        <f>IFERROR(__xludf.DUMMYFUNCTION("""COMPUTED_VALUE"""),40.0)</f>
        <v>40</v>
      </c>
      <c r="M420" s="94">
        <f>IFERROR(__xludf.DUMMYFUNCTION("""COMPUTED_VALUE"""),20.0)</f>
        <v>20</v>
      </c>
      <c r="N420" s="94"/>
      <c r="O420" s="1430">
        <f>IFERROR(__xludf.DUMMYFUNCTION("""COMPUTED_VALUE"""),20.0)</f>
        <v>20</v>
      </c>
      <c r="P420" s="1431">
        <f>IFERROR(__xludf.DUMMYFUNCTION("""COMPUTED_VALUE"""),2.78)</f>
        <v>2.78</v>
      </c>
      <c r="Q420" s="1432">
        <f>IFERROR(__xludf.DUMMYFUNCTION("""COMPUTED_VALUE"""),1895.9599999999998)</f>
        <v>1895.96</v>
      </c>
    </row>
    <row r="421" ht="15.75" customHeight="1">
      <c r="A421" s="94"/>
      <c r="B421" s="94" t="str">
        <f>IFERROR(__xludf.DUMMYFUNCTION("""COMPUTED_VALUE"""),"DL 14-1214")</f>
        <v>DL 14-1214</v>
      </c>
      <c r="C421" s="1429" t="str">
        <f>IFERROR(__xludf.DUMMYFUNCTION("""COMPUTED_VALUE"""),"DL")</f>
        <v>DL</v>
      </c>
      <c r="D421" s="1432">
        <f>IFERROR(__xludf.DUMMYFUNCTION("""COMPUTED_VALUE"""),7.0)</f>
        <v>7</v>
      </c>
      <c r="E421" s="1429">
        <f>IFERROR(__xludf.DUMMYFUNCTION("""COMPUTED_VALUE"""),45474.0)</f>
        <v>45474</v>
      </c>
      <c r="F421" s="1429">
        <f>IFERROR(__xludf.DUMMYFUNCTION("""COMPUTED_VALUE"""),45478.0)</f>
        <v>45478</v>
      </c>
      <c r="G421" s="1164">
        <f>IFERROR(__xludf.DUMMYFUNCTION("""COMPUTED_VALUE"""),4.0)</f>
        <v>4</v>
      </c>
      <c r="H421" s="1430">
        <f>IFERROR(__xludf.DUMMYFUNCTION("""COMPUTED_VALUE"""),294.0)</f>
        <v>294</v>
      </c>
      <c r="I421" s="94"/>
      <c r="J421" s="94"/>
      <c r="K421" s="94">
        <f>IFERROR(__xludf.DUMMYFUNCTION("""COMPUTED_VALUE"""),105.0)</f>
        <v>105</v>
      </c>
      <c r="L421" s="94">
        <f>IFERROR(__xludf.DUMMYFUNCTION("""COMPUTED_VALUE"""),105.0)</f>
        <v>105</v>
      </c>
      <c r="M421" s="94">
        <f>IFERROR(__xludf.DUMMYFUNCTION("""COMPUTED_VALUE"""),0.0)</f>
        <v>0</v>
      </c>
      <c r="N421" s="94"/>
      <c r="O421" s="1430">
        <f>IFERROR(__xludf.DUMMYFUNCTION("""COMPUTED_VALUE"""),0.0)</f>
        <v>0</v>
      </c>
      <c r="P421" s="1431">
        <f>IFERROR(__xludf.DUMMYFUNCTION("""COMPUTED_VALUE"""),2.75)</f>
        <v>2.75</v>
      </c>
      <c r="Q421" s="1432">
        <f>IFERROR(__xludf.DUMMYFUNCTION("""COMPUTED_VALUE"""),808.5)</f>
        <v>808.5</v>
      </c>
    </row>
    <row r="422" ht="15.75" customHeight="1">
      <c r="A422" s="94"/>
      <c r="B422" s="94" t="str">
        <f>IFERROR(__xludf.DUMMYFUNCTION("""COMPUTED_VALUE"""),"DL 14-516")</f>
        <v>DL 14-516</v>
      </c>
      <c r="C422" s="1429" t="str">
        <f>IFERROR(__xludf.DUMMYFUNCTION("""COMPUTED_VALUE"""),"DL")</f>
        <v>DL</v>
      </c>
      <c r="D422" s="1432">
        <f>IFERROR(__xludf.DUMMYFUNCTION("""COMPUTED_VALUE"""),7.0)</f>
        <v>7</v>
      </c>
      <c r="E422" s="1429">
        <f>IFERROR(__xludf.DUMMYFUNCTION("""COMPUTED_VALUE"""),45474.0)</f>
        <v>45474</v>
      </c>
      <c r="F422" s="1429">
        <f>IFERROR(__xludf.DUMMYFUNCTION("""COMPUTED_VALUE"""),45483.0)</f>
        <v>45483</v>
      </c>
      <c r="G422" s="1164">
        <f>IFERROR(__xludf.DUMMYFUNCTION("""COMPUTED_VALUE"""),9.0)</f>
        <v>9</v>
      </c>
      <c r="H422" s="1430">
        <f>IFERROR(__xludf.DUMMYFUNCTION("""COMPUTED_VALUE"""),1224.0)</f>
        <v>1224</v>
      </c>
      <c r="I422" s="94"/>
      <c r="J422" s="94"/>
      <c r="K422" s="94">
        <f>IFERROR(__xludf.DUMMYFUNCTION("""COMPUTED_VALUE"""),105.0)</f>
        <v>105</v>
      </c>
      <c r="L422" s="94">
        <f>IFERROR(__xludf.DUMMYFUNCTION("""COMPUTED_VALUE"""),105.0)</f>
        <v>105</v>
      </c>
      <c r="M422" s="94">
        <f>IFERROR(__xludf.DUMMYFUNCTION("""COMPUTED_VALUE"""),0.0)</f>
        <v>0</v>
      </c>
      <c r="N422" s="94"/>
      <c r="O422" s="1430">
        <f>IFERROR(__xludf.DUMMYFUNCTION("""COMPUTED_VALUE"""),0.0)</f>
        <v>0</v>
      </c>
      <c r="P422" s="1431">
        <f>IFERROR(__xludf.DUMMYFUNCTION("""COMPUTED_VALUE"""),2.75)</f>
        <v>2.75</v>
      </c>
      <c r="Q422" s="1432">
        <f>IFERROR(__xludf.DUMMYFUNCTION("""COMPUTED_VALUE"""),3366.0)</f>
        <v>3366</v>
      </c>
    </row>
    <row r="423" ht="15.75" customHeight="1">
      <c r="A423" s="94"/>
      <c r="B423" s="94" t="str">
        <f>IFERROR(__xludf.DUMMYFUNCTION("""COMPUTED_VALUE"""),"WS В 503")</f>
        <v>WS В 503</v>
      </c>
      <c r="C423" s="1429" t="str">
        <f>IFERROR(__xludf.DUMMYFUNCTION("""COMPUTED_VALUE"""),"WS")</f>
        <v>WS</v>
      </c>
      <c r="D423" s="1432">
        <f>IFERROR(__xludf.DUMMYFUNCTION("""COMPUTED_VALUE"""),7.0)</f>
        <v>7</v>
      </c>
      <c r="E423" s="1429">
        <f>IFERROR(__xludf.DUMMYFUNCTION("""COMPUTED_VALUE"""),45474.0)</f>
        <v>45474</v>
      </c>
      <c r="F423" s="1429">
        <f>IFERROR(__xludf.DUMMYFUNCTION("""COMPUTED_VALUE"""),45479.0)</f>
        <v>45479</v>
      </c>
      <c r="G423" s="1164">
        <f>IFERROR(__xludf.DUMMYFUNCTION("""COMPUTED_VALUE"""),5.0)</f>
        <v>5</v>
      </c>
      <c r="H423" s="1430">
        <f>IFERROR(__xludf.DUMMYFUNCTION("""COMPUTED_VALUE"""),468.0)</f>
        <v>468</v>
      </c>
      <c r="I423" s="94"/>
      <c r="J423" s="94"/>
      <c r="K423" s="94">
        <f>IFERROR(__xludf.DUMMYFUNCTION("""COMPUTED_VALUE"""),70.0)</f>
        <v>70</v>
      </c>
      <c r="L423" s="94">
        <f>IFERROR(__xludf.DUMMYFUNCTION("""COMPUTED_VALUE"""),40.0)</f>
        <v>40</v>
      </c>
      <c r="M423" s="94">
        <f>IFERROR(__xludf.DUMMYFUNCTION("""COMPUTED_VALUE"""),30.0)</f>
        <v>30</v>
      </c>
      <c r="N423" s="94"/>
      <c r="O423" s="1430">
        <f>IFERROR(__xludf.DUMMYFUNCTION("""COMPUTED_VALUE"""),30.0)</f>
        <v>30</v>
      </c>
      <c r="P423" s="1431">
        <f>IFERROR(__xludf.DUMMYFUNCTION("""COMPUTED_VALUE"""),2.75)</f>
        <v>2.75</v>
      </c>
      <c r="Q423" s="1432">
        <f>IFERROR(__xludf.DUMMYFUNCTION("""COMPUTED_VALUE"""),1287.0)</f>
        <v>1287</v>
      </c>
    </row>
    <row r="424" ht="15.75" customHeight="1">
      <c r="A424" s="94"/>
      <c r="B424" s="94" t="str">
        <f>IFERROR(__xludf.DUMMYFUNCTION("""COMPUTED_VALUE"""),"CM 1604")</f>
        <v>CM 1604</v>
      </c>
      <c r="C424" s="1429" t="str">
        <f>IFERROR(__xludf.DUMMYFUNCTION("""COMPUTED_VALUE"""),"MAR")</f>
        <v>MAR</v>
      </c>
      <c r="D424" s="1432">
        <f>IFERROR(__xludf.DUMMYFUNCTION("""COMPUTED_VALUE"""),7.0)</f>
        <v>7</v>
      </c>
      <c r="E424" s="1429">
        <f>IFERROR(__xludf.DUMMYFUNCTION("""COMPUTED_VALUE"""),45475.0)</f>
        <v>45475</v>
      </c>
      <c r="F424" s="1429">
        <f>IFERROR(__xludf.DUMMYFUNCTION("""COMPUTED_VALUE"""),45485.0)</f>
        <v>45485</v>
      </c>
      <c r="G424" s="1164">
        <f>IFERROR(__xludf.DUMMYFUNCTION("""COMPUTED_VALUE"""),10.0)</f>
        <v>10</v>
      </c>
      <c r="H424" s="1430">
        <f>IFERROR(__xludf.DUMMYFUNCTION("""COMPUTED_VALUE"""),656.0)</f>
        <v>656</v>
      </c>
      <c r="I424" s="94"/>
      <c r="J424" s="94"/>
      <c r="K424" s="94">
        <f>IFERROR(__xludf.DUMMYFUNCTION("""COMPUTED_VALUE"""),70.0)</f>
        <v>70</v>
      </c>
      <c r="L424" s="94">
        <f>IFERROR(__xludf.DUMMYFUNCTION("""COMPUTED_VALUE"""),40.0)</f>
        <v>40</v>
      </c>
      <c r="M424" s="94">
        <f>IFERROR(__xludf.DUMMYFUNCTION("""COMPUTED_VALUE"""),30.0)</f>
        <v>30</v>
      </c>
      <c r="N424" s="94"/>
      <c r="O424" s="1430">
        <f>IFERROR(__xludf.DUMMYFUNCTION("""COMPUTED_VALUE"""),30.0)</f>
        <v>30</v>
      </c>
      <c r="P424" s="1431">
        <f>IFERROR(__xludf.DUMMYFUNCTION("""COMPUTED_VALUE"""),2.75)</f>
        <v>2.75</v>
      </c>
      <c r="Q424" s="1432">
        <f>IFERROR(__xludf.DUMMYFUNCTION("""COMPUTED_VALUE"""),1804.0)</f>
        <v>1804</v>
      </c>
    </row>
    <row r="425" ht="15.75" customHeight="1">
      <c r="A425" s="94"/>
      <c r="B425" s="94" t="str">
        <f>IFERROR(__xludf.DUMMYFUNCTION("""COMPUTED_VALUE"""),"D 1321")</f>
        <v>D 1321</v>
      </c>
      <c r="C425" s="1429" t="str">
        <f>IFERROR(__xludf.DUMMYFUNCTION("""COMPUTED_VALUE"""),"ORBI")</f>
        <v>ORBI</v>
      </c>
      <c r="D425" s="1432">
        <f>IFERROR(__xludf.DUMMYFUNCTION("""COMPUTED_VALUE"""),7.0)</f>
        <v>7</v>
      </c>
      <c r="E425" s="1429">
        <f>IFERROR(__xludf.DUMMYFUNCTION("""COMPUTED_VALUE"""),45475.0)</f>
        <v>45475</v>
      </c>
      <c r="F425" s="1429">
        <f>IFERROR(__xludf.DUMMYFUNCTION("""COMPUTED_VALUE"""),45480.0)</f>
        <v>45480</v>
      </c>
      <c r="G425" s="1164">
        <f>IFERROR(__xludf.DUMMYFUNCTION("""COMPUTED_VALUE"""),5.0)</f>
        <v>5</v>
      </c>
      <c r="H425" s="1430">
        <f>IFERROR(__xludf.DUMMYFUNCTION("""COMPUTED_VALUE"""),176.0)</f>
        <v>176</v>
      </c>
      <c r="I425" s="94"/>
      <c r="J425" s="94"/>
      <c r="K425" s="94">
        <f>IFERROR(__xludf.DUMMYFUNCTION("""COMPUTED_VALUE"""),50.0)</f>
        <v>50</v>
      </c>
      <c r="L425" s="94">
        <f>IFERROR(__xludf.DUMMYFUNCTION("""COMPUTED_VALUE"""),40.0)</f>
        <v>40</v>
      </c>
      <c r="M425" s="94">
        <f>IFERROR(__xludf.DUMMYFUNCTION("""COMPUTED_VALUE"""),10.0)</f>
        <v>10</v>
      </c>
      <c r="N425" s="94"/>
      <c r="O425" s="1430">
        <f>IFERROR(__xludf.DUMMYFUNCTION("""COMPUTED_VALUE"""),10.0)</f>
        <v>10</v>
      </c>
      <c r="P425" s="1431">
        <f>IFERROR(__xludf.DUMMYFUNCTION("""COMPUTED_VALUE"""),2.75)</f>
        <v>2.75</v>
      </c>
      <c r="Q425" s="1432">
        <f>IFERROR(__xludf.DUMMYFUNCTION("""COMPUTED_VALUE"""),484.0)</f>
        <v>484</v>
      </c>
    </row>
    <row r="426" ht="15.75" customHeight="1">
      <c r="A426" s="94"/>
      <c r="B426" s="94" t="str">
        <f>IFERROR(__xludf.DUMMYFUNCTION("""COMPUTED_VALUE"""),"WS E1405")</f>
        <v>WS E1405</v>
      </c>
      <c r="C426" s="1429" t="str">
        <f>IFERROR(__xludf.DUMMYFUNCTION("""COMPUTED_VALUE"""),"WS")</f>
        <v>WS</v>
      </c>
      <c r="D426" s="1432">
        <f>IFERROR(__xludf.DUMMYFUNCTION("""COMPUTED_VALUE"""),7.0)</f>
        <v>7</v>
      </c>
      <c r="E426" s="1429">
        <f>IFERROR(__xludf.DUMMYFUNCTION("""COMPUTED_VALUE"""),45475.0)</f>
        <v>45475</v>
      </c>
      <c r="F426" s="1429">
        <f>IFERROR(__xludf.DUMMYFUNCTION("""COMPUTED_VALUE"""),45482.0)</f>
        <v>45482</v>
      </c>
      <c r="G426" s="1164">
        <f>IFERROR(__xludf.DUMMYFUNCTION("""COMPUTED_VALUE"""),7.0)</f>
        <v>7</v>
      </c>
      <c r="H426" s="94"/>
      <c r="I426" s="94">
        <f>IFERROR(__xludf.DUMMYFUNCTION("""COMPUTED_VALUE"""),1260.0)</f>
        <v>1260</v>
      </c>
      <c r="J426" s="94"/>
      <c r="K426" s="94">
        <f>IFERROR(__xludf.DUMMYFUNCTION("""COMPUTED_VALUE"""),60.0)</f>
        <v>60</v>
      </c>
      <c r="L426" s="94">
        <f>IFERROR(__xludf.DUMMYFUNCTION("""COMPUTED_VALUE"""),40.0)</f>
        <v>40</v>
      </c>
      <c r="M426" s="94">
        <f>IFERROR(__xludf.DUMMYFUNCTION("""COMPUTED_VALUE"""),20.0)</f>
        <v>20</v>
      </c>
      <c r="N426" s="94"/>
      <c r="O426" s="1430">
        <f>IFERROR(__xludf.DUMMYFUNCTION("""COMPUTED_VALUE"""),20.0)</f>
        <v>20</v>
      </c>
      <c r="P426" s="1431">
        <f>IFERROR(__xludf.DUMMYFUNCTION("""COMPUTED_VALUE"""),2.75)</f>
        <v>2.75</v>
      </c>
      <c r="Q426" s="1432">
        <f>IFERROR(__xludf.DUMMYFUNCTION("""COMPUTED_VALUE"""),1260.0)</f>
        <v>1260</v>
      </c>
    </row>
    <row r="427" ht="15.75" customHeight="1">
      <c r="A427" s="94"/>
      <c r="B427" s="94" t="str">
        <f>IFERROR(__xludf.DUMMYFUNCTION("""COMPUTED_VALUE"""),"C 4245")</f>
        <v>C 4245</v>
      </c>
      <c r="C427" s="1429" t="str">
        <f>IFERROR(__xludf.DUMMYFUNCTION("""COMPUTED_VALUE"""),"ORBI")</f>
        <v>ORBI</v>
      </c>
      <c r="D427" s="1432">
        <f>IFERROR(__xludf.DUMMYFUNCTION("""COMPUTED_VALUE"""),7.0)</f>
        <v>7</v>
      </c>
      <c r="E427" s="1429">
        <f>IFERROR(__xludf.DUMMYFUNCTION("""COMPUTED_VALUE"""),45475.0)</f>
        <v>45475</v>
      </c>
      <c r="F427" s="1429">
        <f>IFERROR(__xludf.DUMMYFUNCTION("""COMPUTED_VALUE"""),45485.0)</f>
        <v>45485</v>
      </c>
      <c r="G427" s="1164">
        <f>IFERROR(__xludf.DUMMYFUNCTION("""COMPUTED_VALUE"""),10.0)</f>
        <v>10</v>
      </c>
      <c r="H427" s="1430">
        <f>IFERROR(__xludf.DUMMYFUNCTION("""COMPUTED_VALUE"""),627.0)</f>
        <v>627</v>
      </c>
      <c r="I427" s="94"/>
      <c r="J427" s="94"/>
      <c r="K427" s="94">
        <f>IFERROR(__xludf.DUMMYFUNCTION("""COMPUTED_VALUE"""),70.0)</f>
        <v>70</v>
      </c>
      <c r="L427" s="94">
        <f>IFERROR(__xludf.DUMMYFUNCTION("""COMPUTED_VALUE"""),40.0)</f>
        <v>40</v>
      </c>
      <c r="M427" s="94">
        <f>IFERROR(__xludf.DUMMYFUNCTION("""COMPUTED_VALUE"""),30.0)</f>
        <v>30</v>
      </c>
      <c r="N427" s="94"/>
      <c r="O427" s="1430">
        <f>IFERROR(__xludf.DUMMYFUNCTION("""COMPUTED_VALUE"""),30.0)</f>
        <v>30</v>
      </c>
      <c r="P427" s="1431">
        <f>IFERROR(__xludf.DUMMYFUNCTION("""COMPUTED_VALUE"""),2.75)</f>
        <v>2.75</v>
      </c>
      <c r="Q427" s="1432">
        <f>IFERROR(__xludf.DUMMYFUNCTION("""COMPUTED_VALUE"""),1724.25)</f>
        <v>1724.25</v>
      </c>
    </row>
    <row r="428" ht="15.75" customHeight="1">
      <c r="A428" s="94"/>
      <c r="B428" s="94" t="str">
        <f>IFERROR(__xludf.DUMMYFUNCTION("""COMPUTED_VALUE"""),"С 1443")</f>
        <v>С 1443</v>
      </c>
      <c r="C428" s="1429" t="str">
        <f>IFERROR(__xludf.DUMMYFUNCTION("""COMPUTED_VALUE"""),"ORBI")</f>
        <v>ORBI</v>
      </c>
      <c r="D428" s="1432">
        <f>IFERROR(__xludf.DUMMYFUNCTION("""COMPUTED_VALUE"""),7.0)</f>
        <v>7</v>
      </c>
      <c r="E428" s="1429">
        <f>IFERROR(__xludf.DUMMYFUNCTION("""COMPUTED_VALUE"""),45476.0)</f>
        <v>45476</v>
      </c>
      <c r="F428" s="1429">
        <f>IFERROR(__xludf.DUMMYFUNCTION("""COMPUTED_VALUE"""),45479.0)</f>
        <v>45479</v>
      </c>
      <c r="G428" s="1164">
        <f>IFERROR(__xludf.DUMMYFUNCTION("""COMPUTED_VALUE"""),3.0)</f>
        <v>3</v>
      </c>
      <c r="H428" s="1430">
        <f>IFERROR(__xludf.DUMMYFUNCTION("""COMPUTED_VALUE"""),143.0)</f>
        <v>143</v>
      </c>
      <c r="I428" s="94"/>
      <c r="J428" s="94"/>
      <c r="K428" s="94">
        <f>IFERROR(__xludf.DUMMYFUNCTION("""COMPUTED_VALUE"""),70.0)</f>
        <v>70</v>
      </c>
      <c r="L428" s="94">
        <f>IFERROR(__xludf.DUMMYFUNCTION("""COMPUTED_VALUE"""),40.0)</f>
        <v>40</v>
      </c>
      <c r="M428" s="94">
        <f>IFERROR(__xludf.DUMMYFUNCTION("""COMPUTED_VALUE"""),30.0)</f>
        <v>30</v>
      </c>
      <c r="N428" s="94"/>
      <c r="O428" s="1430">
        <f>IFERROR(__xludf.DUMMYFUNCTION("""COMPUTED_VALUE"""),30.0)</f>
        <v>30</v>
      </c>
      <c r="P428" s="1431">
        <f>IFERROR(__xludf.DUMMYFUNCTION("""COMPUTED_VALUE"""),2.75)</f>
        <v>2.75</v>
      </c>
      <c r="Q428" s="1432">
        <f>IFERROR(__xludf.DUMMYFUNCTION("""COMPUTED_VALUE"""),393.25)</f>
        <v>393.25</v>
      </c>
    </row>
    <row r="429" ht="15.75" customHeight="1">
      <c r="A429" s="94"/>
      <c r="B429" s="94" t="str">
        <f>IFERROR(__xludf.DUMMYFUNCTION("""COMPUTED_VALUE"""),"WS  B 405")</f>
        <v>WS  B 405</v>
      </c>
      <c r="C429" s="1429" t="str">
        <f>IFERROR(__xludf.DUMMYFUNCTION("""COMPUTED_VALUE"""),"WS")</f>
        <v>WS</v>
      </c>
      <c r="D429" s="1432">
        <f>IFERROR(__xludf.DUMMYFUNCTION("""COMPUTED_VALUE"""),7.0)</f>
        <v>7</v>
      </c>
      <c r="E429" s="1429">
        <f>IFERROR(__xludf.DUMMYFUNCTION("""COMPUTED_VALUE"""),45476.0)</f>
        <v>45476</v>
      </c>
      <c r="F429" s="1429">
        <f>IFERROR(__xludf.DUMMYFUNCTION("""COMPUTED_VALUE"""),45479.0)</f>
        <v>45479</v>
      </c>
      <c r="G429" s="1164">
        <f>IFERROR(__xludf.DUMMYFUNCTION("""COMPUTED_VALUE"""),3.0)</f>
        <v>3</v>
      </c>
      <c r="H429" s="94"/>
      <c r="I429" s="94">
        <f>IFERROR(__xludf.DUMMYFUNCTION("""COMPUTED_VALUE"""),549.0)</f>
        <v>549</v>
      </c>
      <c r="J429" s="94"/>
      <c r="K429" s="94">
        <f>IFERROR(__xludf.DUMMYFUNCTION("""COMPUTED_VALUE"""),60.0)</f>
        <v>60</v>
      </c>
      <c r="L429" s="94">
        <f>IFERROR(__xludf.DUMMYFUNCTION("""COMPUTED_VALUE"""),40.0)</f>
        <v>40</v>
      </c>
      <c r="M429" s="94">
        <f>IFERROR(__xludf.DUMMYFUNCTION("""COMPUTED_VALUE"""),20.0)</f>
        <v>20</v>
      </c>
      <c r="N429" s="94"/>
      <c r="O429" s="1430">
        <f>IFERROR(__xludf.DUMMYFUNCTION("""COMPUTED_VALUE"""),20.0)</f>
        <v>20</v>
      </c>
      <c r="P429" s="1431">
        <f>IFERROR(__xludf.DUMMYFUNCTION("""COMPUTED_VALUE"""),2.75)</f>
        <v>2.75</v>
      </c>
      <c r="Q429" s="1432">
        <f>IFERROR(__xludf.DUMMYFUNCTION("""COMPUTED_VALUE"""),549.0)</f>
        <v>549</v>
      </c>
    </row>
    <row r="430" ht="15.75" customHeight="1">
      <c r="A430" s="94"/>
      <c r="B430" s="94" t="str">
        <f>IFERROR(__xludf.DUMMYFUNCTION("""COMPUTED_VALUE"""),"WS А 908")</f>
        <v>WS А 908</v>
      </c>
      <c r="C430" s="1429" t="str">
        <f>IFERROR(__xludf.DUMMYFUNCTION("""COMPUTED_VALUE"""),"WS")</f>
        <v>WS</v>
      </c>
      <c r="D430" s="1432">
        <f>IFERROR(__xludf.DUMMYFUNCTION("""COMPUTED_VALUE"""),7.0)</f>
        <v>7</v>
      </c>
      <c r="E430" s="1429">
        <f>IFERROR(__xludf.DUMMYFUNCTION("""COMPUTED_VALUE"""),45476.0)</f>
        <v>45476</v>
      </c>
      <c r="F430" s="1429">
        <f>IFERROR(__xludf.DUMMYFUNCTION("""COMPUTED_VALUE"""),45483.0)</f>
        <v>45483</v>
      </c>
      <c r="G430" s="1164">
        <f>IFERROR(__xludf.DUMMYFUNCTION("""COMPUTED_VALUE"""),7.0)</f>
        <v>7</v>
      </c>
      <c r="H430" s="1430">
        <f>IFERROR(__xludf.DUMMYFUNCTION("""COMPUTED_VALUE"""),410.0)</f>
        <v>410</v>
      </c>
      <c r="I430" s="94"/>
      <c r="J430" s="94"/>
      <c r="K430" s="94">
        <f>IFERROR(__xludf.DUMMYFUNCTION("""COMPUTED_VALUE"""),60.0)</f>
        <v>60</v>
      </c>
      <c r="L430" s="94">
        <f>IFERROR(__xludf.DUMMYFUNCTION("""COMPUTED_VALUE"""),40.0)</f>
        <v>40</v>
      </c>
      <c r="M430" s="94">
        <f>IFERROR(__xludf.DUMMYFUNCTION("""COMPUTED_VALUE"""),20.0)</f>
        <v>20</v>
      </c>
      <c r="N430" s="94"/>
      <c r="O430" s="1430">
        <f>IFERROR(__xludf.DUMMYFUNCTION("""COMPUTED_VALUE"""),20.0)</f>
        <v>20</v>
      </c>
      <c r="P430" s="1431">
        <f>IFERROR(__xludf.DUMMYFUNCTION("""COMPUTED_VALUE"""),2.75)</f>
        <v>2.75</v>
      </c>
      <c r="Q430" s="1432">
        <f>IFERROR(__xludf.DUMMYFUNCTION("""COMPUTED_VALUE"""),1127.5)</f>
        <v>1127.5</v>
      </c>
    </row>
    <row r="431" ht="15.75" customHeight="1">
      <c r="A431" s="94"/>
      <c r="B431" s="94" t="str">
        <f>IFERROR(__xludf.DUMMYFUNCTION("""COMPUTED_VALUE"""),"WS A907")</f>
        <v>WS A907</v>
      </c>
      <c r="C431" s="1429" t="str">
        <f>IFERROR(__xludf.DUMMYFUNCTION("""COMPUTED_VALUE"""),"WS")</f>
        <v>WS</v>
      </c>
      <c r="D431" s="1432">
        <f>IFERROR(__xludf.DUMMYFUNCTION("""COMPUTED_VALUE"""),7.0)</f>
        <v>7</v>
      </c>
      <c r="E431" s="1429">
        <f>IFERROR(__xludf.DUMMYFUNCTION("""COMPUTED_VALUE"""),45476.0)</f>
        <v>45476</v>
      </c>
      <c r="F431" s="1429">
        <f>IFERROR(__xludf.DUMMYFUNCTION("""COMPUTED_VALUE"""),45479.0)</f>
        <v>45479</v>
      </c>
      <c r="G431" s="1164">
        <f>IFERROR(__xludf.DUMMYFUNCTION("""COMPUTED_VALUE"""),3.0)</f>
        <v>3</v>
      </c>
      <c r="H431" s="1430">
        <f>IFERROR(__xludf.DUMMYFUNCTION("""COMPUTED_VALUE"""),129.0)</f>
        <v>129</v>
      </c>
      <c r="I431" s="94"/>
      <c r="J431" s="94"/>
      <c r="K431" s="94">
        <f>IFERROR(__xludf.DUMMYFUNCTION("""COMPUTED_VALUE"""),60.0)</f>
        <v>60</v>
      </c>
      <c r="L431" s="94">
        <f>IFERROR(__xludf.DUMMYFUNCTION("""COMPUTED_VALUE"""),40.0)</f>
        <v>40</v>
      </c>
      <c r="M431" s="94">
        <f>IFERROR(__xludf.DUMMYFUNCTION("""COMPUTED_VALUE"""),20.0)</f>
        <v>20</v>
      </c>
      <c r="N431" s="94"/>
      <c r="O431" s="1430">
        <f>IFERROR(__xludf.DUMMYFUNCTION("""COMPUTED_VALUE"""),20.0)</f>
        <v>20</v>
      </c>
      <c r="P431" s="1431">
        <f>IFERROR(__xludf.DUMMYFUNCTION("""COMPUTED_VALUE"""),2.75)</f>
        <v>2.75</v>
      </c>
      <c r="Q431" s="1432">
        <f>IFERROR(__xludf.DUMMYFUNCTION("""COMPUTED_VALUE"""),354.75)</f>
        <v>354.75</v>
      </c>
    </row>
    <row r="432" ht="15.75" customHeight="1">
      <c r="A432" s="94"/>
      <c r="B432" s="94" t="str">
        <f>IFERROR(__xludf.DUMMYFUNCTION("""COMPUTED_VALUE"""),"Wyn")</f>
        <v>Wyn</v>
      </c>
      <c r="C432" s="1429" t="str">
        <f>IFERROR(__xludf.DUMMYFUNCTION("""COMPUTED_VALUE"""),"Other")</f>
        <v>Other</v>
      </c>
      <c r="D432" s="1432">
        <f>IFERROR(__xludf.DUMMYFUNCTION("""COMPUTED_VALUE"""),7.0)</f>
        <v>7</v>
      </c>
      <c r="E432" s="1429">
        <f>IFERROR(__xludf.DUMMYFUNCTION("""COMPUTED_VALUE"""),45476.0)</f>
        <v>45476</v>
      </c>
      <c r="F432" s="1429">
        <f>IFERROR(__xludf.DUMMYFUNCTION("""COMPUTED_VALUE"""),45481.0)</f>
        <v>45481</v>
      </c>
      <c r="G432" s="1164">
        <f>IFERROR(__xludf.DUMMYFUNCTION("""COMPUTED_VALUE"""),5.0)</f>
        <v>5</v>
      </c>
      <c r="H432" s="1430">
        <f>IFERROR(__xludf.DUMMYFUNCTION("""COMPUTED_VALUE"""),175.0)</f>
        <v>175</v>
      </c>
      <c r="I432" s="94"/>
      <c r="J432" s="94"/>
      <c r="K432" s="94">
        <f>IFERROR(__xludf.DUMMYFUNCTION("""COMPUTED_VALUE"""),70.0)</f>
        <v>70</v>
      </c>
      <c r="L432" s="94">
        <f>IFERROR(__xludf.DUMMYFUNCTION("""COMPUTED_VALUE"""),40.0)</f>
        <v>40</v>
      </c>
      <c r="M432" s="94">
        <f>IFERROR(__xludf.DUMMYFUNCTION("""COMPUTED_VALUE"""),30.0)</f>
        <v>30</v>
      </c>
      <c r="N432" s="94"/>
      <c r="O432" s="1430">
        <f>IFERROR(__xludf.DUMMYFUNCTION("""COMPUTED_VALUE"""),30.0)</f>
        <v>30</v>
      </c>
      <c r="P432" s="1431">
        <f>IFERROR(__xludf.DUMMYFUNCTION("""COMPUTED_VALUE"""),2.75)</f>
        <v>2.75</v>
      </c>
      <c r="Q432" s="1432">
        <f>IFERROR(__xludf.DUMMYFUNCTION("""COMPUTED_VALUE"""),481.25)</f>
        <v>481.25</v>
      </c>
    </row>
    <row r="433" ht="15.75" customHeight="1">
      <c r="A433" s="94"/>
      <c r="B433" s="94" t="str">
        <f>IFERROR(__xludf.DUMMYFUNCTION("""COMPUTED_VALUE"""),"Шар 2505")</f>
        <v>Шар 2505</v>
      </c>
      <c r="C433" s="1429" t="str">
        <f>IFERROR(__xludf.DUMMYFUNCTION("""COMPUTED_VALUE"""),"Other")</f>
        <v>Other</v>
      </c>
      <c r="D433" s="1432">
        <f>IFERROR(__xludf.DUMMYFUNCTION("""COMPUTED_VALUE"""),7.0)</f>
        <v>7</v>
      </c>
      <c r="E433" s="1429">
        <f>IFERROR(__xludf.DUMMYFUNCTION("""COMPUTED_VALUE"""),45476.0)</f>
        <v>45476</v>
      </c>
      <c r="F433" s="1429">
        <f>IFERROR(__xludf.DUMMYFUNCTION("""COMPUTED_VALUE"""),45489.0)</f>
        <v>45489</v>
      </c>
      <c r="G433" s="1164">
        <f>IFERROR(__xludf.DUMMYFUNCTION("""COMPUTED_VALUE"""),13.0)</f>
        <v>13</v>
      </c>
      <c r="H433" s="1430">
        <f>IFERROR(__xludf.DUMMYFUNCTION("""COMPUTED_VALUE"""),603.0)</f>
        <v>603</v>
      </c>
      <c r="I433" s="94"/>
      <c r="J433" s="94"/>
      <c r="K433" s="94">
        <f>IFERROR(__xludf.DUMMYFUNCTION("""COMPUTED_VALUE"""),60.0)</f>
        <v>60</v>
      </c>
      <c r="L433" s="94">
        <f>IFERROR(__xludf.DUMMYFUNCTION("""COMPUTED_VALUE"""),40.0)</f>
        <v>40</v>
      </c>
      <c r="M433" s="94">
        <f>IFERROR(__xludf.DUMMYFUNCTION("""COMPUTED_VALUE"""),20.0)</f>
        <v>20</v>
      </c>
      <c r="N433" s="94"/>
      <c r="O433" s="1430">
        <f>IFERROR(__xludf.DUMMYFUNCTION("""COMPUTED_VALUE"""),20.0)</f>
        <v>20</v>
      </c>
      <c r="P433" s="1431">
        <f>IFERROR(__xludf.DUMMYFUNCTION("""COMPUTED_VALUE"""),2.75)</f>
        <v>2.75</v>
      </c>
      <c r="Q433" s="1432">
        <f>IFERROR(__xludf.DUMMYFUNCTION("""COMPUTED_VALUE"""),1658.25)</f>
        <v>1658.25</v>
      </c>
    </row>
    <row r="434" ht="15.75" customHeight="1">
      <c r="A434" s="94"/>
      <c r="B434" s="94" t="str">
        <f>IFERROR(__xludf.DUMMYFUNCTION("""COMPUTED_VALUE"""),"CM 1606")</f>
        <v>CM 1606</v>
      </c>
      <c r="C434" s="1429" t="str">
        <f>IFERROR(__xludf.DUMMYFUNCTION("""COMPUTED_VALUE"""),"MAR")</f>
        <v>MAR</v>
      </c>
      <c r="D434" s="1432">
        <f>IFERROR(__xludf.DUMMYFUNCTION("""COMPUTED_VALUE"""),7.0)</f>
        <v>7</v>
      </c>
      <c r="E434" s="1429">
        <f>IFERROR(__xludf.DUMMYFUNCTION("""COMPUTED_VALUE"""),45477.0)</f>
        <v>45477</v>
      </c>
      <c r="F434" s="1429">
        <f>IFERROR(__xludf.DUMMYFUNCTION("""COMPUTED_VALUE"""),45480.0)</f>
        <v>45480</v>
      </c>
      <c r="G434" s="1164">
        <f>IFERROR(__xludf.DUMMYFUNCTION("""COMPUTED_VALUE"""),3.0)</f>
        <v>3</v>
      </c>
      <c r="H434" s="1430">
        <f>IFERROR(__xludf.DUMMYFUNCTION("""COMPUTED_VALUE"""),154.0)</f>
        <v>154</v>
      </c>
      <c r="I434" s="94"/>
      <c r="J434" s="94"/>
      <c r="K434" s="94">
        <f>IFERROR(__xludf.DUMMYFUNCTION("""COMPUTED_VALUE"""),60.0)</f>
        <v>60</v>
      </c>
      <c r="L434" s="94">
        <f>IFERROR(__xludf.DUMMYFUNCTION("""COMPUTED_VALUE"""),40.0)</f>
        <v>40</v>
      </c>
      <c r="M434" s="94">
        <f>IFERROR(__xludf.DUMMYFUNCTION("""COMPUTED_VALUE"""),20.0)</f>
        <v>20</v>
      </c>
      <c r="N434" s="94"/>
      <c r="O434" s="1430">
        <f>IFERROR(__xludf.DUMMYFUNCTION("""COMPUTED_VALUE"""),20.0)</f>
        <v>20</v>
      </c>
      <c r="P434" s="1431">
        <f>IFERROR(__xludf.DUMMYFUNCTION("""COMPUTED_VALUE"""),2.75)</f>
        <v>2.75</v>
      </c>
      <c r="Q434" s="1432">
        <f>IFERROR(__xludf.DUMMYFUNCTION("""COMPUTED_VALUE"""),423.5)</f>
        <v>423.5</v>
      </c>
    </row>
    <row r="435" ht="15.75" customHeight="1">
      <c r="A435" s="94"/>
      <c r="B435" s="94" t="str">
        <f>IFERROR(__xludf.DUMMYFUNCTION("""COMPUTED_VALUE"""),"WS E 1202")</f>
        <v>WS E 1202</v>
      </c>
      <c r="C435" s="1429" t="str">
        <f>IFERROR(__xludf.DUMMYFUNCTION("""COMPUTED_VALUE"""),"WS")</f>
        <v>WS</v>
      </c>
      <c r="D435" s="1432">
        <f>IFERROR(__xludf.DUMMYFUNCTION("""COMPUTED_VALUE"""),7.0)</f>
        <v>7</v>
      </c>
      <c r="E435" s="1429">
        <f>IFERROR(__xludf.DUMMYFUNCTION("""COMPUTED_VALUE"""),45477.0)</f>
        <v>45477</v>
      </c>
      <c r="F435" s="1429">
        <f>IFERROR(__xludf.DUMMYFUNCTION("""COMPUTED_VALUE"""),45488.0)</f>
        <v>45488</v>
      </c>
      <c r="G435" s="1164">
        <f>IFERROR(__xludf.DUMMYFUNCTION("""COMPUTED_VALUE"""),11.0)</f>
        <v>11</v>
      </c>
      <c r="H435" s="1430">
        <f>IFERROR(__xludf.DUMMYFUNCTION("""COMPUTED_VALUE"""),955.0)</f>
        <v>955</v>
      </c>
      <c r="I435" s="94"/>
      <c r="J435" s="94"/>
      <c r="K435" s="94">
        <f>IFERROR(__xludf.DUMMYFUNCTION("""COMPUTED_VALUE"""),70.0)</f>
        <v>70</v>
      </c>
      <c r="L435" s="94">
        <f>IFERROR(__xludf.DUMMYFUNCTION("""COMPUTED_VALUE"""),40.0)</f>
        <v>40</v>
      </c>
      <c r="M435" s="94">
        <f>IFERROR(__xludf.DUMMYFUNCTION("""COMPUTED_VALUE"""),30.0)</f>
        <v>30</v>
      </c>
      <c r="N435" s="94"/>
      <c r="O435" s="1430">
        <f>IFERROR(__xludf.DUMMYFUNCTION("""COMPUTED_VALUE"""),30.0)</f>
        <v>30</v>
      </c>
      <c r="P435" s="1431">
        <f>IFERROR(__xludf.DUMMYFUNCTION("""COMPUTED_VALUE"""),2.75)</f>
        <v>2.75</v>
      </c>
      <c r="Q435" s="1432">
        <f>IFERROR(__xludf.DUMMYFUNCTION("""COMPUTED_VALUE"""),2626.25)</f>
        <v>2626.25</v>
      </c>
    </row>
    <row r="436" ht="15.75" customHeight="1">
      <c r="A436" s="94"/>
      <c r="B436" s="94" t="str">
        <f>IFERROR(__xludf.DUMMYFUNCTION("""COMPUTED_VALUE"""),"CM 1931")</f>
        <v>CM 1931</v>
      </c>
      <c r="C436" s="1429" t="str">
        <f>IFERROR(__xludf.DUMMYFUNCTION("""COMPUTED_VALUE"""),"MAR")</f>
        <v>MAR</v>
      </c>
      <c r="D436" s="1432">
        <f>IFERROR(__xludf.DUMMYFUNCTION("""COMPUTED_VALUE"""),7.0)</f>
        <v>7</v>
      </c>
      <c r="E436" s="1429">
        <f>IFERROR(__xludf.DUMMYFUNCTION("""COMPUTED_VALUE"""),45477.0)</f>
        <v>45477</v>
      </c>
      <c r="F436" s="1429">
        <f>IFERROR(__xludf.DUMMYFUNCTION("""COMPUTED_VALUE"""),45480.0)</f>
        <v>45480</v>
      </c>
      <c r="G436" s="1164">
        <f>IFERROR(__xludf.DUMMYFUNCTION("""COMPUTED_VALUE"""),3.0)</f>
        <v>3</v>
      </c>
      <c r="H436" s="1430">
        <f>IFERROR(__xludf.DUMMYFUNCTION("""COMPUTED_VALUE"""),121.0)</f>
        <v>121</v>
      </c>
      <c r="I436" s="94"/>
      <c r="J436" s="94"/>
      <c r="K436" s="94">
        <f>IFERROR(__xludf.DUMMYFUNCTION("""COMPUTED_VALUE"""),60.0)</f>
        <v>60</v>
      </c>
      <c r="L436" s="94">
        <f>IFERROR(__xludf.DUMMYFUNCTION("""COMPUTED_VALUE"""),40.0)</f>
        <v>40</v>
      </c>
      <c r="M436" s="94">
        <f>IFERROR(__xludf.DUMMYFUNCTION("""COMPUTED_VALUE"""),20.0)</f>
        <v>20</v>
      </c>
      <c r="N436" s="94"/>
      <c r="O436" s="1430">
        <f>IFERROR(__xludf.DUMMYFUNCTION("""COMPUTED_VALUE"""),20.0)</f>
        <v>20</v>
      </c>
      <c r="P436" s="1431">
        <f>IFERROR(__xludf.DUMMYFUNCTION("""COMPUTED_VALUE"""),2.75)</f>
        <v>2.75</v>
      </c>
      <c r="Q436" s="1432">
        <f>IFERROR(__xludf.DUMMYFUNCTION("""COMPUTED_VALUE"""),332.75)</f>
        <v>332.75</v>
      </c>
    </row>
    <row r="437" ht="15.75" customHeight="1">
      <c r="A437" s="94"/>
      <c r="B437" s="94" t="str">
        <f>IFERROR(__xludf.DUMMYFUNCTION("""COMPUTED_VALUE"""),"WS A 409")</f>
        <v>WS A 409</v>
      </c>
      <c r="C437" s="1429" t="str">
        <f>IFERROR(__xludf.DUMMYFUNCTION("""COMPUTED_VALUE"""),"WS")</f>
        <v>WS</v>
      </c>
      <c r="D437" s="1432">
        <f>IFERROR(__xludf.DUMMYFUNCTION("""COMPUTED_VALUE"""),7.0)</f>
        <v>7</v>
      </c>
      <c r="E437" s="1429">
        <f>IFERROR(__xludf.DUMMYFUNCTION("""COMPUTED_VALUE"""),45478.0)</f>
        <v>45478</v>
      </c>
      <c r="F437" s="1429">
        <f>IFERROR(__xludf.DUMMYFUNCTION("""COMPUTED_VALUE"""),45483.0)</f>
        <v>45483</v>
      </c>
      <c r="G437" s="1164">
        <f>IFERROR(__xludf.DUMMYFUNCTION("""COMPUTED_VALUE"""),5.0)</f>
        <v>5</v>
      </c>
      <c r="H437" s="1430">
        <f>IFERROR(__xludf.DUMMYFUNCTION("""COMPUTED_VALUE"""),165.0)</f>
        <v>165</v>
      </c>
      <c r="I437" s="94"/>
      <c r="J437" s="94"/>
      <c r="K437" s="94">
        <f>IFERROR(__xludf.DUMMYFUNCTION("""COMPUTED_VALUE"""),60.0)</f>
        <v>60</v>
      </c>
      <c r="L437" s="94">
        <f>IFERROR(__xludf.DUMMYFUNCTION("""COMPUTED_VALUE"""),40.0)</f>
        <v>40</v>
      </c>
      <c r="M437" s="94">
        <f>IFERROR(__xludf.DUMMYFUNCTION("""COMPUTED_VALUE"""),20.0)</f>
        <v>20</v>
      </c>
      <c r="N437" s="94"/>
      <c r="O437" s="1430">
        <f>IFERROR(__xludf.DUMMYFUNCTION("""COMPUTED_VALUE"""),20.0)</f>
        <v>20</v>
      </c>
      <c r="P437" s="1431">
        <f>IFERROR(__xludf.DUMMYFUNCTION("""COMPUTED_VALUE"""),2.75)</f>
        <v>2.75</v>
      </c>
      <c r="Q437" s="1432">
        <f>IFERROR(__xludf.DUMMYFUNCTION("""COMPUTED_VALUE"""),453.75)</f>
        <v>453.75</v>
      </c>
    </row>
    <row r="438" ht="15.75" customHeight="1">
      <c r="A438" s="94"/>
      <c r="B438" s="94" t="str">
        <f>IFERROR(__xludf.DUMMYFUNCTION("""COMPUTED_VALUE"""),"С 1125")</f>
        <v>С 1125</v>
      </c>
      <c r="C438" s="1429" t="str">
        <f>IFERROR(__xludf.DUMMYFUNCTION("""COMPUTED_VALUE"""),"ORBI")</f>
        <v>ORBI</v>
      </c>
      <c r="D438" s="1432">
        <f>IFERROR(__xludf.DUMMYFUNCTION("""COMPUTED_VALUE"""),7.0)</f>
        <v>7</v>
      </c>
      <c r="E438" s="1429">
        <f>IFERROR(__xludf.DUMMYFUNCTION("""COMPUTED_VALUE"""),45478.0)</f>
        <v>45478</v>
      </c>
      <c r="F438" s="1429">
        <f>IFERROR(__xludf.DUMMYFUNCTION("""COMPUTED_VALUE"""),45480.0)</f>
        <v>45480</v>
      </c>
      <c r="G438" s="1164">
        <f>IFERROR(__xludf.DUMMYFUNCTION("""COMPUTED_VALUE"""),2.0)</f>
        <v>2</v>
      </c>
      <c r="H438" s="1430">
        <f>IFERROR(__xludf.DUMMYFUNCTION("""COMPUTED_VALUE"""),71.0)</f>
        <v>71</v>
      </c>
      <c r="I438" s="94"/>
      <c r="J438" s="94"/>
      <c r="K438" s="94">
        <f>IFERROR(__xludf.DUMMYFUNCTION("""COMPUTED_VALUE"""),50.0)</f>
        <v>50</v>
      </c>
      <c r="L438" s="94">
        <f>IFERROR(__xludf.DUMMYFUNCTION("""COMPUTED_VALUE"""),40.0)</f>
        <v>40</v>
      </c>
      <c r="M438" s="94">
        <f>IFERROR(__xludf.DUMMYFUNCTION("""COMPUTED_VALUE"""),10.0)</f>
        <v>10</v>
      </c>
      <c r="N438" s="94"/>
      <c r="O438" s="1430">
        <f>IFERROR(__xludf.DUMMYFUNCTION("""COMPUTED_VALUE"""),10.0)</f>
        <v>10</v>
      </c>
      <c r="P438" s="1431">
        <f>IFERROR(__xludf.DUMMYFUNCTION("""COMPUTED_VALUE"""),2.75)</f>
        <v>2.75</v>
      </c>
      <c r="Q438" s="1432">
        <f>IFERROR(__xludf.DUMMYFUNCTION("""COMPUTED_VALUE"""),195.25)</f>
        <v>195.25</v>
      </c>
    </row>
    <row r="439" ht="15.75" customHeight="1">
      <c r="A439" s="94"/>
      <c r="B439" s="94" t="str">
        <f>IFERROR(__xludf.DUMMYFUNCTION("""COMPUTED_VALUE"""),"А 4049")</f>
        <v>А 4049</v>
      </c>
      <c r="C439" s="1429" t="str">
        <f>IFERROR(__xludf.DUMMYFUNCTION("""COMPUTED_VALUE"""),"ORBI")</f>
        <v>ORBI</v>
      </c>
      <c r="D439" s="1432">
        <f>IFERROR(__xludf.DUMMYFUNCTION("""COMPUTED_VALUE"""),7.0)</f>
        <v>7</v>
      </c>
      <c r="E439" s="1429">
        <f>IFERROR(__xludf.DUMMYFUNCTION("""COMPUTED_VALUE"""),45478.0)</f>
        <v>45478</v>
      </c>
      <c r="F439" s="1429">
        <f>IFERROR(__xludf.DUMMYFUNCTION("""COMPUTED_VALUE"""),45483.0)</f>
        <v>45483</v>
      </c>
      <c r="G439" s="1164">
        <f>IFERROR(__xludf.DUMMYFUNCTION("""COMPUTED_VALUE"""),5.0)</f>
        <v>5</v>
      </c>
      <c r="H439" s="1430">
        <f>IFERROR(__xludf.DUMMYFUNCTION("""COMPUTED_VALUE"""),102.0)</f>
        <v>102</v>
      </c>
      <c r="I439" s="94"/>
      <c r="J439" s="94"/>
      <c r="K439" s="94">
        <f>IFERROR(__xludf.DUMMYFUNCTION("""COMPUTED_VALUE"""),50.0)</f>
        <v>50</v>
      </c>
      <c r="L439" s="94">
        <f>IFERROR(__xludf.DUMMYFUNCTION("""COMPUTED_VALUE"""),40.0)</f>
        <v>40</v>
      </c>
      <c r="M439" s="94">
        <f>IFERROR(__xludf.DUMMYFUNCTION("""COMPUTED_VALUE"""),10.0)</f>
        <v>10</v>
      </c>
      <c r="N439" s="94"/>
      <c r="O439" s="1430">
        <f>IFERROR(__xludf.DUMMYFUNCTION("""COMPUTED_VALUE"""),10.0)</f>
        <v>10</v>
      </c>
      <c r="P439" s="1431">
        <f>IFERROR(__xludf.DUMMYFUNCTION("""COMPUTED_VALUE"""),2.75)</f>
        <v>2.75</v>
      </c>
      <c r="Q439" s="1432">
        <f>IFERROR(__xludf.DUMMYFUNCTION("""COMPUTED_VALUE"""),280.5)</f>
        <v>280.5</v>
      </c>
    </row>
    <row r="440" ht="15.75" customHeight="1">
      <c r="A440" s="94"/>
      <c r="B440" s="94" t="str">
        <f>IFERROR(__xludf.DUMMYFUNCTION("""COMPUTED_VALUE"""),"WS В 1510")</f>
        <v>WS В 1510</v>
      </c>
      <c r="C440" s="1429" t="str">
        <f>IFERROR(__xludf.DUMMYFUNCTION("""COMPUTED_VALUE"""),"WS")</f>
        <v>WS</v>
      </c>
      <c r="D440" s="1432">
        <f>IFERROR(__xludf.DUMMYFUNCTION("""COMPUTED_VALUE"""),7.0)</f>
        <v>7</v>
      </c>
      <c r="E440" s="1429">
        <f>IFERROR(__xludf.DUMMYFUNCTION("""COMPUTED_VALUE"""),45478.0)</f>
        <v>45478</v>
      </c>
      <c r="F440" s="1429">
        <f>IFERROR(__xludf.DUMMYFUNCTION("""COMPUTED_VALUE"""),45481.0)</f>
        <v>45481</v>
      </c>
      <c r="G440" s="1164">
        <f>IFERROR(__xludf.DUMMYFUNCTION("""COMPUTED_VALUE"""),3.0)</f>
        <v>3</v>
      </c>
      <c r="H440" s="1430">
        <f>IFERROR(__xludf.DUMMYFUNCTION("""COMPUTED_VALUE"""),175.0)</f>
        <v>175</v>
      </c>
      <c r="I440" s="94"/>
      <c r="J440" s="94"/>
      <c r="K440" s="94">
        <f>IFERROR(__xludf.DUMMYFUNCTION("""COMPUTED_VALUE"""),60.0)</f>
        <v>60</v>
      </c>
      <c r="L440" s="94">
        <f>IFERROR(__xludf.DUMMYFUNCTION("""COMPUTED_VALUE"""),40.0)</f>
        <v>40</v>
      </c>
      <c r="M440" s="94">
        <f>IFERROR(__xludf.DUMMYFUNCTION("""COMPUTED_VALUE"""),20.0)</f>
        <v>20</v>
      </c>
      <c r="N440" s="94"/>
      <c r="O440" s="1430">
        <f>IFERROR(__xludf.DUMMYFUNCTION("""COMPUTED_VALUE"""),20.0)</f>
        <v>20</v>
      </c>
      <c r="P440" s="1431">
        <f>IFERROR(__xludf.DUMMYFUNCTION("""COMPUTED_VALUE"""),2.75)</f>
        <v>2.75</v>
      </c>
      <c r="Q440" s="1432">
        <f>IFERROR(__xludf.DUMMYFUNCTION("""COMPUTED_VALUE"""),481.25)</f>
        <v>481.25</v>
      </c>
    </row>
    <row r="441" ht="15.75" customHeight="1">
      <c r="A441" s="94"/>
      <c r="B441" s="94" t="str">
        <f>IFERROR(__xludf.DUMMYFUNCTION("""COMPUTED_VALUE"""),"DL 4-09")</f>
        <v>DL 4-09</v>
      </c>
      <c r="C441" s="1429" t="str">
        <f>IFERROR(__xludf.DUMMYFUNCTION("""COMPUTED_VALUE"""),"DL")</f>
        <v>DL</v>
      </c>
      <c r="D441" s="1432">
        <f>IFERROR(__xludf.DUMMYFUNCTION("""COMPUTED_VALUE"""),7.0)</f>
        <v>7</v>
      </c>
      <c r="E441" s="1429">
        <f>IFERROR(__xludf.DUMMYFUNCTION("""COMPUTED_VALUE"""),45478.0)</f>
        <v>45478</v>
      </c>
      <c r="F441" s="1429">
        <f>IFERROR(__xludf.DUMMYFUNCTION("""COMPUTED_VALUE"""),45480.0)</f>
        <v>45480</v>
      </c>
      <c r="G441" s="1164">
        <f>IFERROR(__xludf.DUMMYFUNCTION("""COMPUTED_VALUE"""),2.0)</f>
        <v>2</v>
      </c>
      <c r="H441" s="94"/>
      <c r="I441" s="94">
        <f>IFERROR(__xludf.DUMMYFUNCTION("""COMPUTED_VALUE"""),340.0)</f>
        <v>340</v>
      </c>
      <c r="J441" s="94"/>
      <c r="K441" s="94">
        <f>IFERROR(__xludf.DUMMYFUNCTION("""COMPUTED_VALUE"""),105.0)</f>
        <v>105</v>
      </c>
      <c r="L441" s="94">
        <f>IFERROR(__xludf.DUMMYFUNCTION("""COMPUTED_VALUE"""),105.0)</f>
        <v>105</v>
      </c>
      <c r="M441" s="94">
        <f>IFERROR(__xludf.DUMMYFUNCTION("""COMPUTED_VALUE"""),0.0)</f>
        <v>0</v>
      </c>
      <c r="N441" s="94"/>
      <c r="O441" s="1430">
        <f>IFERROR(__xludf.DUMMYFUNCTION("""COMPUTED_VALUE"""),0.0)</f>
        <v>0</v>
      </c>
      <c r="P441" s="1431">
        <f>IFERROR(__xludf.DUMMYFUNCTION("""COMPUTED_VALUE"""),2.75)</f>
        <v>2.75</v>
      </c>
      <c r="Q441" s="1432">
        <f>IFERROR(__xludf.DUMMYFUNCTION("""COMPUTED_VALUE"""),340.0)</f>
        <v>340</v>
      </c>
    </row>
    <row r="442" ht="15.75" customHeight="1">
      <c r="A442" s="94"/>
      <c r="B442" s="94" t="str">
        <f>IFERROR(__xludf.DUMMYFUNCTION("""COMPUTED_VALUE"""),"DL 14-702")</f>
        <v>DL 14-702</v>
      </c>
      <c r="C442" s="1429" t="str">
        <f>IFERROR(__xludf.DUMMYFUNCTION("""COMPUTED_VALUE"""),"DL")</f>
        <v>DL</v>
      </c>
      <c r="D442" s="1432">
        <f>IFERROR(__xludf.DUMMYFUNCTION("""COMPUTED_VALUE"""),7.0)</f>
        <v>7</v>
      </c>
      <c r="E442" s="1429">
        <f>IFERROR(__xludf.DUMMYFUNCTION("""COMPUTED_VALUE"""),45478.0)</f>
        <v>45478</v>
      </c>
      <c r="F442" s="1429">
        <f>IFERROR(__xludf.DUMMYFUNCTION("""COMPUTED_VALUE"""),45480.0)</f>
        <v>45480</v>
      </c>
      <c r="G442" s="1164">
        <f>IFERROR(__xludf.DUMMYFUNCTION("""COMPUTED_VALUE"""),2.0)</f>
        <v>2</v>
      </c>
      <c r="H442" s="94"/>
      <c r="I442" s="94">
        <f>IFERROR(__xludf.DUMMYFUNCTION("""COMPUTED_VALUE"""),510.0)</f>
        <v>510</v>
      </c>
      <c r="J442" s="94"/>
      <c r="K442" s="94">
        <f>IFERROR(__xludf.DUMMYFUNCTION("""COMPUTED_VALUE"""),105.0)</f>
        <v>105</v>
      </c>
      <c r="L442" s="94">
        <f>IFERROR(__xludf.DUMMYFUNCTION("""COMPUTED_VALUE"""),105.0)</f>
        <v>105</v>
      </c>
      <c r="M442" s="94">
        <f>IFERROR(__xludf.DUMMYFUNCTION("""COMPUTED_VALUE"""),0.0)</f>
        <v>0</v>
      </c>
      <c r="N442" s="94"/>
      <c r="O442" s="1430">
        <f>IFERROR(__xludf.DUMMYFUNCTION("""COMPUTED_VALUE"""),0.0)</f>
        <v>0</v>
      </c>
      <c r="P442" s="1431">
        <f>IFERROR(__xludf.DUMMYFUNCTION("""COMPUTED_VALUE"""),2.75)</f>
        <v>2.75</v>
      </c>
      <c r="Q442" s="1432">
        <f>IFERROR(__xludf.DUMMYFUNCTION("""COMPUTED_VALUE"""),510.0)</f>
        <v>510</v>
      </c>
    </row>
    <row r="443" ht="15.75" customHeight="1">
      <c r="A443" s="94"/>
      <c r="B443" s="94" t="str">
        <f>IFERROR(__xludf.DUMMYFUNCTION("""COMPUTED_VALUE"""),"14-411")</f>
        <v>14-411</v>
      </c>
      <c r="C443" s="1429" t="str">
        <f>IFERROR(__xludf.DUMMYFUNCTION("""COMPUTED_VALUE"""),"DL")</f>
        <v>DL</v>
      </c>
      <c r="D443" s="1432">
        <f>IFERROR(__xludf.DUMMYFUNCTION("""COMPUTED_VALUE"""),7.0)</f>
        <v>7</v>
      </c>
      <c r="E443" s="1429">
        <f>IFERROR(__xludf.DUMMYFUNCTION("""COMPUTED_VALUE"""),45478.0)</f>
        <v>45478</v>
      </c>
      <c r="F443" s="1429">
        <f>IFERROR(__xludf.DUMMYFUNCTION("""COMPUTED_VALUE"""),45480.0)</f>
        <v>45480</v>
      </c>
      <c r="G443" s="1164">
        <f>IFERROR(__xludf.DUMMYFUNCTION("""COMPUTED_VALUE"""),2.0)</f>
        <v>2</v>
      </c>
      <c r="H443" s="94"/>
      <c r="I443" s="94">
        <f>IFERROR(__xludf.DUMMYFUNCTION("""COMPUTED_VALUE"""),340.0)</f>
        <v>340</v>
      </c>
      <c r="J443" s="94"/>
      <c r="K443" s="94">
        <f>IFERROR(__xludf.DUMMYFUNCTION("""COMPUTED_VALUE"""),105.0)</f>
        <v>105</v>
      </c>
      <c r="L443" s="94">
        <f>IFERROR(__xludf.DUMMYFUNCTION("""COMPUTED_VALUE"""),105.0)</f>
        <v>105</v>
      </c>
      <c r="M443" s="94">
        <f>IFERROR(__xludf.DUMMYFUNCTION("""COMPUTED_VALUE"""),0.0)</f>
        <v>0</v>
      </c>
      <c r="N443" s="94"/>
      <c r="O443" s="1430">
        <f>IFERROR(__xludf.DUMMYFUNCTION("""COMPUTED_VALUE"""),0.0)</f>
        <v>0</v>
      </c>
      <c r="P443" s="1431">
        <f>IFERROR(__xludf.DUMMYFUNCTION("""COMPUTED_VALUE"""),2.75)</f>
        <v>2.75</v>
      </c>
      <c r="Q443" s="1432">
        <f>IFERROR(__xludf.DUMMYFUNCTION("""COMPUTED_VALUE"""),340.0)</f>
        <v>340</v>
      </c>
    </row>
    <row r="444" ht="15.75" customHeight="1">
      <c r="A444" s="94"/>
      <c r="B444" s="94" t="str">
        <f>IFERROR(__xludf.DUMMYFUNCTION("""COMPUTED_VALUE"""),"DL 14-1214")</f>
        <v>DL 14-1214</v>
      </c>
      <c r="C444" s="1429" t="str">
        <f>IFERROR(__xludf.DUMMYFUNCTION("""COMPUTED_VALUE"""),"DL")</f>
        <v>DL</v>
      </c>
      <c r="D444" s="1432">
        <f>IFERROR(__xludf.DUMMYFUNCTION("""COMPUTED_VALUE"""),7.0)</f>
        <v>7</v>
      </c>
      <c r="E444" s="1429">
        <f>IFERROR(__xludf.DUMMYFUNCTION("""COMPUTED_VALUE"""),45478.0)</f>
        <v>45478</v>
      </c>
      <c r="F444" s="1429">
        <f>IFERROR(__xludf.DUMMYFUNCTION("""COMPUTED_VALUE"""),45480.0)</f>
        <v>45480</v>
      </c>
      <c r="G444" s="1164">
        <f>IFERROR(__xludf.DUMMYFUNCTION("""COMPUTED_VALUE"""),2.0)</f>
        <v>2</v>
      </c>
      <c r="H444" s="94"/>
      <c r="I444" s="94">
        <f>IFERROR(__xludf.DUMMYFUNCTION("""COMPUTED_VALUE"""),391.0)</f>
        <v>391</v>
      </c>
      <c r="J444" s="94"/>
      <c r="K444" s="94">
        <f>IFERROR(__xludf.DUMMYFUNCTION("""COMPUTED_VALUE"""),105.0)</f>
        <v>105</v>
      </c>
      <c r="L444" s="94">
        <f>IFERROR(__xludf.DUMMYFUNCTION("""COMPUTED_VALUE"""),105.0)</f>
        <v>105</v>
      </c>
      <c r="M444" s="94">
        <f>IFERROR(__xludf.DUMMYFUNCTION("""COMPUTED_VALUE"""),0.0)</f>
        <v>0</v>
      </c>
      <c r="N444" s="94"/>
      <c r="O444" s="1430">
        <f>IFERROR(__xludf.DUMMYFUNCTION("""COMPUTED_VALUE"""),0.0)</f>
        <v>0</v>
      </c>
      <c r="P444" s="1431">
        <f>IFERROR(__xludf.DUMMYFUNCTION("""COMPUTED_VALUE"""),2.75)</f>
        <v>2.75</v>
      </c>
      <c r="Q444" s="1432">
        <f>IFERROR(__xludf.DUMMYFUNCTION("""COMPUTED_VALUE"""),391.0)</f>
        <v>391</v>
      </c>
    </row>
    <row r="445" ht="15.75" customHeight="1">
      <c r="A445" s="94"/>
      <c r="B445" s="94" t="str">
        <f>IFERROR(__xludf.DUMMYFUNCTION("""COMPUTED_VALUE"""),"WS A 713")</f>
        <v>WS A 713</v>
      </c>
      <c r="C445" s="1429" t="str">
        <f>IFERROR(__xludf.DUMMYFUNCTION("""COMPUTED_VALUE"""),"WS")</f>
        <v>WS</v>
      </c>
      <c r="D445" s="1432">
        <f>IFERROR(__xludf.DUMMYFUNCTION("""COMPUTED_VALUE"""),7.0)</f>
        <v>7</v>
      </c>
      <c r="E445" s="1429">
        <f>IFERROR(__xludf.DUMMYFUNCTION("""COMPUTED_VALUE"""),45478.0)</f>
        <v>45478</v>
      </c>
      <c r="F445" s="1429">
        <f>IFERROR(__xludf.DUMMYFUNCTION("""COMPUTED_VALUE"""),45481.0)</f>
        <v>45481</v>
      </c>
      <c r="G445" s="1164">
        <f>IFERROR(__xludf.DUMMYFUNCTION("""COMPUTED_VALUE"""),3.0)</f>
        <v>3</v>
      </c>
      <c r="H445" s="1430">
        <f>IFERROR(__xludf.DUMMYFUNCTION("""COMPUTED_VALUE"""),139.0)</f>
        <v>139</v>
      </c>
      <c r="I445" s="94"/>
      <c r="J445" s="94"/>
      <c r="K445" s="94">
        <f>IFERROR(__xludf.DUMMYFUNCTION("""COMPUTED_VALUE"""),60.0)</f>
        <v>60</v>
      </c>
      <c r="L445" s="94">
        <f>IFERROR(__xludf.DUMMYFUNCTION("""COMPUTED_VALUE"""),40.0)</f>
        <v>40</v>
      </c>
      <c r="M445" s="94">
        <f>IFERROR(__xludf.DUMMYFUNCTION("""COMPUTED_VALUE"""),20.0)</f>
        <v>20</v>
      </c>
      <c r="N445" s="94"/>
      <c r="O445" s="1430">
        <f>IFERROR(__xludf.DUMMYFUNCTION("""COMPUTED_VALUE"""),20.0)</f>
        <v>20</v>
      </c>
      <c r="P445" s="1431">
        <f>IFERROR(__xludf.DUMMYFUNCTION("""COMPUTED_VALUE"""),2.75)</f>
        <v>2.75</v>
      </c>
      <c r="Q445" s="1432">
        <f>IFERROR(__xludf.DUMMYFUNCTION("""COMPUTED_VALUE"""),382.25)</f>
        <v>382.25</v>
      </c>
    </row>
    <row r="446" ht="15.75" customHeight="1">
      <c r="A446" s="94"/>
      <c r="B446" s="94" t="str">
        <f>IFERROR(__xludf.DUMMYFUNCTION("""COMPUTED_VALUE"""),"С 1443")</f>
        <v>С 1443</v>
      </c>
      <c r="C446" s="1429" t="str">
        <f>IFERROR(__xludf.DUMMYFUNCTION("""COMPUTED_VALUE"""),"ORBI")</f>
        <v>ORBI</v>
      </c>
      <c r="D446" s="1432">
        <f>IFERROR(__xludf.DUMMYFUNCTION("""COMPUTED_VALUE"""),7.0)</f>
        <v>7</v>
      </c>
      <c r="E446" s="1429">
        <f>IFERROR(__xludf.DUMMYFUNCTION("""COMPUTED_VALUE"""),45479.0)</f>
        <v>45479</v>
      </c>
      <c r="F446" s="1429">
        <f>IFERROR(__xludf.DUMMYFUNCTION("""COMPUTED_VALUE"""),45486.0)</f>
        <v>45486</v>
      </c>
      <c r="G446" s="1164">
        <f>IFERROR(__xludf.DUMMYFUNCTION("""COMPUTED_VALUE"""),7.0)</f>
        <v>7</v>
      </c>
      <c r="H446" s="1430">
        <f>IFERROR(__xludf.DUMMYFUNCTION("""COMPUTED_VALUE"""),351.0)</f>
        <v>351</v>
      </c>
      <c r="I446" s="94">
        <f>IFERROR(__xludf.DUMMYFUNCTION("""COMPUTED_VALUE"""),0.0)</f>
        <v>0</v>
      </c>
      <c r="J446" s="94"/>
      <c r="K446" s="94">
        <f>IFERROR(__xludf.DUMMYFUNCTION("""COMPUTED_VALUE"""),70.0)</f>
        <v>70</v>
      </c>
      <c r="L446" s="94">
        <f>IFERROR(__xludf.DUMMYFUNCTION("""COMPUTED_VALUE"""),40.0)</f>
        <v>40</v>
      </c>
      <c r="M446" s="94">
        <f>IFERROR(__xludf.DUMMYFUNCTION("""COMPUTED_VALUE"""),30.0)</f>
        <v>30</v>
      </c>
      <c r="N446" s="94"/>
      <c r="O446" s="1430">
        <f>IFERROR(__xludf.DUMMYFUNCTION("""COMPUTED_VALUE"""),30.0)</f>
        <v>30</v>
      </c>
      <c r="P446" s="1431">
        <f>IFERROR(__xludf.DUMMYFUNCTION("""COMPUTED_VALUE"""),2.75)</f>
        <v>2.75</v>
      </c>
      <c r="Q446" s="1432">
        <f>IFERROR(__xludf.DUMMYFUNCTION("""COMPUTED_VALUE"""),965.25)</f>
        <v>965.25</v>
      </c>
    </row>
    <row r="447" ht="15.75" customHeight="1">
      <c r="A447" s="94"/>
      <c r="B447" s="94" t="str">
        <f>IFERROR(__xludf.DUMMYFUNCTION("""COMPUTED_VALUE"""),"WS E 1202")</f>
        <v>WS E 1202</v>
      </c>
      <c r="C447" s="1429" t="str">
        <f>IFERROR(__xludf.DUMMYFUNCTION("""COMPUTED_VALUE"""),"WS")</f>
        <v>WS</v>
      </c>
      <c r="D447" s="1432">
        <f>IFERROR(__xludf.DUMMYFUNCTION("""COMPUTED_VALUE"""),7.0)</f>
        <v>7</v>
      </c>
      <c r="E447" s="1429">
        <f>IFERROR(__xludf.DUMMYFUNCTION("""COMPUTED_VALUE"""),45479.0)</f>
        <v>45479</v>
      </c>
      <c r="F447" s="1429">
        <f>IFERROR(__xludf.DUMMYFUNCTION("""COMPUTED_VALUE"""),45482.0)</f>
        <v>45482</v>
      </c>
      <c r="G447" s="1164">
        <f>IFERROR(__xludf.DUMMYFUNCTION("""COMPUTED_VALUE"""),3.0)</f>
        <v>3</v>
      </c>
      <c r="H447" s="1430">
        <f>IFERROR(__xludf.DUMMYFUNCTION("""COMPUTED_VALUE"""),205.0)</f>
        <v>205</v>
      </c>
      <c r="I447" s="94">
        <f>IFERROR(__xludf.DUMMYFUNCTION("""COMPUTED_VALUE"""),0.0)</f>
        <v>0</v>
      </c>
      <c r="J447" s="94"/>
      <c r="K447" s="94">
        <f>IFERROR(__xludf.DUMMYFUNCTION("""COMPUTED_VALUE"""),70.0)</f>
        <v>70</v>
      </c>
      <c r="L447" s="94">
        <f>IFERROR(__xludf.DUMMYFUNCTION("""COMPUTED_VALUE"""),40.0)</f>
        <v>40</v>
      </c>
      <c r="M447" s="94">
        <f>IFERROR(__xludf.DUMMYFUNCTION("""COMPUTED_VALUE"""),30.0)</f>
        <v>30</v>
      </c>
      <c r="N447" s="94"/>
      <c r="O447" s="1430">
        <f>IFERROR(__xludf.DUMMYFUNCTION("""COMPUTED_VALUE"""),30.0)</f>
        <v>30</v>
      </c>
      <c r="P447" s="1431">
        <f>IFERROR(__xludf.DUMMYFUNCTION("""COMPUTED_VALUE"""),2.75)</f>
        <v>2.75</v>
      </c>
      <c r="Q447" s="1432">
        <f>IFERROR(__xludf.DUMMYFUNCTION("""COMPUTED_VALUE"""),563.75)</f>
        <v>563.75</v>
      </c>
    </row>
    <row r="448" ht="15.75" customHeight="1">
      <c r="A448" s="94"/>
      <c r="B448" s="94" t="str">
        <f>IFERROR(__xludf.DUMMYFUNCTION("""COMPUTED_VALUE"""),"Int 2905")</f>
        <v>Int 2905</v>
      </c>
      <c r="C448" s="1429" t="str">
        <f>IFERROR(__xludf.DUMMYFUNCTION("""COMPUTED_VALUE"""),"Other")</f>
        <v>Other</v>
      </c>
      <c r="D448" s="1432">
        <f>IFERROR(__xludf.DUMMYFUNCTION("""COMPUTED_VALUE"""),7.0)</f>
        <v>7</v>
      </c>
      <c r="E448" s="1429">
        <f>IFERROR(__xludf.DUMMYFUNCTION("""COMPUTED_VALUE"""),45479.0)</f>
        <v>45479</v>
      </c>
      <c r="F448" s="1429">
        <f>IFERROR(__xludf.DUMMYFUNCTION("""COMPUTED_VALUE"""),45488.0)</f>
        <v>45488</v>
      </c>
      <c r="G448" s="1164">
        <f>IFERROR(__xludf.DUMMYFUNCTION("""COMPUTED_VALUE"""),9.0)</f>
        <v>9</v>
      </c>
      <c r="H448" s="1430">
        <f>IFERROR(__xludf.DUMMYFUNCTION("""COMPUTED_VALUE"""),565.0)</f>
        <v>565</v>
      </c>
      <c r="I448" s="94">
        <f>IFERROR(__xludf.DUMMYFUNCTION("""COMPUTED_VALUE"""),0.0)</f>
        <v>0</v>
      </c>
      <c r="J448" s="94"/>
      <c r="K448" s="94">
        <f>IFERROR(__xludf.DUMMYFUNCTION("""COMPUTED_VALUE"""),60.0)</f>
        <v>60</v>
      </c>
      <c r="L448" s="94">
        <f>IFERROR(__xludf.DUMMYFUNCTION("""COMPUTED_VALUE"""),40.0)</f>
        <v>40</v>
      </c>
      <c r="M448" s="94">
        <f>IFERROR(__xludf.DUMMYFUNCTION("""COMPUTED_VALUE"""),20.0)</f>
        <v>20</v>
      </c>
      <c r="N448" s="94"/>
      <c r="O448" s="1430">
        <f>IFERROR(__xludf.DUMMYFUNCTION("""COMPUTED_VALUE"""),20.0)</f>
        <v>20</v>
      </c>
      <c r="P448" s="1431">
        <f>IFERROR(__xludf.DUMMYFUNCTION("""COMPUTED_VALUE"""),2.75)</f>
        <v>2.75</v>
      </c>
      <c r="Q448" s="1432">
        <f>IFERROR(__xludf.DUMMYFUNCTION("""COMPUTED_VALUE"""),1553.75)</f>
        <v>1553.75</v>
      </c>
    </row>
    <row r="449" ht="15.75" customHeight="1">
      <c r="A449" s="94"/>
      <c r="B449" s="94" t="str">
        <f>IFERROR(__xludf.DUMMYFUNCTION("""COMPUTED_VALUE"""),"WS В 503")</f>
        <v>WS В 503</v>
      </c>
      <c r="C449" s="1429" t="str">
        <f>IFERROR(__xludf.DUMMYFUNCTION("""COMPUTED_VALUE"""),"WS")</f>
        <v>WS</v>
      </c>
      <c r="D449" s="1432">
        <f>IFERROR(__xludf.DUMMYFUNCTION("""COMPUTED_VALUE"""),7.0)</f>
        <v>7</v>
      </c>
      <c r="E449" s="1429">
        <f>IFERROR(__xludf.DUMMYFUNCTION("""COMPUTED_VALUE"""),45479.0)</f>
        <v>45479</v>
      </c>
      <c r="F449" s="1429">
        <f>IFERROR(__xludf.DUMMYFUNCTION("""COMPUTED_VALUE"""),45483.0)</f>
        <v>45483</v>
      </c>
      <c r="G449" s="1164">
        <f>IFERROR(__xludf.DUMMYFUNCTION("""COMPUTED_VALUE"""),4.0)</f>
        <v>4</v>
      </c>
      <c r="H449" s="94"/>
      <c r="I449" s="94">
        <f>IFERROR(__xludf.DUMMYFUNCTION("""COMPUTED_VALUE"""),937.0)</f>
        <v>937</v>
      </c>
      <c r="J449" s="94"/>
      <c r="K449" s="94">
        <f>IFERROR(__xludf.DUMMYFUNCTION("""COMPUTED_VALUE"""),70.0)</f>
        <v>70</v>
      </c>
      <c r="L449" s="94">
        <f>IFERROR(__xludf.DUMMYFUNCTION("""COMPUTED_VALUE"""),40.0)</f>
        <v>40</v>
      </c>
      <c r="M449" s="94">
        <f>IFERROR(__xludf.DUMMYFUNCTION("""COMPUTED_VALUE"""),30.0)</f>
        <v>30</v>
      </c>
      <c r="N449" s="94"/>
      <c r="O449" s="1430">
        <f>IFERROR(__xludf.DUMMYFUNCTION("""COMPUTED_VALUE"""),30.0)</f>
        <v>30</v>
      </c>
      <c r="P449" s="1431">
        <f>IFERROR(__xludf.DUMMYFUNCTION("""COMPUTED_VALUE"""),2.75)</f>
        <v>2.75</v>
      </c>
      <c r="Q449" s="1432">
        <f>IFERROR(__xludf.DUMMYFUNCTION("""COMPUTED_VALUE"""),937.0)</f>
        <v>937</v>
      </c>
    </row>
    <row r="450" ht="15.75" customHeight="1">
      <c r="A450" s="94"/>
      <c r="B450" s="94" t="str">
        <f>IFERROR(__xludf.DUMMYFUNCTION("""COMPUTED_VALUE"""),"WS  B 405")</f>
        <v>WS  B 405</v>
      </c>
      <c r="C450" s="1429" t="str">
        <f>IFERROR(__xludf.DUMMYFUNCTION("""COMPUTED_VALUE"""),"WS")</f>
        <v>WS</v>
      </c>
      <c r="D450" s="1432">
        <f>IFERROR(__xludf.DUMMYFUNCTION("""COMPUTED_VALUE"""),7.0)</f>
        <v>7</v>
      </c>
      <c r="E450" s="1429">
        <f>IFERROR(__xludf.DUMMYFUNCTION("""COMPUTED_VALUE"""),45479.0)</f>
        <v>45479</v>
      </c>
      <c r="F450" s="1429">
        <f>IFERROR(__xludf.DUMMYFUNCTION("""COMPUTED_VALUE"""),45483.0)</f>
        <v>45483</v>
      </c>
      <c r="G450" s="1164">
        <f>IFERROR(__xludf.DUMMYFUNCTION("""COMPUTED_VALUE"""),4.0)</f>
        <v>4</v>
      </c>
      <c r="H450" s="94"/>
      <c r="I450" s="94">
        <f>IFERROR(__xludf.DUMMYFUNCTION("""COMPUTED_VALUE"""),937.0)</f>
        <v>937</v>
      </c>
      <c r="J450" s="94"/>
      <c r="K450" s="94">
        <f>IFERROR(__xludf.DUMMYFUNCTION("""COMPUTED_VALUE"""),60.0)</f>
        <v>60</v>
      </c>
      <c r="L450" s="94">
        <f>IFERROR(__xludf.DUMMYFUNCTION("""COMPUTED_VALUE"""),40.0)</f>
        <v>40</v>
      </c>
      <c r="M450" s="94">
        <f>IFERROR(__xludf.DUMMYFUNCTION("""COMPUTED_VALUE"""),20.0)</f>
        <v>20</v>
      </c>
      <c r="N450" s="94"/>
      <c r="O450" s="1430">
        <f>IFERROR(__xludf.DUMMYFUNCTION("""COMPUTED_VALUE"""),20.0)</f>
        <v>20</v>
      </c>
      <c r="P450" s="1431">
        <f>IFERROR(__xludf.DUMMYFUNCTION("""COMPUTED_VALUE"""),2.75)</f>
        <v>2.75</v>
      </c>
      <c r="Q450" s="1432">
        <f>IFERROR(__xludf.DUMMYFUNCTION("""COMPUTED_VALUE"""),937.0)</f>
        <v>937</v>
      </c>
    </row>
    <row r="451" ht="15.75" customHeight="1">
      <c r="A451" s="94"/>
      <c r="B451" s="94" t="str">
        <f>IFERROR(__xludf.DUMMYFUNCTION("""COMPUTED_VALUE"""),"WS A907")</f>
        <v>WS A907</v>
      </c>
      <c r="C451" s="1429" t="str">
        <f>IFERROR(__xludf.DUMMYFUNCTION("""COMPUTED_VALUE"""),"WS")</f>
        <v>WS</v>
      </c>
      <c r="D451" s="1432">
        <f>IFERROR(__xludf.DUMMYFUNCTION("""COMPUTED_VALUE"""),7.0)</f>
        <v>7</v>
      </c>
      <c r="E451" s="1429">
        <f>IFERROR(__xludf.DUMMYFUNCTION("""COMPUTED_VALUE"""),45480.0)</f>
        <v>45480</v>
      </c>
      <c r="F451" s="1429">
        <f>IFERROR(__xludf.DUMMYFUNCTION("""COMPUTED_VALUE"""),45481.0)</f>
        <v>45481</v>
      </c>
      <c r="G451" s="1164">
        <f>IFERROR(__xludf.DUMMYFUNCTION("""COMPUTED_VALUE"""),1.0)</f>
        <v>1</v>
      </c>
      <c r="H451" s="1430">
        <f>IFERROR(__xludf.DUMMYFUNCTION("""COMPUTED_VALUE"""),60.0)</f>
        <v>60</v>
      </c>
      <c r="I451" s="94"/>
      <c r="J451" s="94"/>
      <c r="K451" s="94">
        <f>IFERROR(__xludf.DUMMYFUNCTION("""COMPUTED_VALUE"""),60.0)</f>
        <v>60</v>
      </c>
      <c r="L451" s="94">
        <f>IFERROR(__xludf.DUMMYFUNCTION("""COMPUTED_VALUE"""),40.0)</f>
        <v>40</v>
      </c>
      <c r="M451" s="94">
        <f>IFERROR(__xludf.DUMMYFUNCTION("""COMPUTED_VALUE"""),20.0)</f>
        <v>20</v>
      </c>
      <c r="N451" s="94"/>
      <c r="O451" s="1430">
        <f>IFERROR(__xludf.DUMMYFUNCTION("""COMPUTED_VALUE"""),20.0)</f>
        <v>20</v>
      </c>
      <c r="P451" s="1431">
        <f>IFERROR(__xludf.DUMMYFUNCTION("""COMPUTED_VALUE"""),2.75)</f>
        <v>2.75</v>
      </c>
      <c r="Q451" s="1432">
        <f>IFERROR(__xludf.DUMMYFUNCTION("""COMPUTED_VALUE"""),165.0)</f>
        <v>165</v>
      </c>
    </row>
    <row r="452" ht="15.75" customHeight="1">
      <c r="A452" s="94"/>
      <c r="B452" s="94" t="str">
        <f>IFERROR(__xludf.DUMMYFUNCTION("""COMPUTED_VALUE"""),"D 1321")</f>
        <v>D 1321</v>
      </c>
      <c r="C452" s="1429" t="str">
        <f>IFERROR(__xludf.DUMMYFUNCTION("""COMPUTED_VALUE"""),"ORBI")</f>
        <v>ORBI</v>
      </c>
      <c r="D452" s="1432">
        <f>IFERROR(__xludf.DUMMYFUNCTION("""COMPUTED_VALUE"""),7.0)</f>
        <v>7</v>
      </c>
      <c r="E452" s="1429">
        <f>IFERROR(__xludf.DUMMYFUNCTION("""COMPUTED_VALUE"""),45480.0)</f>
        <v>45480</v>
      </c>
      <c r="F452" s="1429">
        <f>IFERROR(__xludf.DUMMYFUNCTION("""COMPUTED_VALUE"""),45483.0)</f>
        <v>45483</v>
      </c>
      <c r="G452" s="1164">
        <f>IFERROR(__xludf.DUMMYFUNCTION("""COMPUTED_VALUE"""),3.0)</f>
        <v>3</v>
      </c>
      <c r="H452" s="1430">
        <f>IFERROR(__xludf.DUMMYFUNCTION("""COMPUTED_VALUE"""),199.0)</f>
        <v>199</v>
      </c>
      <c r="I452" s="94">
        <f>IFERROR(__xludf.DUMMYFUNCTION("""COMPUTED_VALUE"""),0.0)</f>
        <v>0</v>
      </c>
      <c r="J452" s="94"/>
      <c r="K452" s="94">
        <f>IFERROR(__xludf.DUMMYFUNCTION("""COMPUTED_VALUE"""),50.0)</f>
        <v>50</v>
      </c>
      <c r="L452" s="94">
        <f>IFERROR(__xludf.DUMMYFUNCTION("""COMPUTED_VALUE"""),40.0)</f>
        <v>40</v>
      </c>
      <c r="M452" s="94">
        <f>IFERROR(__xludf.DUMMYFUNCTION("""COMPUTED_VALUE"""),10.0)</f>
        <v>10</v>
      </c>
      <c r="N452" s="94"/>
      <c r="O452" s="1430">
        <f>IFERROR(__xludf.DUMMYFUNCTION("""COMPUTED_VALUE"""),10.0)</f>
        <v>10</v>
      </c>
      <c r="P452" s="1431">
        <f>IFERROR(__xludf.DUMMYFUNCTION("""COMPUTED_VALUE"""),2.75)</f>
        <v>2.75</v>
      </c>
      <c r="Q452" s="1432">
        <f>IFERROR(__xludf.DUMMYFUNCTION("""COMPUTED_VALUE"""),547.25)</f>
        <v>547.25</v>
      </c>
    </row>
    <row r="453" ht="15.75" customHeight="1">
      <c r="A453" s="94"/>
      <c r="B453" s="94" t="str">
        <f>IFERROR(__xludf.DUMMYFUNCTION("""COMPUTED_VALUE"""),"BV206")</f>
        <v>BV206</v>
      </c>
      <c r="C453" s="1429" t="str">
        <f>IFERROR(__xludf.DUMMYFUNCTION("""COMPUTED_VALUE"""),"Other")</f>
        <v>Other</v>
      </c>
      <c r="D453" s="1432">
        <f>IFERROR(__xludf.DUMMYFUNCTION("""COMPUTED_VALUE"""),7.0)</f>
        <v>7</v>
      </c>
      <c r="E453" s="1429">
        <f>IFERROR(__xludf.DUMMYFUNCTION("""COMPUTED_VALUE"""),45481.0)</f>
        <v>45481</v>
      </c>
      <c r="F453" s="1429">
        <f>IFERROR(__xludf.DUMMYFUNCTION("""COMPUTED_VALUE"""),45488.0)</f>
        <v>45488</v>
      </c>
      <c r="G453" s="1164">
        <f>IFERROR(__xludf.DUMMYFUNCTION("""COMPUTED_VALUE"""),7.0)</f>
        <v>7</v>
      </c>
      <c r="H453" s="1430">
        <f>IFERROR(__xludf.DUMMYFUNCTION("""COMPUTED_VALUE"""),536.0)</f>
        <v>536</v>
      </c>
      <c r="I453" s="94">
        <f>IFERROR(__xludf.DUMMYFUNCTION("""COMPUTED_VALUE"""),0.0)</f>
        <v>0</v>
      </c>
      <c r="J453" s="94"/>
      <c r="K453" s="94">
        <f>IFERROR(__xludf.DUMMYFUNCTION("""COMPUTED_VALUE"""),40.0)</f>
        <v>40</v>
      </c>
      <c r="L453" s="94">
        <f>IFERROR(__xludf.DUMMYFUNCTION("""COMPUTED_VALUE"""),40.0)</f>
        <v>40</v>
      </c>
      <c r="M453" s="94">
        <f>IFERROR(__xludf.DUMMYFUNCTION("""COMPUTED_VALUE"""),0.0)</f>
        <v>0</v>
      </c>
      <c r="N453" s="94"/>
      <c r="O453" s="1430">
        <f>IFERROR(__xludf.DUMMYFUNCTION("""COMPUTED_VALUE"""),0.0)</f>
        <v>0</v>
      </c>
      <c r="P453" s="1431">
        <f>IFERROR(__xludf.DUMMYFUNCTION("""COMPUTED_VALUE"""),2.75)</f>
        <v>2.75</v>
      </c>
      <c r="Q453" s="1432">
        <f>IFERROR(__xludf.DUMMYFUNCTION("""COMPUTED_VALUE"""),1474.0)</f>
        <v>1474</v>
      </c>
    </row>
    <row r="454" ht="15.75" customHeight="1">
      <c r="A454" s="94"/>
      <c r="B454" s="94" t="str">
        <f>IFERROR(__xludf.DUMMYFUNCTION("""COMPUTED_VALUE"""),"WS Е804")</f>
        <v>WS Е804</v>
      </c>
      <c r="C454" s="1429" t="str">
        <f>IFERROR(__xludf.DUMMYFUNCTION("""COMPUTED_VALUE"""),"WS")</f>
        <v>WS</v>
      </c>
      <c r="D454" s="1432">
        <f>IFERROR(__xludf.DUMMYFUNCTION("""COMPUTED_VALUE"""),7.0)</f>
        <v>7</v>
      </c>
      <c r="E454" s="1429">
        <f>IFERROR(__xludf.DUMMYFUNCTION("""COMPUTED_VALUE"""),45479.0)</f>
        <v>45479</v>
      </c>
      <c r="F454" s="1429">
        <f>IFERROR(__xludf.DUMMYFUNCTION("""COMPUTED_VALUE"""),45493.0)</f>
        <v>45493</v>
      </c>
      <c r="G454" s="1164">
        <f>IFERROR(__xludf.DUMMYFUNCTION("""COMPUTED_VALUE"""),14.0)</f>
        <v>14</v>
      </c>
      <c r="H454" s="94"/>
      <c r="I454" s="94">
        <f>IFERROR(__xludf.DUMMYFUNCTION("""COMPUTED_VALUE"""),2229.0)</f>
        <v>2229</v>
      </c>
      <c r="J454" s="94"/>
      <c r="K454" s="94">
        <f>IFERROR(__xludf.DUMMYFUNCTION("""COMPUTED_VALUE"""),40.0)</f>
        <v>40</v>
      </c>
      <c r="L454" s="94">
        <f>IFERROR(__xludf.DUMMYFUNCTION("""COMPUTED_VALUE"""),40.0)</f>
        <v>40</v>
      </c>
      <c r="M454" s="94">
        <f>IFERROR(__xludf.DUMMYFUNCTION("""COMPUTED_VALUE"""),0.0)</f>
        <v>0</v>
      </c>
      <c r="N454" s="94"/>
      <c r="O454" s="1430">
        <f>IFERROR(__xludf.DUMMYFUNCTION("""COMPUTED_VALUE"""),0.0)</f>
        <v>0</v>
      </c>
      <c r="P454" s="1431">
        <f>IFERROR(__xludf.DUMMYFUNCTION("""COMPUTED_VALUE"""),2.75)</f>
        <v>2.75</v>
      </c>
      <c r="Q454" s="1432">
        <f>IFERROR(__xludf.DUMMYFUNCTION("""COMPUTED_VALUE"""),2229.0)</f>
        <v>2229</v>
      </c>
    </row>
    <row r="455" ht="15.75" customHeight="1">
      <c r="A455" s="94"/>
      <c r="B455" s="94" t="str">
        <f>IFERROR(__xludf.DUMMYFUNCTION("""COMPUTED_VALUE"""),"WS A 608")</f>
        <v>WS A 608</v>
      </c>
      <c r="C455" s="1429" t="str">
        <f>IFERROR(__xludf.DUMMYFUNCTION("""COMPUTED_VALUE"""),"WS")</f>
        <v>WS</v>
      </c>
      <c r="D455" s="1432">
        <f>IFERROR(__xludf.DUMMYFUNCTION("""COMPUTED_VALUE"""),7.0)</f>
        <v>7</v>
      </c>
      <c r="E455" s="1429">
        <f>IFERROR(__xludf.DUMMYFUNCTION("""COMPUTED_VALUE"""),45480.0)</f>
        <v>45480</v>
      </c>
      <c r="F455" s="1429">
        <f>IFERROR(__xludf.DUMMYFUNCTION("""COMPUTED_VALUE"""),45492.0)</f>
        <v>45492</v>
      </c>
      <c r="G455" s="1164">
        <f>IFERROR(__xludf.DUMMYFUNCTION("""COMPUTED_VALUE"""),12.0)</f>
        <v>12</v>
      </c>
      <c r="H455" s="94"/>
      <c r="I455" s="94">
        <f>IFERROR(__xludf.DUMMYFUNCTION("""COMPUTED_VALUE"""),2078.0)</f>
        <v>2078</v>
      </c>
      <c r="J455" s="94"/>
      <c r="K455" s="94">
        <f>IFERROR(__xludf.DUMMYFUNCTION("""COMPUTED_VALUE"""),60.0)</f>
        <v>60</v>
      </c>
      <c r="L455" s="94">
        <f>IFERROR(__xludf.DUMMYFUNCTION("""COMPUTED_VALUE"""),40.0)</f>
        <v>40</v>
      </c>
      <c r="M455" s="94">
        <f>IFERROR(__xludf.DUMMYFUNCTION("""COMPUTED_VALUE"""),20.0)</f>
        <v>20</v>
      </c>
      <c r="N455" s="94"/>
      <c r="O455" s="1430">
        <f>IFERROR(__xludf.DUMMYFUNCTION("""COMPUTED_VALUE"""),20.0)</f>
        <v>20</v>
      </c>
      <c r="P455" s="1431">
        <f>IFERROR(__xludf.DUMMYFUNCTION("""COMPUTED_VALUE"""),2.75)</f>
        <v>2.75</v>
      </c>
      <c r="Q455" s="1432">
        <f>IFERROR(__xludf.DUMMYFUNCTION("""COMPUTED_VALUE"""),2078.0)</f>
        <v>2078</v>
      </c>
    </row>
    <row r="456" ht="15.75" customHeight="1">
      <c r="A456" s="94"/>
      <c r="B456" s="94" t="str">
        <f>IFERROR(__xludf.DUMMYFUNCTION("""COMPUTED_VALUE"""),"WS A 1312")</f>
        <v>WS A 1312</v>
      </c>
      <c r="C456" s="1429" t="str">
        <f>IFERROR(__xludf.DUMMYFUNCTION("""COMPUTED_VALUE"""),"WS")</f>
        <v>WS</v>
      </c>
      <c r="D456" s="1432">
        <f>IFERROR(__xludf.DUMMYFUNCTION("""COMPUTED_VALUE"""),7.0)</f>
        <v>7</v>
      </c>
      <c r="E456" s="1429">
        <f>IFERROR(__xludf.DUMMYFUNCTION("""COMPUTED_VALUE"""),45480.0)</f>
        <v>45480</v>
      </c>
      <c r="F456" s="1429">
        <f>IFERROR(__xludf.DUMMYFUNCTION("""COMPUTED_VALUE"""),45482.0)</f>
        <v>45482</v>
      </c>
      <c r="G456" s="1164">
        <f>IFERROR(__xludf.DUMMYFUNCTION("""COMPUTED_VALUE"""),2.0)</f>
        <v>2</v>
      </c>
      <c r="H456" s="1430">
        <f>IFERROR(__xludf.DUMMYFUNCTION("""COMPUTED_VALUE"""),87.0)</f>
        <v>87</v>
      </c>
      <c r="I456" s="94"/>
      <c r="J456" s="94"/>
      <c r="K456" s="94">
        <f>IFERROR(__xludf.DUMMYFUNCTION("""COMPUTED_VALUE"""),60.0)</f>
        <v>60</v>
      </c>
      <c r="L456" s="94">
        <f>IFERROR(__xludf.DUMMYFUNCTION("""COMPUTED_VALUE"""),40.0)</f>
        <v>40</v>
      </c>
      <c r="M456" s="94">
        <f>IFERROR(__xludf.DUMMYFUNCTION("""COMPUTED_VALUE"""),20.0)</f>
        <v>20</v>
      </c>
      <c r="N456" s="94"/>
      <c r="O456" s="1430">
        <f>IFERROR(__xludf.DUMMYFUNCTION("""COMPUTED_VALUE"""),20.0)</f>
        <v>20</v>
      </c>
      <c r="P456" s="1431">
        <f>IFERROR(__xludf.DUMMYFUNCTION("""COMPUTED_VALUE"""),2.75)</f>
        <v>2.75</v>
      </c>
      <c r="Q456" s="1432">
        <f>IFERROR(__xludf.DUMMYFUNCTION("""COMPUTED_VALUE"""),239.25)</f>
        <v>239.25</v>
      </c>
    </row>
    <row r="457" ht="15.75" customHeight="1">
      <c r="A457" s="94"/>
      <c r="B457" s="94" t="str">
        <f>IFERROR(__xludf.DUMMYFUNCTION("""COMPUTED_VALUE"""),"С 1125")</f>
        <v>С 1125</v>
      </c>
      <c r="C457" s="1429" t="str">
        <f>IFERROR(__xludf.DUMMYFUNCTION("""COMPUTED_VALUE"""),"ORBI")</f>
        <v>ORBI</v>
      </c>
      <c r="D457" s="1432">
        <f>IFERROR(__xludf.DUMMYFUNCTION("""COMPUTED_VALUE"""),7.0)</f>
        <v>7</v>
      </c>
      <c r="E457" s="1429">
        <f>IFERROR(__xludf.DUMMYFUNCTION("""COMPUTED_VALUE"""),45480.0)</f>
        <v>45480</v>
      </c>
      <c r="F457" s="1429">
        <f>IFERROR(__xludf.DUMMYFUNCTION("""COMPUTED_VALUE"""),45484.0)</f>
        <v>45484</v>
      </c>
      <c r="G457" s="1164">
        <f>IFERROR(__xludf.DUMMYFUNCTION("""COMPUTED_VALUE"""),4.0)</f>
        <v>4</v>
      </c>
      <c r="H457" s="1430">
        <f>IFERROR(__xludf.DUMMYFUNCTION("""COMPUTED_VALUE"""),129.0)</f>
        <v>129</v>
      </c>
      <c r="I457" s="94"/>
      <c r="J457" s="94"/>
      <c r="K457" s="94">
        <f>IFERROR(__xludf.DUMMYFUNCTION("""COMPUTED_VALUE"""),50.0)</f>
        <v>50</v>
      </c>
      <c r="L457" s="94">
        <f>IFERROR(__xludf.DUMMYFUNCTION("""COMPUTED_VALUE"""),40.0)</f>
        <v>40</v>
      </c>
      <c r="M457" s="94">
        <f>IFERROR(__xludf.DUMMYFUNCTION("""COMPUTED_VALUE"""),10.0)</f>
        <v>10</v>
      </c>
      <c r="N457" s="94"/>
      <c r="O457" s="1430">
        <f>IFERROR(__xludf.DUMMYFUNCTION("""COMPUTED_VALUE"""),10.0)</f>
        <v>10</v>
      </c>
      <c r="P457" s="1431">
        <f>IFERROR(__xludf.DUMMYFUNCTION("""COMPUTED_VALUE"""),2.75)</f>
        <v>2.75</v>
      </c>
      <c r="Q457" s="1432">
        <f>IFERROR(__xludf.DUMMYFUNCTION("""COMPUTED_VALUE"""),354.75)</f>
        <v>354.75</v>
      </c>
    </row>
    <row r="458" ht="15.75" customHeight="1">
      <c r="A458" s="94"/>
      <c r="B458" s="94" t="str">
        <f>IFERROR(__xludf.DUMMYFUNCTION("""COMPUTED_VALUE"""),"DL14-1405")</f>
        <v>DL14-1405</v>
      </c>
      <c r="C458" s="1429" t="str">
        <f>IFERROR(__xludf.DUMMYFUNCTION("""COMPUTED_VALUE"""),"DL")</f>
        <v>DL</v>
      </c>
      <c r="D458" s="1432">
        <f>IFERROR(__xludf.DUMMYFUNCTION("""COMPUTED_VALUE"""),7.0)</f>
        <v>7</v>
      </c>
      <c r="E458" s="1429">
        <f>IFERROR(__xludf.DUMMYFUNCTION("""COMPUTED_VALUE"""),45480.0)</f>
        <v>45480</v>
      </c>
      <c r="F458" s="1429">
        <f>IFERROR(__xludf.DUMMYFUNCTION("""COMPUTED_VALUE"""),45487.0)</f>
        <v>45487</v>
      </c>
      <c r="G458" s="1164">
        <f>IFERROR(__xludf.DUMMYFUNCTION("""COMPUTED_VALUE"""),7.0)</f>
        <v>7</v>
      </c>
      <c r="H458" s="1430">
        <f>IFERROR(__xludf.DUMMYFUNCTION("""COMPUTED_VALUE"""),658.0)</f>
        <v>658</v>
      </c>
      <c r="I458" s="94">
        <f>IFERROR(__xludf.DUMMYFUNCTION("""COMPUTED_VALUE"""),0.0)</f>
        <v>0</v>
      </c>
      <c r="J458" s="94"/>
      <c r="K458" s="94">
        <f>IFERROR(__xludf.DUMMYFUNCTION("""COMPUTED_VALUE"""),105.0)</f>
        <v>105</v>
      </c>
      <c r="L458" s="94">
        <f>IFERROR(__xludf.DUMMYFUNCTION("""COMPUTED_VALUE"""),105.0)</f>
        <v>105</v>
      </c>
      <c r="M458" s="94">
        <f>IFERROR(__xludf.DUMMYFUNCTION("""COMPUTED_VALUE"""),0.0)</f>
        <v>0</v>
      </c>
      <c r="N458" s="94"/>
      <c r="O458" s="1430">
        <f>IFERROR(__xludf.DUMMYFUNCTION("""COMPUTED_VALUE"""),0.0)</f>
        <v>0</v>
      </c>
      <c r="P458" s="1431">
        <f>IFERROR(__xludf.DUMMYFUNCTION("""COMPUTED_VALUE"""),2.75)</f>
        <v>2.75</v>
      </c>
      <c r="Q458" s="1432">
        <f>IFERROR(__xludf.DUMMYFUNCTION("""COMPUTED_VALUE"""),1809.5)</f>
        <v>1809.5</v>
      </c>
    </row>
    <row r="459" ht="15.75" customHeight="1">
      <c r="A459" s="94" t="str">
        <f>IFERROR(__xludf.DUMMYFUNCTION("""COMPUTED_VALUE"""),"Итого неделя")</f>
        <v>Итого неделя</v>
      </c>
      <c r="B459" s="94" t="str">
        <f>IFERROR(__xludf.DUMMYFUNCTION("""COMPUTED_VALUE"""),"27 неделя")</f>
        <v>27 неделя</v>
      </c>
      <c r="C459" s="94"/>
      <c r="D459" s="94"/>
      <c r="E459" s="94"/>
      <c r="F459" s="94"/>
      <c r="G459" s="1164">
        <f>IFERROR(__xludf.DUMMYFUNCTION("""COMPUTED_VALUE"""),237.0)</f>
        <v>237</v>
      </c>
      <c r="H459" s="1430">
        <f>IFERROR(__xludf.DUMMYFUNCTION("""COMPUTED_VALUE"""),10514.0)</f>
        <v>10514</v>
      </c>
      <c r="I459" s="94">
        <f>IFERROR(__xludf.DUMMYFUNCTION("""COMPUTED_VALUE"""),9571.0)</f>
        <v>9571</v>
      </c>
      <c r="J459" s="94">
        <f>IFERROR(__xludf.DUMMYFUNCTION("""COMPUTED_VALUE"""),0.0)</f>
        <v>0</v>
      </c>
      <c r="K459" s="94">
        <f>IFERROR(__xludf.DUMMYFUNCTION("""COMPUTED_VALUE"""),2725.0)</f>
        <v>2725</v>
      </c>
      <c r="L459" s="94">
        <f>IFERROR(__xludf.DUMMYFUNCTION("""COMPUTED_VALUE"""),2055.0)</f>
        <v>2055</v>
      </c>
      <c r="M459" s="94">
        <f>IFERROR(__xludf.DUMMYFUNCTION("""COMPUTED_VALUE"""),670.0)</f>
        <v>670</v>
      </c>
      <c r="N459" s="94">
        <f>IFERROR(__xludf.DUMMYFUNCTION("""COMPUTED_VALUE"""),0.0)</f>
        <v>0</v>
      </c>
      <c r="O459" s="1430">
        <f>IFERROR(__xludf.DUMMYFUNCTION("""COMPUTED_VALUE"""),670.0)</f>
        <v>670</v>
      </c>
      <c r="P459" s="1431">
        <f>IFERROR(__xludf.DUMMYFUNCTION("""COMPUTED_VALUE"""),110.03)</f>
        <v>110.03</v>
      </c>
      <c r="Q459" s="1432">
        <f>IFERROR(__xludf.DUMMYFUNCTION("""COMPUTED_VALUE"""),38504.96)</f>
        <v>38504.96</v>
      </c>
    </row>
    <row r="460" ht="15.75" customHeight="1">
      <c r="A460" s="94"/>
      <c r="B460" s="94" t="str">
        <f>IFERROR(__xludf.DUMMYFUNCTION("""COMPUTED_VALUE"""),"DL 4-09")</f>
        <v>DL 4-09</v>
      </c>
      <c r="C460" s="1429" t="str">
        <f>IFERROR(__xludf.DUMMYFUNCTION("""COMPUTED_VALUE"""),"DL")</f>
        <v>DL</v>
      </c>
      <c r="D460" s="1432">
        <f>IFERROR(__xludf.DUMMYFUNCTION("""COMPUTED_VALUE"""),7.0)</f>
        <v>7</v>
      </c>
      <c r="E460" s="1429">
        <f>IFERROR(__xludf.DUMMYFUNCTION("""COMPUTED_VALUE"""),45481.0)</f>
        <v>45481</v>
      </c>
      <c r="F460" s="1429">
        <f>IFERROR(__xludf.DUMMYFUNCTION("""COMPUTED_VALUE"""),45485.0)</f>
        <v>45485</v>
      </c>
      <c r="G460" s="1164">
        <f>IFERROR(__xludf.DUMMYFUNCTION("""COMPUTED_VALUE"""),4.0)</f>
        <v>4</v>
      </c>
      <c r="H460" s="1430">
        <f>IFERROR(__xludf.DUMMYFUNCTION("""COMPUTED_VALUE"""),228.0)</f>
        <v>228</v>
      </c>
      <c r="I460" s="94"/>
      <c r="J460" s="94"/>
      <c r="K460" s="94">
        <f>IFERROR(__xludf.DUMMYFUNCTION("""COMPUTED_VALUE"""),40.0)</f>
        <v>40</v>
      </c>
      <c r="L460" s="94">
        <f>IFERROR(__xludf.DUMMYFUNCTION("""COMPUTED_VALUE"""),40.0)</f>
        <v>40</v>
      </c>
      <c r="M460" s="94">
        <f>IFERROR(__xludf.DUMMYFUNCTION("""COMPUTED_VALUE"""),0.0)</f>
        <v>0</v>
      </c>
      <c r="N460" s="94"/>
      <c r="O460" s="1430">
        <f>IFERROR(__xludf.DUMMYFUNCTION("""COMPUTED_VALUE"""),0.0)</f>
        <v>0</v>
      </c>
      <c r="P460" s="1431">
        <f>IFERROR(__xludf.DUMMYFUNCTION("""COMPUTED_VALUE"""),2.72)</f>
        <v>2.72</v>
      </c>
      <c r="Q460" s="1432">
        <f>IFERROR(__xludf.DUMMYFUNCTION("""COMPUTED_VALUE"""),620.1600000000001)</f>
        <v>620.16</v>
      </c>
    </row>
    <row r="461" ht="15.75" customHeight="1">
      <c r="A461" s="94"/>
      <c r="B461" s="94" t="str">
        <f>IFERROR(__xludf.DUMMYFUNCTION("""COMPUTED_VALUE"""),"WS A 713")</f>
        <v>WS A 713</v>
      </c>
      <c r="C461" s="1429" t="str">
        <f>IFERROR(__xludf.DUMMYFUNCTION("""COMPUTED_VALUE"""),"WS")</f>
        <v>WS</v>
      </c>
      <c r="D461" s="1432">
        <f>IFERROR(__xludf.DUMMYFUNCTION("""COMPUTED_VALUE"""),7.0)</f>
        <v>7</v>
      </c>
      <c r="E461" s="1429">
        <f>IFERROR(__xludf.DUMMYFUNCTION("""COMPUTED_VALUE"""),45481.0)</f>
        <v>45481</v>
      </c>
      <c r="F461" s="1429">
        <f>IFERROR(__xludf.DUMMYFUNCTION("""COMPUTED_VALUE"""),45483.0)</f>
        <v>45483</v>
      </c>
      <c r="G461" s="1164">
        <f>IFERROR(__xludf.DUMMYFUNCTION("""COMPUTED_VALUE"""),2.0)</f>
        <v>2</v>
      </c>
      <c r="H461" s="94"/>
      <c r="I461" s="94">
        <f>IFERROR(__xludf.DUMMYFUNCTION("""COMPUTED_VALUE"""),292.0)</f>
        <v>292</v>
      </c>
      <c r="J461" s="94"/>
      <c r="K461" s="94">
        <f>IFERROR(__xludf.DUMMYFUNCTION("""COMPUTED_VALUE"""),60.0)</f>
        <v>60</v>
      </c>
      <c r="L461" s="94">
        <f>IFERROR(__xludf.DUMMYFUNCTION("""COMPUTED_VALUE"""),40.0)</f>
        <v>40</v>
      </c>
      <c r="M461" s="94">
        <f>IFERROR(__xludf.DUMMYFUNCTION("""COMPUTED_VALUE"""),20.0)</f>
        <v>20</v>
      </c>
      <c r="N461" s="94"/>
      <c r="O461" s="1430">
        <f>IFERROR(__xludf.DUMMYFUNCTION("""COMPUTED_VALUE"""),20.0)</f>
        <v>20</v>
      </c>
      <c r="P461" s="1431">
        <f>IFERROR(__xludf.DUMMYFUNCTION("""COMPUTED_VALUE"""),2.72)</f>
        <v>2.72</v>
      </c>
      <c r="Q461" s="1432">
        <f>IFERROR(__xludf.DUMMYFUNCTION("""COMPUTED_VALUE"""),292.0)</f>
        <v>292</v>
      </c>
    </row>
    <row r="462" ht="15.75" customHeight="1">
      <c r="A462" s="94"/>
      <c r="B462" s="94" t="str">
        <f>IFERROR(__xludf.DUMMYFUNCTION("""COMPUTED_VALUE"""),"CM 1931")</f>
        <v>CM 1931</v>
      </c>
      <c r="C462" s="1429" t="str">
        <f>IFERROR(__xludf.DUMMYFUNCTION("""COMPUTED_VALUE"""),"MAR")</f>
        <v>MAR</v>
      </c>
      <c r="D462" s="1432">
        <f>IFERROR(__xludf.DUMMYFUNCTION("""COMPUTED_VALUE"""),7.0)</f>
        <v>7</v>
      </c>
      <c r="E462" s="1429">
        <f>IFERROR(__xludf.DUMMYFUNCTION("""COMPUTED_VALUE"""),45481.0)</f>
        <v>45481</v>
      </c>
      <c r="F462" s="1429">
        <f>IFERROR(__xludf.DUMMYFUNCTION("""COMPUTED_VALUE"""),45486.0)</f>
        <v>45486</v>
      </c>
      <c r="G462" s="1164">
        <f>IFERROR(__xludf.DUMMYFUNCTION("""COMPUTED_VALUE"""),5.0)</f>
        <v>5</v>
      </c>
      <c r="H462" s="1430">
        <f>IFERROR(__xludf.DUMMYFUNCTION("""COMPUTED_VALUE"""),270.0)</f>
        <v>270</v>
      </c>
      <c r="I462" s="94"/>
      <c r="J462" s="94"/>
      <c r="K462" s="94">
        <f>IFERROR(__xludf.DUMMYFUNCTION("""COMPUTED_VALUE"""),60.0)</f>
        <v>60</v>
      </c>
      <c r="L462" s="94">
        <f>IFERROR(__xludf.DUMMYFUNCTION("""COMPUTED_VALUE"""),40.0)</f>
        <v>40</v>
      </c>
      <c r="M462" s="94">
        <f>IFERROR(__xludf.DUMMYFUNCTION("""COMPUTED_VALUE"""),20.0)</f>
        <v>20</v>
      </c>
      <c r="N462" s="94"/>
      <c r="O462" s="1430">
        <f>IFERROR(__xludf.DUMMYFUNCTION("""COMPUTED_VALUE"""),20.0)</f>
        <v>20</v>
      </c>
      <c r="P462" s="1431">
        <f>IFERROR(__xludf.DUMMYFUNCTION("""COMPUTED_VALUE"""),2.72)</f>
        <v>2.72</v>
      </c>
      <c r="Q462" s="1432">
        <f>IFERROR(__xludf.DUMMYFUNCTION("""COMPUTED_VALUE"""),734.4000000000001)</f>
        <v>734.4</v>
      </c>
    </row>
    <row r="463" ht="15.75" customHeight="1">
      <c r="A463" s="94"/>
      <c r="B463" s="94" t="str">
        <f>IFERROR(__xludf.DUMMYFUNCTION("""COMPUTED_VALUE"""),"CM 1606")</f>
        <v>CM 1606</v>
      </c>
      <c r="C463" s="1429" t="str">
        <f>IFERROR(__xludf.DUMMYFUNCTION("""COMPUTED_VALUE"""),"MAR")</f>
        <v>MAR</v>
      </c>
      <c r="D463" s="1432">
        <f>IFERROR(__xludf.DUMMYFUNCTION("""COMPUTED_VALUE"""),7.0)</f>
        <v>7</v>
      </c>
      <c r="E463" s="1429">
        <f>IFERROR(__xludf.DUMMYFUNCTION("""COMPUTED_VALUE"""),45480.0)</f>
        <v>45480</v>
      </c>
      <c r="F463" s="1429">
        <f>IFERROR(__xludf.DUMMYFUNCTION("""COMPUTED_VALUE"""),45485.0)</f>
        <v>45485</v>
      </c>
      <c r="G463" s="1164">
        <f>IFERROR(__xludf.DUMMYFUNCTION("""COMPUTED_VALUE"""),5.0)</f>
        <v>5</v>
      </c>
      <c r="H463" s="1430">
        <f>IFERROR(__xludf.DUMMYFUNCTION("""COMPUTED_VALUE"""),291.0)</f>
        <v>291</v>
      </c>
      <c r="I463" s="94"/>
      <c r="J463" s="94"/>
      <c r="K463" s="94">
        <f>IFERROR(__xludf.DUMMYFUNCTION("""COMPUTED_VALUE"""),60.0)</f>
        <v>60</v>
      </c>
      <c r="L463" s="94">
        <f>IFERROR(__xludf.DUMMYFUNCTION("""COMPUTED_VALUE"""),40.0)</f>
        <v>40</v>
      </c>
      <c r="M463" s="94">
        <f>IFERROR(__xludf.DUMMYFUNCTION("""COMPUTED_VALUE"""),20.0)</f>
        <v>20</v>
      </c>
      <c r="N463" s="94"/>
      <c r="O463" s="1430">
        <f>IFERROR(__xludf.DUMMYFUNCTION("""COMPUTED_VALUE"""),20.0)</f>
        <v>20</v>
      </c>
      <c r="P463" s="1431">
        <f>IFERROR(__xludf.DUMMYFUNCTION("""COMPUTED_VALUE"""),2.72)</f>
        <v>2.72</v>
      </c>
      <c r="Q463" s="1432">
        <f>IFERROR(__xludf.DUMMYFUNCTION("""COMPUTED_VALUE"""),791.5200000000001)</f>
        <v>791.52</v>
      </c>
    </row>
    <row r="464" ht="15.75" customHeight="1">
      <c r="A464" s="94"/>
      <c r="B464" s="94" t="str">
        <f>IFERROR(__xludf.DUMMYFUNCTION("""COMPUTED_VALUE"""),"Wyn")</f>
        <v>Wyn</v>
      </c>
      <c r="C464" s="1429" t="str">
        <f>IFERROR(__xludf.DUMMYFUNCTION("""COMPUTED_VALUE"""),"Other")</f>
        <v>Other</v>
      </c>
      <c r="D464" s="1432">
        <f>IFERROR(__xludf.DUMMYFUNCTION("""COMPUTED_VALUE"""),7.0)</f>
        <v>7</v>
      </c>
      <c r="E464" s="1429">
        <f>IFERROR(__xludf.DUMMYFUNCTION("""COMPUTED_VALUE"""),45481.0)</f>
        <v>45481</v>
      </c>
      <c r="F464" s="1429">
        <f>IFERROR(__xludf.DUMMYFUNCTION("""COMPUTED_VALUE"""),45487.0)</f>
        <v>45487</v>
      </c>
      <c r="G464" s="1164">
        <f>IFERROR(__xludf.DUMMYFUNCTION("""COMPUTED_VALUE"""),6.0)</f>
        <v>6</v>
      </c>
      <c r="H464" s="1430">
        <f>IFERROR(__xludf.DUMMYFUNCTION("""COMPUTED_VALUE"""),230.0)</f>
        <v>230</v>
      </c>
      <c r="I464" s="94"/>
      <c r="J464" s="94"/>
      <c r="K464" s="94">
        <f>IFERROR(__xludf.DUMMYFUNCTION("""COMPUTED_VALUE"""),70.0)</f>
        <v>70</v>
      </c>
      <c r="L464" s="94">
        <f>IFERROR(__xludf.DUMMYFUNCTION("""COMPUTED_VALUE"""),40.0)</f>
        <v>40</v>
      </c>
      <c r="M464" s="94">
        <f>IFERROR(__xludf.DUMMYFUNCTION("""COMPUTED_VALUE"""),30.0)</f>
        <v>30</v>
      </c>
      <c r="N464" s="94"/>
      <c r="O464" s="1430">
        <f>IFERROR(__xludf.DUMMYFUNCTION("""COMPUTED_VALUE"""),30.0)</f>
        <v>30</v>
      </c>
      <c r="P464" s="1431">
        <f>IFERROR(__xludf.DUMMYFUNCTION("""COMPUTED_VALUE"""),2.72)</f>
        <v>2.72</v>
      </c>
      <c r="Q464" s="1432">
        <f>IFERROR(__xludf.DUMMYFUNCTION("""COMPUTED_VALUE"""),625.6)</f>
        <v>625.6</v>
      </c>
    </row>
    <row r="465" ht="15.75" customHeight="1">
      <c r="A465" s="94"/>
      <c r="B465" s="94" t="str">
        <f>IFERROR(__xludf.DUMMYFUNCTION("""COMPUTED_VALUE"""),"А 4049")</f>
        <v>А 4049</v>
      </c>
      <c r="C465" s="1429" t="str">
        <f>IFERROR(__xludf.DUMMYFUNCTION("""COMPUTED_VALUE"""),"ORBI")</f>
        <v>ORBI</v>
      </c>
      <c r="D465" s="1432">
        <f>IFERROR(__xludf.DUMMYFUNCTION("""COMPUTED_VALUE"""),7.0)</f>
        <v>7</v>
      </c>
      <c r="E465" s="1429">
        <f>IFERROR(__xludf.DUMMYFUNCTION("""COMPUTED_VALUE"""),45481.0)</f>
        <v>45481</v>
      </c>
      <c r="F465" s="1429">
        <f>IFERROR(__xludf.DUMMYFUNCTION("""COMPUTED_VALUE"""),45484.0)</f>
        <v>45484</v>
      </c>
      <c r="G465" s="1164">
        <f>IFERROR(__xludf.DUMMYFUNCTION("""COMPUTED_VALUE"""),3.0)</f>
        <v>3</v>
      </c>
      <c r="H465" s="1430">
        <f>IFERROR(__xludf.DUMMYFUNCTION("""COMPUTED_VALUE"""),104.0)</f>
        <v>104</v>
      </c>
      <c r="I465" s="94"/>
      <c r="J465" s="94"/>
      <c r="K465" s="94">
        <f>IFERROR(__xludf.DUMMYFUNCTION("""COMPUTED_VALUE"""),50.0)</f>
        <v>50</v>
      </c>
      <c r="L465" s="94">
        <f>IFERROR(__xludf.DUMMYFUNCTION("""COMPUTED_VALUE"""),40.0)</f>
        <v>40</v>
      </c>
      <c r="M465" s="94">
        <f>IFERROR(__xludf.DUMMYFUNCTION("""COMPUTED_VALUE"""),10.0)</f>
        <v>10</v>
      </c>
      <c r="N465" s="94"/>
      <c r="O465" s="1430">
        <f>IFERROR(__xludf.DUMMYFUNCTION("""COMPUTED_VALUE"""),10.0)</f>
        <v>10</v>
      </c>
      <c r="P465" s="1431">
        <f>IFERROR(__xludf.DUMMYFUNCTION("""COMPUTED_VALUE"""),2.72)</f>
        <v>2.72</v>
      </c>
      <c r="Q465" s="1432">
        <f>IFERROR(__xludf.DUMMYFUNCTION("""COMPUTED_VALUE"""),282.88)</f>
        <v>282.88</v>
      </c>
    </row>
    <row r="466" ht="15.75" customHeight="1">
      <c r="A466" s="94"/>
      <c r="B466" s="94" t="str">
        <f>IFERROR(__xludf.DUMMYFUNCTION("""COMPUTED_VALUE"""),"WS В 1510")</f>
        <v>WS В 1510</v>
      </c>
      <c r="C466" s="1429" t="str">
        <f>IFERROR(__xludf.DUMMYFUNCTION("""COMPUTED_VALUE"""),"WS")</f>
        <v>WS</v>
      </c>
      <c r="D466" s="1432">
        <f>IFERROR(__xludf.DUMMYFUNCTION("""COMPUTED_VALUE"""),7.0)</f>
        <v>7</v>
      </c>
      <c r="E466" s="1429">
        <f>IFERROR(__xludf.DUMMYFUNCTION("""COMPUTED_VALUE"""),45482.0)</f>
        <v>45482</v>
      </c>
      <c r="F466" s="1429">
        <f>IFERROR(__xludf.DUMMYFUNCTION("""COMPUTED_VALUE"""),45489.0)</f>
        <v>45489</v>
      </c>
      <c r="G466" s="1164">
        <f>IFERROR(__xludf.DUMMYFUNCTION("""COMPUTED_VALUE"""),7.0)</f>
        <v>7</v>
      </c>
      <c r="H466" s="1430">
        <f>IFERROR(__xludf.DUMMYFUNCTION("""COMPUTED_VALUE"""),416.0)</f>
        <v>416</v>
      </c>
      <c r="I466" s="94"/>
      <c r="J466" s="94"/>
      <c r="K466" s="94">
        <f>IFERROR(__xludf.DUMMYFUNCTION("""COMPUTED_VALUE"""),60.0)</f>
        <v>60</v>
      </c>
      <c r="L466" s="94">
        <f>IFERROR(__xludf.DUMMYFUNCTION("""COMPUTED_VALUE"""),40.0)</f>
        <v>40</v>
      </c>
      <c r="M466" s="94">
        <f>IFERROR(__xludf.DUMMYFUNCTION("""COMPUTED_VALUE"""),20.0)</f>
        <v>20</v>
      </c>
      <c r="N466" s="94"/>
      <c r="O466" s="1430">
        <f>IFERROR(__xludf.DUMMYFUNCTION("""COMPUTED_VALUE"""),20.0)</f>
        <v>20</v>
      </c>
      <c r="P466" s="1431">
        <f>IFERROR(__xludf.DUMMYFUNCTION("""COMPUTED_VALUE"""),2.72)</f>
        <v>2.72</v>
      </c>
      <c r="Q466" s="1432">
        <f>IFERROR(__xludf.DUMMYFUNCTION("""COMPUTED_VALUE"""),1131.52)</f>
        <v>1131.52</v>
      </c>
    </row>
    <row r="467" ht="15.75" customHeight="1">
      <c r="A467" s="94"/>
      <c r="B467" s="94" t="str">
        <f>IFERROR(__xludf.DUMMYFUNCTION("""COMPUTED_VALUE"""),"WS E 1202")</f>
        <v>WS E 1202</v>
      </c>
      <c r="C467" s="1429" t="str">
        <f>IFERROR(__xludf.DUMMYFUNCTION("""COMPUTED_VALUE"""),"WS")</f>
        <v>WS</v>
      </c>
      <c r="D467" s="1432">
        <f>IFERROR(__xludf.DUMMYFUNCTION("""COMPUTED_VALUE"""),7.0)</f>
        <v>7</v>
      </c>
      <c r="E467" s="1429">
        <f>IFERROR(__xludf.DUMMYFUNCTION("""COMPUTED_VALUE"""),45482.0)</f>
        <v>45482</v>
      </c>
      <c r="F467" s="1429">
        <f>IFERROR(__xludf.DUMMYFUNCTION("""COMPUTED_VALUE"""),45484.0)</f>
        <v>45484</v>
      </c>
      <c r="G467" s="1164">
        <f>IFERROR(__xludf.DUMMYFUNCTION("""COMPUTED_VALUE"""),2.0)</f>
        <v>2</v>
      </c>
      <c r="H467" s="1430">
        <f>IFERROR(__xludf.DUMMYFUNCTION("""COMPUTED_VALUE"""),142.0)</f>
        <v>142</v>
      </c>
      <c r="I467" s="94"/>
      <c r="J467" s="94"/>
      <c r="K467" s="94">
        <f>IFERROR(__xludf.DUMMYFUNCTION("""COMPUTED_VALUE"""),70.0)</f>
        <v>70</v>
      </c>
      <c r="L467" s="94">
        <f>IFERROR(__xludf.DUMMYFUNCTION("""COMPUTED_VALUE"""),40.0)</f>
        <v>40</v>
      </c>
      <c r="M467" s="94">
        <f>IFERROR(__xludf.DUMMYFUNCTION("""COMPUTED_VALUE"""),30.0)</f>
        <v>30</v>
      </c>
      <c r="N467" s="94"/>
      <c r="O467" s="1430">
        <f>IFERROR(__xludf.DUMMYFUNCTION("""COMPUTED_VALUE"""),30.0)</f>
        <v>30</v>
      </c>
      <c r="P467" s="1431">
        <f>IFERROR(__xludf.DUMMYFUNCTION("""COMPUTED_VALUE"""),2.72)</f>
        <v>2.72</v>
      </c>
      <c r="Q467" s="1432">
        <f>IFERROR(__xludf.DUMMYFUNCTION("""COMPUTED_VALUE"""),386.24)</f>
        <v>386.24</v>
      </c>
    </row>
    <row r="468" ht="15.75" customHeight="1">
      <c r="A468" s="94"/>
      <c r="B468" s="94" t="str">
        <f>IFERROR(__xludf.DUMMYFUNCTION("""COMPUTED_VALUE"""),"WS A907")</f>
        <v>WS A907</v>
      </c>
      <c r="C468" s="1429" t="str">
        <f>IFERROR(__xludf.DUMMYFUNCTION("""COMPUTED_VALUE"""),"WS")</f>
        <v>WS</v>
      </c>
      <c r="D468" s="1432">
        <f>IFERROR(__xludf.DUMMYFUNCTION("""COMPUTED_VALUE"""),7.0)</f>
        <v>7</v>
      </c>
      <c r="E468" s="1429">
        <f>IFERROR(__xludf.DUMMYFUNCTION("""COMPUTED_VALUE"""),45482.0)</f>
        <v>45482</v>
      </c>
      <c r="F468" s="1429">
        <f>IFERROR(__xludf.DUMMYFUNCTION("""COMPUTED_VALUE"""),45485.0)</f>
        <v>45485</v>
      </c>
      <c r="G468" s="1164">
        <f>IFERROR(__xludf.DUMMYFUNCTION("""COMPUTED_VALUE"""),3.0)</f>
        <v>3</v>
      </c>
      <c r="H468" s="1430">
        <f>IFERROR(__xludf.DUMMYFUNCTION("""COMPUTED_VALUE"""),129.0)</f>
        <v>129</v>
      </c>
      <c r="I468" s="94"/>
      <c r="J468" s="94"/>
      <c r="K468" s="94">
        <f>IFERROR(__xludf.DUMMYFUNCTION("""COMPUTED_VALUE"""),60.0)</f>
        <v>60</v>
      </c>
      <c r="L468" s="94">
        <f>IFERROR(__xludf.DUMMYFUNCTION("""COMPUTED_VALUE"""),40.0)</f>
        <v>40</v>
      </c>
      <c r="M468" s="94">
        <f>IFERROR(__xludf.DUMMYFUNCTION("""COMPUTED_VALUE"""),20.0)</f>
        <v>20</v>
      </c>
      <c r="N468" s="94"/>
      <c r="O468" s="1430">
        <f>IFERROR(__xludf.DUMMYFUNCTION("""COMPUTED_VALUE"""),20.0)</f>
        <v>20</v>
      </c>
      <c r="P468" s="1431">
        <f>IFERROR(__xludf.DUMMYFUNCTION("""COMPUTED_VALUE"""),2.72)</f>
        <v>2.72</v>
      </c>
      <c r="Q468" s="1432">
        <f>IFERROR(__xludf.DUMMYFUNCTION("""COMPUTED_VALUE"""),350.88000000000005)</f>
        <v>350.88</v>
      </c>
    </row>
    <row r="469" ht="15.75" customHeight="1">
      <c r="A469" s="94"/>
      <c r="B469" s="94" t="str">
        <f>IFERROR(__xludf.DUMMYFUNCTION("""COMPUTED_VALUE"""),"С 2756")</f>
        <v>С 2756</v>
      </c>
      <c r="C469" s="1429" t="str">
        <f>IFERROR(__xludf.DUMMYFUNCTION("""COMPUTED_VALUE"""),"ORBI")</f>
        <v>ORBI</v>
      </c>
      <c r="D469" s="1432">
        <f>IFERROR(__xludf.DUMMYFUNCTION("""COMPUTED_VALUE"""),7.0)</f>
        <v>7</v>
      </c>
      <c r="E469" s="1429">
        <f>IFERROR(__xludf.DUMMYFUNCTION("""COMPUTED_VALUE"""),45482.0)</f>
        <v>45482</v>
      </c>
      <c r="F469" s="1429">
        <f>IFERROR(__xludf.DUMMYFUNCTION("""COMPUTED_VALUE"""),45486.0)</f>
        <v>45486</v>
      </c>
      <c r="G469" s="1164">
        <f>IFERROR(__xludf.DUMMYFUNCTION("""COMPUTED_VALUE"""),4.0)</f>
        <v>4</v>
      </c>
      <c r="H469" s="1430">
        <f>IFERROR(__xludf.DUMMYFUNCTION("""COMPUTED_VALUE"""),129.0)</f>
        <v>129</v>
      </c>
      <c r="I469" s="94"/>
      <c r="J469" s="94"/>
      <c r="K469" s="94">
        <f>IFERROR(__xludf.DUMMYFUNCTION("""COMPUTED_VALUE"""),50.0)</f>
        <v>50</v>
      </c>
      <c r="L469" s="94">
        <f>IFERROR(__xludf.DUMMYFUNCTION("""COMPUTED_VALUE"""),40.0)</f>
        <v>40</v>
      </c>
      <c r="M469" s="94">
        <f>IFERROR(__xludf.DUMMYFUNCTION("""COMPUTED_VALUE"""),10.0)</f>
        <v>10</v>
      </c>
      <c r="N469" s="94"/>
      <c r="O469" s="1430">
        <f>IFERROR(__xludf.DUMMYFUNCTION("""COMPUTED_VALUE"""),10.0)</f>
        <v>10</v>
      </c>
      <c r="P469" s="1431">
        <f>IFERROR(__xludf.DUMMYFUNCTION("""COMPUTED_VALUE"""),2.72)</f>
        <v>2.72</v>
      </c>
      <c r="Q469" s="1432">
        <f>IFERROR(__xludf.DUMMYFUNCTION("""COMPUTED_VALUE"""),350.88000000000005)</f>
        <v>350.88</v>
      </c>
    </row>
    <row r="470" ht="15.75" customHeight="1">
      <c r="A470" s="94"/>
      <c r="B470" s="94" t="str">
        <f>IFERROR(__xludf.DUMMYFUNCTION("""COMPUTED_VALUE"""),"WS В 503")</f>
        <v>WS В 503</v>
      </c>
      <c r="C470" s="1429" t="str">
        <f>IFERROR(__xludf.DUMMYFUNCTION("""COMPUTED_VALUE"""),"WS")</f>
        <v>WS</v>
      </c>
      <c r="D470" s="1432">
        <f>IFERROR(__xludf.DUMMYFUNCTION("""COMPUTED_VALUE"""),7.0)</f>
        <v>7</v>
      </c>
      <c r="E470" s="1429">
        <f>IFERROR(__xludf.DUMMYFUNCTION("""COMPUTED_VALUE"""),45483.0)</f>
        <v>45483</v>
      </c>
      <c r="F470" s="1429">
        <f>IFERROR(__xludf.DUMMYFUNCTION("""COMPUTED_VALUE"""),45485.0)</f>
        <v>45485</v>
      </c>
      <c r="G470" s="1164">
        <f>IFERROR(__xludf.DUMMYFUNCTION("""COMPUTED_VALUE"""),2.0)</f>
        <v>2</v>
      </c>
      <c r="H470" s="1430">
        <f>IFERROR(__xludf.DUMMYFUNCTION("""COMPUTED_VALUE"""),147.0)</f>
        <v>147</v>
      </c>
      <c r="I470" s="94"/>
      <c r="J470" s="94"/>
      <c r="K470" s="94">
        <f>IFERROR(__xludf.DUMMYFUNCTION("""COMPUTED_VALUE"""),70.0)</f>
        <v>70</v>
      </c>
      <c r="L470" s="94">
        <f>IFERROR(__xludf.DUMMYFUNCTION("""COMPUTED_VALUE"""),40.0)</f>
        <v>40</v>
      </c>
      <c r="M470" s="94">
        <f>IFERROR(__xludf.DUMMYFUNCTION("""COMPUTED_VALUE"""),30.0)</f>
        <v>30</v>
      </c>
      <c r="N470" s="94"/>
      <c r="O470" s="1430">
        <f>IFERROR(__xludf.DUMMYFUNCTION("""COMPUTED_VALUE"""),30.0)</f>
        <v>30</v>
      </c>
      <c r="P470" s="1431">
        <f>IFERROR(__xludf.DUMMYFUNCTION("""COMPUTED_VALUE"""),2.72)</f>
        <v>2.72</v>
      </c>
      <c r="Q470" s="1432">
        <f>IFERROR(__xludf.DUMMYFUNCTION("""COMPUTED_VALUE"""),399.84000000000003)</f>
        <v>399.84</v>
      </c>
    </row>
    <row r="471" ht="15.75" customHeight="1">
      <c r="A471" s="94"/>
      <c r="B471" s="94" t="str">
        <f>IFERROR(__xludf.DUMMYFUNCTION("""COMPUTED_VALUE"""),"WS F 907")</f>
        <v>WS F 907</v>
      </c>
      <c r="C471" s="1429" t="str">
        <f>IFERROR(__xludf.DUMMYFUNCTION("""COMPUTED_VALUE"""),"WS")</f>
        <v>WS</v>
      </c>
      <c r="D471" s="1432">
        <f>IFERROR(__xludf.DUMMYFUNCTION("""COMPUTED_VALUE"""),7.0)</f>
        <v>7</v>
      </c>
      <c r="E471" s="1429">
        <f>IFERROR(__xludf.DUMMYFUNCTION("""COMPUTED_VALUE"""),45483.0)</f>
        <v>45483</v>
      </c>
      <c r="F471" s="1429">
        <f>IFERROR(__xludf.DUMMYFUNCTION("""COMPUTED_VALUE"""),45486.0)</f>
        <v>45486</v>
      </c>
      <c r="G471" s="1164">
        <f>IFERROR(__xludf.DUMMYFUNCTION("""COMPUTED_VALUE"""),3.0)</f>
        <v>3</v>
      </c>
      <c r="H471" s="94"/>
      <c r="I471" s="94">
        <f>IFERROR(__xludf.DUMMYFUNCTION("""COMPUTED_VALUE"""),519.0)</f>
        <v>519</v>
      </c>
      <c r="J471" s="94"/>
      <c r="K471" s="94">
        <f>IFERROR(__xludf.DUMMYFUNCTION("""COMPUTED_VALUE"""),60.0)</f>
        <v>60</v>
      </c>
      <c r="L471" s="94">
        <f>IFERROR(__xludf.DUMMYFUNCTION("""COMPUTED_VALUE"""),40.0)</f>
        <v>40</v>
      </c>
      <c r="M471" s="94">
        <f>IFERROR(__xludf.DUMMYFUNCTION("""COMPUTED_VALUE"""),20.0)</f>
        <v>20</v>
      </c>
      <c r="N471" s="94"/>
      <c r="O471" s="1430">
        <f>IFERROR(__xludf.DUMMYFUNCTION("""COMPUTED_VALUE"""),20.0)</f>
        <v>20</v>
      </c>
      <c r="P471" s="1431">
        <f>IFERROR(__xludf.DUMMYFUNCTION("""COMPUTED_VALUE"""),2.72)</f>
        <v>2.72</v>
      </c>
      <c r="Q471" s="1432">
        <f>IFERROR(__xludf.DUMMYFUNCTION("""COMPUTED_VALUE"""),519.0)</f>
        <v>519</v>
      </c>
    </row>
    <row r="472" ht="15.75" customHeight="1">
      <c r="A472" s="94"/>
      <c r="B472" s="94" t="str">
        <f>IFERROR(__xludf.DUMMYFUNCTION("""COMPUTED_VALUE"""),"WS A 409")</f>
        <v>WS A 409</v>
      </c>
      <c r="C472" s="1429" t="str">
        <f>IFERROR(__xludf.DUMMYFUNCTION("""COMPUTED_VALUE"""),"WS")</f>
        <v>WS</v>
      </c>
      <c r="D472" s="1432">
        <f>IFERROR(__xludf.DUMMYFUNCTION("""COMPUTED_VALUE"""),7.0)</f>
        <v>7</v>
      </c>
      <c r="E472" s="1429">
        <f>IFERROR(__xludf.DUMMYFUNCTION("""COMPUTED_VALUE"""),45483.0)</f>
        <v>45483</v>
      </c>
      <c r="F472" s="1429">
        <f>IFERROR(__xludf.DUMMYFUNCTION("""COMPUTED_VALUE"""),45489.0)</f>
        <v>45489</v>
      </c>
      <c r="G472" s="1164">
        <f>IFERROR(__xludf.DUMMYFUNCTION("""COMPUTED_VALUE"""),6.0)</f>
        <v>6</v>
      </c>
      <c r="H472" s="1430">
        <f>IFERROR(__xludf.DUMMYFUNCTION("""COMPUTED_VALUE"""),345.0)</f>
        <v>345</v>
      </c>
      <c r="I472" s="94"/>
      <c r="J472" s="94"/>
      <c r="K472" s="94">
        <f>IFERROR(__xludf.DUMMYFUNCTION("""COMPUTED_VALUE"""),60.0)</f>
        <v>60</v>
      </c>
      <c r="L472" s="94">
        <f>IFERROR(__xludf.DUMMYFUNCTION("""COMPUTED_VALUE"""),40.0)</f>
        <v>40</v>
      </c>
      <c r="M472" s="94">
        <f>IFERROR(__xludf.DUMMYFUNCTION("""COMPUTED_VALUE"""),20.0)</f>
        <v>20</v>
      </c>
      <c r="N472" s="94"/>
      <c r="O472" s="1430">
        <f>IFERROR(__xludf.DUMMYFUNCTION("""COMPUTED_VALUE"""),20.0)</f>
        <v>20</v>
      </c>
      <c r="P472" s="1431">
        <f>IFERROR(__xludf.DUMMYFUNCTION("""COMPUTED_VALUE"""),2.72)</f>
        <v>2.72</v>
      </c>
      <c r="Q472" s="1432">
        <f>IFERROR(__xludf.DUMMYFUNCTION("""COMPUTED_VALUE"""),938.4000000000001)</f>
        <v>938.4</v>
      </c>
    </row>
    <row r="473" ht="15.75" customHeight="1">
      <c r="A473" s="94"/>
      <c r="B473" s="94" t="str">
        <f>IFERROR(__xludf.DUMMYFUNCTION("""COMPUTED_VALUE"""),"DL 11-1305")</f>
        <v>DL 11-1305</v>
      </c>
      <c r="C473" s="1429" t="str">
        <f>IFERROR(__xludf.DUMMYFUNCTION("""COMPUTED_VALUE"""),"DL")</f>
        <v>DL</v>
      </c>
      <c r="D473" s="1432">
        <f>IFERROR(__xludf.DUMMYFUNCTION("""COMPUTED_VALUE"""),7.0)</f>
        <v>7</v>
      </c>
      <c r="E473" s="1429">
        <f>IFERROR(__xludf.DUMMYFUNCTION("""COMPUTED_VALUE"""),45483.0)</f>
        <v>45483</v>
      </c>
      <c r="F473" s="1429">
        <f>IFERROR(__xludf.DUMMYFUNCTION("""COMPUTED_VALUE"""),45493.0)</f>
        <v>45493</v>
      </c>
      <c r="G473" s="1164">
        <f>IFERROR(__xludf.DUMMYFUNCTION("""COMPUTED_VALUE"""),10.0)</f>
        <v>10</v>
      </c>
      <c r="H473" s="1430">
        <f>IFERROR(__xludf.DUMMYFUNCTION("""COMPUTED_VALUE"""),1445.0)</f>
        <v>1445</v>
      </c>
      <c r="I473" s="94"/>
      <c r="J473" s="94"/>
      <c r="K473" s="94">
        <f>IFERROR(__xludf.DUMMYFUNCTION("""COMPUTED_VALUE"""),40.0)</f>
        <v>40</v>
      </c>
      <c r="L473" s="94">
        <f>IFERROR(__xludf.DUMMYFUNCTION("""COMPUTED_VALUE"""),40.0)</f>
        <v>40</v>
      </c>
      <c r="M473" s="94">
        <f>IFERROR(__xludf.DUMMYFUNCTION("""COMPUTED_VALUE"""),0.0)</f>
        <v>0</v>
      </c>
      <c r="N473" s="94"/>
      <c r="O473" s="1430">
        <f>IFERROR(__xludf.DUMMYFUNCTION("""COMPUTED_VALUE"""),0.0)</f>
        <v>0</v>
      </c>
      <c r="P473" s="1431">
        <f>IFERROR(__xludf.DUMMYFUNCTION("""COMPUTED_VALUE"""),2.72)</f>
        <v>2.72</v>
      </c>
      <c r="Q473" s="1432">
        <f>IFERROR(__xludf.DUMMYFUNCTION("""COMPUTED_VALUE"""),3930.4)</f>
        <v>3930.4</v>
      </c>
    </row>
    <row r="474" ht="15.75" customHeight="1">
      <c r="A474" s="94"/>
      <c r="B474" s="94" t="str">
        <f>IFERROR(__xludf.DUMMYFUNCTION("""COMPUTED_VALUE"""),"Вилла Ева")</f>
        <v>Вилла Ева</v>
      </c>
      <c r="C474" s="1429" t="str">
        <f>IFERROR(__xludf.DUMMYFUNCTION("""COMPUTED_VALUE"""),"Other")</f>
        <v>Other</v>
      </c>
      <c r="D474" s="1432">
        <f>IFERROR(__xludf.DUMMYFUNCTION("""COMPUTED_VALUE"""),7.0)</f>
        <v>7</v>
      </c>
      <c r="E474" s="1429">
        <f>IFERROR(__xludf.DUMMYFUNCTION("""COMPUTED_VALUE"""),45483.0)</f>
        <v>45483</v>
      </c>
      <c r="F474" s="1429">
        <f>IFERROR(__xludf.DUMMYFUNCTION("""COMPUTED_VALUE"""),45486.0)</f>
        <v>45486</v>
      </c>
      <c r="G474" s="1164">
        <f>IFERROR(__xludf.DUMMYFUNCTION("""COMPUTED_VALUE"""),3.0)</f>
        <v>3</v>
      </c>
      <c r="H474" s="1430">
        <f>IFERROR(__xludf.DUMMYFUNCTION("""COMPUTED_VALUE"""),576.0)</f>
        <v>576</v>
      </c>
      <c r="I474" s="94"/>
      <c r="J474" s="94"/>
      <c r="K474" s="94"/>
      <c r="L474" s="94"/>
      <c r="M474" s="94">
        <f>IFERROR(__xludf.DUMMYFUNCTION("""COMPUTED_VALUE"""),0.0)</f>
        <v>0</v>
      </c>
      <c r="N474" s="94"/>
      <c r="O474" s="1430">
        <f>IFERROR(__xludf.DUMMYFUNCTION("""COMPUTED_VALUE"""),0.0)</f>
        <v>0</v>
      </c>
      <c r="P474" s="1431">
        <f>IFERROR(__xludf.DUMMYFUNCTION("""COMPUTED_VALUE"""),2.72)</f>
        <v>2.72</v>
      </c>
      <c r="Q474" s="1432">
        <f>IFERROR(__xludf.DUMMYFUNCTION("""COMPUTED_VALUE"""),1566.72)</f>
        <v>1566.72</v>
      </c>
    </row>
    <row r="475" ht="15.75" customHeight="1">
      <c r="A475" s="94"/>
      <c r="B475" s="94" t="str">
        <f>IFERROR(__xludf.DUMMYFUNCTION("""COMPUTED_VALUE"""),"А 4049")</f>
        <v>А 4049</v>
      </c>
      <c r="C475" s="1429" t="str">
        <f>IFERROR(__xludf.DUMMYFUNCTION("""COMPUTED_VALUE"""),"ORBI")</f>
        <v>ORBI</v>
      </c>
      <c r="D475" s="1432">
        <f>IFERROR(__xludf.DUMMYFUNCTION("""COMPUTED_VALUE"""),7.0)</f>
        <v>7</v>
      </c>
      <c r="E475" s="1429">
        <f>IFERROR(__xludf.DUMMYFUNCTION("""COMPUTED_VALUE"""),45484.0)</f>
        <v>45484</v>
      </c>
      <c r="F475" s="1429">
        <f>IFERROR(__xludf.DUMMYFUNCTION("""COMPUTED_VALUE"""),45490.0)</f>
        <v>45490</v>
      </c>
      <c r="G475" s="1164">
        <f>IFERROR(__xludf.DUMMYFUNCTION("""COMPUTED_VALUE"""),6.0)</f>
        <v>6</v>
      </c>
      <c r="H475" s="1430">
        <f>IFERROR(__xludf.DUMMYFUNCTION("""COMPUTED_VALUE"""),276.0)</f>
        <v>276</v>
      </c>
      <c r="I475" s="94"/>
      <c r="J475" s="94"/>
      <c r="K475" s="94">
        <f>IFERROR(__xludf.DUMMYFUNCTION("""COMPUTED_VALUE"""),50.0)</f>
        <v>50</v>
      </c>
      <c r="L475" s="94">
        <f>IFERROR(__xludf.DUMMYFUNCTION("""COMPUTED_VALUE"""),40.0)</f>
        <v>40</v>
      </c>
      <c r="M475" s="94">
        <f>IFERROR(__xludf.DUMMYFUNCTION("""COMPUTED_VALUE"""),10.0)</f>
        <v>10</v>
      </c>
      <c r="N475" s="94"/>
      <c r="O475" s="1430">
        <f>IFERROR(__xludf.DUMMYFUNCTION("""COMPUTED_VALUE"""),10.0)</f>
        <v>10</v>
      </c>
      <c r="P475" s="1431">
        <f>IFERROR(__xludf.DUMMYFUNCTION("""COMPUTED_VALUE"""),2.72)</f>
        <v>2.72</v>
      </c>
      <c r="Q475" s="1432">
        <f>IFERROR(__xludf.DUMMYFUNCTION("""COMPUTED_VALUE"""),750.72)</f>
        <v>750.72</v>
      </c>
    </row>
    <row r="476" ht="15.75" customHeight="1">
      <c r="A476" s="94"/>
      <c r="B476" s="94" t="str">
        <f>IFERROR(__xludf.DUMMYFUNCTION("""COMPUTED_VALUE"""),"WS A 713")</f>
        <v>WS A 713</v>
      </c>
      <c r="C476" s="1429" t="str">
        <f>IFERROR(__xludf.DUMMYFUNCTION("""COMPUTED_VALUE"""),"WS")</f>
        <v>WS</v>
      </c>
      <c r="D476" s="1432">
        <f>IFERROR(__xludf.DUMMYFUNCTION("""COMPUTED_VALUE"""),7.0)</f>
        <v>7</v>
      </c>
      <c r="E476" s="1429">
        <f>IFERROR(__xludf.DUMMYFUNCTION("""COMPUTED_VALUE"""),45484.0)</f>
        <v>45484</v>
      </c>
      <c r="F476" s="1429">
        <f>IFERROR(__xludf.DUMMYFUNCTION("""COMPUTED_VALUE"""),45486.0)</f>
        <v>45486</v>
      </c>
      <c r="G476" s="1164">
        <f>IFERROR(__xludf.DUMMYFUNCTION("""COMPUTED_VALUE"""),2.0)</f>
        <v>2</v>
      </c>
      <c r="H476" s="94"/>
      <c r="I476" s="94">
        <f>IFERROR(__xludf.DUMMYFUNCTION("""COMPUTED_VALUE"""),367.0)</f>
        <v>367</v>
      </c>
      <c r="J476" s="94"/>
      <c r="K476" s="94">
        <f>IFERROR(__xludf.DUMMYFUNCTION("""COMPUTED_VALUE"""),60.0)</f>
        <v>60</v>
      </c>
      <c r="L476" s="94">
        <f>IFERROR(__xludf.DUMMYFUNCTION("""COMPUTED_VALUE"""),40.0)</f>
        <v>40</v>
      </c>
      <c r="M476" s="94">
        <f>IFERROR(__xludf.DUMMYFUNCTION("""COMPUTED_VALUE"""),20.0)</f>
        <v>20</v>
      </c>
      <c r="N476" s="94"/>
      <c r="O476" s="1430">
        <f>IFERROR(__xludf.DUMMYFUNCTION("""COMPUTED_VALUE"""),20.0)</f>
        <v>20</v>
      </c>
      <c r="P476" s="1431">
        <f>IFERROR(__xludf.DUMMYFUNCTION("""COMPUTED_VALUE"""),2.72)</f>
        <v>2.72</v>
      </c>
      <c r="Q476" s="1432">
        <f>IFERROR(__xludf.DUMMYFUNCTION("""COMPUTED_VALUE"""),367.0)</f>
        <v>367</v>
      </c>
    </row>
    <row r="477" ht="15.75" customHeight="1">
      <c r="A477" s="94"/>
      <c r="B477" s="94" t="str">
        <f>IFERROR(__xludf.DUMMYFUNCTION("""COMPUTED_VALUE"""),"WS A 1312")</f>
        <v>WS A 1312</v>
      </c>
      <c r="C477" s="1429" t="str">
        <f>IFERROR(__xludf.DUMMYFUNCTION("""COMPUTED_VALUE"""),"WS")</f>
        <v>WS</v>
      </c>
      <c r="D477" s="1432">
        <f>IFERROR(__xludf.DUMMYFUNCTION("""COMPUTED_VALUE"""),7.0)</f>
        <v>7</v>
      </c>
      <c r="E477" s="1429">
        <f>IFERROR(__xludf.DUMMYFUNCTION("""COMPUTED_VALUE"""),45484.0)</f>
        <v>45484</v>
      </c>
      <c r="F477" s="1429">
        <f>IFERROR(__xludf.DUMMYFUNCTION("""COMPUTED_VALUE"""),45487.0)</f>
        <v>45487</v>
      </c>
      <c r="G477" s="1164">
        <f>IFERROR(__xludf.DUMMYFUNCTION("""COMPUTED_VALUE"""),3.0)</f>
        <v>3</v>
      </c>
      <c r="H477" s="1430">
        <f>IFERROR(__xludf.DUMMYFUNCTION("""COMPUTED_VALUE"""),124.0)</f>
        <v>124</v>
      </c>
      <c r="I477" s="94"/>
      <c r="J477" s="94"/>
      <c r="K477" s="94">
        <f>IFERROR(__xludf.DUMMYFUNCTION("""COMPUTED_VALUE"""),60.0)</f>
        <v>60</v>
      </c>
      <c r="L477" s="94">
        <f>IFERROR(__xludf.DUMMYFUNCTION("""COMPUTED_VALUE"""),40.0)</f>
        <v>40</v>
      </c>
      <c r="M477" s="94">
        <f>IFERROR(__xludf.DUMMYFUNCTION("""COMPUTED_VALUE"""),20.0)</f>
        <v>20</v>
      </c>
      <c r="N477" s="94"/>
      <c r="O477" s="1430">
        <f>IFERROR(__xludf.DUMMYFUNCTION("""COMPUTED_VALUE"""),20.0)</f>
        <v>20</v>
      </c>
      <c r="P477" s="1431">
        <f>IFERROR(__xludf.DUMMYFUNCTION("""COMPUTED_VALUE"""),2.72)</f>
        <v>2.72</v>
      </c>
      <c r="Q477" s="1432">
        <f>IFERROR(__xludf.DUMMYFUNCTION("""COMPUTED_VALUE"""),337.28000000000003)</f>
        <v>337.28</v>
      </c>
    </row>
    <row r="478" ht="15.75" customHeight="1">
      <c r="A478" s="94"/>
      <c r="B478" s="94" t="str">
        <f>IFERROR(__xludf.DUMMYFUNCTION("""COMPUTED_VALUE"""),"DL14-518")</f>
        <v>DL14-518</v>
      </c>
      <c r="C478" s="1429" t="str">
        <f>IFERROR(__xludf.DUMMYFUNCTION("""COMPUTED_VALUE"""),"DL")</f>
        <v>DL</v>
      </c>
      <c r="D478" s="1432">
        <f>IFERROR(__xludf.DUMMYFUNCTION("""COMPUTED_VALUE"""),7.0)</f>
        <v>7</v>
      </c>
      <c r="E478" s="1429">
        <f>IFERROR(__xludf.DUMMYFUNCTION("""COMPUTED_VALUE"""),45484.0)</f>
        <v>45484</v>
      </c>
      <c r="F478" s="1429">
        <f>IFERROR(__xludf.DUMMYFUNCTION("""COMPUTED_VALUE"""),45486.0)</f>
        <v>45486</v>
      </c>
      <c r="G478" s="1164">
        <f>IFERROR(__xludf.DUMMYFUNCTION("""COMPUTED_VALUE"""),2.0)</f>
        <v>2</v>
      </c>
      <c r="H478" s="1430">
        <f>IFERROR(__xludf.DUMMYFUNCTION("""COMPUTED_VALUE"""),143.0)</f>
        <v>143</v>
      </c>
      <c r="I478" s="94"/>
      <c r="J478" s="94"/>
      <c r="K478" s="94">
        <f>IFERROR(__xludf.DUMMYFUNCTION("""COMPUTED_VALUE"""),40.0)</f>
        <v>40</v>
      </c>
      <c r="L478" s="94">
        <f>IFERROR(__xludf.DUMMYFUNCTION("""COMPUTED_VALUE"""),40.0)</f>
        <v>40</v>
      </c>
      <c r="M478" s="94">
        <f>IFERROR(__xludf.DUMMYFUNCTION("""COMPUTED_VALUE"""),0.0)</f>
        <v>0</v>
      </c>
      <c r="N478" s="94"/>
      <c r="O478" s="1430">
        <f>IFERROR(__xludf.DUMMYFUNCTION("""COMPUTED_VALUE"""),0.0)</f>
        <v>0</v>
      </c>
      <c r="P478" s="1431">
        <f>IFERROR(__xludf.DUMMYFUNCTION("""COMPUTED_VALUE"""),2.72)</f>
        <v>2.72</v>
      </c>
      <c r="Q478" s="1432">
        <f>IFERROR(__xludf.DUMMYFUNCTION("""COMPUTED_VALUE"""),388.96000000000004)</f>
        <v>388.96</v>
      </c>
    </row>
    <row r="479" ht="15.75" customHeight="1">
      <c r="A479" s="94"/>
      <c r="B479" s="94" t="str">
        <f>IFERROR(__xludf.DUMMYFUNCTION("""COMPUTED_VALUE"""),"CM 1604")</f>
        <v>CM 1604</v>
      </c>
      <c r="C479" s="1429" t="str">
        <f>IFERROR(__xludf.DUMMYFUNCTION("""COMPUTED_VALUE"""),"MAR")</f>
        <v>MAR</v>
      </c>
      <c r="D479" s="1432">
        <f>IFERROR(__xludf.DUMMYFUNCTION("""COMPUTED_VALUE"""),7.0)</f>
        <v>7</v>
      </c>
      <c r="E479" s="1429">
        <f>IFERROR(__xludf.DUMMYFUNCTION("""COMPUTED_VALUE"""),45485.0)</f>
        <v>45485</v>
      </c>
      <c r="F479" s="1429">
        <f>IFERROR(__xludf.DUMMYFUNCTION("""COMPUTED_VALUE"""),45488.0)</f>
        <v>45488</v>
      </c>
      <c r="G479" s="1164">
        <f>IFERROR(__xludf.DUMMYFUNCTION("""COMPUTED_VALUE"""),3.0)</f>
        <v>3</v>
      </c>
      <c r="H479" s="1430">
        <f>IFERROR(__xludf.DUMMYFUNCTION("""COMPUTED_VALUE"""),180.0)</f>
        <v>180</v>
      </c>
      <c r="I479" s="94"/>
      <c r="J479" s="94"/>
      <c r="K479" s="94">
        <f>IFERROR(__xludf.DUMMYFUNCTION("""COMPUTED_VALUE"""),70.0)</f>
        <v>70</v>
      </c>
      <c r="L479" s="94">
        <f>IFERROR(__xludf.DUMMYFUNCTION("""COMPUTED_VALUE"""),40.0)</f>
        <v>40</v>
      </c>
      <c r="M479" s="94">
        <f>IFERROR(__xludf.DUMMYFUNCTION("""COMPUTED_VALUE"""),30.0)</f>
        <v>30</v>
      </c>
      <c r="N479" s="94"/>
      <c r="O479" s="1430">
        <f>IFERROR(__xludf.DUMMYFUNCTION("""COMPUTED_VALUE"""),30.0)</f>
        <v>30</v>
      </c>
      <c r="P479" s="1431">
        <f>IFERROR(__xludf.DUMMYFUNCTION("""COMPUTED_VALUE"""),2.72)</f>
        <v>2.72</v>
      </c>
      <c r="Q479" s="1432">
        <f>IFERROR(__xludf.DUMMYFUNCTION("""COMPUTED_VALUE"""),489.6)</f>
        <v>489.6</v>
      </c>
    </row>
    <row r="480" ht="15.75" customHeight="1">
      <c r="A480" s="94"/>
      <c r="B480" s="94" t="str">
        <f>IFERROR(__xludf.DUMMYFUNCTION("""COMPUTED_VALUE"""),"С 1125")</f>
        <v>С 1125</v>
      </c>
      <c r="C480" s="1429" t="str">
        <f>IFERROR(__xludf.DUMMYFUNCTION("""COMPUTED_VALUE"""),"ORBI")</f>
        <v>ORBI</v>
      </c>
      <c r="D480" s="1432">
        <f>IFERROR(__xludf.DUMMYFUNCTION("""COMPUTED_VALUE"""),7.0)</f>
        <v>7</v>
      </c>
      <c r="E480" s="1429">
        <f>IFERROR(__xludf.DUMMYFUNCTION("""COMPUTED_VALUE"""),45485.0)</f>
        <v>45485</v>
      </c>
      <c r="F480" s="1429">
        <f>IFERROR(__xludf.DUMMYFUNCTION("""COMPUTED_VALUE"""),45487.0)</f>
        <v>45487</v>
      </c>
      <c r="G480" s="1164">
        <f>IFERROR(__xludf.DUMMYFUNCTION("""COMPUTED_VALUE"""),2.0)</f>
        <v>2</v>
      </c>
      <c r="H480" s="1430">
        <f>IFERROR(__xludf.DUMMYFUNCTION("""COMPUTED_VALUE"""),71.0)</f>
        <v>71</v>
      </c>
      <c r="I480" s="94"/>
      <c r="J480" s="94"/>
      <c r="K480" s="94">
        <f>IFERROR(__xludf.DUMMYFUNCTION("""COMPUTED_VALUE"""),50.0)</f>
        <v>50</v>
      </c>
      <c r="L480" s="94">
        <f>IFERROR(__xludf.DUMMYFUNCTION("""COMPUTED_VALUE"""),40.0)</f>
        <v>40</v>
      </c>
      <c r="M480" s="94">
        <f>IFERROR(__xludf.DUMMYFUNCTION("""COMPUTED_VALUE"""),10.0)</f>
        <v>10</v>
      </c>
      <c r="N480" s="94"/>
      <c r="O480" s="1430">
        <f>IFERROR(__xludf.DUMMYFUNCTION("""COMPUTED_VALUE"""),10.0)</f>
        <v>10</v>
      </c>
      <c r="P480" s="1431">
        <f>IFERROR(__xludf.DUMMYFUNCTION("""COMPUTED_VALUE"""),2.72)</f>
        <v>2.72</v>
      </c>
      <c r="Q480" s="1432">
        <f>IFERROR(__xludf.DUMMYFUNCTION("""COMPUTED_VALUE"""),193.12)</f>
        <v>193.12</v>
      </c>
    </row>
    <row r="481" ht="15.75" customHeight="1">
      <c r="A481" s="94"/>
      <c r="B481" s="94" t="str">
        <f>IFERROR(__xludf.DUMMYFUNCTION("""COMPUTED_VALUE"""),"WS В 503")</f>
        <v>WS В 503</v>
      </c>
      <c r="C481" s="1429" t="str">
        <f>IFERROR(__xludf.DUMMYFUNCTION("""COMPUTED_VALUE"""),"WS")</f>
        <v>WS</v>
      </c>
      <c r="D481" s="1432">
        <f>IFERROR(__xludf.DUMMYFUNCTION("""COMPUTED_VALUE"""),7.0)</f>
        <v>7</v>
      </c>
      <c r="E481" s="1429">
        <f>IFERROR(__xludf.DUMMYFUNCTION("""COMPUTED_VALUE"""),45485.0)</f>
        <v>45485</v>
      </c>
      <c r="F481" s="1429">
        <f>IFERROR(__xludf.DUMMYFUNCTION("""COMPUTED_VALUE"""),45490.0)</f>
        <v>45490</v>
      </c>
      <c r="G481" s="1164">
        <f>IFERROR(__xludf.DUMMYFUNCTION("""COMPUTED_VALUE"""),5.0)</f>
        <v>5</v>
      </c>
      <c r="H481" s="1430">
        <f>IFERROR(__xludf.DUMMYFUNCTION("""COMPUTED_VALUE"""),494.0)</f>
        <v>494</v>
      </c>
      <c r="I481" s="94"/>
      <c r="J481" s="94"/>
      <c r="K481" s="94">
        <f>IFERROR(__xludf.DUMMYFUNCTION("""COMPUTED_VALUE"""),70.0)</f>
        <v>70</v>
      </c>
      <c r="L481" s="94">
        <f>IFERROR(__xludf.DUMMYFUNCTION("""COMPUTED_VALUE"""),40.0)</f>
        <v>40</v>
      </c>
      <c r="M481" s="94">
        <f>IFERROR(__xludf.DUMMYFUNCTION("""COMPUTED_VALUE"""),30.0)</f>
        <v>30</v>
      </c>
      <c r="N481" s="94"/>
      <c r="O481" s="1430">
        <f>IFERROR(__xludf.DUMMYFUNCTION("""COMPUTED_VALUE"""),30.0)</f>
        <v>30</v>
      </c>
      <c r="P481" s="1431">
        <f>IFERROR(__xludf.DUMMYFUNCTION("""COMPUTED_VALUE"""),2.72)</f>
        <v>2.72</v>
      </c>
      <c r="Q481" s="1432">
        <f>IFERROR(__xludf.DUMMYFUNCTION("""COMPUTED_VALUE"""),1343.68)</f>
        <v>1343.68</v>
      </c>
    </row>
    <row r="482" ht="15.75" customHeight="1">
      <c r="A482" s="94"/>
      <c r="B482" s="94" t="str">
        <f>IFERROR(__xludf.DUMMYFUNCTION("""COMPUTED_VALUE"""),"WS В 212")</f>
        <v>WS В 212</v>
      </c>
      <c r="C482" s="1429" t="str">
        <f>IFERROR(__xludf.DUMMYFUNCTION("""COMPUTED_VALUE"""),"WS")</f>
        <v>WS</v>
      </c>
      <c r="D482" s="1432">
        <f>IFERROR(__xludf.DUMMYFUNCTION("""COMPUTED_VALUE"""),7.0)</f>
        <v>7</v>
      </c>
      <c r="E482" s="1429">
        <f>IFERROR(__xludf.DUMMYFUNCTION("""COMPUTED_VALUE"""),45485.0)</f>
        <v>45485</v>
      </c>
      <c r="F482" s="1429">
        <f>IFERROR(__xludf.DUMMYFUNCTION("""COMPUTED_VALUE"""),45489.0)</f>
        <v>45489</v>
      </c>
      <c r="G482" s="1164">
        <f>IFERROR(__xludf.DUMMYFUNCTION("""COMPUTED_VALUE"""),4.0)</f>
        <v>4</v>
      </c>
      <c r="H482" s="94"/>
      <c r="I482" s="94">
        <f>IFERROR(__xludf.DUMMYFUNCTION("""COMPUTED_VALUE"""),1178.0)</f>
        <v>1178</v>
      </c>
      <c r="J482" s="94"/>
      <c r="K482" s="94">
        <f>IFERROR(__xludf.DUMMYFUNCTION("""COMPUTED_VALUE"""),70.0)</f>
        <v>70</v>
      </c>
      <c r="L482" s="94">
        <f>IFERROR(__xludf.DUMMYFUNCTION("""COMPUTED_VALUE"""),40.0)</f>
        <v>40</v>
      </c>
      <c r="M482" s="94">
        <f>IFERROR(__xludf.DUMMYFUNCTION("""COMPUTED_VALUE"""),30.0)</f>
        <v>30</v>
      </c>
      <c r="N482" s="94"/>
      <c r="O482" s="1430">
        <f>IFERROR(__xludf.DUMMYFUNCTION("""COMPUTED_VALUE"""),30.0)</f>
        <v>30</v>
      </c>
      <c r="P482" s="1431">
        <f>IFERROR(__xludf.DUMMYFUNCTION("""COMPUTED_VALUE"""),2.72)</f>
        <v>2.72</v>
      </c>
      <c r="Q482" s="1432">
        <f>IFERROR(__xludf.DUMMYFUNCTION("""COMPUTED_VALUE"""),1178.0)</f>
        <v>1178</v>
      </c>
    </row>
    <row r="483" ht="15.75" customHeight="1">
      <c r="A483" s="94"/>
      <c r="B483" s="94" t="str">
        <f>IFERROR(__xludf.DUMMYFUNCTION("""COMPUTED_VALUE"""),"14-411")</f>
        <v>14-411</v>
      </c>
      <c r="C483" s="1429" t="str">
        <f>IFERROR(__xludf.DUMMYFUNCTION("""COMPUTED_VALUE"""),"DL")</f>
        <v>DL</v>
      </c>
      <c r="D483" s="1432">
        <f>IFERROR(__xludf.DUMMYFUNCTION("""COMPUTED_VALUE"""),7.0)</f>
        <v>7</v>
      </c>
      <c r="E483" s="1429">
        <f>IFERROR(__xludf.DUMMYFUNCTION("""COMPUTED_VALUE"""),45485.0)</f>
        <v>45485</v>
      </c>
      <c r="F483" s="1429">
        <f>IFERROR(__xludf.DUMMYFUNCTION("""COMPUTED_VALUE"""),45488.0)</f>
        <v>45488</v>
      </c>
      <c r="G483" s="1164">
        <f>IFERROR(__xludf.DUMMYFUNCTION("""COMPUTED_VALUE"""),3.0)</f>
        <v>3</v>
      </c>
      <c r="H483" s="1430">
        <f>IFERROR(__xludf.DUMMYFUNCTION("""COMPUTED_VALUE"""),190.0)</f>
        <v>190</v>
      </c>
      <c r="I483" s="94">
        <f>IFERROR(__xludf.DUMMYFUNCTION("""COMPUTED_VALUE"""),0.0)</f>
        <v>0</v>
      </c>
      <c r="J483" s="94"/>
      <c r="K483" s="94">
        <f>IFERROR(__xludf.DUMMYFUNCTION("""COMPUTED_VALUE"""),95.0)</f>
        <v>95</v>
      </c>
      <c r="L483" s="94">
        <f>IFERROR(__xludf.DUMMYFUNCTION("""COMPUTED_VALUE"""),40.0)</f>
        <v>40</v>
      </c>
      <c r="M483" s="94">
        <f>IFERROR(__xludf.DUMMYFUNCTION("""COMPUTED_VALUE"""),55.0)</f>
        <v>55</v>
      </c>
      <c r="N483" s="94"/>
      <c r="O483" s="1430">
        <f>IFERROR(__xludf.DUMMYFUNCTION("""COMPUTED_VALUE"""),55.0)</f>
        <v>55</v>
      </c>
      <c r="P483" s="1431">
        <f>IFERROR(__xludf.DUMMYFUNCTION("""COMPUTED_VALUE"""),2.72)</f>
        <v>2.72</v>
      </c>
      <c r="Q483" s="1432">
        <f>IFERROR(__xludf.DUMMYFUNCTION("""COMPUTED_VALUE"""),516.8000000000001)</f>
        <v>516.8</v>
      </c>
    </row>
    <row r="484" ht="15.75" customHeight="1">
      <c r="A484" s="94"/>
      <c r="B484" s="94" t="str">
        <f>IFERROR(__xludf.DUMMYFUNCTION("""COMPUTED_VALUE"""),"DL 4-09")</f>
        <v>DL 4-09</v>
      </c>
      <c r="C484" s="1429" t="str">
        <f>IFERROR(__xludf.DUMMYFUNCTION("""COMPUTED_VALUE"""),"DL")</f>
        <v>DL</v>
      </c>
      <c r="D484" s="1432">
        <f>IFERROR(__xludf.DUMMYFUNCTION("""COMPUTED_VALUE"""),7.0)</f>
        <v>7</v>
      </c>
      <c r="E484" s="1429">
        <f>IFERROR(__xludf.DUMMYFUNCTION("""COMPUTED_VALUE"""),45485.0)</f>
        <v>45485</v>
      </c>
      <c r="F484" s="1429">
        <f>IFERROR(__xludf.DUMMYFUNCTION("""COMPUTED_VALUE"""),45497.0)</f>
        <v>45497</v>
      </c>
      <c r="G484" s="1164">
        <f>IFERROR(__xludf.DUMMYFUNCTION("""COMPUTED_VALUE"""),12.0)</f>
        <v>12</v>
      </c>
      <c r="H484" s="1430">
        <f>IFERROR(__xludf.DUMMYFUNCTION("""COMPUTED_VALUE"""),1320.0)</f>
        <v>1320</v>
      </c>
      <c r="I484" s="94">
        <f>IFERROR(__xludf.DUMMYFUNCTION("""COMPUTED_VALUE"""),0.0)</f>
        <v>0</v>
      </c>
      <c r="J484" s="94"/>
      <c r="K484" s="94">
        <f>IFERROR(__xludf.DUMMYFUNCTION("""COMPUTED_VALUE"""),40.0)</f>
        <v>40</v>
      </c>
      <c r="L484" s="94">
        <f>IFERROR(__xludf.DUMMYFUNCTION("""COMPUTED_VALUE"""),40.0)</f>
        <v>40</v>
      </c>
      <c r="M484" s="94">
        <f>IFERROR(__xludf.DUMMYFUNCTION("""COMPUTED_VALUE"""),0.0)</f>
        <v>0</v>
      </c>
      <c r="N484" s="94"/>
      <c r="O484" s="1430">
        <f>IFERROR(__xludf.DUMMYFUNCTION("""COMPUTED_VALUE"""),0.0)</f>
        <v>0</v>
      </c>
      <c r="P484" s="1431">
        <f>IFERROR(__xludf.DUMMYFUNCTION("""COMPUTED_VALUE"""),2.72)</f>
        <v>2.72</v>
      </c>
      <c r="Q484" s="1432">
        <f>IFERROR(__xludf.DUMMYFUNCTION("""COMPUTED_VALUE"""),3590.4)</f>
        <v>3590.4</v>
      </c>
    </row>
    <row r="485" ht="15.75" customHeight="1">
      <c r="A485" s="94"/>
      <c r="B485" s="94" t="str">
        <f>IFERROR(__xludf.DUMMYFUNCTION("""COMPUTED_VALUE"""),"WS  B 405")</f>
        <v>WS  B 405</v>
      </c>
      <c r="C485" s="1429" t="str">
        <f>IFERROR(__xludf.DUMMYFUNCTION("""COMPUTED_VALUE"""),"WS")</f>
        <v>WS</v>
      </c>
      <c r="D485" s="1432">
        <f>IFERROR(__xludf.DUMMYFUNCTION("""COMPUTED_VALUE"""),7.0)</f>
        <v>7</v>
      </c>
      <c r="E485" s="1429">
        <f>IFERROR(__xludf.DUMMYFUNCTION("""COMPUTED_VALUE"""),45485.0)</f>
        <v>45485</v>
      </c>
      <c r="F485" s="1429">
        <f>IFERROR(__xludf.DUMMYFUNCTION("""COMPUTED_VALUE"""),45490.0)</f>
        <v>45490</v>
      </c>
      <c r="G485" s="1164">
        <f>IFERROR(__xludf.DUMMYFUNCTION("""COMPUTED_VALUE"""),5.0)</f>
        <v>5</v>
      </c>
      <c r="H485" s="94"/>
      <c r="I485" s="94">
        <f>IFERROR(__xludf.DUMMYFUNCTION("""COMPUTED_VALUE"""),895.0)</f>
        <v>895</v>
      </c>
      <c r="J485" s="94"/>
      <c r="K485" s="94">
        <f>IFERROR(__xludf.DUMMYFUNCTION("""COMPUTED_VALUE"""),60.0)</f>
        <v>60</v>
      </c>
      <c r="L485" s="94">
        <f>IFERROR(__xludf.DUMMYFUNCTION("""COMPUTED_VALUE"""),40.0)</f>
        <v>40</v>
      </c>
      <c r="M485" s="94">
        <f>IFERROR(__xludf.DUMMYFUNCTION("""COMPUTED_VALUE"""),20.0)</f>
        <v>20</v>
      </c>
      <c r="N485" s="94"/>
      <c r="O485" s="1430">
        <f>IFERROR(__xludf.DUMMYFUNCTION("""COMPUTED_VALUE"""),20.0)</f>
        <v>20</v>
      </c>
      <c r="P485" s="1431">
        <f>IFERROR(__xludf.DUMMYFUNCTION("""COMPUTED_VALUE"""),2.72)</f>
        <v>2.72</v>
      </c>
      <c r="Q485" s="1432">
        <f>IFERROR(__xludf.DUMMYFUNCTION("""COMPUTED_VALUE"""),895.0)</f>
        <v>895</v>
      </c>
    </row>
    <row r="486" ht="15.75" customHeight="1">
      <c r="A486" s="94"/>
      <c r="B486" s="94" t="str">
        <f>IFERROR(__xludf.DUMMYFUNCTION("""COMPUTED_VALUE"""),"WS E1405")</f>
        <v>WS E1405</v>
      </c>
      <c r="C486" s="1429" t="str">
        <f>IFERROR(__xludf.DUMMYFUNCTION("""COMPUTED_VALUE"""),"WS")</f>
        <v>WS</v>
      </c>
      <c r="D486" s="1432">
        <f>IFERROR(__xludf.DUMMYFUNCTION("""COMPUTED_VALUE"""),7.0)</f>
        <v>7</v>
      </c>
      <c r="E486" s="1429">
        <f>IFERROR(__xludf.DUMMYFUNCTION("""COMPUTED_VALUE"""),45485.0)</f>
        <v>45485</v>
      </c>
      <c r="F486" s="1429">
        <f>IFERROR(__xludf.DUMMYFUNCTION("""COMPUTED_VALUE"""),45490.0)</f>
        <v>45490</v>
      </c>
      <c r="G486" s="1164">
        <f>IFERROR(__xludf.DUMMYFUNCTION("""COMPUTED_VALUE"""),5.0)</f>
        <v>5</v>
      </c>
      <c r="H486" s="94"/>
      <c r="I486" s="94">
        <f>IFERROR(__xludf.DUMMYFUNCTION("""COMPUTED_VALUE"""),895.0)</f>
        <v>895</v>
      </c>
      <c r="J486" s="94"/>
      <c r="K486" s="94">
        <f>IFERROR(__xludf.DUMMYFUNCTION("""COMPUTED_VALUE"""),60.0)</f>
        <v>60</v>
      </c>
      <c r="L486" s="94">
        <f>IFERROR(__xludf.DUMMYFUNCTION("""COMPUTED_VALUE"""),40.0)</f>
        <v>40</v>
      </c>
      <c r="M486" s="94">
        <f>IFERROR(__xludf.DUMMYFUNCTION("""COMPUTED_VALUE"""),20.0)</f>
        <v>20</v>
      </c>
      <c r="N486" s="94"/>
      <c r="O486" s="1430">
        <f>IFERROR(__xludf.DUMMYFUNCTION("""COMPUTED_VALUE"""),20.0)</f>
        <v>20</v>
      </c>
      <c r="P486" s="1431">
        <f>IFERROR(__xludf.DUMMYFUNCTION("""COMPUTED_VALUE"""),2.72)</f>
        <v>2.72</v>
      </c>
      <c r="Q486" s="1432">
        <f>IFERROR(__xludf.DUMMYFUNCTION("""COMPUTED_VALUE"""),895.0)</f>
        <v>895</v>
      </c>
    </row>
    <row r="487" ht="15.75" customHeight="1">
      <c r="A487" s="94"/>
      <c r="B487" s="94" t="str">
        <f>IFERROR(__xludf.DUMMYFUNCTION("""COMPUTED_VALUE"""),"WS А 908")</f>
        <v>WS А 908</v>
      </c>
      <c r="C487" s="1429" t="str">
        <f>IFERROR(__xludf.DUMMYFUNCTION("""COMPUTED_VALUE"""),"WS")</f>
        <v>WS</v>
      </c>
      <c r="D487" s="1432">
        <f>IFERROR(__xludf.DUMMYFUNCTION("""COMPUTED_VALUE"""),7.0)</f>
        <v>7</v>
      </c>
      <c r="E487" s="1429">
        <f>IFERROR(__xludf.DUMMYFUNCTION("""COMPUTED_VALUE"""),45485.0)</f>
        <v>45485</v>
      </c>
      <c r="F487" s="1429">
        <f>IFERROR(__xludf.DUMMYFUNCTION("""COMPUTED_VALUE"""),45490.0)</f>
        <v>45490</v>
      </c>
      <c r="G487" s="1164">
        <f>IFERROR(__xludf.DUMMYFUNCTION("""COMPUTED_VALUE"""),5.0)</f>
        <v>5</v>
      </c>
      <c r="H487" s="94"/>
      <c r="I487" s="94">
        <f>IFERROR(__xludf.DUMMYFUNCTION("""COMPUTED_VALUE"""),895.0)</f>
        <v>895</v>
      </c>
      <c r="J487" s="94"/>
      <c r="K487" s="94">
        <f>IFERROR(__xludf.DUMMYFUNCTION("""COMPUTED_VALUE"""),60.0)</f>
        <v>60</v>
      </c>
      <c r="L487" s="94">
        <f>IFERROR(__xludf.DUMMYFUNCTION("""COMPUTED_VALUE"""),40.0)</f>
        <v>40</v>
      </c>
      <c r="M487" s="94">
        <f>IFERROR(__xludf.DUMMYFUNCTION("""COMPUTED_VALUE"""),20.0)</f>
        <v>20</v>
      </c>
      <c r="N487" s="94"/>
      <c r="O487" s="1430">
        <f>IFERROR(__xludf.DUMMYFUNCTION("""COMPUTED_VALUE"""),20.0)</f>
        <v>20</v>
      </c>
      <c r="P487" s="1431">
        <f>IFERROR(__xludf.DUMMYFUNCTION("""COMPUTED_VALUE"""),2.72)</f>
        <v>2.72</v>
      </c>
      <c r="Q487" s="1432">
        <f>IFERROR(__xludf.DUMMYFUNCTION("""COMPUTED_VALUE"""),895.0)</f>
        <v>895</v>
      </c>
    </row>
    <row r="488" ht="15.75" customHeight="1">
      <c r="A488" s="94"/>
      <c r="B488" s="94" t="str">
        <f>IFERROR(__xludf.DUMMYFUNCTION("""COMPUTED_VALUE"""),"D 1321")</f>
        <v>D 1321</v>
      </c>
      <c r="C488" s="1429" t="str">
        <f>IFERROR(__xludf.DUMMYFUNCTION("""COMPUTED_VALUE"""),"ORBI")</f>
        <v>ORBI</v>
      </c>
      <c r="D488" s="1432">
        <f>IFERROR(__xludf.DUMMYFUNCTION("""COMPUTED_VALUE"""),7.0)</f>
        <v>7</v>
      </c>
      <c r="E488" s="1429">
        <f>IFERROR(__xludf.DUMMYFUNCTION("""COMPUTED_VALUE"""),45485.0)</f>
        <v>45485</v>
      </c>
      <c r="F488" s="1429">
        <f>IFERROR(__xludf.DUMMYFUNCTION("""COMPUTED_VALUE"""),45487.0)</f>
        <v>45487</v>
      </c>
      <c r="G488" s="1164">
        <f>IFERROR(__xludf.DUMMYFUNCTION("""COMPUTED_VALUE"""),2.0)</f>
        <v>2</v>
      </c>
      <c r="H488" s="1430">
        <f>IFERROR(__xludf.DUMMYFUNCTION("""COMPUTED_VALUE"""),77.0)</f>
        <v>77</v>
      </c>
      <c r="I488" s="94">
        <f>IFERROR(__xludf.DUMMYFUNCTION("""COMPUTED_VALUE"""),0.0)</f>
        <v>0</v>
      </c>
      <c r="J488" s="94"/>
      <c r="K488" s="94">
        <f>IFERROR(__xludf.DUMMYFUNCTION("""COMPUTED_VALUE"""),50.0)</f>
        <v>50</v>
      </c>
      <c r="L488" s="94">
        <f>IFERROR(__xludf.DUMMYFUNCTION("""COMPUTED_VALUE"""),40.0)</f>
        <v>40</v>
      </c>
      <c r="M488" s="94">
        <f>IFERROR(__xludf.DUMMYFUNCTION("""COMPUTED_VALUE"""),10.0)</f>
        <v>10</v>
      </c>
      <c r="N488" s="94"/>
      <c r="O488" s="1430">
        <f>IFERROR(__xludf.DUMMYFUNCTION("""COMPUTED_VALUE"""),10.0)</f>
        <v>10</v>
      </c>
      <c r="P488" s="1431">
        <f>IFERROR(__xludf.DUMMYFUNCTION("""COMPUTED_VALUE"""),2.72)</f>
        <v>2.72</v>
      </c>
      <c r="Q488" s="1432">
        <f>IFERROR(__xludf.DUMMYFUNCTION("""COMPUTED_VALUE"""),209.44000000000003)</f>
        <v>209.44</v>
      </c>
    </row>
    <row r="489" ht="15.75" customHeight="1">
      <c r="A489" s="94"/>
      <c r="B489" s="94" t="str">
        <f>IFERROR(__xludf.DUMMYFUNCTION("""COMPUTED_VALUE"""),"C 4245")</f>
        <v>C 4245</v>
      </c>
      <c r="C489" s="1429" t="str">
        <f>IFERROR(__xludf.DUMMYFUNCTION("""COMPUTED_VALUE"""),"ORBI")</f>
        <v>ORBI</v>
      </c>
      <c r="D489" s="1432">
        <f>IFERROR(__xludf.DUMMYFUNCTION("""COMPUTED_VALUE"""),7.0)</f>
        <v>7</v>
      </c>
      <c r="E489" s="1429">
        <f>IFERROR(__xludf.DUMMYFUNCTION("""COMPUTED_VALUE"""),45485.0)</f>
        <v>45485</v>
      </c>
      <c r="F489" s="1429">
        <f>IFERROR(__xludf.DUMMYFUNCTION("""COMPUTED_VALUE"""),45486.0)</f>
        <v>45486</v>
      </c>
      <c r="G489" s="1164">
        <f>IFERROR(__xludf.DUMMYFUNCTION("""COMPUTED_VALUE"""),1.0)</f>
        <v>1</v>
      </c>
      <c r="H489" s="1430">
        <f>IFERROR(__xludf.DUMMYFUNCTION("""COMPUTED_VALUE"""),75.0)</f>
        <v>75</v>
      </c>
      <c r="I489" s="94">
        <f>IFERROR(__xludf.DUMMYFUNCTION("""COMPUTED_VALUE"""),0.0)</f>
        <v>0</v>
      </c>
      <c r="J489" s="94"/>
      <c r="K489" s="94">
        <f>IFERROR(__xludf.DUMMYFUNCTION("""COMPUTED_VALUE"""),70.0)</f>
        <v>70</v>
      </c>
      <c r="L489" s="94">
        <f>IFERROR(__xludf.DUMMYFUNCTION("""COMPUTED_VALUE"""),40.0)</f>
        <v>40</v>
      </c>
      <c r="M489" s="94">
        <f>IFERROR(__xludf.DUMMYFUNCTION("""COMPUTED_VALUE"""),30.0)</f>
        <v>30</v>
      </c>
      <c r="N489" s="94"/>
      <c r="O489" s="1430">
        <f>IFERROR(__xludf.DUMMYFUNCTION("""COMPUTED_VALUE"""),30.0)</f>
        <v>30</v>
      </c>
      <c r="P489" s="1431">
        <f>IFERROR(__xludf.DUMMYFUNCTION("""COMPUTED_VALUE"""),2.72)</f>
        <v>2.72</v>
      </c>
      <c r="Q489" s="1432">
        <f>IFERROR(__xludf.DUMMYFUNCTION("""COMPUTED_VALUE"""),204.00000000000003)</f>
        <v>204</v>
      </c>
    </row>
    <row r="490" ht="15.75" customHeight="1">
      <c r="A490" s="94"/>
      <c r="B490" s="94" t="str">
        <f>IFERROR(__xludf.DUMMYFUNCTION("""COMPUTED_VALUE"""),"WS A 713")</f>
        <v>WS A 713</v>
      </c>
      <c r="C490" s="1429" t="str">
        <f>IFERROR(__xludf.DUMMYFUNCTION("""COMPUTED_VALUE"""),"WS")</f>
        <v>WS</v>
      </c>
      <c r="D490" s="1432">
        <f>IFERROR(__xludf.DUMMYFUNCTION("""COMPUTED_VALUE"""),7.0)</f>
        <v>7</v>
      </c>
      <c r="E490" s="1429">
        <f>IFERROR(__xludf.DUMMYFUNCTION("""COMPUTED_VALUE"""),45486.0)</f>
        <v>45486</v>
      </c>
      <c r="F490" s="1429">
        <f>IFERROR(__xludf.DUMMYFUNCTION("""COMPUTED_VALUE"""),45489.0)</f>
        <v>45489</v>
      </c>
      <c r="G490" s="1164">
        <f>IFERROR(__xludf.DUMMYFUNCTION("""COMPUTED_VALUE"""),3.0)</f>
        <v>3</v>
      </c>
      <c r="H490" s="94"/>
      <c r="I490" s="94">
        <f>IFERROR(__xludf.DUMMYFUNCTION("""COMPUTED_VALUE"""),580.0)</f>
        <v>580</v>
      </c>
      <c r="J490" s="94"/>
      <c r="K490" s="94">
        <f>IFERROR(__xludf.DUMMYFUNCTION("""COMPUTED_VALUE"""),60.0)</f>
        <v>60</v>
      </c>
      <c r="L490" s="94">
        <f>IFERROR(__xludf.DUMMYFUNCTION("""COMPUTED_VALUE"""),40.0)</f>
        <v>40</v>
      </c>
      <c r="M490" s="94">
        <f>IFERROR(__xludf.DUMMYFUNCTION("""COMPUTED_VALUE"""),20.0)</f>
        <v>20</v>
      </c>
      <c r="N490" s="94"/>
      <c r="O490" s="1430">
        <f>IFERROR(__xludf.DUMMYFUNCTION("""COMPUTED_VALUE"""),20.0)</f>
        <v>20</v>
      </c>
      <c r="P490" s="1431">
        <f>IFERROR(__xludf.DUMMYFUNCTION("""COMPUTED_VALUE"""),2.72)</f>
        <v>2.72</v>
      </c>
      <c r="Q490" s="1432">
        <f>IFERROR(__xludf.DUMMYFUNCTION("""COMPUTED_VALUE"""),580.0)</f>
        <v>580</v>
      </c>
    </row>
    <row r="491" ht="15.75" customHeight="1">
      <c r="A491" s="94"/>
      <c r="B491" s="94" t="str">
        <f>IFERROR(__xludf.DUMMYFUNCTION("""COMPUTED_VALUE"""),"C 4245")</f>
        <v>C 4245</v>
      </c>
      <c r="C491" s="1429" t="str">
        <f>IFERROR(__xludf.DUMMYFUNCTION("""COMPUTED_VALUE"""),"ORBI")</f>
        <v>ORBI</v>
      </c>
      <c r="D491" s="1432">
        <f>IFERROR(__xludf.DUMMYFUNCTION("""COMPUTED_VALUE"""),7.0)</f>
        <v>7</v>
      </c>
      <c r="E491" s="1429">
        <f>IFERROR(__xludf.DUMMYFUNCTION("""COMPUTED_VALUE"""),45486.0)</f>
        <v>45486</v>
      </c>
      <c r="F491" s="1429">
        <f>IFERROR(__xludf.DUMMYFUNCTION("""COMPUTED_VALUE"""),45491.0)</f>
        <v>45491</v>
      </c>
      <c r="G491" s="1164">
        <f>IFERROR(__xludf.DUMMYFUNCTION("""COMPUTED_VALUE"""),5.0)</f>
        <v>5</v>
      </c>
      <c r="H491" s="1430">
        <f>IFERROR(__xludf.DUMMYFUNCTION("""COMPUTED_VALUE"""),338.0)</f>
        <v>338</v>
      </c>
      <c r="I491" s="94">
        <f>IFERROR(__xludf.DUMMYFUNCTION("""COMPUTED_VALUE"""),0.0)</f>
        <v>0</v>
      </c>
      <c r="J491" s="94"/>
      <c r="K491" s="94">
        <f>IFERROR(__xludf.DUMMYFUNCTION("""COMPUTED_VALUE"""),70.0)</f>
        <v>70</v>
      </c>
      <c r="L491" s="94">
        <f>IFERROR(__xludf.DUMMYFUNCTION("""COMPUTED_VALUE"""),40.0)</f>
        <v>40</v>
      </c>
      <c r="M491" s="94">
        <f>IFERROR(__xludf.DUMMYFUNCTION("""COMPUTED_VALUE"""),30.0)</f>
        <v>30</v>
      </c>
      <c r="N491" s="94"/>
      <c r="O491" s="1430">
        <f>IFERROR(__xludf.DUMMYFUNCTION("""COMPUTED_VALUE"""),30.0)</f>
        <v>30</v>
      </c>
      <c r="P491" s="1431">
        <f>IFERROR(__xludf.DUMMYFUNCTION("""COMPUTED_VALUE"""),2.72)</f>
        <v>2.72</v>
      </c>
      <c r="Q491" s="1432">
        <f>IFERROR(__xludf.DUMMYFUNCTION("""COMPUTED_VALUE"""),919.36)</f>
        <v>919.36</v>
      </c>
    </row>
    <row r="492" ht="15.75" customHeight="1">
      <c r="A492" s="94"/>
      <c r="B492" s="94" t="str">
        <f>IFERROR(__xludf.DUMMYFUNCTION("""COMPUTED_VALUE"""),"С 2756")</f>
        <v>С 2756</v>
      </c>
      <c r="C492" s="1429" t="str">
        <f>IFERROR(__xludf.DUMMYFUNCTION("""COMPUTED_VALUE"""),"ORBI")</f>
        <v>ORBI</v>
      </c>
      <c r="D492" s="1432">
        <f>IFERROR(__xludf.DUMMYFUNCTION("""COMPUTED_VALUE"""),7.0)</f>
        <v>7</v>
      </c>
      <c r="E492" s="1429">
        <f>IFERROR(__xludf.DUMMYFUNCTION("""COMPUTED_VALUE"""),45486.0)</f>
        <v>45486</v>
      </c>
      <c r="F492" s="1429">
        <f>IFERROR(__xludf.DUMMYFUNCTION("""COMPUTED_VALUE"""),45488.0)</f>
        <v>45488</v>
      </c>
      <c r="G492" s="1164">
        <f>IFERROR(__xludf.DUMMYFUNCTION("""COMPUTED_VALUE"""),2.0)</f>
        <v>2</v>
      </c>
      <c r="H492" s="1430">
        <f>IFERROR(__xludf.DUMMYFUNCTION("""COMPUTED_VALUE"""),71.0)</f>
        <v>71</v>
      </c>
      <c r="I492" s="94">
        <f>IFERROR(__xludf.DUMMYFUNCTION("""COMPUTED_VALUE"""),0.0)</f>
        <v>0</v>
      </c>
      <c r="J492" s="94"/>
      <c r="K492" s="94">
        <f>IFERROR(__xludf.DUMMYFUNCTION("""COMPUTED_VALUE"""),50.0)</f>
        <v>50</v>
      </c>
      <c r="L492" s="94">
        <f>IFERROR(__xludf.DUMMYFUNCTION("""COMPUTED_VALUE"""),40.0)</f>
        <v>40</v>
      </c>
      <c r="M492" s="94">
        <f>IFERROR(__xludf.DUMMYFUNCTION("""COMPUTED_VALUE"""),10.0)</f>
        <v>10</v>
      </c>
      <c r="N492" s="94"/>
      <c r="O492" s="1430">
        <f>IFERROR(__xludf.DUMMYFUNCTION("""COMPUTED_VALUE"""),10.0)</f>
        <v>10</v>
      </c>
      <c r="P492" s="1431">
        <f>IFERROR(__xludf.DUMMYFUNCTION("""COMPUTED_VALUE"""),2.72)</f>
        <v>2.72</v>
      </c>
      <c r="Q492" s="1432">
        <f>IFERROR(__xludf.DUMMYFUNCTION("""COMPUTED_VALUE"""),193.12)</f>
        <v>193.12</v>
      </c>
    </row>
    <row r="493" ht="15.75" customHeight="1">
      <c r="A493" s="94"/>
      <c r="B493" s="94" t="str">
        <f>IFERROR(__xludf.DUMMYFUNCTION("""COMPUTED_VALUE"""),"WS А 908")</f>
        <v>WS А 908</v>
      </c>
      <c r="C493" s="1429" t="str">
        <f>IFERROR(__xludf.DUMMYFUNCTION("""COMPUTED_VALUE"""),"WS")</f>
        <v>WS</v>
      </c>
      <c r="D493" s="1432">
        <f>IFERROR(__xludf.DUMMYFUNCTION("""COMPUTED_VALUE"""),7.0)</f>
        <v>7</v>
      </c>
      <c r="E493" s="1429">
        <f>IFERROR(__xludf.DUMMYFUNCTION("""COMPUTED_VALUE"""),45486.0)</f>
        <v>45486</v>
      </c>
      <c r="F493" s="1429">
        <f>IFERROR(__xludf.DUMMYFUNCTION("""COMPUTED_VALUE"""),45495.0)</f>
        <v>45495</v>
      </c>
      <c r="G493" s="1164">
        <f>IFERROR(__xludf.DUMMYFUNCTION("""COMPUTED_VALUE"""),9.0)</f>
        <v>9</v>
      </c>
      <c r="H493" s="1430">
        <f>IFERROR(__xludf.DUMMYFUNCTION("""COMPUTED_VALUE"""),530.0)</f>
        <v>530</v>
      </c>
      <c r="I493" s="94">
        <f>IFERROR(__xludf.DUMMYFUNCTION("""COMPUTED_VALUE"""),0.0)</f>
        <v>0</v>
      </c>
      <c r="J493" s="94"/>
      <c r="K493" s="94">
        <f>IFERROR(__xludf.DUMMYFUNCTION("""COMPUTED_VALUE"""),60.0)</f>
        <v>60</v>
      </c>
      <c r="L493" s="94">
        <f>IFERROR(__xludf.DUMMYFUNCTION("""COMPUTED_VALUE"""),40.0)</f>
        <v>40</v>
      </c>
      <c r="M493" s="94">
        <f>IFERROR(__xludf.DUMMYFUNCTION("""COMPUTED_VALUE"""),20.0)</f>
        <v>20</v>
      </c>
      <c r="N493" s="94"/>
      <c r="O493" s="1430">
        <f>IFERROR(__xludf.DUMMYFUNCTION("""COMPUTED_VALUE"""),20.0)</f>
        <v>20</v>
      </c>
      <c r="P493" s="1431">
        <f>IFERROR(__xludf.DUMMYFUNCTION("""COMPUTED_VALUE"""),2.72)</f>
        <v>2.72</v>
      </c>
      <c r="Q493" s="1432">
        <f>IFERROR(__xludf.DUMMYFUNCTION("""COMPUTED_VALUE"""),1441.6000000000001)</f>
        <v>1441.6</v>
      </c>
    </row>
    <row r="494" ht="15.75" customHeight="1">
      <c r="A494" s="94"/>
      <c r="B494" s="94" t="str">
        <f>IFERROR(__xludf.DUMMYFUNCTION("""COMPUTED_VALUE"""),"WS E 1202")</f>
        <v>WS E 1202</v>
      </c>
      <c r="C494" s="1429" t="str">
        <f>IFERROR(__xludf.DUMMYFUNCTION("""COMPUTED_VALUE"""),"WS")</f>
        <v>WS</v>
      </c>
      <c r="D494" s="1432">
        <f>IFERROR(__xludf.DUMMYFUNCTION("""COMPUTED_VALUE"""),7.0)</f>
        <v>7</v>
      </c>
      <c r="E494" s="1429">
        <f>IFERROR(__xludf.DUMMYFUNCTION("""COMPUTED_VALUE"""),45486.0)</f>
        <v>45486</v>
      </c>
      <c r="F494" s="1429">
        <f>IFERROR(__xludf.DUMMYFUNCTION("""COMPUTED_VALUE"""),45488.0)</f>
        <v>45488</v>
      </c>
      <c r="G494" s="1164">
        <f>IFERROR(__xludf.DUMMYFUNCTION("""COMPUTED_VALUE"""),2.0)</f>
        <v>2</v>
      </c>
      <c r="H494" s="1430">
        <f>IFERROR(__xludf.DUMMYFUNCTION("""COMPUTED_VALUE"""),142.0)</f>
        <v>142</v>
      </c>
      <c r="I494" s="94">
        <f>IFERROR(__xludf.DUMMYFUNCTION("""COMPUTED_VALUE"""),0.0)</f>
        <v>0</v>
      </c>
      <c r="J494" s="94"/>
      <c r="K494" s="94">
        <f>IFERROR(__xludf.DUMMYFUNCTION("""COMPUTED_VALUE"""),70.0)</f>
        <v>70</v>
      </c>
      <c r="L494" s="94">
        <f>IFERROR(__xludf.DUMMYFUNCTION("""COMPUTED_VALUE"""),40.0)</f>
        <v>40</v>
      </c>
      <c r="M494" s="94">
        <f>IFERROR(__xludf.DUMMYFUNCTION("""COMPUTED_VALUE"""),30.0)</f>
        <v>30</v>
      </c>
      <c r="N494" s="94"/>
      <c r="O494" s="1430">
        <f>IFERROR(__xludf.DUMMYFUNCTION("""COMPUTED_VALUE"""),30.0)</f>
        <v>30</v>
      </c>
      <c r="P494" s="1431">
        <f>IFERROR(__xludf.DUMMYFUNCTION("""COMPUTED_VALUE"""),2.72)</f>
        <v>2.72</v>
      </c>
      <c r="Q494" s="1432">
        <f>IFERROR(__xludf.DUMMYFUNCTION("""COMPUTED_VALUE"""),386.24)</f>
        <v>386.24</v>
      </c>
    </row>
    <row r="495" ht="15.75" customHeight="1">
      <c r="A495" s="94"/>
      <c r="B495" s="94" t="str">
        <f>IFERROR(__xludf.DUMMYFUNCTION("""COMPUTED_VALUE"""),"DL14-1707")</f>
        <v>DL14-1707</v>
      </c>
      <c r="C495" s="1429" t="str">
        <f>IFERROR(__xludf.DUMMYFUNCTION("""COMPUTED_VALUE"""),"DL")</f>
        <v>DL</v>
      </c>
      <c r="D495" s="1432">
        <f>IFERROR(__xludf.DUMMYFUNCTION("""COMPUTED_VALUE"""),7.0)</f>
        <v>7</v>
      </c>
      <c r="E495" s="1429">
        <f>IFERROR(__xludf.DUMMYFUNCTION("""COMPUTED_VALUE"""),45486.0)</f>
        <v>45486</v>
      </c>
      <c r="F495" s="1429">
        <f>IFERROR(__xludf.DUMMYFUNCTION("""COMPUTED_VALUE"""),45488.0)</f>
        <v>45488</v>
      </c>
      <c r="G495" s="1164">
        <f>IFERROR(__xludf.DUMMYFUNCTION("""COMPUTED_VALUE"""),2.0)</f>
        <v>2</v>
      </c>
      <c r="H495" s="1430">
        <f>IFERROR(__xludf.DUMMYFUNCTION("""COMPUTED_VALUE"""),133.0)</f>
        <v>133</v>
      </c>
      <c r="I495" s="94">
        <f>IFERROR(__xludf.DUMMYFUNCTION("""COMPUTED_VALUE"""),0.0)</f>
        <v>0</v>
      </c>
      <c r="J495" s="94"/>
      <c r="K495" s="94">
        <f>IFERROR(__xludf.DUMMYFUNCTION("""COMPUTED_VALUE"""),40.0)</f>
        <v>40</v>
      </c>
      <c r="L495" s="94">
        <f>IFERROR(__xludf.DUMMYFUNCTION("""COMPUTED_VALUE"""),40.0)</f>
        <v>40</v>
      </c>
      <c r="M495" s="94">
        <f>IFERROR(__xludf.DUMMYFUNCTION("""COMPUTED_VALUE"""),0.0)</f>
        <v>0</v>
      </c>
      <c r="N495" s="94"/>
      <c r="O495" s="1430">
        <f>IFERROR(__xludf.DUMMYFUNCTION("""COMPUTED_VALUE"""),0.0)</f>
        <v>0</v>
      </c>
      <c r="P495" s="1431">
        <f>IFERROR(__xludf.DUMMYFUNCTION("""COMPUTED_VALUE"""),2.72)</f>
        <v>2.72</v>
      </c>
      <c r="Q495" s="1432">
        <f>IFERROR(__xludf.DUMMYFUNCTION("""COMPUTED_VALUE"""),361.76000000000005)</f>
        <v>361.76</v>
      </c>
    </row>
    <row r="496" ht="15.75" customHeight="1">
      <c r="A496" s="94"/>
      <c r="B496" s="94" t="str">
        <f>IFERROR(__xludf.DUMMYFUNCTION("""COMPUTED_VALUE"""),"CM 1931")</f>
        <v>CM 1931</v>
      </c>
      <c r="C496" s="1429" t="str">
        <f>IFERROR(__xludf.DUMMYFUNCTION("""COMPUTED_VALUE"""),"MAR")</f>
        <v>MAR</v>
      </c>
      <c r="D496" s="1432">
        <f>IFERROR(__xludf.DUMMYFUNCTION("""COMPUTED_VALUE"""),7.0)</f>
        <v>7</v>
      </c>
      <c r="E496" s="1429">
        <f>IFERROR(__xludf.DUMMYFUNCTION("""COMPUTED_VALUE"""),45486.0)</f>
        <v>45486</v>
      </c>
      <c r="F496" s="1429">
        <f>IFERROR(__xludf.DUMMYFUNCTION("""COMPUTED_VALUE"""),45490.0)</f>
        <v>45490</v>
      </c>
      <c r="G496" s="1164">
        <f>IFERROR(__xludf.DUMMYFUNCTION("""COMPUTED_VALUE"""),4.0)</f>
        <v>4</v>
      </c>
      <c r="H496" s="1430">
        <f>IFERROR(__xludf.DUMMYFUNCTION("""COMPUTED_VALUE"""),158.0)</f>
        <v>158</v>
      </c>
      <c r="I496" s="94">
        <f>IFERROR(__xludf.DUMMYFUNCTION("""COMPUTED_VALUE"""),0.0)</f>
        <v>0</v>
      </c>
      <c r="J496" s="94"/>
      <c r="K496" s="94">
        <f>IFERROR(__xludf.DUMMYFUNCTION("""COMPUTED_VALUE"""),60.0)</f>
        <v>60</v>
      </c>
      <c r="L496" s="94">
        <f>IFERROR(__xludf.DUMMYFUNCTION("""COMPUTED_VALUE"""),40.0)</f>
        <v>40</v>
      </c>
      <c r="M496" s="94">
        <f>IFERROR(__xludf.DUMMYFUNCTION("""COMPUTED_VALUE"""),20.0)</f>
        <v>20</v>
      </c>
      <c r="N496" s="94"/>
      <c r="O496" s="1430">
        <f>IFERROR(__xludf.DUMMYFUNCTION("""COMPUTED_VALUE"""),20.0)</f>
        <v>20</v>
      </c>
      <c r="P496" s="1431">
        <f>IFERROR(__xludf.DUMMYFUNCTION("""COMPUTED_VALUE"""),2.72)</f>
        <v>2.72</v>
      </c>
      <c r="Q496" s="1432">
        <f>IFERROR(__xludf.DUMMYFUNCTION("""COMPUTED_VALUE"""),429.76000000000005)</f>
        <v>429.76</v>
      </c>
    </row>
    <row r="497" ht="15.75" customHeight="1">
      <c r="A497" s="94"/>
      <c r="B497" s="94" t="str">
        <f>IFERROR(__xludf.DUMMYFUNCTION("""COMPUTED_VALUE"""),"DL 14-516")</f>
        <v>DL 14-516</v>
      </c>
      <c r="C497" s="1429" t="str">
        <f>IFERROR(__xludf.DUMMYFUNCTION("""COMPUTED_VALUE"""),"DL")</f>
        <v>DL</v>
      </c>
      <c r="D497" s="1432">
        <f>IFERROR(__xludf.DUMMYFUNCTION("""COMPUTED_VALUE"""),7.0)</f>
        <v>7</v>
      </c>
      <c r="E497" s="1429">
        <f>IFERROR(__xludf.DUMMYFUNCTION("""COMPUTED_VALUE"""),45487.0)</f>
        <v>45487</v>
      </c>
      <c r="F497" s="1429">
        <f>IFERROR(__xludf.DUMMYFUNCTION("""COMPUTED_VALUE"""),45493.0)</f>
        <v>45493</v>
      </c>
      <c r="G497" s="1164">
        <f>IFERROR(__xludf.DUMMYFUNCTION("""COMPUTED_VALUE"""),6.0)</f>
        <v>6</v>
      </c>
      <c r="H497" s="1430">
        <f>IFERROR(__xludf.DUMMYFUNCTION("""COMPUTED_VALUE"""),781.0)</f>
        <v>781</v>
      </c>
      <c r="I497" s="94">
        <f>IFERROR(__xludf.DUMMYFUNCTION("""COMPUTED_VALUE"""),0.0)</f>
        <v>0</v>
      </c>
      <c r="J497" s="94"/>
      <c r="K497" s="94">
        <f>IFERROR(__xludf.DUMMYFUNCTION("""COMPUTED_VALUE"""),40.0)</f>
        <v>40</v>
      </c>
      <c r="L497" s="94">
        <f>IFERROR(__xludf.DUMMYFUNCTION("""COMPUTED_VALUE"""),40.0)</f>
        <v>40</v>
      </c>
      <c r="M497" s="94">
        <f>IFERROR(__xludf.DUMMYFUNCTION("""COMPUTED_VALUE"""),0.0)</f>
        <v>0</v>
      </c>
      <c r="N497" s="94"/>
      <c r="O497" s="1430">
        <f>IFERROR(__xludf.DUMMYFUNCTION("""COMPUTED_VALUE"""),0.0)</f>
        <v>0</v>
      </c>
      <c r="P497" s="1431">
        <f>IFERROR(__xludf.DUMMYFUNCTION("""COMPUTED_VALUE"""),2.72)</f>
        <v>2.72</v>
      </c>
      <c r="Q497" s="1432">
        <f>IFERROR(__xludf.DUMMYFUNCTION("""COMPUTED_VALUE"""),2124.32)</f>
        <v>2124.32</v>
      </c>
    </row>
    <row r="498" ht="15.75" customHeight="1">
      <c r="A498" s="94"/>
      <c r="B498" s="94" t="str">
        <f>IFERROR(__xludf.DUMMYFUNCTION("""COMPUTED_VALUE"""),"С 1125")</f>
        <v>С 1125</v>
      </c>
      <c r="C498" s="1429" t="str">
        <f>IFERROR(__xludf.DUMMYFUNCTION("""COMPUTED_VALUE"""),"ORBI")</f>
        <v>ORBI</v>
      </c>
      <c r="D498" s="1432">
        <f>IFERROR(__xludf.DUMMYFUNCTION("""COMPUTED_VALUE"""),7.0)</f>
        <v>7</v>
      </c>
      <c r="E498" s="1429">
        <f>IFERROR(__xludf.DUMMYFUNCTION("""COMPUTED_VALUE"""),45487.0)</f>
        <v>45487</v>
      </c>
      <c r="F498" s="1429">
        <f>IFERROR(__xludf.DUMMYFUNCTION("""COMPUTED_VALUE"""),45493.0)</f>
        <v>45493</v>
      </c>
      <c r="G498" s="1164">
        <f>IFERROR(__xludf.DUMMYFUNCTION("""COMPUTED_VALUE"""),6.0)</f>
        <v>6</v>
      </c>
      <c r="H498" s="1430">
        <f>IFERROR(__xludf.DUMMYFUNCTION("""COMPUTED_VALUE"""),226.0)</f>
        <v>226</v>
      </c>
      <c r="I498" s="94">
        <f>IFERROR(__xludf.DUMMYFUNCTION("""COMPUTED_VALUE"""),0.0)</f>
        <v>0</v>
      </c>
      <c r="J498" s="94"/>
      <c r="K498" s="94">
        <f>IFERROR(__xludf.DUMMYFUNCTION("""COMPUTED_VALUE"""),50.0)</f>
        <v>50</v>
      </c>
      <c r="L498" s="94">
        <f>IFERROR(__xludf.DUMMYFUNCTION("""COMPUTED_VALUE"""),40.0)</f>
        <v>40</v>
      </c>
      <c r="M498" s="94">
        <f>IFERROR(__xludf.DUMMYFUNCTION("""COMPUTED_VALUE"""),10.0)</f>
        <v>10</v>
      </c>
      <c r="N498" s="94"/>
      <c r="O498" s="1430">
        <f>IFERROR(__xludf.DUMMYFUNCTION("""COMPUTED_VALUE"""),10.0)</f>
        <v>10</v>
      </c>
      <c r="P498" s="1431">
        <f>IFERROR(__xludf.DUMMYFUNCTION("""COMPUTED_VALUE"""),2.72)</f>
        <v>2.72</v>
      </c>
      <c r="Q498" s="1432">
        <f>IFERROR(__xludf.DUMMYFUNCTION("""COMPUTED_VALUE"""),614.72)</f>
        <v>614.72</v>
      </c>
    </row>
    <row r="499" ht="15.75" customHeight="1">
      <c r="A499" s="94"/>
      <c r="B499" s="94" t="str">
        <f>IFERROR(__xludf.DUMMYFUNCTION("""COMPUTED_VALUE"""),"DL14-1405")</f>
        <v>DL14-1405</v>
      </c>
      <c r="C499" s="1429" t="str">
        <f>IFERROR(__xludf.DUMMYFUNCTION("""COMPUTED_VALUE"""),"DL")</f>
        <v>DL</v>
      </c>
      <c r="D499" s="1432">
        <f>IFERROR(__xludf.DUMMYFUNCTION("""COMPUTED_VALUE"""),7.0)</f>
        <v>7</v>
      </c>
      <c r="E499" s="1429">
        <f>IFERROR(__xludf.DUMMYFUNCTION("""COMPUTED_VALUE"""),45487.0)</f>
        <v>45487</v>
      </c>
      <c r="F499" s="1429">
        <f>IFERROR(__xludf.DUMMYFUNCTION("""COMPUTED_VALUE"""),45497.0)</f>
        <v>45497</v>
      </c>
      <c r="G499" s="1164">
        <f>IFERROR(__xludf.DUMMYFUNCTION("""COMPUTED_VALUE"""),10.0)</f>
        <v>10</v>
      </c>
      <c r="H499" s="1430">
        <f>IFERROR(__xludf.DUMMYFUNCTION("""COMPUTED_VALUE"""),1385.0)</f>
        <v>1385</v>
      </c>
      <c r="I499" s="94">
        <f>IFERROR(__xludf.DUMMYFUNCTION("""COMPUTED_VALUE"""),0.0)</f>
        <v>0</v>
      </c>
      <c r="J499" s="94"/>
      <c r="K499" s="94">
        <f>IFERROR(__xludf.DUMMYFUNCTION("""COMPUTED_VALUE"""),40.0)</f>
        <v>40</v>
      </c>
      <c r="L499" s="94">
        <f>IFERROR(__xludf.DUMMYFUNCTION("""COMPUTED_VALUE"""),40.0)</f>
        <v>40</v>
      </c>
      <c r="M499" s="94">
        <f>IFERROR(__xludf.DUMMYFUNCTION("""COMPUTED_VALUE"""),0.0)</f>
        <v>0</v>
      </c>
      <c r="N499" s="94"/>
      <c r="O499" s="1430">
        <f>IFERROR(__xludf.DUMMYFUNCTION("""COMPUTED_VALUE"""),0.0)</f>
        <v>0</v>
      </c>
      <c r="P499" s="1431">
        <f>IFERROR(__xludf.DUMMYFUNCTION("""COMPUTED_VALUE"""),2.72)</f>
        <v>2.72</v>
      </c>
      <c r="Q499" s="1432">
        <f>IFERROR(__xludf.DUMMYFUNCTION("""COMPUTED_VALUE"""),3767.2000000000003)</f>
        <v>3767.2</v>
      </c>
    </row>
    <row r="500" ht="15.75" customHeight="1">
      <c r="A500" s="94"/>
      <c r="B500" s="94" t="str">
        <f>IFERROR(__xludf.DUMMYFUNCTION("""COMPUTED_VALUE"""),"OST 1202")</f>
        <v>OST 1202</v>
      </c>
      <c r="C500" s="1429" t="str">
        <f>IFERROR(__xludf.DUMMYFUNCTION("""COMPUTED_VALUE"""),"#N/A")</f>
        <v>#N/A</v>
      </c>
      <c r="D500" s="1432">
        <f>IFERROR(__xludf.DUMMYFUNCTION("""COMPUTED_VALUE"""),7.0)</f>
        <v>7</v>
      </c>
      <c r="E500" s="1429">
        <f>IFERROR(__xludf.DUMMYFUNCTION("""COMPUTED_VALUE"""),45481.0)</f>
        <v>45481</v>
      </c>
      <c r="F500" s="1429">
        <f>IFERROR(__xludf.DUMMYFUNCTION("""COMPUTED_VALUE"""),45512.0)</f>
        <v>45512</v>
      </c>
      <c r="G500" s="1164">
        <f>IFERROR(__xludf.DUMMYFUNCTION("""COMPUTED_VALUE"""),31.0)</f>
        <v>31</v>
      </c>
      <c r="H500" s="1430">
        <f>IFERROR(__xludf.DUMMYFUNCTION("""COMPUTED_VALUE"""),400.0)</f>
        <v>400</v>
      </c>
      <c r="I500" s="94">
        <f>IFERROR(__xludf.DUMMYFUNCTION("""COMPUTED_VALUE"""),0.0)</f>
        <v>0</v>
      </c>
      <c r="J500" s="94"/>
      <c r="K500" s="94">
        <f>IFERROR(__xludf.DUMMYFUNCTION("""COMPUTED_VALUE"""),40.0)</f>
        <v>40</v>
      </c>
      <c r="L500" s="94">
        <f>IFERROR(__xludf.DUMMYFUNCTION("""COMPUTED_VALUE"""),40.0)</f>
        <v>40</v>
      </c>
      <c r="M500" s="94">
        <f>IFERROR(__xludf.DUMMYFUNCTION("""COMPUTED_VALUE"""),0.0)</f>
        <v>0</v>
      </c>
      <c r="N500" s="94"/>
      <c r="O500" s="1430">
        <f>IFERROR(__xludf.DUMMYFUNCTION("""COMPUTED_VALUE"""),0.0)</f>
        <v>0</v>
      </c>
      <c r="P500" s="1431">
        <f>IFERROR(__xludf.DUMMYFUNCTION("""COMPUTED_VALUE"""),2.72)</f>
        <v>2.72</v>
      </c>
      <c r="Q500" s="1432">
        <f>IFERROR(__xludf.DUMMYFUNCTION("""COMPUTED_VALUE"""),1088.0)</f>
        <v>1088</v>
      </c>
    </row>
    <row r="501" ht="15.75" customHeight="1">
      <c r="A501" s="94"/>
      <c r="B501" s="94" t="str">
        <f>IFERROR(__xludf.DUMMYFUNCTION("""COMPUTED_VALUE"""),"CM 1606")</f>
        <v>CM 1606</v>
      </c>
      <c r="C501" s="1429" t="str">
        <f>IFERROR(__xludf.DUMMYFUNCTION("""COMPUTED_VALUE"""),"MAR")</f>
        <v>MAR</v>
      </c>
      <c r="D501" s="1432">
        <f>IFERROR(__xludf.DUMMYFUNCTION("""COMPUTED_VALUE"""),7.0)</f>
        <v>7</v>
      </c>
      <c r="E501" s="1429">
        <f>IFERROR(__xludf.DUMMYFUNCTION("""COMPUTED_VALUE"""),45487.0)</f>
        <v>45487</v>
      </c>
      <c r="F501" s="1429">
        <f>IFERROR(__xludf.DUMMYFUNCTION("""COMPUTED_VALUE"""),45490.0)</f>
        <v>45490</v>
      </c>
      <c r="G501" s="1164">
        <f>IFERROR(__xludf.DUMMYFUNCTION("""COMPUTED_VALUE"""),3.0)</f>
        <v>3</v>
      </c>
      <c r="H501" s="1430">
        <f>IFERROR(__xludf.DUMMYFUNCTION("""COMPUTED_VALUE"""),154.0)</f>
        <v>154</v>
      </c>
      <c r="I501" s="94">
        <f>IFERROR(__xludf.DUMMYFUNCTION("""COMPUTED_VALUE"""),0.0)</f>
        <v>0</v>
      </c>
      <c r="J501" s="94"/>
      <c r="K501" s="94">
        <f>IFERROR(__xludf.DUMMYFUNCTION("""COMPUTED_VALUE"""),60.0)</f>
        <v>60</v>
      </c>
      <c r="L501" s="94">
        <f>IFERROR(__xludf.DUMMYFUNCTION("""COMPUTED_VALUE"""),40.0)</f>
        <v>40</v>
      </c>
      <c r="M501" s="94">
        <f>IFERROR(__xludf.DUMMYFUNCTION("""COMPUTED_VALUE"""),20.0)</f>
        <v>20</v>
      </c>
      <c r="N501" s="94"/>
      <c r="O501" s="1430">
        <f>IFERROR(__xludf.DUMMYFUNCTION("""COMPUTED_VALUE"""),20.0)</f>
        <v>20</v>
      </c>
      <c r="P501" s="1431">
        <f>IFERROR(__xludf.DUMMYFUNCTION("""COMPUTED_VALUE"""),2.72)</f>
        <v>2.72</v>
      </c>
      <c r="Q501" s="1432">
        <f>IFERROR(__xludf.DUMMYFUNCTION("""COMPUTED_VALUE"""),418.88000000000005)</f>
        <v>418.88</v>
      </c>
    </row>
    <row r="502" ht="15.75" customHeight="1">
      <c r="A502" s="94"/>
      <c r="B502" s="94" t="str">
        <f>IFERROR(__xludf.DUMMYFUNCTION("""COMPUTED_VALUE"""),"WS E704")</f>
        <v>WS E704</v>
      </c>
      <c r="C502" s="1429" t="str">
        <f>IFERROR(__xludf.DUMMYFUNCTION("""COMPUTED_VALUE"""),"WS")</f>
        <v>WS</v>
      </c>
      <c r="D502" s="1432">
        <f>IFERROR(__xludf.DUMMYFUNCTION("""COMPUTED_VALUE"""),7.0)</f>
        <v>7</v>
      </c>
      <c r="E502" s="1429">
        <f>IFERROR(__xludf.DUMMYFUNCTION("""COMPUTED_VALUE"""),45487.0)</f>
        <v>45487</v>
      </c>
      <c r="F502" s="1429">
        <f>IFERROR(__xludf.DUMMYFUNCTION("""COMPUTED_VALUE"""),45489.0)</f>
        <v>45489</v>
      </c>
      <c r="G502" s="1164">
        <f>IFERROR(__xludf.DUMMYFUNCTION("""COMPUTED_VALUE"""),2.0)</f>
        <v>2</v>
      </c>
      <c r="H502" s="1430">
        <f>IFERROR(__xludf.DUMMYFUNCTION("""COMPUTED_VALUE"""),123.0)</f>
        <v>123</v>
      </c>
      <c r="I502" s="94">
        <f>IFERROR(__xludf.DUMMYFUNCTION("""COMPUTED_VALUE"""),0.0)</f>
        <v>0</v>
      </c>
      <c r="J502" s="94"/>
      <c r="K502" s="94">
        <f>IFERROR(__xludf.DUMMYFUNCTION("""COMPUTED_VALUE"""),60.0)</f>
        <v>60</v>
      </c>
      <c r="L502" s="94">
        <f>IFERROR(__xludf.DUMMYFUNCTION("""COMPUTED_VALUE"""),40.0)</f>
        <v>40</v>
      </c>
      <c r="M502" s="94">
        <f>IFERROR(__xludf.DUMMYFUNCTION("""COMPUTED_VALUE"""),20.0)</f>
        <v>20</v>
      </c>
      <c r="N502" s="94"/>
      <c r="O502" s="1430">
        <f>IFERROR(__xludf.DUMMYFUNCTION("""COMPUTED_VALUE"""),20.0)</f>
        <v>20</v>
      </c>
      <c r="P502" s="1431">
        <f>IFERROR(__xludf.DUMMYFUNCTION("""COMPUTED_VALUE"""),2.72)</f>
        <v>2.72</v>
      </c>
      <c r="Q502" s="1432">
        <f>IFERROR(__xludf.DUMMYFUNCTION("""COMPUTED_VALUE"""),334.56)</f>
        <v>334.56</v>
      </c>
    </row>
    <row r="503" ht="15.75" customHeight="1">
      <c r="A503" s="94"/>
      <c r="B503" s="94" t="str">
        <f>IFERROR(__xludf.DUMMYFUNCTION("""COMPUTED_VALUE"""),"WS A907")</f>
        <v>WS A907</v>
      </c>
      <c r="C503" s="1429" t="str">
        <f>IFERROR(__xludf.DUMMYFUNCTION("""COMPUTED_VALUE"""),"WS")</f>
        <v>WS</v>
      </c>
      <c r="D503" s="1432">
        <f>IFERROR(__xludf.DUMMYFUNCTION("""COMPUTED_VALUE"""),7.0)</f>
        <v>7</v>
      </c>
      <c r="E503" s="1429">
        <f>IFERROR(__xludf.DUMMYFUNCTION("""COMPUTED_VALUE"""),45487.0)</f>
        <v>45487</v>
      </c>
      <c r="F503" s="1429">
        <f>IFERROR(__xludf.DUMMYFUNCTION("""COMPUTED_VALUE"""),45489.0)</f>
        <v>45489</v>
      </c>
      <c r="G503" s="1164">
        <f>IFERROR(__xludf.DUMMYFUNCTION("""COMPUTED_VALUE"""),2.0)</f>
        <v>2</v>
      </c>
      <c r="H503" s="1430">
        <f>IFERROR(__xludf.DUMMYFUNCTION("""COMPUTED_VALUE"""),121.0)</f>
        <v>121</v>
      </c>
      <c r="I503" s="94">
        <f>IFERROR(__xludf.DUMMYFUNCTION("""COMPUTED_VALUE"""),0.0)</f>
        <v>0</v>
      </c>
      <c r="J503" s="94"/>
      <c r="K503" s="94">
        <f>IFERROR(__xludf.DUMMYFUNCTION("""COMPUTED_VALUE"""),60.0)</f>
        <v>60</v>
      </c>
      <c r="L503" s="94">
        <f>IFERROR(__xludf.DUMMYFUNCTION("""COMPUTED_VALUE"""),40.0)</f>
        <v>40</v>
      </c>
      <c r="M503" s="94">
        <f>IFERROR(__xludf.DUMMYFUNCTION("""COMPUTED_VALUE"""),20.0)</f>
        <v>20</v>
      </c>
      <c r="N503" s="94"/>
      <c r="O503" s="1430">
        <f>IFERROR(__xludf.DUMMYFUNCTION("""COMPUTED_VALUE"""),20.0)</f>
        <v>20</v>
      </c>
      <c r="P503" s="1431">
        <f>IFERROR(__xludf.DUMMYFUNCTION("""COMPUTED_VALUE"""),2.72)</f>
        <v>2.72</v>
      </c>
      <c r="Q503" s="1432">
        <f>IFERROR(__xludf.DUMMYFUNCTION("""COMPUTED_VALUE"""),329.12)</f>
        <v>329.12</v>
      </c>
    </row>
    <row r="504" ht="15.75" customHeight="1">
      <c r="A504" s="94"/>
      <c r="B504" s="94" t="str">
        <f>IFERROR(__xludf.DUMMYFUNCTION("""COMPUTED_VALUE"""),"Вилла Ева")</f>
        <v>Вилла Ева</v>
      </c>
      <c r="C504" s="1429" t="str">
        <f>IFERROR(__xludf.DUMMYFUNCTION("""COMPUTED_VALUE"""),"Other")</f>
        <v>Other</v>
      </c>
      <c r="D504" s="1432">
        <f>IFERROR(__xludf.DUMMYFUNCTION("""COMPUTED_VALUE"""),7.0)</f>
        <v>7</v>
      </c>
      <c r="E504" s="1429">
        <f>IFERROR(__xludf.DUMMYFUNCTION("""COMPUTED_VALUE"""),45487.0)</f>
        <v>45487</v>
      </c>
      <c r="F504" s="1429">
        <f>IFERROR(__xludf.DUMMYFUNCTION("""COMPUTED_VALUE"""),45492.0)</f>
        <v>45492</v>
      </c>
      <c r="G504" s="1164">
        <f>IFERROR(__xludf.DUMMYFUNCTION("""COMPUTED_VALUE"""),5.0)</f>
        <v>5</v>
      </c>
      <c r="H504" s="1430">
        <f>IFERROR(__xludf.DUMMYFUNCTION("""COMPUTED_VALUE"""),900.0)</f>
        <v>900</v>
      </c>
      <c r="I504" s="94">
        <f>IFERROR(__xludf.DUMMYFUNCTION("""COMPUTED_VALUE"""),0.0)</f>
        <v>0</v>
      </c>
      <c r="J504" s="94"/>
      <c r="K504" s="94">
        <f>IFERROR(__xludf.DUMMYFUNCTION("""COMPUTED_VALUE"""),0.0)</f>
        <v>0</v>
      </c>
      <c r="L504" s="94">
        <f>IFERROR(__xludf.DUMMYFUNCTION("""COMPUTED_VALUE"""),0.0)</f>
        <v>0</v>
      </c>
      <c r="M504" s="94">
        <f>IFERROR(__xludf.DUMMYFUNCTION("""COMPUTED_VALUE"""),0.0)</f>
        <v>0</v>
      </c>
      <c r="N504" s="94"/>
      <c r="O504" s="1430">
        <f>IFERROR(__xludf.DUMMYFUNCTION("""COMPUTED_VALUE"""),0.0)</f>
        <v>0</v>
      </c>
      <c r="P504" s="1431">
        <f>IFERROR(__xludf.DUMMYFUNCTION("""COMPUTED_VALUE"""),2.72)</f>
        <v>2.72</v>
      </c>
      <c r="Q504" s="1432">
        <f>IFERROR(__xludf.DUMMYFUNCTION("""COMPUTED_VALUE"""),2448.0)</f>
        <v>2448</v>
      </c>
    </row>
    <row r="505" ht="15.75" customHeight="1">
      <c r="A505" s="94" t="str">
        <f>IFERROR(__xludf.DUMMYFUNCTION("""COMPUTED_VALUE"""),"Итого неделя")</f>
        <v>Итого неделя</v>
      </c>
      <c r="B505" s="94" t="str">
        <f>IFERROR(__xludf.DUMMYFUNCTION("""COMPUTED_VALUE"""),"28 неделя")</f>
        <v>28 неделя</v>
      </c>
      <c r="C505" s="94"/>
      <c r="D505" s="94"/>
      <c r="E505" s="94"/>
      <c r="F505" s="94"/>
      <c r="G505" s="1164">
        <f>IFERROR(__xludf.DUMMYFUNCTION("""COMPUTED_VALUE"""),217.0)</f>
        <v>217</v>
      </c>
      <c r="H505" s="1430">
        <f>IFERROR(__xludf.DUMMYFUNCTION("""COMPUTED_VALUE"""),12864.0)</f>
        <v>12864</v>
      </c>
      <c r="I505" s="94">
        <f>IFERROR(__xludf.DUMMYFUNCTION("""COMPUTED_VALUE"""),5621.0)</f>
        <v>5621</v>
      </c>
      <c r="J505" s="94">
        <f>IFERROR(__xludf.DUMMYFUNCTION("""COMPUTED_VALUE"""),0.0)</f>
        <v>0</v>
      </c>
      <c r="K505" s="94">
        <f>IFERROR(__xludf.DUMMYFUNCTION("""COMPUTED_VALUE"""),2475.0)</f>
        <v>2475</v>
      </c>
      <c r="L505" s="94">
        <f>IFERROR(__xludf.DUMMYFUNCTION("""COMPUTED_VALUE"""),1720.0)</f>
        <v>1720</v>
      </c>
      <c r="M505" s="94">
        <f>IFERROR(__xludf.DUMMYFUNCTION("""COMPUTED_VALUE"""),755.0)</f>
        <v>755</v>
      </c>
      <c r="N505" s="94">
        <f>IFERROR(__xludf.DUMMYFUNCTION("""COMPUTED_VALUE"""),0.0)</f>
        <v>0</v>
      </c>
      <c r="O505" s="1430">
        <f>IFERROR(__xludf.DUMMYFUNCTION("""COMPUTED_VALUE"""),755.0)</f>
        <v>755</v>
      </c>
      <c r="P505" s="94"/>
      <c r="Q505" s="1432">
        <f>IFERROR(__xludf.DUMMYFUNCTION("""COMPUTED_VALUE"""),40611.079999999994)</f>
        <v>40611.08</v>
      </c>
    </row>
    <row r="506" ht="15.75" customHeight="1">
      <c r="A506" s="94"/>
      <c r="B506" s="94" t="str">
        <f>IFERROR(__xludf.DUMMYFUNCTION("""COMPUTED_VALUE"""),"CM 1604")</f>
        <v>CM 1604</v>
      </c>
      <c r="C506" s="1429" t="str">
        <f>IFERROR(__xludf.DUMMYFUNCTION("""COMPUTED_VALUE"""),"MAR")</f>
        <v>MAR</v>
      </c>
      <c r="D506" s="1432">
        <f>IFERROR(__xludf.DUMMYFUNCTION("""COMPUTED_VALUE"""),7.0)</f>
        <v>7</v>
      </c>
      <c r="E506" s="1429">
        <f>IFERROR(__xludf.DUMMYFUNCTION("""COMPUTED_VALUE"""),45488.0)</f>
        <v>45488</v>
      </c>
      <c r="F506" s="1429">
        <f>IFERROR(__xludf.DUMMYFUNCTION("""COMPUTED_VALUE"""),45492.0)</f>
        <v>45492</v>
      </c>
      <c r="G506" s="1164">
        <f>IFERROR(__xludf.DUMMYFUNCTION("""COMPUTED_VALUE"""),4.0)</f>
        <v>4</v>
      </c>
      <c r="H506" s="1430">
        <f>IFERROR(__xludf.DUMMYFUNCTION("""COMPUTED_VALUE"""),267.0)</f>
        <v>267</v>
      </c>
      <c r="I506" s="94"/>
      <c r="J506" s="94"/>
      <c r="K506" s="94">
        <f>IFERROR(__xludf.DUMMYFUNCTION("""COMPUTED_VALUE"""),70.0)</f>
        <v>70</v>
      </c>
      <c r="L506" s="94">
        <f>IFERROR(__xludf.DUMMYFUNCTION("""COMPUTED_VALUE"""),40.0)</f>
        <v>40</v>
      </c>
      <c r="M506" s="94">
        <f>IFERROR(__xludf.DUMMYFUNCTION("""COMPUTED_VALUE"""),30.0)</f>
        <v>30</v>
      </c>
      <c r="N506" s="94"/>
      <c r="O506" s="1430">
        <f>IFERROR(__xludf.DUMMYFUNCTION("""COMPUTED_VALUE"""),30.0)</f>
        <v>30</v>
      </c>
      <c r="P506" s="1431">
        <f>IFERROR(__xludf.DUMMYFUNCTION("""COMPUTED_VALUE"""),2.7)</f>
        <v>2.7</v>
      </c>
      <c r="Q506" s="1432">
        <f>IFERROR(__xludf.DUMMYFUNCTION("""COMPUTED_VALUE"""),720.9000000000001)</f>
        <v>720.9</v>
      </c>
    </row>
    <row r="507" ht="15.75" customHeight="1">
      <c r="A507" s="94"/>
      <c r="B507" s="94" t="str">
        <f>IFERROR(__xludf.DUMMYFUNCTION("""COMPUTED_VALUE"""),"Wyn")</f>
        <v>Wyn</v>
      </c>
      <c r="C507" s="1429" t="str">
        <f>IFERROR(__xludf.DUMMYFUNCTION("""COMPUTED_VALUE"""),"Other")</f>
        <v>Other</v>
      </c>
      <c r="D507" s="1432">
        <f>IFERROR(__xludf.DUMMYFUNCTION("""COMPUTED_VALUE"""),7.0)</f>
        <v>7</v>
      </c>
      <c r="E507" s="1429">
        <f>IFERROR(__xludf.DUMMYFUNCTION("""COMPUTED_VALUE"""),45488.0)</f>
        <v>45488</v>
      </c>
      <c r="F507" s="1429">
        <f>IFERROR(__xludf.DUMMYFUNCTION("""COMPUTED_VALUE"""),45494.0)</f>
        <v>45494</v>
      </c>
      <c r="G507" s="1164">
        <f>IFERROR(__xludf.DUMMYFUNCTION("""COMPUTED_VALUE"""),6.0)</f>
        <v>6</v>
      </c>
      <c r="H507" s="94"/>
      <c r="I507" s="94">
        <f>IFERROR(__xludf.DUMMYFUNCTION("""COMPUTED_VALUE"""),970.0)</f>
        <v>970</v>
      </c>
      <c r="J507" s="94"/>
      <c r="K507" s="94">
        <f>IFERROR(__xludf.DUMMYFUNCTION("""COMPUTED_VALUE"""),70.0)</f>
        <v>70</v>
      </c>
      <c r="L507" s="94">
        <f>IFERROR(__xludf.DUMMYFUNCTION("""COMPUTED_VALUE"""),40.0)</f>
        <v>40</v>
      </c>
      <c r="M507" s="94">
        <f>IFERROR(__xludf.DUMMYFUNCTION("""COMPUTED_VALUE"""),30.0)</f>
        <v>30</v>
      </c>
      <c r="N507" s="94"/>
      <c r="O507" s="1430">
        <f>IFERROR(__xludf.DUMMYFUNCTION("""COMPUTED_VALUE"""),30.0)</f>
        <v>30</v>
      </c>
      <c r="P507" s="1431">
        <f>IFERROR(__xludf.DUMMYFUNCTION("""COMPUTED_VALUE"""),2.7)</f>
        <v>2.7</v>
      </c>
      <c r="Q507" s="1432">
        <f>IFERROR(__xludf.DUMMYFUNCTION("""COMPUTED_VALUE"""),970.0)</f>
        <v>970</v>
      </c>
    </row>
    <row r="508" ht="15.75" customHeight="1">
      <c r="A508" s="94"/>
      <c r="B508" s="94" t="str">
        <f>IFERROR(__xludf.DUMMYFUNCTION("""COMPUTED_VALUE"""),"С 1443")</f>
        <v>С 1443</v>
      </c>
      <c r="C508" s="1429" t="str">
        <f>IFERROR(__xludf.DUMMYFUNCTION("""COMPUTED_VALUE"""),"ORBI")</f>
        <v>ORBI</v>
      </c>
      <c r="D508" s="1432">
        <f>IFERROR(__xludf.DUMMYFUNCTION("""COMPUTED_VALUE"""),7.0)</f>
        <v>7</v>
      </c>
      <c r="E508" s="1429">
        <f>IFERROR(__xludf.DUMMYFUNCTION("""COMPUTED_VALUE"""),45488.0)</f>
        <v>45488</v>
      </c>
      <c r="F508" s="1429">
        <f>IFERROR(__xludf.DUMMYFUNCTION("""COMPUTED_VALUE"""),45495.0)</f>
        <v>45495</v>
      </c>
      <c r="G508" s="1164">
        <f>IFERROR(__xludf.DUMMYFUNCTION("""COMPUTED_VALUE"""),7.0)</f>
        <v>7</v>
      </c>
      <c r="H508" s="1430">
        <f>IFERROR(__xludf.DUMMYFUNCTION("""COMPUTED_VALUE"""),445.0)</f>
        <v>445</v>
      </c>
      <c r="I508" s="94"/>
      <c r="J508" s="94"/>
      <c r="K508" s="94">
        <f>IFERROR(__xludf.DUMMYFUNCTION("""COMPUTED_VALUE"""),70.0)</f>
        <v>70</v>
      </c>
      <c r="L508" s="94">
        <f>IFERROR(__xludf.DUMMYFUNCTION("""COMPUTED_VALUE"""),40.0)</f>
        <v>40</v>
      </c>
      <c r="M508" s="94">
        <f>IFERROR(__xludf.DUMMYFUNCTION("""COMPUTED_VALUE"""),30.0)</f>
        <v>30</v>
      </c>
      <c r="N508" s="94"/>
      <c r="O508" s="1430">
        <f>IFERROR(__xludf.DUMMYFUNCTION("""COMPUTED_VALUE"""),30.0)</f>
        <v>30</v>
      </c>
      <c r="P508" s="1431">
        <f>IFERROR(__xludf.DUMMYFUNCTION("""COMPUTED_VALUE"""),2.7)</f>
        <v>2.7</v>
      </c>
      <c r="Q508" s="1432">
        <f>IFERROR(__xludf.DUMMYFUNCTION("""COMPUTED_VALUE"""),1201.5)</f>
        <v>1201.5</v>
      </c>
    </row>
    <row r="509" ht="15.75" customHeight="1">
      <c r="A509" s="94"/>
      <c r="B509" s="94" t="str">
        <f>IFERROR(__xludf.DUMMYFUNCTION("""COMPUTED_VALUE"""),"WS A 1312")</f>
        <v>WS A 1312</v>
      </c>
      <c r="C509" s="1429" t="str">
        <f>IFERROR(__xludf.DUMMYFUNCTION("""COMPUTED_VALUE"""),"WS")</f>
        <v>WS</v>
      </c>
      <c r="D509" s="1432">
        <f>IFERROR(__xludf.DUMMYFUNCTION("""COMPUTED_VALUE"""),7.0)</f>
        <v>7</v>
      </c>
      <c r="E509" s="1429">
        <f>IFERROR(__xludf.DUMMYFUNCTION("""COMPUTED_VALUE"""),45488.0)</f>
        <v>45488</v>
      </c>
      <c r="F509" s="1429">
        <f>IFERROR(__xludf.DUMMYFUNCTION("""COMPUTED_VALUE"""),45494.0)</f>
        <v>45494</v>
      </c>
      <c r="G509" s="1164">
        <f>IFERROR(__xludf.DUMMYFUNCTION("""COMPUTED_VALUE"""),6.0)</f>
        <v>6</v>
      </c>
      <c r="H509" s="94"/>
      <c r="I509" s="94">
        <f>IFERROR(__xludf.DUMMYFUNCTION("""COMPUTED_VALUE"""),876.0)</f>
        <v>876</v>
      </c>
      <c r="J509" s="94"/>
      <c r="K509" s="94">
        <f>IFERROR(__xludf.DUMMYFUNCTION("""COMPUTED_VALUE"""),60.0)</f>
        <v>60</v>
      </c>
      <c r="L509" s="94">
        <f>IFERROR(__xludf.DUMMYFUNCTION("""COMPUTED_VALUE"""),40.0)</f>
        <v>40</v>
      </c>
      <c r="M509" s="94">
        <f>IFERROR(__xludf.DUMMYFUNCTION("""COMPUTED_VALUE"""),20.0)</f>
        <v>20</v>
      </c>
      <c r="N509" s="94"/>
      <c r="O509" s="1430">
        <f>IFERROR(__xludf.DUMMYFUNCTION("""COMPUTED_VALUE"""),20.0)</f>
        <v>20</v>
      </c>
      <c r="P509" s="1431">
        <f>IFERROR(__xludf.DUMMYFUNCTION("""COMPUTED_VALUE"""),2.7)</f>
        <v>2.7</v>
      </c>
      <c r="Q509" s="1432">
        <f>IFERROR(__xludf.DUMMYFUNCTION("""COMPUTED_VALUE"""),876.0)</f>
        <v>876</v>
      </c>
    </row>
    <row r="510" ht="15.75" customHeight="1">
      <c r="A510" s="94"/>
      <c r="B510" s="94" t="str">
        <f>IFERROR(__xludf.DUMMYFUNCTION("""COMPUTED_VALUE"""),"С 2756")</f>
        <v>С 2756</v>
      </c>
      <c r="C510" s="1429" t="str">
        <f>IFERROR(__xludf.DUMMYFUNCTION("""COMPUTED_VALUE"""),"ORBI")</f>
        <v>ORBI</v>
      </c>
      <c r="D510" s="1432">
        <f>IFERROR(__xludf.DUMMYFUNCTION("""COMPUTED_VALUE"""),7.0)</f>
        <v>7</v>
      </c>
      <c r="E510" s="1429">
        <f>IFERROR(__xludf.DUMMYFUNCTION("""COMPUTED_VALUE"""),45488.0)</f>
        <v>45488</v>
      </c>
      <c r="F510" s="1429">
        <f>IFERROR(__xludf.DUMMYFUNCTION("""COMPUTED_VALUE"""),45494.0)</f>
        <v>45494</v>
      </c>
      <c r="G510" s="1164">
        <f>IFERROR(__xludf.DUMMYFUNCTION("""COMPUTED_VALUE"""),6.0)</f>
        <v>6</v>
      </c>
      <c r="H510" s="1430">
        <f>IFERROR(__xludf.DUMMYFUNCTION("""COMPUTED_VALUE"""),187.0)</f>
        <v>187</v>
      </c>
      <c r="I510" s="94">
        <f>IFERROR(__xludf.DUMMYFUNCTION("""COMPUTED_VALUE"""),0.0)</f>
        <v>0</v>
      </c>
      <c r="J510" s="94"/>
      <c r="K510" s="94">
        <f>IFERROR(__xludf.DUMMYFUNCTION("""COMPUTED_VALUE"""),50.0)</f>
        <v>50</v>
      </c>
      <c r="L510" s="94">
        <f>IFERROR(__xludf.DUMMYFUNCTION("""COMPUTED_VALUE"""),40.0)</f>
        <v>40</v>
      </c>
      <c r="M510" s="94">
        <f>IFERROR(__xludf.DUMMYFUNCTION("""COMPUTED_VALUE"""),10.0)</f>
        <v>10</v>
      </c>
      <c r="N510" s="94"/>
      <c r="O510" s="1430">
        <f>IFERROR(__xludf.DUMMYFUNCTION("""COMPUTED_VALUE"""),10.0)</f>
        <v>10</v>
      </c>
      <c r="P510" s="1431">
        <f>IFERROR(__xludf.DUMMYFUNCTION("""COMPUTED_VALUE"""),2.7)</f>
        <v>2.7</v>
      </c>
      <c r="Q510" s="1432">
        <f>IFERROR(__xludf.DUMMYFUNCTION("""COMPUTED_VALUE"""),504.90000000000003)</f>
        <v>504.9</v>
      </c>
    </row>
    <row r="511" ht="15.75" customHeight="1">
      <c r="A511" s="94"/>
      <c r="B511" s="94" t="str">
        <f>IFERROR(__xludf.DUMMYFUNCTION("""COMPUTED_VALUE"""),"WS F 907")</f>
        <v>WS F 907</v>
      </c>
      <c r="C511" s="1429" t="str">
        <f>IFERROR(__xludf.DUMMYFUNCTION("""COMPUTED_VALUE"""),"WS")</f>
        <v>WS</v>
      </c>
      <c r="D511" s="1432">
        <f>IFERROR(__xludf.DUMMYFUNCTION("""COMPUTED_VALUE"""),7.0)</f>
        <v>7</v>
      </c>
      <c r="E511" s="1429">
        <f>IFERROR(__xludf.DUMMYFUNCTION("""COMPUTED_VALUE"""),45488.0)</f>
        <v>45488</v>
      </c>
      <c r="F511" s="1429">
        <f>IFERROR(__xludf.DUMMYFUNCTION("""COMPUTED_VALUE"""),45503.0)</f>
        <v>45503</v>
      </c>
      <c r="G511" s="1164">
        <f>IFERROR(__xludf.DUMMYFUNCTION("""COMPUTED_VALUE"""),15.0)</f>
        <v>15</v>
      </c>
      <c r="H511" s="94"/>
      <c r="I511" s="94">
        <f>IFERROR(__xludf.DUMMYFUNCTION("""COMPUTED_VALUE"""),2338.0)</f>
        <v>2338</v>
      </c>
      <c r="J511" s="94"/>
      <c r="K511" s="94">
        <f>IFERROR(__xludf.DUMMYFUNCTION("""COMPUTED_VALUE"""),60.0)</f>
        <v>60</v>
      </c>
      <c r="L511" s="94">
        <f>IFERROR(__xludf.DUMMYFUNCTION("""COMPUTED_VALUE"""),40.0)</f>
        <v>40</v>
      </c>
      <c r="M511" s="94">
        <f>IFERROR(__xludf.DUMMYFUNCTION("""COMPUTED_VALUE"""),20.0)</f>
        <v>20</v>
      </c>
      <c r="N511" s="94"/>
      <c r="O511" s="1430">
        <f>IFERROR(__xludf.DUMMYFUNCTION("""COMPUTED_VALUE"""),20.0)</f>
        <v>20</v>
      </c>
      <c r="P511" s="1431">
        <f>IFERROR(__xludf.DUMMYFUNCTION("""COMPUTED_VALUE"""),2.7)</f>
        <v>2.7</v>
      </c>
      <c r="Q511" s="1432">
        <f>IFERROR(__xludf.DUMMYFUNCTION("""COMPUTED_VALUE"""),2338.0)</f>
        <v>2338</v>
      </c>
    </row>
    <row r="512" ht="15.75" customHeight="1">
      <c r="A512" s="94"/>
      <c r="B512" s="94" t="str">
        <f>IFERROR(__xludf.DUMMYFUNCTION("""COMPUTED_VALUE"""),"WS E 1202")</f>
        <v>WS E 1202</v>
      </c>
      <c r="C512" s="1429" t="str">
        <f>IFERROR(__xludf.DUMMYFUNCTION("""COMPUTED_VALUE"""),"WS")</f>
        <v>WS</v>
      </c>
      <c r="D512" s="1432">
        <f>IFERROR(__xludf.DUMMYFUNCTION("""COMPUTED_VALUE"""),7.0)</f>
        <v>7</v>
      </c>
      <c r="E512" s="1429">
        <f>IFERROR(__xludf.DUMMYFUNCTION("""COMPUTED_VALUE"""),45488.0)</f>
        <v>45488</v>
      </c>
      <c r="F512" s="1429">
        <f>IFERROR(__xludf.DUMMYFUNCTION("""COMPUTED_VALUE"""),45491.0)</f>
        <v>45491</v>
      </c>
      <c r="G512" s="1164">
        <f>IFERROR(__xludf.DUMMYFUNCTION("""COMPUTED_VALUE"""),3.0)</f>
        <v>3</v>
      </c>
      <c r="H512" s="1430">
        <f>IFERROR(__xludf.DUMMYFUNCTION("""COMPUTED_VALUE"""),285.0)</f>
        <v>285</v>
      </c>
      <c r="I512" s="94">
        <f>IFERROR(__xludf.DUMMYFUNCTION("""COMPUTED_VALUE"""),0.0)</f>
        <v>0</v>
      </c>
      <c r="J512" s="94"/>
      <c r="K512" s="94">
        <f>IFERROR(__xludf.DUMMYFUNCTION("""COMPUTED_VALUE"""),70.0)</f>
        <v>70</v>
      </c>
      <c r="L512" s="94">
        <f>IFERROR(__xludf.DUMMYFUNCTION("""COMPUTED_VALUE"""),40.0)</f>
        <v>40</v>
      </c>
      <c r="M512" s="94">
        <f>IFERROR(__xludf.DUMMYFUNCTION("""COMPUTED_VALUE"""),30.0)</f>
        <v>30</v>
      </c>
      <c r="N512" s="94"/>
      <c r="O512" s="1430">
        <f>IFERROR(__xludf.DUMMYFUNCTION("""COMPUTED_VALUE"""),30.0)</f>
        <v>30</v>
      </c>
      <c r="P512" s="1431">
        <f>IFERROR(__xludf.DUMMYFUNCTION("""COMPUTED_VALUE"""),2.7)</f>
        <v>2.7</v>
      </c>
      <c r="Q512" s="1432">
        <f>IFERROR(__xludf.DUMMYFUNCTION("""COMPUTED_VALUE"""),769.5)</f>
        <v>769.5</v>
      </c>
    </row>
    <row r="513" ht="15.75" customHeight="1">
      <c r="A513" s="94"/>
      <c r="B513" s="94" t="str">
        <f>IFERROR(__xludf.DUMMYFUNCTION("""COMPUTED_VALUE"""),"14-411")</f>
        <v>14-411</v>
      </c>
      <c r="C513" s="1429" t="str">
        <f>IFERROR(__xludf.DUMMYFUNCTION("""COMPUTED_VALUE"""),"DL")</f>
        <v>DL</v>
      </c>
      <c r="D513" s="1432">
        <f>IFERROR(__xludf.DUMMYFUNCTION("""COMPUTED_VALUE"""),7.0)</f>
        <v>7</v>
      </c>
      <c r="E513" s="1429">
        <f>IFERROR(__xludf.DUMMYFUNCTION("""COMPUTED_VALUE"""),45488.0)</f>
        <v>45488</v>
      </c>
      <c r="F513" s="1429">
        <f>IFERROR(__xludf.DUMMYFUNCTION("""COMPUTED_VALUE"""),45490.0)</f>
        <v>45490</v>
      </c>
      <c r="G513" s="1164">
        <f>IFERROR(__xludf.DUMMYFUNCTION("""COMPUTED_VALUE"""),2.0)</f>
        <v>2</v>
      </c>
      <c r="H513" s="1430">
        <f>IFERROR(__xludf.DUMMYFUNCTION("""COMPUTED_VALUE"""),124.0)</f>
        <v>124</v>
      </c>
      <c r="I513" s="94">
        <f>IFERROR(__xludf.DUMMYFUNCTION("""COMPUTED_VALUE"""),0.0)</f>
        <v>0</v>
      </c>
      <c r="J513" s="94"/>
      <c r="K513" s="94">
        <f>IFERROR(__xludf.DUMMYFUNCTION("""COMPUTED_VALUE"""),95.0)</f>
        <v>95</v>
      </c>
      <c r="L513" s="94">
        <f>IFERROR(__xludf.DUMMYFUNCTION("""COMPUTED_VALUE"""),40.0)</f>
        <v>40</v>
      </c>
      <c r="M513" s="94">
        <f>IFERROR(__xludf.DUMMYFUNCTION("""COMPUTED_VALUE"""),55.0)</f>
        <v>55</v>
      </c>
      <c r="N513" s="94"/>
      <c r="O513" s="1430">
        <f>IFERROR(__xludf.DUMMYFUNCTION("""COMPUTED_VALUE"""),55.0)</f>
        <v>55</v>
      </c>
      <c r="P513" s="1431">
        <f>IFERROR(__xludf.DUMMYFUNCTION("""COMPUTED_VALUE"""),2.7)</f>
        <v>2.7</v>
      </c>
      <c r="Q513" s="1432">
        <f>IFERROR(__xludf.DUMMYFUNCTION("""COMPUTED_VALUE"""),334.8)</f>
        <v>334.8</v>
      </c>
    </row>
    <row r="514" ht="15.75" customHeight="1">
      <c r="A514" s="94"/>
      <c r="B514" s="94" t="str">
        <f>IFERROR(__xludf.DUMMYFUNCTION("""COMPUTED_VALUE"""),"DL14-518")</f>
        <v>DL14-518</v>
      </c>
      <c r="C514" s="1429" t="str">
        <f>IFERROR(__xludf.DUMMYFUNCTION("""COMPUTED_VALUE"""),"DL")</f>
        <v>DL</v>
      </c>
      <c r="D514" s="1432">
        <f>IFERROR(__xludf.DUMMYFUNCTION("""COMPUTED_VALUE"""),7.0)</f>
        <v>7</v>
      </c>
      <c r="E514" s="1429">
        <f>IFERROR(__xludf.DUMMYFUNCTION("""COMPUTED_VALUE"""),45488.0)</f>
        <v>45488</v>
      </c>
      <c r="F514" s="1429">
        <f>IFERROR(__xludf.DUMMYFUNCTION("""COMPUTED_VALUE"""),45490.0)</f>
        <v>45490</v>
      </c>
      <c r="G514" s="1164">
        <f>IFERROR(__xludf.DUMMYFUNCTION("""COMPUTED_VALUE"""),2.0)</f>
        <v>2</v>
      </c>
      <c r="H514" s="1430">
        <f>IFERROR(__xludf.DUMMYFUNCTION("""COMPUTED_VALUE"""),135.0)</f>
        <v>135</v>
      </c>
      <c r="I514" s="94">
        <f>IFERROR(__xludf.DUMMYFUNCTION("""COMPUTED_VALUE"""),0.0)</f>
        <v>0</v>
      </c>
      <c r="J514" s="94"/>
      <c r="K514" s="94">
        <f>IFERROR(__xludf.DUMMYFUNCTION("""COMPUTED_VALUE"""),40.0)</f>
        <v>40</v>
      </c>
      <c r="L514" s="94">
        <f>IFERROR(__xludf.DUMMYFUNCTION("""COMPUTED_VALUE"""),40.0)</f>
        <v>40</v>
      </c>
      <c r="M514" s="94">
        <f>IFERROR(__xludf.DUMMYFUNCTION("""COMPUTED_VALUE"""),0.0)</f>
        <v>0</v>
      </c>
      <c r="N514" s="94"/>
      <c r="O514" s="1430">
        <f>IFERROR(__xludf.DUMMYFUNCTION("""COMPUTED_VALUE"""),0.0)</f>
        <v>0</v>
      </c>
      <c r="P514" s="1431">
        <f>IFERROR(__xludf.DUMMYFUNCTION("""COMPUTED_VALUE"""),2.7)</f>
        <v>2.7</v>
      </c>
      <c r="Q514" s="1432">
        <f>IFERROR(__xludf.DUMMYFUNCTION("""COMPUTED_VALUE"""),364.5)</f>
        <v>364.5</v>
      </c>
    </row>
    <row r="515" ht="15.75" customHeight="1">
      <c r="A515" s="94"/>
      <c r="B515" s="94" t="str">
        <f>IFERROR(__xludf.DUMMYFUNCTION("""COMPUTED_VALUE"""),"D 1321")</f>
        <v>D 1321</v>
      </c>
      <c r="C515" s="1429" t="str">
        <f>IFERROR(__xludf.DUMMYFUNCTION("""COMPUTED_VALUE"""),"ORBI")</f>
        <v>ORBI</v>
      </c>
      <c r="D515" s="1432">
        <f>IFERROR(__xludf.DUMMYFUNCTION("""COMPUTED_VALUE"""),7.0)</f>
        <v>7</v>
      </c>
      <c r="E515" s="1429">
        <f>IFERROR(__xludf.DUMMYFUNCTION("""COMPUTED_VALUE"""),45488.0)</f>
        <v>45488</v>
      </c>
      <c r="F515" s="1429">
        <f>IFERROR(__xludf.DUMMYFUNCTION("""COMPUTED_VALUE"""),45492.0)</f>
        <v>45492</v>
      </c>
      <c r="G515" s="1164">
        <f>IFERROR(__xludf.DUMMYFUNCTION("""COMPUTED_VALUE"""),4.0)</f>
        <v>4</v>
      </c>
      <c r="H515" s="94"/>
      <c r="I515" s="94">
        <f>IFERROR(__xludf.DUMMYFUNCTION("""COMPUTED_VALUE"""),508.0)</f>
        <v>508</v>
      </c>
      <c r="J515" s="94"/>
      <c r="K515" s="94">
        <f>IFERROR(__xludf.DUMMYFUNCTION("""COMPUTED_VALUE"""),50.0)</f>
        <v>50</v>
      </c>
      <c r="L515" s="94">
        <f>IFERROR(__xludf.DUMMYFUNCTION("""COMPUTED_VALUE"""),40.0)</f>
        <v>40</v>
      </c>
      <c r="M515" s="94">
        <f>IFERROR(__xludf.DUMMYFUNCTION("""COMPUTED_VALUE"""),10.0)</f>
        <v>10</v>
      </c>
      <c r="N515" s="94"/>
      <c r="O515" s="1430">
        <f>IFERROR(__xludf.DUMMYFUNCTION("""COMPUTED_VALUE"""),10.0)</f>
        <v>10</v>
      </c>
      <c r="P515" s="1431">
        <f>IFERROR(__xludf.DUMMYFUNCTION("""COMPUTED_VALUE"""),2.7)</f>
        <v>2.7</v>
      </c>
      <c r="Q515" s="1432">
        <f>IFERROR(__xludf.DUMMYFUNCTION("""COMPUTED_VALUE"""),508.0)</f>
        <v>508</v>
      </c>
    </row>
    <row r="516" ht="15.75" customHeight="1">
      <c r="A516" s="94"/>
      <c r="B516" s="94" t="str">
        <f>IFERROR(__xludf.DUMMYFUNCTION("""COMPUTED_VALUE"""),"WS A 713")</f>
        <v>WS A 713</v>
      </c>
      <c r="C516" s="1429" t="str">
        <f>IFERROR(__xludf.DUMMYFUNCTION("""COMPUTED_VALUE"""),"WS")</f>
        <v>WS</v>
      </c>
      <c r="D516" s="1432">
        <f>IFERROR(__xludf.DUMMYFUNCTION("""COMPUTED_VALUE"""),7.0)</f>
        <v>7</v>
      </c>
      <c r="E516" s="1429">
        <f>IFERROR(__xludf.DUMMYFUNCTION("""COMPUTED_VALUE"""),45489.0)</f>
        <v>45489</v>
      </c>
      <c r="F516" s="1429">
        <f>IFERROR(__xludf.DUMMYFUNCTION("""COMPUTED_VALUE"""),45495.0)</f>
        <v>45495</v>
      </c>
      <c r="G516" s="1164">
        <f>IFERROR(__xludf.DUMMYFUNCTION("""COMPUTED_VALUE"""),6.0)</f>
        <v>6</v>
      </c>
      <c r="H516" s="94"/>
      <c r="I516" s="94">
        <f>IFERROR(__xludf.DUMMYFUNCTION("""COMPUTED_VALUE"""),1040.0)</f>
        <v>1040</v>
      </c>
      <c r="J516" s="94"/>
      <c r="K516" s="94">
        <f>IFERROR(__xludf.DUMMYFUNCTION("""COMPUTED_VALUE"""),60.0)</f>
        <v>60</v>
      </c>
      <c r="L516" s="94">
        <f>IFERROR(__xludf.DUMMYFUNCTION("""COMPUTED_VALUE"""),40.0)</f>
        <v>40</v>
      </c>
      <c r="M516" s="94">
        <f>IFERROR(__xludf.DUMMYFUNCTION("""COMPUTED_VALUE"""),20.0)</f>
        <v>20</v>
      </c>
      <c r="N516" s="94"/>
      <c r="O516" s="1430">
        <f>IFERROR(__xludf.DUMMYFUNCTION("""COMPUTED_VALUE"""),20.0)</f>
        <v>20</v>
      </c>
      <c r="P516" s="1431">
        <f>IFERROR(__xludf.DUMMYFUNCTION("""COMPUTED_VALUE"""),2.7)</f>
        <v>2.7</v>
      </c>
      <c r="Q516" s="1432">
        <f>IFERROR(__xludf.DUMMYFUNCTION("""COMPUTED_VALUE"""),1040.0)</f>
        <v>1040</v>
      </c>
    </row>
    <row r="517" ht="15.75" customHeight="1">
      <c r="A517" s="94"/>
      <c r="B517" s="94" t="str">
        <f>IFERROR(__xludf.DUMMYFUNCTION("""COMPUTED_VALUE"""),"DL 14-1214")</f>
        <v>DL 14-1214</v>
      </c>
      <c r="C517" s="1429" t="str">
        <f>IFERROR(__xludf.DUMMYFUNCTION("""COMPUTED_VALUE"""),"DL")</f>
        <v>DL</v>
      </c>
      <c r="D517" s="1432">
        <f>IFERROR(__xludf.DUMMYFUNCTION("""COMPUTED_VALUE"""),7.0)</f>
        <v>7</v>
      </c>
      <c r="E517" s="1429">
        <f>IFERROR(__xludf.DUMMYFUNCTION("""COMPUTED_VALUE"""),45489.0)</f>
        <v>45489</v>
      </c>
      <c r="F517" s="1429">
        <f>IFERROR(__xludf.DUMMYFUNCTION("""COMPUTED_VALUE"""),45492.0)</f>
        <v>45492</v>
      </c>
      <c r="G517" s="1164">
        <f>IFERROR(__xludf.DUMMYFUNCTION("""COMPUTED_VALUE"""),3.0)</f>
        <v>3</v>
      </c>
      <c r="H517" s="94"/>
      <c r="I517" s="94">
        <f>IFERROR(__xludf.DUMMYFUNCTION("""COMPUTED_VALUE"""),892.0)</f>
        <v>892</v>
      </c>
      <c r="J517" s="94"/>
      <c r="K517" s="94">
        <f>IFERROR(__xludf.DUMMYFUNCTION("""COMPUTED_VALUE"""),95.0)</f>
        <v>95</v>
      </c>
      <c r="L517" s="94">
        <f>IFERROR(__xludf.DUMMYFUNCTION("""COMPUTED_VALUE"""),40.0)</f>
        <v>40</v>
      </c>
      <c r="M517" s="94">
        <f>IFERROR(__xludf.DUMMYFUNCTION("""COMPUTED_VALUE"""),55.0)</f>
        <v>55</v>
      </c>
      <c r="N517" s="94"/>
      <c r="O517" s="1430">
        <f>IFERROR(__xludf.DUMMYFUNCTION("""COMPUTED_VALUE"""),55.0)</f>
        <v>55</v>
      </c>
      <c r="P517" s="1431">
        <f>IFERROR(__xludf.DUMMYFUNCTION("""COMPUTED_VALUE"""),2.7)</f>
        <v>2.7</v>
      </c>
      <c r="Q517" s="1432">
        <f>IFERROR(__xludf.DUMMYFUNCTION("""COMPUTED_VALUE"""),892.0)</f>
        <v>892</v>
      </c>
    </row>
    <row r="518" ht="15.75" customHeight="1">
      <c r="A518" s="94"/>
      <c r="B518" s="94" t="str">
        <f>IFERROR(__xludf.DUMMYFUNCTION("""COMPUTED_VALUE"""),"WS В 212")</f>
        <v>WS В 212</v>
      </c>
      <c r="C518" s="1429" t="str">
        <f>IFERROR(__xludf.DUMMYFUNCTION("""COMPUTED_VALUE"""),"WS")</f>
        <v>WS</v>
      </c>
      <c r="D518" s="1432">
        <f>IFERROR(__xludf.DUMMYFUNCTION("""COMPUTED_VALUE"""),7.0)</f>
        <v>7</v>
      </c>
      <c r="E518" s="1429">
        <f>IFERROR(__xludf.DUMMYFUNCTION("""COMPUTED_VALUE"""),45489.0)</f>
        <v>45489</v>
      </c>
      <c r="F518" s="1429">
        <f>IFERROR(__xludf.DUMMYFUNCTION("""COMPUTED_VALUE"""),45491.0)</f>
        <v>45491</v>
      </c>
      <c r="G518" s="1164">
        <f>IFERROR(__xludf.DUMMYFUNCTION("""COMPUTED_VALUE"""),2.0)</f>
        <v>2</v>
      </c>
      <c r="H518" s="94"/>
      <c r="I518" s="94">
        <f>IFERROR(__xludf.DUMMYFUNCTION("""COMPUTED_VALUE"""),415.0)</f>
        <v>415</v>
      </c>
      <c r="J518" s="94"/>
      <c r="K518" s="94">
        <f>IFERROR(__xludf.DUMMYFUNCTION("""COMPUTED_VALUE"""),70.0)</f>
        <v>70</v>
      </c>
      <c r="L518" s="94">
        <f>IFERROR(__xludf.DUMMYFUNCTION("""COMPUTED_VALUE"""),40.0)</f>
        <v>40</v>
      </c>
      <c r="M518" s="94">
        <f>IFERROR(__xludf.DUMMYFUNCTION("""COMPUTED_VALUE"""),30.0)</f>
        <v>30</v>
      </c>
      <c r="N518" s="94"/>
      <c r="O518" s="1430">
        <f>IFERROR(__xludf.DUMMYFUNCTION("""COMPUTED_VALUE"""),30.0)</f>
        <v>30</v>
      </c>
      <c r="P518" s="1431">
        <f>IFERROR(__xludf.DUMMYFUNCTION("""COMPUTED_VALUE"""),2.7)</f>
        <v>2.7</v>
      </c>
      <c r="Q518" s="1432">
        <f>IFERROR(__xludf.DUMMYFUNCTION("""COMPUTED_VALUE"""),415.0)</f>
        <v>415</v>
      </c>
    </row>
    <row r="519" ht="15.75" customHeight="1">
      <c r="A519" s="94"/>
      <c r="B519" s="94" t="str">
        <f>IFERROR(__xludf.DUMMYFUNCTION("""COMPUTED_VALUE"""),"WS F 907")</f>
        <v>WS F 907</v>
      </c>
      <c r="C519" s="1429" t="str">
        <f>IFERROR(__xludf.DUMMYFUNCTION("""COMPUTED_VALUE"""),"WS")</f>
        <v>WS</v>
      </c>
      <c r="D519" s="1432">
        <f>IFERROR(__xludf.DUMMYFUNCTION("""COMPUTED_VALUE"""),7.0)</f>
        <v>7</v>
      </c>
      <c r="E519" s="1429">
        <f>IFERROR(__xludf.DUMMYFUNCTION("""COMPUTED_VALUE"""),45489.0)</f>
        <v>45489</v>
      </c>
      <c r="F519" s="1429">
        <f>IFERROR(__xludf.DUMMYFUNCTION("""COMPUTED_VALUE"""),45491.0)</f>
        <v>45491</v>
      </c>
      <c r="G519" s="1164">
        <f>IFERROR(__xludf.DUMMYFUNCTION("""COMPUTED_VALUE"""),2.0)</f>
        <v>2</v>
      </c>
      <c r="H519" s="1430">
        <f>IFERROR(__xludf.DUMMYFUNCTION("""COMPUTED_VALUE"""),106.0)</f>
        <v>106</v>
      </c>
      <c r="I519" s="94">
        <f>IFERROR(__xludf.DUMMYFUNCTION("""COMPUTED_VALUE"""),0.0)</f>
        <v>0</v>
      </c>
      <c r="J519" s="94"/>
      <c r="K519" s="94">
        <f>IFERROR(__xludf.DUMMYFUNCTION("""COMPUTED_VALUE"""),60.0)</f>
        <v>60</v>
      </c>
      <c r="L519" s="94">
        <f>IFERROR(__xludf.DUMMYFUNCTION("""COMPUTED_VALUE"""),40.0)</f>
        <v>40</v>
      </c>
      <c r="M519" s="94">
        <f>IFERROR(__xludf.DUMMYFUNCTION("""COMPUTED_VALUE"""),20.0)</f>
        <v>20</v>
      </c>
      <c r="N519" s="94"/>
      <c r="O519" s="1430">
        <f>IFERROR(__xludf.DUMMYFUNCTION("""COMPUTED_VALUE"""),20.0)</f>
        <v>20</v>
      </c>
      <c r="P519" s="1431">
        <f>IFERROR(__xludf.DUMMYFUNCTION("""COMPUTED_VALUE"""),2.7)</f>
        <v>2.7</v>
      </c>
      <c r="Q519" s="1432">
        <f>IFERROR(__xludf.DUMMYFUNCTION("""COMPUTED_VALUE"""),286.20000000000005)</f>
        <v>286.2</v>
      </c>
    </row>
    <row r="520" ht="15.75" customHeight="1">
      <c r="A520" s="94"/>
      <c r="B520" s="94" t="str">
        <f>IFERROR(__xludf.DUMMYFUNCTION("""COMPUTED_VALUE"""),"WS E704")</f>
        <v>WS E704</v>
      </c>
      <c r="C520" s="1429" t="str">
        <f>IFERROR(__xludf.DUMMYFUNCTION("""COMPUTED_VALUE"""),"WS")</f>
        <v>WS</v>
      </c>
      <c r="D520" s="1432">
        <f>IFERROR(__xludf.DUMMYFUNCTION("""COMPUTED_VALUE"""),7.0)</f>
        <v>7</v>
      </c>
      <c r="E520" s="1429">
        <f>IFERROR(__xludf.DUMMYFUNCTION("""COMPUTED_VALUE"""),45489.0)</f>
        <v>45489</v>
      </c>
      <c r="F520" s="1429">
        <f>IFERROR(__xludf.DUMMYFUNCTION("""COMPUTED_VALUE"""),45491.0)</f>
        <v>45491</v>
      </c>
      <c r="G520" s="1164">
        <f>IFERROR(__xludf.DUMMYFUNCTION("""COMPUTED_VALUE"""),2.0)</f>
        <v>2</v>
      </c>
      <c r="H520" s="1430">
        <f>IFERROR(__xludf.DUMMYFUNCTION("""COMPUTED_VALUE"""),112.0)</f>
        <v>112</v>
      </c>
      <c r="I520" s="94">
        <f>IFERROR(__xludf.DUMMYFUNCTION("""COMPUTED_VALUE"""),0.0)</f>
        <v>0</v>
      </c>
      <c r="J520" s="94"/>
      <c r="K520" s="94">
        <f>IFERROR(__xludf.DUMMYFUNCTION("""COMPUTED_VALUE"""),40.0)</f>
        <v>40</v>
      </c>
      <c r="L520" s="94">
        <f>IFERROR(__xludf.DUMMYFUNCTION("""COMPUTED_VALUE"""),40.0)</f>
        <v>40</v>
      </c>
      <c r="M520" s="94">
        <f>IFERROR(__xludf.DUMMYFUNCTION("""COMPUTED_VALUE"""),0.0)</f>
        <v>0</v>
      </c>
      <c r="N520" s="94"/>
      <c r="O520" s="1430">
        <f>IFERROR(__xludf.DUMMYFUNCTION("""COMPUTED_VALUE"""),0.0)</f>
        <v>0</v>
      </c>
      <c r="P520" s="1431">
        <f>IFERROR(__xludf.DUMMYFUNCTION("""COMPUTED_VALUE"""),2.7)</f>
        <v>2.7</v>
      </c>
      <c r="Q520" s="1432">
        <f>IFERROR(__xludf.DUMMYFUNCTION("""COMPUTED_VALUE"""),302.40000000000003)</f>
        <v>302.4</v>
      </c>
    </row>
    <row r="521" ht="15.75" customHeight="1">
      <c r="A521" s="94"/>
      <c r="B521" s="94" t="str">
        <f>IFERROR(__xludf.DUMMYFUNCTION("""COMPUTED_VALUE"""),"WS В 1510")</f>
        <v>WS В 1510</v>
      </c>
      <c r="C521" s="1429" t="str">
        <f>IFERROR(__xludf.DUMMYFUNCTION("""COMPUTED_VALUE"""),"WS")</f>
        <v>WS</v>
      </c>
      <c r="D521" s="1432">
        <f>IFERROR(__xludf.DUMMYFUNCTION("""COMPUTED_VALUE"""),7.0)</f>
        <v>7</v>
      </c>
      <c r="E521" s="1429">
        <f>IFERROR(__xludf.DUMMYFUNCTION("""COMPUTED_VALUE"""),45489.0)</f>
        <v>45489</v>
      </c>
      <c r="F521" s="1429">
        <f>IFERROR(__xludf.DUMMYFUNCTION("""COMPUTED_VALUE"""),45492.0)</f>
        <v>45492</v>
      </c>
      <c r="G521" s="1164">
        <f>IFERROR(__xludf.DUMMYFUNCTION("""COMPUTED_VALUE"""),3.0)</f>
        <v>3</v>
      </c>
      <c r="H521" s="1430">
        <f>IFERROR(__xludf.DUMMYFUNCTION("""COMPUTED_VALUE"""),187.0)</f>
        <v>187</v>
      </c>
      <c r="I521" s="94">
        <f>IFERROR(__xludf.DUMMYFUNCTION("""COMPUTED_VALUE"""),0.0)</f>
        <v>0</v>
      </c>
      <c r="J521" s="94"/>
      <c r="K521" s="94">
        <f>IFERROR(__xludf.DUMMYFUNCTION("""COMPUTED_VALUE"""),60.0)</f>
        <v>60</v>
      </c>
      <c r="L521" s="94">
        <f>IFERROR(__xludf.DUMMYFUNCTION("""COMPUTED_VALUE"""),40.0)</f>
        <v>40</v>
      </c>
      <c r="M521" s="94">
        <f>IFERROR(__xludf.DUMMYFUNCTION("""COMPUTED_VALUE"""),20.0)</f>
        <v>20</v>
      </c>
      <c r="N521" s="94"/>
      <c r="O521" s="1430">
        <f>IFERROR(__xludf.DUMMYFUNCTION("""COMPUTED_VALUE"""),20.0)</f>
        <v>20</v>
      </c>
      <c r="P521" s="1431">
        <f>IFERROR(__xludf.DUMMYFUNCTION("""COMPUTED_VALUE"""),2.7)</f>
        <v>2.7</v>
      </c>
      <c r="Q521" s="1432">
        <f>IFERROR(__xludf.DUMMYFUNCTION("""COMPUTED_VALUE"""),504.90000000000003)</f>
        <v>504.9</v>
      </c>
    </row>
    <row r="522" ht="15.75" customHeight="1">
      <c r="A522" s="94"/>
      <c r="B522" s="94" t="str">
        <f>IFERROR(__xludf.DUMMYFUNCTION("""COMPUTED_VALUE"""),"DL 14-702")</f>
        <v>DL 14-702</v>
      </c>
      <c r="C522" s="1429" t="str">
        <f>IFERROR(__xludf.DUMMYFUNCTION("""COMPUTED_VALUE"""),"DL")</f>
        <v>DL</v>
      </c>
      <c r="D522" s="1432">
        <f>IFERROR(__xludf.DUMMYFUNCTION("""COMPUTED_VALUE"""),7.0)</f>
        <v>7</v>
      </c>
      <c r="E522" s="1429">
        <f>IFERROR(__xludf.DUMMYFUNCTION("""COMPUTED_VALUE"""),45490.0)</f>
        <v>45490</v>
      </c>
      <c r="F522" s="1429">
        <f>IFERROR(__xludf.DUMMYFUNCTION("""COMPUTED_VALUE"""),45494.0)</f>
        <v>45494</v>
      </c>
      <c r="G522" s="1164">
        <f>IFERROR(__xludf.DUMMYFUNCTION("""COMPUTED_VALUE"""),4.0)</f>
        <v>4</v>
      </c>
      <c r="H522" s="1430">
        <f>IFERROR(__xludf.DUMMYFUNCTION("""COMPUTED_VALUE"""),458.0)</f>
        <v>458</v>
      </c>
      <c r="I522" s="94">
        <f>IFERROR(__xludf.DUMMYFUNCTION("""COMPUTED_VALUE"""),0.0)</f>
        <v>0</v>
      </c>
      <c r="J522" s="94"/>
      <c r="K522" s="94">
        <f>IFERROR(__xludf.DUMMYFUNCTION("""COMPUTED_VALUE"""),105.0)</f>
        <v>105</v>
      </c>
      <c r="L522" s="94">
        <f>IFERROR(__xludf.DUMMYFUNCTION("""COMPUTED_VALUE"""),40.0)</f>
        <v>40</v>
      </c>
      <c r="M522" s="94">
        <f>IFERROR(__xludf.DUMMYFUNCTION("""COMPUTED_VALUE"""),65.0)</f>
        <v>65</v>
      </c>
      <c r="N522" s="94"/>
      <c r="O522" s="1430">
        <f>IFERROR(__xludf.DUMMYFUNCTION("""COMPUTED_VALUE"""),65.0)</f>
        <v>65</v>
      </c>
      <c r="P522" s="1431">
        <f>IFERROR(__xludf.DUMMYFUNCTION("""COMPUTED_VALUE"""),2.7)</f>
        <v>2.7</v>
      </c>
      <c r="Q522" s="1432">
        <f>IFERROR(__xludf.DUMMYFUNCTION("""COMPUTED_VALUE"""),1236.6000000000001)</f>
        <v>1236.6</v>
      </c>
    </row>
    <row r="523" ht="15.75" customHeight="1">
      <c r="A523" s="94"/>
      <c r="B523" s="94" t="str">
        <f>IFERROR(__xludf.DUMMYFUNCTION("""COMPUTED_VALUE"""),"14-411")</f>
        <v>14-411</v>
      </c>
      <c r="C523" s="1429" t="str">
        <f>IFERROR(__xludf.DUMMYFUNCTION("""COMPUTED_VALUE"""),"DL")</f>
        <v>DL</v>
      </c>
      <c r="D523" s="1432">
        <f>IFERROR(__xludf.DUMMYFUNCTION("""COMPUTED_VALUE"""),7.0)</f>
        <v>7</v>
      </c>
      <c r="E523" s="1429">
        <f>IFERROR(__xludf.DUMMYFUNCTION("""COMPUTED_VALUE"""),45490.0)</f>
        <v>45490</v>
      </c>
      <c r="F523" s="1429">
        <f>IFERROR(__xludf.DUMMYFUNCTION("""COMPUTED_VALUE"""),45497.0)</f>
        <v>45497</v>
      </c>
      <c r="G523" s="1164">
        <f>IFERROR(__xludf.DUMMYFUNCTION("""COMPUTED_VALUE"""),7.0)</f>
        <v>7</v>
      </c>
      <c r="H523" s="94"/>
      <c r="I523" s="94">
        <f>IFERROR(__xludf.DUMMYFUNCTION("""COMPUTED_VALUE"""),1962.0)</f>
        <v>1962</v>
      </c>
      <c r="J523" s="94"/>
      <c r="K523" s="94">
        <f>IFERROR(__xludf.DUMMYFUNCTION("""COMPUTED_VALUE"""),95.0)</f>
        <v>95</v>
      </c>
      <c r="L523" s="94">
        <f>IFERROR(__xludf.DUMMYFUNCTION("""COMPUTED_VALUE"""),40.0)</f>
        <v>40</v>
      </c>
      <c r="M523" s="94">
        <f>IFERROR(__xludf.DUMMYFUNCTION("""COMPUTED_VALUE"""),55.0)</f>
        <v>55</v>
      </c>
      <c r="N523" s="94"/>
      <c r="O523" s="1430">
        <f>IFERROR(__xludf.DUMMYFUNCTION("""COMPUTED_VALUE"""),55.0)</f>
        <v>55</v>
      </c>
      <c r="P523" s="1431">
        <f>IFERROR(__xludf.DUMMYFUNCTION("""COMPUTED_VALUE"""),2.7)</f>
        <v>2.7</v>
      </c>
      <c r="Q523" s="1432">
        <f>IFERROR(__xludf.DUMMYFUNCTION("""COMPUTED_VALUE"""),1962.0)</f>
        <v>1962</v>
      </c>
    </row>
    <row r="524" ht="15.75" customHeight="1">
      <c r="A524" s="94"/>
      <c r="B524" s="94" t="str">
        <f>IFERROR(__xludf.DUMMYFUNCTION("""COMPUTED_VALUE"""),"DL14-518")</f>
        <v>DL14-518</v>
      </c>
      <c r="C524" s="1429" t="str">
        <f>IFERROR(__xludf.DUMMYFUNCTION("""COMPUTED_VALUE"""),"DL")</f>
        <v>DL</v>
      </c>
      <c r="D524" s="1432">
        <f>IFERROR(__xludf.DUMMYFUNCTION("""COMPUTED_VALUE"""),7.0)</f>
        <v>7</v>
      </c>
      <c r="E524" s="1429">
        <f>IFERROR(__xludf.DUMMYFUNCTION("""COMPUTED_VALUE"""),45490.0)</f>
        <v>45490</v>
      </c>
      <c r="F524" s="1429">
        <f>IFERROR(__xludf.DUMMYFUNCTION("""COMPUTED_VALUE"""),45494.0)</f>
        <v>45494</v>
      </c>
      <c r="G524" s="1164">
        <f>IFERROR(__xludf.DUMMYFUNCTION("""COMPUTED_VALUE"""),4.0)</f>
        <v>4</v>
      </c>
      <c r="H524" s="94"/>
      <c r="I524" s="94">
        <f>IFERROR(__xludf.DUMMYFUNCTION("""COMPUTED_VALUE"""),952.0)</f>
        <v>952</v>
      </c>
      <c r="J524" s="94"/>
      <c r="K524" s="94">
        <f>IFERROR(__xludf.DUMMYFUNCTION("""COMPUTED_VALUE"""),40.0)</f>
        <v>40</v>
      </c>
      <c r="L524" s="94">
        <f>IFERROR(__xludf.DUMMYFUNCTION("""COMPUTED_VALUE"""),40.0)</f>
        <v>40</v>
      </c>
      <c r="M524" s="94">
        <f>IFERROR(__xludf.DUMMYFUNCTION("""COMPUTED_VALUE"""),0.0)</f>
        <v>0</v>
      </c>
      <c r="N524" s="94"/>
      <c r="O524" s="1430">
        <f>IFERROR(__xludf.DUMMYFUNCTION("""COMPUTED_VALUE"""),0.0)</f>
        <v>0</v>
      </c>
      <c r="P524" s="1431">
        <f>IFERROR(__xludf.DUMMYFUNCTION("""COMPUTED_VALUE"""),2.7)</f>
        <v>2.7</v>
      </c>
      <c r="Q524" s="1432">
        <f>IFERROR(__xludf.DUMMYFUNCTION("""COMPUTED_VALUE"""),952.0)</f>
        <v>952</v>
      </c>
    </row>
    <row r="525" ht="15.75" customHeight="1">
      <c r="A525" s="94"/>
      <c r="B525" s="94" t="str">
        <f>IFERROR(__xludf.DUMMYFUNCTION("""COMPUTED_VALUE"""),"WS A 409")</f>
        <v>WS A 409</v>
      </c>
      <c r="C525" s="1429" t="str">
        <f>IFERROR(__xludf.DUMMYFUNCTION("""COMPUTED_VALUE"""),"WS")</f>
        <v>WS</v>
      </c>
      <c r="D525" s="1432">
        <f>IFERROR(__xludf.DUMMYFUNCTION("""COMPUTED_VALUE"""),7.0)</f>
        <v>7</v>
      </c>
      <c r="E525" s="1429">
        <f>IFERROR(__xludf.DUMMYFUNCTION("""COMPUTED_VALUE"""),45490.0)</f>
        <v>45490</v>
      </c>
      <c r="F525" s="1429">
        <f>IFERROR(__xludf.DUMMYFUNCTION("""COMPUTED_VALUE"""),45493.0)</f>
        <v>45493</v>
      </c>
      <c r="G525" s="1164">
        <f>IFERROR(__xludf.DUMMYFUNCTION("""COMPUTED_VALUE"""),3.0)</f>
        <v>3</v>
      </c>
      <c r="H525" s="94"/>
      <c r="I525" s="94">
        <f>IFERROR(__xludf.DUMMYFUNCTION("""COMPUTED_VALUE"""),340.0)</f>
        <v>340</v>
      </c>
      <c r="J525" s="94"/>
      <c r="K525" s="94">
        <f>IFERROR(__xludf.DUMMYFUNCTION("""COMPUTED_VALUE"""),60.0)</f>
        <v>60</v>
      </c>
      <c r="L525" s="94">
        <f>IFERROR(__xludf.DUMMYFUNCTION("""COMPUTED_VALUE"""),40.0)</f>
        <v>40</v>
      </c>
      <c r="M525" s="94">
        <f>IFERROR(__xludf.DUMMYFUNCTION("""COMPUTED_VALUE"""),20.0)</f>
        <v>20</v>
      </c>
      <c r="N525" s="94"/>
      <c r="O525" s="1430">
        <f>IFERROR(__xludf.DUMMYFUNCTION("""COMPUTED_VALUE"""),20.0)</f>
        <v>20</v>
      </c>
      <c r="P525" s="1431">
        <f>IFERROR(__xludf.DUMMYFUNCTION("""COMPUTED_VALUE"""),2.7)</f>
        <v>2.7</v>
      </c>
      <c r="Q525" s="1432">
        <f>IFERROR(__xludf.DUMMYFUNCTION("""COMPUTED_VALUE"""),340.0)</f>
        <v>340</v>
      </c>
    </row>
    <row r="526" ht="15.75" customHeight="1">
      <c r="A526" s="94"/>
      <c r="B526" s="94" t="str">
        <f>IFERROR(__xludf.DUMMYFUNCTION("""COMPUTED_VALUE"""),"WS E1405")</f>
        <v>WS E1405</v>
      </c>
      <c r="C526" s="1429" t="str">
        <f>IFERROR(__xludf.DUMMYFUNCTION("""COMPUTED_VALUE"""),"WS")</f>
        <v>WS</v>
      </c>
      <c r="D526" s="1432">
        <f>IFERROR(__xludf.DUMMYFUNCTION("""COMPUTED_VALUE"""),7.0)</f>
        <v>7</v>
      </c>
      <c r="E526" s="1429">
        <f>IFERROR(__xludf.DUMMYFUNCTION("""COMPUTED_VALUE"""),45490.0)</f>
        <v>45490</v>
      </c>
      <c r="F526" s="1429">
        <f>IFERROR(__xludf.DUMMYFUNCTION("""COMPUTED_VALUE"""),45493.0)</f>
        <v>45493</v>
      </c>
      <c r="G526" s="1164">
        <f>IFERROR(__xludf.DUMMYFUNCTION("""COMPUTED_VALUE"""),3.0)</f>
        <v>3</v>
      </c>
      <c r="H526" s="94"/>
      <c r="I526" s="94">
        <f>IFERROR(__xludf.DUMMYFUNCTION("""COMPUTED_VALUE"""),780.0)</f>
        <v>780</v>
      </c>
      <c r="J526" s="94"/>
      <c r="K526" s="94">
        <f>IFERROR(__xludf.DUMMYFUNCTION("""COMPUTED_VALUE"""),60.0)</f>
        <v>60</v>
      </c>
      <c r="L526" s="94">
        <f>IFERROR(__xludf.DUMMYFUNCTION("""COMPUTED_VALUE"""),40.0)</f>
        <v>40</v>
      </c>
      <c r="M526" s="94">
        <f>IFERROR(__xludf.DUMMYFUNCTION("""COMPUTED_VALUE"""),20.0)</f>
        <v>20</v>
      </c>
      <c r="N526" s="94"/>
      <c r="O526" s="1430">
        <f>IFERROR(__xludf.DUMMYFUNCTION("""COMPUTED_VALUE"""),20.0)</f>
        <v>20</v>
      </c>
      <c r="P526" s="1431">
        <f>IFERROR(__xludf.DUMMYFUNCTION("""COMPUTED_VALUE"""),2.7)</f>
        <v>2.7</v>
      </c>
      <c r="Q526" s="1432">
        <f>IFERROR(__xludf.DUMMYFUNCTION("""COMPUTED_VALUE"""),780.0)</f>
        <v>780</v>
      </c>
    </row>
    <row r="527" ht="15.75" customHeight="1">
      <c r="A527" s="94"/>
      <c r="B527" s="94" t="str">
        <f>IFERROR(__xludf.DUMMYFUNCTION("""COMPUTED_VALUE"""),"Int 2905")</f>
        <v>Int 2905</v>
      </c>
      <c r="C527" s="1429" t="str">
        <f>IFERROR(__xludf.DUMMYFUNCTION("""COMPUTED_VALUE"""),"Other")</f>
        <v>Other</v>
      </c>
      <c r="D527" s="1432">
        <f>IFERROR(__xludf.DUMMYFUNCTION("""COMPUTED_VALUE"""),7.0)</f>
        <v>7</v>
      </c>
      <c r="E527" s="1429">
        <f>IFERROR(__xludf.DUMMYFUNCTION("""COMPUTED_VALUE"""),45490.0)</f>
        <v>45490</v>
      </c>
      <c r="F527" s="1429">
        <f>IFERROR(__xludf.DUMMYFUNCTION("""COMPUTED_VALUE"""),45495.0)</f>
        <v>45495</v>
      </c>
      <c r="G527" s="1164">
        <f>IFERROR(__xludf.DUMMYFUNCTION("""COMPUTED_VALUE"""),5.0)</f>
        <v>5</v>
      </c>
      <c r="H527" s="1430">
        <f>IFERROR(__xludf.DUMMYFUNCTION("""COMPUTED_VALUE"""),411.0)</f>
        <v>411</v>
      </c>
      <c r="I527" s="94">
        <f>IFERROR(__xludf.DUMMYFUNCTION("""COMPUTED_VALUE"""),0.0)</f>
        <v>0</v>
      </c>
      <c r="J527" s="94"/>
      <c r="K527" s="94">
        <f>IFERROR(__xludf.DUMMYFUNCTION("""COMPUTED_VALUE"""),60.0)</f>
        <v>60</v>
      </c>
      <c r="L527" s="94">
        <f>IFERROR(__xludf.DUMMYFUNCTION("""COMPUTED_VALUE"""),40.0)</f>
        <v>40</v>
      </c>
      <c r="M527" s="94">
        <f>IFERROR(__xludf.DUMMYFUNCTION("""COMPUTED_VALUE"""),20.0)</f>
        <v>20</v>
      </c>
      <c r="N527" s="94"/>
      <c r="O527" s="1430">
        <f>IFERROR(__xludf.DUMMYFUNCTION("""COMPUTED_VALUE"""),20.0)</f>
        <v>20</v>
      </c>
      <c r="P527" s="1431">
        <f>IFERROR(__xludf.DUMMYFUNCTION("""COMPUTED_VALUE"""),2.7)</f>
        <v>2.7</v>
      </c>
      <c r="Q527" s="1432">
        <f>IFERROR(__xludf.DUMMYFUNCTION("""COMPUTED_VALUE"""),1109.7)</f>
        <v>1109.7</v>
      </c>
    </row>
    <row r="528" ht="15.75" customHeight="1">
      <c r="A528" s="94"/>
      <c r="B528" s="94" t="str">
        <f>IFERROR(__xludf.DUMMYFUNCTION("""COMPUTED_VALUE"""),"WS В 503")</f>
        <v>WS В 503</v>
      </c>
      <c r="C528" s="1429" t="str">
        <f>IFERROR(__xludf.DUMMYFUNCTION("""COMPUTED_VALUE"""),"WS")</f>
        <v>WS</v>
      </c>
      <c r="D528" s="1432">
        <f>IFERROR(__xludf.DUMMYFUNCTION("""COMPUTED_VALUE"""),7.0)</f>
        <v>7</v>
      </c>
      <c r="E528" s="1429">
        <f>IFERROR(__xludf.DUMMYFUNCTION("""COMPUTED_VALUE"""),45490.0)</f>
        <v>45490</v>
      </c>
      <c r="F528" s="1429">
        <f>IFERROR(__xludf.DUMMYFUNCTION("""COMPUTED_VALUE"""),45492.0)</f>
        <v>45492</v>
      </c>
      <c r="G528" s="1164">
        <f>IFERROR(__xludf.DUMMYFUNCTION("""COMPUTED_VALUE"""),2.0)</f>
        <v>2</v>
      </c>
      <c r="H528" s="1430">
        <f>IFERROR(__xludf.DUMMYFUNCTION("""COMPUTED_VALUE"""),190.0)</f>
        <v>190</v>
      </c>
      <c r="I528" s="94">
        <f>IFERROR(__xludf.DUMMYFUNCTION("""COMPUTED_VALUE"""),0.0)</f>
        <v>0</v>
      </c>
      <c r="J528" s="94"/>
      <c r="K528" s="94">
        <f>IFERROR(__xludf.DUMMYFUNCTION("""COMPUTED_VALUE"""),70.0)</f>
        <v>70</v>
      </c>
      <c r="L528" s="94">
        <f>IFERROR(__xludf.DUMMYFUNCTION("""COMPUTED_VALUE"""),40.0)</f>
        <v>40</v>
      </c>
      <c r="M528" s="94">
        <f>IFERROR(__xludf.DUMMYFUNCTION("""COMPUTED_VALUE"""),30.0)</f>
        <v>30</v>
      </c>
      <c r="N528" s="94"/>
      <c r="O528" s="1430">
        <f>IFERROR(__xludf.DUMMYFUNCTION("""COMPUTED_VALUE"""),30.0)</f>
        <v>30</v>
      </c>
      <c r="P528" s="1431">
        <f>IFERROR(__xludf.DUMMYFUNCTION("""COMPUTED_VALUE"""),2.7)</f>
        <v>2.7</v>
      </c>
      <c r="Q528" s="1432">
        <f>IFERROR(__xludf.DUMMYFUNCTION("""COMPUTED_VALUE"""),513.0)</f>
        <v>513</v>
      </c>
    </row>
    <row r="529" ht="15.75" customHeight="1">
      <c r="A529" s="94"/>
      <c r="B529" s="94" t="str">
        <f>IFERROR(__xludf.DUMMYFUNCTION("""COMPUTED_VALUE"""),"WS А 908")</f>
        <v>WS А 908</v>
      </c>
      <c r="C529" s="1429" t="str">
        <f>IFERROR(__xludf.DUMMYFUNCTION("""COMPUTED_VALUE"""),"WS")</f>
        <v>WS</v>
      </c>
      <c r="D529" s="1432">
        <f>IFERROR(__xludf.DUMMYFUNCTION("""COMPUTED_VALUE"""),7.0)</f>
        <v>7</v>
      </c>
      <c r="E529" s="1429">
        <f>IFERROR(__xludf.DUMMYFUNCTION("""COMPUTED_VALUE"""),45491.0)</f>
        <v>45491</v>
      </c>
      <c r="F529" s="1429">
        <f>IFERROR(__xludf.DUMMYFUNCTION("""COMPUTED_VALUE"""),45495.0)</f>
        <v>45495</v>
      </c>
      <c r="G529" s="1164">
        <f>IFERROR(__xludf.DUMMYFUNCTION("""COMPUTED_VALUE"""),4.0)</f>
        <v>4</v>
      </c>
      <c r="H529" s="94"/>
      <c r="I529" s="94">
        <f>IFERROR(__xludf.DUMMYFUNCTION("""COMPUTED_VALUE"""),760.0)</f>
        <v>760</v>
      </c>
      <c r="J529" s="94"/>
      <c r="K529" s="94">
        <f>IFERROR(__xludf.DUMMYFUNCTION("""COMPUTED_VALUE"""),60.0)</f>
        <v>60</v>
      </c>
      <c r="L529" s="94">
        <f>IFERROR(__xludf.DUMMYFUNCTION("""COMPUTED_VALUE"""),40.0)</f>
        <v>40</v>
      </c>
      <c r="M529" s="94">
        <f>IFERROR(__xludf.DUMMYFUNCTION("""COMPUTED_VALUE"""),20.0)</f>
        <v>20</v>
      </c>
      <c r="N529" s="94"/>
      <c r="O529" s="1430">
        <f>IFERROR(__xludf.DUMMYFUNCTION("""COMPUTED_VALUE"""),20.0)</f>
        <v>20</v>
      </c>
      <c r="P529" s="1431">
        <f>IFERROR(__xludf.DUMMYFUNCTION("""COMPUTED_VALUE"""),2.7)</f>
        <v>2.7</v>
      </c>
      <c r="Q529" s="1432">
        <f>IFERROR(__xludf.DUMMYFUNCTION("""COMPUTED_VALUE"""),760.0)</f>
        <v>760</v>
      </c>
    </row>
    <row r="530" ht="15.75" customHeight="1">
      <c r="A530" s="94"/>
      <c r="B530" s="94" t="str">
        <f>IFERROR(__xludf.DUMMYFUNCTION("""COMPUTED_VALUE"""),"WS  B 405")</f>
        <v>WS  B 405</v>
      </c>
      <c r="C530" s="1429" t="str">
        <f>IFERROR(__xludf.DUMMYFUNCTION("""COMPUTED_VALUE"""),"WS")</f>
        <v>WS</v>
      </c>
      <c r="D530" s="1432">
        <f>IFERROR(__xludf.DUMMYFUNCTION("""COMPUTED_VALUE"""),7.0)</f>
        <v>7</v>
      </c>
      <c r="E530" s="1429">
        <f>IFERROR(__xludf.DUMMYFUNCTION("""COMPUTED_VALUE"""),45491.0)</f>
        <v>45491</v>
      </c>
      <c r="F530" s="1429">
        <f>IFERROR(__xludf.DUMMYFUNCTION("""COMPUTED_VALUE"""),45499.0)</f>
        <v>45499</v>
      </c>
      <c r="G530" s="1164">
        <f>IFERROR(__xludf.DUMMYFUNCTION("""COMPUTED_VALUE"""),8.0)</f>
        <v>8</v>
      </c>
      <c r="H530" s="94"/>
      <c r="I530" s="94">
        <f>IFERROR(__xludf.DUMMYFUNCTION("""COMPUTED_VALUE"""),1108.0)</f>
        <v>1108</v>
      </c>
      <c r="J530" s="94"/>
      <c r="K530" s="94">
        <f>IFERROR(__xludf.DUMMYFUNCTION("""COMPUTED_VALUE"""),60.0)</f>
        <v>60</v>
      </c>
      <c r="L530" s="94">
        <f>IFERROR(__xludf.DUMMYFUNCTION("""COMPUTED_VALUE"""),40.0)</f>
        <v>40</v>
      </c>
      <c r="M530" s="94">
        <f>IFERROR(__xludf.DUMMYFUNCTION("""COMPUTED_VALUE"""),20.0)</f>
        <v>20</v>
      </c>
      <c r="N530" s="94"/>
      <c r="O530" s="1430">
        <f>IFERROR(__xludf.DUMMYFUNCTION("""COMPUTED_VALUE"""),20.0)</f>
        <v>20</v>
      </c>
      <c r="P530" s="1431">
        <f>IFERROR(__xludf.DUMMYFUNCTION("""COMPUTED_VALUE"""),2.7)</f>
        <v>2.7</v>
      </c>
      <c r="Q530" s="1432">
        <f>IFERROR(__xludf.DUMMYFUNCTION("""COMPUTED_VALUE"""),1108.0)</f>
        <v>1108</v>
      </c>
    </row>
    <row r="531" ht="15.75" customHeight="1">
      <c r="A531" s="94"/>
      <c r="B531" s="94" t="str">
        <f>IFERROR(__xludf.DUMMYFUNCTION("""COMPUTED_VALUE"""),"C 4245")</f>
        <v>C 4245</v>
      </c>
      <c r="C531" s="1429" t="str">
        <f>IFERROR(__xludf.DUMMYFUNCTION("""COMPUTED_VALUE"""),"ORBI")</f>
        <v>ORBI</v>
      </c>
      <c r="D531" s="1432">
        <f>IFERROR(__xludf.DUMMYFUNCTION("""COMPUTED_VALUE"""),7.0)</f>
        <v>7</v>
      </c>
      <c r="E531" s="1429">
        <f>IFERROR(__xludf.DUMMYFUNCTION("""COMPUTED_VALUE"""),45491.0)</f>
        <v>45491</v>
      </c>
      <c r="F531" s="1429">
        <f>IFERROR(__xludf.DUMMYFUNCTION("""COMPUTED_VALUE"""),45501.0)</f>
        <v>45501</v>
      </c>
      <c r="G531" s="1164">
        <f>IFERROR(__xludf.DUMMYFUNCTION("""COMPUTED_VALUE"""),10.0)</f>
        <v>10</v>
      </c>
      <c r="H531" s="1430">
        <f>IFERROR(__xludf.DUMMYFUNCTION("""COMPUTED_VALUE"""),626.9)</f>
        <v>626.9</v>
      </c>
      <c r="I531" s="94">
        <f>IFERROR(__xludf.DUMMYFUNCTION("""COMPUTED_VALUE"""),0.0)</f>
        <v>0</v>
      </c>
      <c r="J531" s="94"/>
      <c r="K531" s="94">
        <f>IFERROR(__xludf.DUMMYFUNCTION("""COMPUTED_VALUE"""),70.0)</f>
        <v>70</v>
      </c>
      <c r="L531" s="94">
        <f>IFERROR(__xludf.DUMMYFUNCTION("""COMPUTED_VALUE"""),40.0)</f>
        <v>40</v>
      </c>
      <c r="M531" s="94">
        <f>IFERROR(__xludf.DUMMYFUNCTION("""COMPUTED_VALUE"""),30.0)</f>
        <v>30</v>
      </c>
      <c r="N531" s="94"/>
      <c r="O531" s="1430">
        <f>IFERROR(__xludf.DUMMYFUNCTION("""COMPUTED_VALUE"""),30.0)</f>
        <v>30</v>
      </c>
      <c r="P531" s="1431">
        <f>IFERROR(__xludf.DUMMYFUNCTION("""COMPUTED_VALUE"""),2.7)</f>
        <v>2.7</v>
      </c>
      <c r="Q531" s="1432">
        <f>IFERROR(__xludf.DUMMYFUNCTION("""COMPUTED_VALUE"""),1692.63)</f>
        <v>1692.63</v>
      </c>
    </row>
    <row r="532" ht="15.75" customHeight="1">
      <c r="A532" s="94"/>
      <c r="B532" s="94" t="str">
        <f>IFERROR(__xludf.DUMMYFUNCTION("""COMPUTED_VALUE"""),"А 4049")</f>
        <v>А 4049</v>
      </c>
      <c r="C532" s="1429" t="str">
        <f>IFERROR(__xludf.DUMMYFUNCTION("""COMPUTED_VALUE"""),"ORBI")</f>
        <v>ORBI</v>
      </c>
      <c r="D532" s="1432">
        <f>IFERROR(__xludf.DUMMYFUNCTION("""COMPUTED_VALUE"""),7.0)</f>
        <v>7</v>
      </c>
      <c r="E532" s="1429">
        <f>IFERROR(__xludf.DUMMYFUNCTION("""COMPUTED_VALUE"""),45491.0)</f>
        <v>45491</v>
      </c>
      <c r="F532" s="1429">
        <f>IFERROR(__xludf.DUMMYFUNCTION("""COMPUTED_VALUE"""),45494.0)</f>
        <v>45494</v>
      </c>
      <c r="G532" s="1164">
        <f>IFERROR(__xludf.DUMMYFUNCTION("""COMPUTED_VALUE"""),3.0)</f>
        <v>3</v>
      </c>
      <c r="H532" s="1430">
        <f>IFERROR(__xludf.DUMMYFUNCTION("""COMPUTED_VALUE"""),104.0)</f>
        <v>104</v>
      </c>
      <c r="I532" s="94">
        <f>IFERROR(__xludf.DUMMYFUNCTION("""COMPUTED_VALUE"""),0.0)</f>
        <v>0</v>
      </c>
      <c r="J532" s="94"/>
      <c r="K532" s="94">
        <f>IFERROR(__xludf.DUMMYFUNCTION("""COMPUTED_VALUE"""),50.0)</f>
        <v>50</v>
      </c>
      <c r="L532" s="94">
        <f>IFERROR(__xludf.DUMMYFUNCTION("""COMPUTED_VALUE"""),40.0)</f>
        <v>40</v>
      </c>
      <c r="M532" s="94">
        <f>IFERROR(__xludf.DUMMYFUNCTION("""COMPUTED_VALUE"""),10.0)</f>
        <v>10</v>
      </c>
      <c r="N532" s="94"/>
      <c r="O532" s="1430">
        <f>IFERROR(__xludf.DUMMYFUNCTION("""COMPUTED_VALUE"""),10.0)</f>
        <v>10</v>
      </c>
      <c r="P532" s="1431">
        <f>IFERROR(__xludf.DUMMYFUNCTION("""COMPUTED_VALUE"""),2.7)</f>
        <v>2.7</v>
      </c>
      <c r="Q532" s="1432">
        <f>IFERROR(__xludf.DUMMYFUNCTION("""COMPUTED_VALUE"""),280.8)</f>
        <v>280.8</v>
      </c>
    </row>
    <row r="533" ht="15.75" customHeight="1">
      <c r="A533" s="94"/>
      <c r="B533" s="94" t="str">
        <f>IFERROR(__xludf.DUMMYFUNCTION("""COMPUTED_VALUE"""),"DL 11-1112")</f>
        <v>DL 11-1112</v>
      </c>
      <c r="C533" s="1429" t="str">
        <f>IFERROR(__xludf.DUMMYFUNCTION("""COMPUTED_VALUE"""),"DL")</f>
        <v>DL</v>
      </c>
      <c r="D533" s="1432">
        <f>IFERROR(__xludf.DUMMYFUNCTION("""COMPUTED_VALUE"""),7.0)</f>
        <v>7</v>
      </c>
      <c r="E533" s="1429">
        <f>IFERROR(__xludf.DUMMYFUNCTION("""COMPUTED_VALUE"""),45491.0)</f>
        <v>45491</v>
      </c>
      <c r="F533" s="1429">
        <f>IFERROR(__xludf.DUMMYFUNCTION("""COMPUTED_VALUE"""),45496.0)</f>
        <v>45496</v>
      </c>
      <c r="G533" s="1164">
        <f>IFERROR(__xludf.DUMMYFUNCTION("""COMPUTED_VALUE"""),5.0)</f>
        <v>5</v>
      </c>
      <c r="H533" s="1430">
        <f>IFERROR(__xludf.DUMMYFUNCTION("""COMPUTED_VALUE"""),408.0)</f>
        <v>408</v>
      </c>
      <c r="I533" s="94">
        <f>IFERROR(__xludf.DUMMYFUNCTION("""COMPUTED_VALUE"""),0.0)</f>
        <v>0</v>
      </c>
      <c r="J533" s="94"/>
      <c r="K533" s="94">
        <f>IFERROR(__xludf.DUMMYFUNCTION("""COMPUTED_VALUE"""),40.0)</f>
        <v>40</v>
      </c>
      <c r="L533" s="94">
        <f>IFERROR(__xludf.DUMMYFUNCTION("""COMPUTED_VALUE"""),40.0)</f>
        <v>40</v>
      </c>
      <c r="M533" s="94">
        <f>IFERROR(__xludf.DUMMYFUNCTION("""COMPUTED_VALUE"""),0.0)</f>
        <v>0</v>
      </c>
      <c r="N533" s="94"/>
      <c r="O533" s="1430">
        <f>IFERROR(__xludf.DUMMYFUNCTION("""COMPUTED_VALUE"""),0.0)</f>
        <v>0</v>
      </c>
      <c r="P533" s="1431">
        <f>IFERROR(__xludf.DUMMYFUNCTION("""COMPUTED_VALUE"""),2.7)</f>
        <v>2.7</v>
      </c>
      <c r="Q533" s="1432">
        <f>IFERROR(__xludf.DUMMYFUNCTION("""COMPUTED_VALUE"""),1101.6000000000001)</f>
        <v>1101.6</v>
      </c>
    </row>
    <row r="534" ht="15.75" customHeight="1">
      <c r="A534" s="94"/>
      <c r="B534" s="94" t="str">
        <f>IFERROR(__xludf.DUMMYFUNCTION("""COMPUTED_VALUE"""),"CM 1931")</f>
        <v>CM 1931</v>
      </c>
      <c r="C534" s="1429" t="str">
        <f>IFERROR(__xludf.DUMMYFUNCTION("""COMPUTED_VALUE"""),"MAR")</f>
        <v>MAR</v>
      </c>
      <c r="D534" s="1432">
        <f>IFERROR(__xludf.DUMMYFUNCTION("""COMPUTED_VALUE"""),7.0)</f>
        <v>7</v>
      </c>
      <c r="E534" s="1429">
        <f>IFERROR(__xludf.DUMMYFUNCTION("""COMPUTED_VALUE"""),45491.0)</f>
        <v>45491</v>
      </c>
      <c r="F534" s="1429">
        <f>IFERROR(__xludf.DUMMYFUNCTION("""COMPUTED_VALUE"""),45500.0)</f>
        <v>45500</v>
      </c>
      <c r="G534" s="1164">
        <f>IFERROR(__xludf.DUMMYFUNCTION("""COMPUTED_VALUE"""),9.0)</f>
        <v>9</v>
      </c>
      <c r="H534" s="1430">
        <f>IFERROR(__xludf.DUMMYFUNCTION("""COMPUTED_VALUE"""),475.0)</f>
        <v>475</v>
      </c>
      <c r="I534" s="94">
        <f>IFERROR(__xludf.DUMMYFUNCTION("""COMPUTED_VALUE"""),0.0)</f>
        <v>0</v>
      </c>
      <c r="J534" s="94"/>
      <c r="K534" s="94">
        <f>IFERROR(__xludf.DUMMYFUNCTION("""COMPUTED_VALUE"""),60.0)</f>
        <v>60</v>
      </c>
      <c r="L534" s="94">
        <f>IFERROR(__xludf.DUMMYFUNCTION("""COMPUTED_VALUE"""),40.0)</f>
        <v>40</v>
      </c>
      <c r="M534" s="94">
        <f>IFERROR(__xludf.DUMMYFUNCTION("""COMPUTED_VALUE"""),20.0)</f>
        <v>20</v>
      </c>
      <c r="N534" s="94"/>
      <c r="O534" s="1430">
        <f>IFERROR(__xludf.DUMMYFUNCTION("""COMPUTED_VALUE"""),20.0)</f>
        <v>20</v>
      </c>
      <c r="P534" s="1431">
        <f>IFERROR(__xludf.DUMMYFUNCTION("""COMPUTED_VALUE"""),2.7)</f>
        <v>2.7</v>
      </c>
      <c r="Q534" s="1432">
        <f>IFERROR(__xludf.DUMMYFUNCTION("""COMPUTED_VALUE"""),1282.5)</f>
        <v>1282.5</v>
      </c>
    </row>
    <row r="535" ht="15.75" customHeight="1">
      <c r="A535" s="94"/>
      <c r="B535" s="94" t="str">
        <f>IFERROR(__xludf.DUMMYFUNCTION("""COMPUTED_VALUE"""),"CM 1606")</f>
        <v>CM 1606</v>
      </c>
      <c r="C535" s="1429" t="str">
        <f>IFERROR(__xludf.DUMMYFUNCTION("""COMPUTED_VALUE"""),"MAR")</f>
        <v>MAR</v>
      </c>
      <c r="D535" s="1432">
        <f>IFERROR(__xludf.DUMMYFUNCTION("""COMPUTED_VALUE"""),7.0)</f>
        <v>7</v>
      </c>
      <c r="E535" s="1429">
        <f>IFERROR(__xludf.DUMMYFUNCTION("""COMPUTED_VALUE"""),45491.0)</f>
        <v>45491</v>
      </c>
      <c r="F535" s="1429">
        <f>IFERROR(__xludf.DUMMYFUNCTION("""COMPUTED_VALUE"""),45495.0)</f>
        <v>45495</v>
      </c>
      <c r="G535" s="1164">
        <f>IFERROR(__xludf.DUMMYFUNCTION("""COMPUTED_VALUE"""),4.0)</f>
        <v>4</v>
      </c>
      <c r="H535" s="1430">
        <f>IFERROR(__xludf.DUMMYFUNCTION("""COMPUTED_VALUE"""),200.0)</f>
        <v>200</v>
      </c>
      <c r="I535" s="94">
        <f>IFERROR(__xludf.DUMMYFUNCTION("""COMPUTED_VALUE"""),0.0)</f>
        <v>0</v>
      </c>
      <c r="J535" s="94"/>
      <c r="K535" s="94">
        <f>IFERROR(__xludf.DUMMYFUNCTION("""COMPUTED_VALUE"""),60.0)</f>
        <v>60</v>
      </c>
      <c r="L535" s="94">
        <f>IFERROR(__xludf.DUMMYFUNCTION("""COMPUTED_VALUE"""),40.0)</f>
        <v>40</v>
      </c>
      <c r="M535" s="94">
        <f>IFERROR(__xludf.DUMMYFUNCTION("""COMPUTED_VALUE"""),20.0)</f>
        <v>20</v>
      </c>
      <c r="N535" s="94"/>
      <c r="O535" s="1430">
        <f>IFERROR(__xludf.DUMMYFUNCTION("""COMPUTED_VALUE"""),20.0)</f>
        <v>20</v>
      </c>
      <c r="P535" s="1431">
        <f>IFERROR(__xludf.DUMMYFUNCTION("""COMPUTED_VALUE"""),2.7)</f>
        <v>2.7</v>
      </c>
      <c r="Q535" s="1432">
        <f>IFERROR(__xludf.DUMMYFUNCTION("""COMPUTED_VALUE"""),540.0)</f>
        <v>540</v>
      </c>
    </row>
    <row r="536" ht="15.75" customHeight="1">
      <c r="A536" s="94"/>
      <c r="B536" s="94" t="str">
        <f>IFERROR(__xludf.DUMMYFUNCTION("""COMPUTED_VALUE"""),"WS E 1202")</f>
        <v>WS E 1202</v>
      </c>
      <c r="C536" s="1429" t="str">
        <f>IFERROR(__xludf.DUMMYFUNCTION("""COMPUTED_VALUE"""),"WS")</f>
        <v>WS</v>
      </c>
      <c r="D536" s="1432">
        <f>IFERROR(__xludf.DUMMYFUNCTION("""COMPUTED_VALUE"""),7.0)</f>
        <v>7</v>
      </c>
      <c r="E536" s="1429">
        <f>IFERROR(__xludf.DUMMYFUNCTION("""COMPUTED_VALUE"""),45491.0)</f>
        <v>45491</v>
      </c>
      <c r="F536" s="1429">
        <f>IFERROR(__xludf.DUMMYFUNCTION("""COMPUTED_VALUE"""),45493.0)</f>
        <v>45493</v>
      </c>
      <c r="G536" s="1164">
        <f>IFERROR(__xludf.DUMMYFUNCTION("""COMPUTED_VALUE"""),2.0)</f>
        <v>2</v>
      </c>
      <c r="H536" s="1430">
        <f>IFERROR(__xludf.DUMMYFUNCTION("""COMPUTED_VALUE"""),148.0)</f>
        <v>148</v>
      </c>
      <c r="I536" s="94">
        <f>IFERROR(__xludf.DUMMYFUNCTION("""COMPUTED_VALUE"""),0.0)</f>
        <v>0</v>
      </c>
      <c r="J536" s="94"/>
      <c r="K536" s="94">
        <f>IFERROR(__xludf.DUMMYFUNCTION("""COMPUTED_VALUE"""),70.0)</f>
        <v>70</v>
      </c>
      <c r="L536" s="94">
        <f>IFERROR(__xludf.DUMMYFUNCTION("""COMPUTED_VALUE"""),40.0)</f>
        <v>40</v>
      </c>
      <c r="M536" s="94">
        <f>IFERROR(__xludf.DUMMYFUNCTION("""COMPUTED_VALUE"""),30.0)</f>
        <v>30</v>
      </c>
      <c r="N536" s="94"/>
      <c r="O536" s="1430">
        <f>IFERROR(__xludf.DUMMYFUNCTION("""COMPUTED_VALUE"""),30.0)</f>
        <v>30</v>
      </c>
      <c r="P536" s="1431">
        <f>IFERROR(__xludf.DUMMYFUNCTION("""COMPUTED_VALUE"""),2.7)</f>
        <v>2.7</v>
      </c>
      <c r="Q536" s="1432">
        <f>IFERROR(__xludf.DUMMYFUNCTION("""COMPUTED_VALUE"""),399.6)</f>
        <v>399.6</v>
      </c>
    </row>
    <row r="537" ht="15.75" customHeight="1">
      <c r="A537" s="94"/>
      <c r="B537" s="94" t="str">
        <f>IFERROR(__xludf.DUMMYFUNCTION("""COMPUTED_VALUE"""),"WS В 212")</f>
        <v>WS В 212</v>
      </c>
      <c r="C537" s="1429" t="str">
        <f>IFERROR(__xludf.DUMMYFUNCTION("""COMPUTED_VALUE"""),"WS")</f>
        <v>WS</v>
      </c>
      <c r="D537" s="1432">
        <f>IFERROR(__xludf.DUMMYFUNCTION("""COMPUTED_VALUE"""),7.0)</f>
        <v>7</v>
      </c>
      <c r="E537" s="1429">
        <f>IFERROR(__xludf.DUMMYFUNCTION("""COMPUTED_VALUE"""),45491.0)</f>
        <v>45491</v>
      </c>
      <c r="F537" s="1429">
        <f>IFERROR(__xludf.DUMMYFUNCTION("""COMPUTED_VALUE"""),45496.0)</f>
        <v>45496</v>
      </c>
      <c r="G537" s="1164">
        <f>IFERROR(__xludf.DUMMYFUNCTION("""COMPUTED_VALUE"""),5.0)</f>
        <v>5</v>
      </c>
      <c r="H537" s="1430">
        <f>IFERROR(__xludf.DUMMYFUNCTION("""COMPUTED_VALUE"""),591.0)</f>
        <v>591</v>
      </c>
      <c r="I537" s="94">
        <f>IFERROR(__xludf.DUMMYFUNCTION("""COMPUTED_VALUE"""),0.0)</f>
        <v>0</v>
      </c>
      <c r="J537" s="94"/>
      <c r="K537" s="94">
        <f>IFERROR(__xludf.DUMMYFUNCTION("""COMPUTED_VALUE"""),70.0)</f>
        <v>70</v>
      </c>
      <c r="L537" s="94">
        <f>IFERROR(__xludf.DUMMYFUNCTION("""COMPUTED_VALUE"""),40.0)</f>
        <v>40</v>
      </c>
      <c r="M537" s="94">
        <f>IFERROR(__xludf.DUMMYFUNCTION("""COMPUTED_VALUE"""),30.0)</f>
        <v>30</v>
      </c>
      <c r="N537" s="94"/>
      <c r="O537" s="1430">
        <f>IFERROR(__xludf.DUMMYFUNCTION("""COMPUTED_VALUE"""),30.0)</f>
        <v>30</v>
      </c>
      <c r="P537" s="1431">
        <f>IFERROR(__xludf.DUMMYFUNCTION("""COMPUTED_VALUE"""),2.7)</f>
        <v>2.7</v>
      </c>
      <c r="Q537" s="1432">
        <f>IFERROR(__xludf.DUMMYFUNCTION("""COMPUTED_VALUE"""),1595.7)</f>
        <v>1595.7</v>
      </c>
    </row>
    <row r="538" ht="15.75" customHeight="1">
      <c r="A538" s="94"/>
      <c r="B538" s="94" t="str">
        <f>IFERROR(__xludf.DUMMYFUNCTION("""COMPUTED_VALUE"""),"WS A907")</f>
        <v>WS A907</v>
      </c>
      <c r="C538" s="1429" t="str">
        <f>IFERROR(__xludf.DUMMYFUNCTION("""COMPUTED_VALUE"""),"WS")</f>
        <v>WS</v>
      </c>
      <c r="D538" s="1432">
        <f>IFERROR(__xludf.DUMMYFUNCTION("""COMPUTED_VALUE"""),7.0)</f>
        <v>7</v>
      </c>
      <c r="E538" s="1429">
        <f>IFERROR(__xludf.DUMMYFUNCTION("""COMPUTED_VALUE"""),45491.0)</f>
        <v>45491</v>
      </c>
      <c r="F538" s="1429">
        <f>IFERROR(__xludf.DUMMYFUNCTION("""COMPUTED_VALUE"""),45493.0)</f>
        <v>45493</v>
      </c>
      <c r="G538" s="1164">
        <f>IFERROR(__xludf.DUMMYFUNCTION("""COMPUTED_VALUE"""),2.0)</f>
        <v>2</v>
      </c>
      <c r="H538" s="1430">
        <f>IFERROR(__xludf.DUMMYFUNCTION("""COMPUTED_VALUE"""),125.0)</f>
        <v>125</v>
      </c>
      <c r="I538" s="94">
        <f>IFERROR(__xludf.DUMMYFUNCTION("""COMPUTED_VALUE"""),0.0)</f>
        <v>0</v>
      </c>
      <c r="J538" s="94"/>
      <c r="K538" s="94">
        <f>IFERROR(__xludf.DUMMYFUNCTION("""COMPUTED_VALUE"""),60.0)</f>
        <v>60</v>
      </c>
      <c r="L538" s="94">
        <f>IFERROR(__xludf.DUMMYFUNCTION("""COMPUTED_VALUE"""),40.0)</f>
        <v>40</v>
      </c>
      <c r="M538" s="94">
        <f>IFERROR(__xludf.DUMMYFUNCTION("""COMPUTED_VALUE"""),20.0)</f>
        <v>20</v>
      </c>
      <c r="N538" s="94"/>
      <c r="O538" s="1430">
        <f>IFERROR(__xludf.DUMMYFUNCTION("""COMPUTED_VALUE"""),20.0)</f>
        <v>20</v>
      </c>
      <c r="P538" s="1431">
        <f>IFERROR(__xludf.DUMMYFUNCTION("""COMPUTED_VALUE"""),2.7)</f>
        <v>2.7</v>
      </c>
      <c r="Q538" s="1432">
        <f>IFERROR(__xludf.DUMMYFUNCTION("""COMPUTED_VALUE"""),337.5)</f>
        <v>337.5</v>
      </c>
    </row>
    <row r="539" ht="15.75" customHeight="1">
      <c r="A539" s="94"/>
      <c r="B539" s="94" t="str">
        <f>IFERROR(__xludf.DUMMYFUNCTION("""COMPUTED_VALUE"""),"CM 1604")</f>
        <v>CM 1604</v>
      </c>
      <c r="C539" s="1429" t="str">
        <f>IFERROR(__xludf.DUMMYFUNCTION("""COMPUTED_VALUE"""),"MAR")</f>
        <v>MAR</v>
      </c>
      <c r="D539" s="1432">
        <f>IFERROR(__xludf.DUMMYFUNCTION("""COMPUTED_VALUE"""),7.0)</f>
        <v>7</v>
      </c>
      <c r="E539" s="1429">
        <f>IFERROR(__xludf.DUMMYFUNCTION("""COMPUTED_VALUE"""),45492.0)</f>
        <v>45492</v>
      </c>
      <c r="F539" s="1429">
        <f>IFERROR(__xludf.DUMMYFUNCTION("""COMPUTED_VALUE"""),45494.0)</f>
        <v>45494</v>
      </c>
      <c r="G539" s="1164">
        <f>IFERROR(__xludf.DUMMYFUNCTION("""COMPUTED_VALUE"""),2.0)</f>
        <v>2</v>
      </c>
      <c r="H539" s="1430">
        <f>IFERROR(__xludf.DUMMYFUNCTION("""COMPUTED_VALUE"""),184.0)</f>
        <v>184</v>
      </c>
      <c r="I539" s="94">
        <f>IFERROR(__xludf.DUMMYFUNCTION("""COMPUTED_VALUE"""),0.0)</f>
        <v>0</v>
      </c>
      <c r="J539" s="94"/>
      <c r="K539" s="94">
        <f>IFERROR(__xludf.DUMMYFUNCTION("""COMPUTED_VALUE"""),70.0)</f>
        <v>70</v>
      </c>
      <c r="L539" s="94">
        <f>IFERROR(__xludf.DUMMYFUNCTION("""COMPUTED_VALUE"""),40.0)</f>
        <v>40</v>
      </c>
      <c r="M539" s="94">
        <f>IFERROR(__xludf.DUMMYFUNCTION("""COMPUTED_VALUE"""),30.0)</f>
        <v>30</v>
      </c>
      <c r="N539" s="94"/>
      <c r="O539" s="1430">
        <f>IFERROR(__xludf.DUMMYFUNCTION("""COMPUTED_VALUE"""),30.0)</f>
        <v>30</v>
      </c>
      <c r="P539" s="1431">
        <f>IFERROR(__xludf.DUMMYFUNCTION("""COMPUTED_VALUE"""),2.7)</f>
        <v>2.7</v>
      </c>
      <c r="Q539" s="1432">
        <f>IFERROR(__xludf.DUMMYFUNCTION("""COMPUTED_VALUE"""),496.8)</f>
        <v>496.8</v>
      </c>
    </row>
    <row r="540" ht="15.75" customHeight="1">
      <c r="A540" s="94"/>
      <c r="B540" s="94" t="str">
        <f>IFERROR(__xludf.DUMMYFUNCTION("""COMPUTED_VALUE"""),"Вилла Ева")</f>
        <v>Вилла Ева</v>
      </c>
      <c r="C540" s="1429" t="str">
        <f>IFERROR(__xludf.DUMMYFUNCTION("""COMPUTED_VALUE"""),"Other")</f>
        <v>Other</v>
      </c>
      <c r="D540" s="1432">
        <f>IFERROR(__xludf.DUMMYFUNCTION("""COMPUTED_VALUE"""),7.0)</f>
        <v>7</v>
      </c>
      <c r="E540" s="1429">
        <f>IFERROR(__xludf.DUMMYFUNCTION("""COMPUTED_VALUE"""),45492.0)</f>
        <v>45492</v>
      </c>
      <c r="F540" s="1429">
        <f>IFERROR(__xludf.DUMMYFUNCTION("""COMPUTED_VALUE"""),45495.0)</f>
        <v>45495</v>
      </c>
      <c r="G540" s="1164">
        <f>IFERROR(__xludf.DUMMYFUNCTION("""COMPUTED_VALUE"""),3.0)</f>
        <v>3</v>
      </c>
      <c r="H540" s="1430">
        <f>IFERROR(__xludf.DUMMYFUNCTION("""COMPUTED_VALUE"""),810.0)</f>
        <v>810</v>
      </c>
      <c r="I540" s="94">
        <f>IFERROR(__xludf.DUMMYFUNCTION("""COMPUTED_VALUE"""),0.0)</f>
        <v>0</v>
      </c>
      <c r="J540" s="94"/>
      <c r="K540" s="94">
        <f>IFERROR(__xludf.DUMMYFUNCTION("""COMPUTED_VALUE"""),40.0)</f>
        <v>40</v>
      </c>
      <c r="L540" s="94">
        <f>IFERROR(__xludf.DUMMYFUNCTION("""COMPUTED_VALUE"""),40.0)</f>
        <v>40</v>
      </c>
      <c r="M540" s="94">
        <f>IFERROR(__xludf.DUMMYFUNCTION("""COMPUTED_VALUE"""),0.0)</f>
        <v>0</v>
      </c>
      <c r="N540" s="94"/>
      <c r="O540" s="1430">
        <f>IFERROR(__xludf.DUMMYFUNCTION("""COMPUTED_VALUE"""),0.0)</f>
        <v>0</v>
      </c>
      <c r="P540" s="1431">
        <f>IFERROR(__xludf.DUMMYFUNCTION("""COMPUTED_VALUE"""),2.7)</f>
        <v>2.7</v>
      </c>
      <c r="Q540" s="1432">
        <f>IFERROR(__xludf.DUMMYFUNCTION("""COMPUTED_VALUE"""),2187.0)</f>
        <v>2187</v>
      </c>
    </row>
    <row r="541" ht="15.75" customHeight="1">
      <c r="A541" s="94"/>
      <c r="B541" s="94" t="str">
        <f>IFERROR(__xludf.DUMMYFUNCTION("""COMPUTED_VALUE"""),"BV206")</f>
        <v>BV206</v>
      </c>
      <c r="C541" s="1429" t="str">
        <f>IFERROR(__xludf.DUMMYFUNCTION("""COMPUTED_VALUE"""),"Other")</f>
        <v>Other</v>
      </c>
      <c r="D541" s="1432">
        <f>IFERROR(__xludf.DUMMYFUNCTION("""COMPUTED_VALUE"""),7.0)</f>
        <v>7</v>
      </c>
      <c r="E541" s="1429">
        <f>IFERROR(__xludf.DUMMYFUNCTION("""COMPUTED_VALUE"""),45492.0)</f>
        <v>45492</v>
      </c>
      <c r="F541" s="1429">
        <f>IFERROR(__xludf.DUMMYFUNCTION("""COMPUTED_VALUE"""),45495.0)</f>
        <v>45495</v>
      </c>
      <c r="G541" s="1164">
        <f>IFERROR(__xludf.DUMMYFUNCTION("""COMPUTED_VALUE"""),3.0)</f>
        <v>3</v>
      </c>
      <c r="H541" s="1430">
        <f>IFERROR(__xludf.DUMMYFUNCTION("""COMPUTED_VALUE"""),190.0)</f>
        <v>190</v>
      </c>
      <c r="I541" s="94">
        <f>IFERROR(__xludf.DUMMYFUNCTION("""COMPUTED_VALUE"""),0.0)</f>
        <v>0</v>
      </c>
      <c r="J541" s="94"/>
      <c r="K541" s="94">
        <f>IFERROR(__xludf.DUMMYFUNCTION("""COMPUTED_VALUE"""),40.0)</f>
        <v>40</v>
      </c>
      <c r="L541" s="94">
        <f>IFERROR(__xludf.DUMMYFUNCTION("""COMPUTED_VALUE"""),40.0)</f>
        <v>40</v>
      </c>
      <c r="M541" s="94">
        <f>IFERROR(__xludf.DUMMYFUNCTION("""COMPUTED_VALUE"""),0.0)</f>
        <v>0</v>
      </c>
      <c r="N541" s="94"/>
      <c r="O541" s="1430">
        <f>IFERROR(__xludf.DUMMYFUNCTION("""COMPUTED_VALUE"""),0.0)</f>
        <v>0</v>
      </c>
      <c r="P541" s="1431">
        <f>IFERROR(__xludf.DUMMYFUNCTION("""COMPUTED_VALUE"""),2.7)</f>
        <v>2.7</v>
      </c>
      <c r="Q541" s="1432">
        <f>IFERROR(__xludf.DUMMYFUNCTION("""COMPUTED_VALUE"""),513.0)</f>
        <v>513</v>
      </c>
    </row>
    <row r="542" ht="15.75" customHeight="1">
      <c r="A542" s="94"/>
      <c r="B542" s="94" t="str">
        <f>IFERROR(__xludf.DUMMYFUNCTION("""COMPUTED_VALUE"""),"WS В 1510")</f>
        <v>WS В 1510</v>
      </c>
      <c r="C542" s="1429" t="str">
        <f>IFERROR(__xludf.DUMMYFUNCTION("""COMPUTED_VALUE"""),"WS")</f>
        <v>WS</v>
      </c>
      <c r="D542" s="1432">
        <f>IFERROR(__xludf.DUMMYFUNCTION("""COMPUTED_VALUE"""),7.0)</f>
        <v>7</v>
      </c>
      <c r="E542" s="1429">
        <f>IFERROR(__xludf.DUMMYFUNCTION("""COMPUTED_VALUE"""),45492.0)</f>
        <v>45492</v>
      </c>
      <c r="F542" s="1429">
        <f>IFERROR(__xludf.DUMMYFUNCTION("""COMPUTED_VALUE"""),45498.0)</f>
        <v>45498</v>
      </c>
      <c r="G542" s="1164">
        <f>IFERROR(__xludf.DUMMYFUNCTION("""COMPUTED_VALUE"""),6.0)</f>
        <v>6</v>
      </c>
      <c r="H542" s="1430">
        <f>IFERROR(__xludf.DUMMYFUNCTION("""COMPUTED_VALUE"""),390.0)</f>
        <v>390</v>
      </c>
      <c r="I542" s="94">
        <f>IFERROR(__xludf.DUMMYFUNCTION("""COMPUTED_VALUE"""),0.0)</f>
        <v>0</v>
      </c>
      <c r="J542" s="94"/>
      <c r="K542" s="94">
        <f>IFERROR(__xludf.DUMMYFUNCTION("""COMPUTED_VALUE"""),60.0)</f>
        <v>60</v>
      </c>
      <c r="L542" s="94">
        <f>IFERROR(__xludf.DUMMYFUNCTION("""COMPUTED_VALUE"""),40.0)</f>
        <v>40</v>
      </c>
      <c r="M542" s="94">
        <f>IFERROR(__xludf.DUMMYFUNCTION("""COMPUTED_VALUE"""),20.0)</f>
        <v>20</v>
      </c>
      <c r="N542" s="94"/>
      <c r="O542" s="1430">
        <f>IFERROR(__xludf.DUMMYFUNCTION("""COMPUTED_VALUE"""),20.0)</f>
        <v>20</v>
      </c>
      <c r="P542" s="1431">
        <f>IFERROR(__xludf.DUMMYFUNCTION("""COMPUTED_VALUE"""),2.7)</f>
        <v>2.7</v>
      </c>
      <c r="Q542" s="1432">
        <f>IFERROR(__xludf.DUMMYFUNCTION("""COMPUTED_VALUE"""),1053.0)</f>
        <v>1053</v>
      </c>
    </row>
    <row r="543" ht="15.75" customHeight="1">
      <c r="A543" s="94"/>
      <c r="B543" s="94" t="str">
        <f>IFERROR(__xludf.DUMMYFUNCTION("""COMPUTED_VALUE"""),"DL 14-1214")</f>
        <v>DL 14-1214</v>
      </c>
      <c r="C543" s="1429" t="str">
        <f>IFERROR(__xludf.DUMMYFUNCTION("""COMPUTED_VALUE"""),"DL")</f>
        <v>DL</v>
      </c>
      <c r="D543" s="1432">
        <f>IFERROR(__xludf.DUMMYFUNCTION("""COMPUTED_VALUE"""),7.0)</f>
        <v>7</v>
      </c>
      <c r="E543" s="1429">
        <f>IFERROR(__xludf.DUMMYFUNCTION("""COMPUTED_VALUE"""),45492.0)</f>
        <v>45492</v>
      </c>
      <c r="F543" s="1429">
        <f>IFERROR(__xludf.DUMMYFUNCTION("""COMPUTED_VALUE"""),45495.0)</f>
        <v>45495</v>
      </c>
      <c r="G543" s="1164">
        <f>IFERROR(__xludf.DUMMYFUNCTION("""COMPUTED_VALUE"""),3.0)</f>
        <v>3</v>
      </c>
      <c r="H543" s="94"/>
      <c r="I543" s="94">
        <f>IFERROR(__xludf.DUMMYFUNCTION("""COMPUTED_VALUE"""),892.0)</f>
        <v>892</v>
      </c>
      <c r="J543" s="94"/>
      <c r="K543" s="94">
        <f>IFERROR(__xludf.DUMMYFUNCTION("""COMPUTED_VALUE"""),40.0)</f>
        <v>40</v>
      </c>
      <c r="L543" s="94">
        <f>IFERROR(__xludf.DUMMYFUNCTION("""COMPUTED_VALUE"""),40.0)</f>
        <v>40</v>
      </c>
      <c r="M543" s="94">
        <f>IFERROR(__xludf.DUMMYFUNCTION("""COMPUTED_VALUE"""),0.0)</f>
        <v>0</v>
      </c>
      <c r="N543" s="94"/>
      <c r="O543" s="1430">
        <f>IFERROR(__xludf.DUMMYFUNCTION("""COMPUTED_VALUE"""),0.0)</f>
        <v>0</v>
      </c>
      <c r="P543" s="1431">
        <f>IFERROR(__xludf.DUMMYFUNCTION("""COMPUTED_VALUE"""),2.7)</f>
        <v>2.7</v>
      </c>
      <c r="Q543" s="1432">
        <f>IFERROR(__xludf.DUMMYFUNCTION("""COMPUTED_VALUE"""),892.0)</f>
        <v>892</v>
      </c>
    </row>
    <row r="544" ht="15.75" customHeight="1">
      <c r="A544" s="94"/>
      <c r="B544" s="94" t="str">
        <f>IFERROR(__xludf.DUMMYFUNCTION("""COMPUTED_VALUE"""),"D 1321")</f>
        <v>D 1321</v>
      </c>
      <c r="C544" s="1429" t="str">
        <f>IFERROR(__xludf.DUMMYFUNCTION("""COMPUTED_VALUE"""),"ORBI")</f>
        <v>ORBI</v>
      </c>
      <c r="D544" s="1432">
        <f>IFERROR(__xludf.DUMMYFUNCTION("""COMPUTED_VALUE"""),7.0)</f>
        <v>7</v>
      </c>
      <c r="E544" s="1429">
        <f>IFERROR(__xludf.DUMMYFUNCTION("""COMPUTED_VALUE"""),45492.0)</f>
        <v>45492</v>
      </c>
      <c r="F544" s="1429">
        <f>IFERROR(__xludf.DUMMYFUNCTION("""COMPUTED_VALUE"""),45494.0)</f>
        <v>45494</v>
      </c>
      <c r="G544" s="1164">
        <f>IFERROR(__xludf.DUMMYFUNCTION("""COMPUTED_VALUE"""),2.0)</f>
        <v>2</v>
      </c>
      <c r="H544" s="1430">
        <f>IFERROR(__xludf.DUMMYFUNCTION("""COMPUTED_VALUE"""),96.0)</f>
        <v>96</v>
      </c>
      <c r="I544" s="94">
        <f>IFERROR(__xludf.DUMMYFUNCTION("""COMPUTED_VALUE"""),0.0)</f>
        <v>0</v>
      </c>
      <c r="J544" s="94"/>
      <c r="K544" s="94">
        <f>IFERROR(__xludf.DUMMYFUNCTION("""COMPUTED_VALUE"""),50.0)</f>
        <v>50</v>
      </c>
      <c r="L544" s="94">
        <f>IFERROR(__xludf.DUMMYFUNCTION("""COMPUTED_VALUE"""),40.0)</f>
        <v>40</v>
      </c>
      <c r="M544" s="94">
        <f>IFERROR(__xludf.DUMMYFUNCTION("""COMPUTED_VALUE"""),10.0)</f>
        <v>10</v>
      </c>
      <c r="N544" s="94"/>
      <c r="O544" s="1430">
        <f>IFERROR(__xludf.DUMMYFUNCTION("""COMPUTED_VALUE"""),10.0)</f>
        <v>10</v>
      </c>
      <c r="P544" s="1431">
        <f>IFERROR(__xludf.DUMMYFUNCTION("""COMPUTED_VALUE"""),2.7)</f>
        <v>2.7</v>
      </c>
      <c r="Q544" s="1432">
        <f>IFERROR(__xludf.DUMMYFUNCTION("""COMPUTED_VALUE"""),259.20000000000005)</f>
        <v>259.2</v>
      </c>
    </row>
    <row r="545" ht="15.75" customHeight="1">
      <c r="A545" s="94"/>
      <c r="B545" s="94" t="str">
        <f>IFERROR(__xludf.DUMMYFUNCTION("""COMPUTED_VALUE"""),"Шар 2505")</f>
        <v>Шар 2505</v>
      </c>
      <c r="C545" s="1429" t="str">
        <f>IFERROR(__xludf.DUMMYFUNCTION("""COMPUTED_VALUE"""),"Other")</f>
        <v>Other</v>
      </c>
      <c r="D545" s="1432">
        <f>IFERROR(__xludf.DUMMYFUNCTION("""COMPUTED_VALUE"""),7.0)</f>
        <v>7</v>
      </c>
      <c r="E545" s="1429">
        <f>IFERROR(__xludf.DUMMYFUNCTION("""COMPUTED_VALUE"""),45492.0)</f>
        <v>45492</v>
      </c>
      <c r="F545" s="1429">
        <f>IFERROR(__xludf.DUMMYFUNCTION("""COMPUTED_VALUE"""),45496.0)</f>
        <v>45496</v>
      </c>
      <c r="G545" s="1164">
        <f>IFERROR(__xludf.DUMMYFUNCTION("""COMPUTED_VALUE"""),4.0)</f>
        <v>4</v>
      </c>
      <c r="H545" s="1430">
        <f>IFERROR(__xludf.DUMMYFUNCTION("""COMPUTED_VALUE"""),195.0)</f>
        <v>195</v>
      </c>
      <c r="I545" s="94">
        <f>IFERROR(__xludf.DUMMYFUNCTION("""COMPUTED_VALUE"""),0.0)</f>
        <v>0</v>
      </c>
      <c r="J545" s="94"/>
      <c r="K545" s="94">
        <f>IFERROR(__xludf.DUMMYFUNCTION("""COMPUTED_VALUE"""),60.0)</f>
        <v>60</v>
      </c>
      <c r="L545" s="94">
        <f>IFERROR(__xludf.DUMMYFUNCTION("""COMPUTED_VALUE"""),40.0)</f>
        <v>40</v>
      </c>
      <c r="M545" s="94">
        <f>IFERROR(__xludf.DUMMYFUNCTION("""COMPUTED_VALUE"""),20.0)</f>
        <v>20</v>
      </c>
      <c r="N545" s="94"/>
      <c r="O545" s="1430">
        <f>IFERROR(__xludf.DUMMYFUNCTION("""COMPUTED_VALUE"""),20.0)</f>
        <v>20</v>
      </c>
      <c r="P545" s="1431">
        <f>IFERROR(__xludf.DUMMYFUNCTION("""COMPUTED_VALUE"""),2.7)</f>
        <v>2.7</v>
      </c>
      <c r="Q545" s="1432">
        <f>IFERROR(__xludf.DUMMYFUNCTION("""COMPUTED_VALUE"""),526.5)</f>
        <v>526.5</v>
      </c>
    </row>
    <row r="546" ht="15.75" customHeight="1">
      <c r="A546" s="94"/>
      <c r="B546" s="94" t="str">
        <f>IFERROR(__xludf.DUMMYFUNCTION("""COMPUTED_VALUE"""),"WS A 608")</f>
        <v>WS A 608</v>
      </c>
      <c r="C546" s="1429" t="str">
        <f>IFERROR(__xludf.DUMMYFUNCTION("""COMPUTED_VALUE"""),"WS")</f>
        <v>WS</v>
      </c>
      <c r="D546" s="1432">
        <f>IFERROR(__xludf.DUMMYFUNCTION("""COMPUTED_VALUE"""),7.0)</f>
        <v>7</v>
      </c>
      <c r="E546" s="1429">
        <f>IFERROR(__xludf.DUMMYFUNCTION("""COMPUTED_VALUE"""),45493.0)</f>
        <v>45493</v>
      </c>
      <c r="F546" s="1429">
        <f>IFERROR(__xludf.DUMMYFUNCTION("""COMPUTED_VALUE"""),45495.0)</f>
        <v>45495</v>
      </c>
      <c r="G546" s="1164">
        <f>IFERROR(__xludf.DUMMYFUNCTION("""COMPUTED_VALUE"""),2.0)</f>
        <v>2</v>
      </c>
      <c r="H546" s="1430">
        <f>IFERROR(__xludf.DUMMYFUNCTION("""COMPUTED_VALUE"""),105.0)</f>
        <v>105</v>
      </c>
      <c r="I546" s="94">
        <f>IFERROR(__xludf.DUMMYFUNCTION("""COMPUTED_VALUE"""),0.0)</f>
        <v>0</v>
      </c>
      <c r="J546" s="94"/>
      <c r="K546" s="94">
        <f>IFERROR(__xludf.DUMMYFUNCTION("""COMPUTED_VALUE"""),60.0)</f>
        <v>60</v>
      </c>
      <c r="L546" s="94">
        <f>IFERROR(__xludf.DUMMYFUNCTION("""COMPUTED_VALUE"""),40.0)</f>
        <v>40</v>
      </c>
      <c r="M546" s="94">
        <f>IFERROR(__xludf.DUMMYFUNCTION("""COMPUTED_VALUE"""),20.0)</f>
        <v>20</v>
      </c>
      <c r="N546" s="94"/>
      <c r="O546" s="1430">
        <f>IFERROR(__xludf.DUMMYFUNCTION("""COMPUTED_VALUE"""),20.0)</f>
        <v>20</v>
      </c>
      <c r="P546" s="1431">
        <f>IFERROR(__xludf.DUMMYFUNCTION("""COMPUTED_VALUE"""),2.7)</f>
        <v>2.7</v>
      </c>
      <c r="Q546" s="1432">
        <f>IFERROR(__xludf.DUMMYFUNCTION("""COMPUTED_VALUE"""),283.5)</f>
        <v>283.5</v>
      </c>
    </row>
    <row r="547" ht="15.75" customHeight="1">
      <c r="A547" s="94"/>
      <c r="B547" s="94" t="str">
        <f>IFERROR(__xludf.DUMMYFUNCTION("""COMPUTED_VALUE"""),"WS В 503")</f>
        <v>WS В 503</v>
      </c>
      <c r="C547" s="1429" t="str">
        <f>IFERROR(__xludf.DUMMYFUNCTION("""COMPUTED_VALUE"""),"WS")</f>
        <v>WS</v>
      </c>
      <c r="D547" s="1432">
        <f>IFERROR(__xludf.DUMMYFUNCTION("""COMPUTED_VALUE"""),7.0)</f>
        <v>7</v>
      </c>
      <c r="E547" s="1429">
        <f>IFERROR(__xludf.DUMMYFUNCTION("""COMPUTED_VALUE"""),45493.0)</f>
        <v>45493</v>
      </c>
      <c r="F547" s="1429">
        <f>IFERROR(__xludf.DUMMYFUNCTION("""COMPUTED_VALUE"""),45498.0)</f>
        <v>45498</v>
      </c>
      <c r="G547" s="1164">
        <f>IFERROR(__xludf.DUMMYFUNCTION("""COMPUTED_VALUE"""),5.0)</f>
        <v>5</v>
      </c>
      <c r="H547" s="1430">
        <f>IFERROR(__xludf.DUMMYFUNCTION("""COMPUTED_VALUE"""),480.0)</f>
        <v>480</v>
      </c>
      <c r="I547" s="94">
        <f>IFERROR(__xludf.DUMMYFUNCTION("""COMPUTED_VALUE"""),0.0)</f>
        <v>0</v>
      </c>
      <c r="J547" s="94"/>
      <c r="K547" s="94">
        <f>IFERROR(__xludf.DUMMYFUNCTION("""COMPUTED_VALUE"""),70.0)</f>
        <v>70</v>
      </c>
      <c r="L547" s="94">
        <f>IFERROR(__xludf.DUMMYFUNCTION("""COMPUTED_VALUE"""),40.0)</f>
        <v>40</v>
      </c>
      <c r="M547" s="94">
        <f>IFERROR(__xludf.DUMMYFUNCTION("""COMPUTED_VALUE"""),30.0)</f>
        <v>30</v>
      </c>
      <c r="N547" s="94"/>
      <c r="O547" s="1430">
        <f>IFERROR(__xludf.DUMMYFUNCTION("""COMPUTED_VALUE"""),30.0)</f>
        <v>30</v>
      </c>
      <c r="P547" s="1431">
        <f>IFERROR(__xludf.DUMMYFUNCTION("""COMPUTED_VALUE"""),2.7)</f>
        <v>2.7</v>
      </c>
      <c r="Q547" s="1432">
        <f>IFERROR(__xludf.DUMMYFUNCTION("""COMPUTED_VALUE"""),1296.0)</f>
        <v>1296</v>
      </c>
    </row>
    <row r="548" ht="15.75" customHeight="1">
      <c r="A548" s="94"/>
      <c r="B548" s="94" t="str">
        <f>IFERROR(__xludf.DUMMYFUNCTION("""COMPUTED_VALUE"""),"С 1125")</f>
        <v>С 1125</v>
      </c>
      <c r="C548" s="1429" t="str">
        <f>IFERROR(__xludf.DUMMYFUNCTION("""COMPUTED_VALUE"""),"ORBI")</f>
        <v>ORBI</v>
      </c>
      <c r="D548" s="1432">
        <f>IFERROR(__xludf.DUMMYFUNCTION("""COMPUTED_VALUE"""),7.0)</f>
        <v>7</v>
      </c>
      <c r="E548" s="1429">
        <f>IFERROR(__xludf.DUMMYFUNCTION("""COMPUTED_VALUE"""),45493.0)</f>
        <v>45493</v>
      </c>
      <c r="F548" s="1429">
        <f>IFERROR(__xludf.DUMMYFUNCTION("""COMPUTED_VALUE"""),45498.0)</f>
        <v>45498</v>
      </c>
      <c r="G548" s="1164">
        <f>IFERROR(__xludf.DUMMYFUNCTION("""COMPUTED_VALUE"""),5.0)</f>
        <v>5</v>
      </c>
      <c r="H548" s="1430">
        <f>IFERROR(__xludf.DUMMYFUNCTION("""COMPUTED_VALUE"""),230.0)</f>
        <v>230</v>
      </c>
      <c r="I548" s="94">
        <f>IFERROR(__xludf.DUMMYFUNCTION("""COMPUTED_VALUE"""),0.0)</f>
        <v>0</v>
      </c>
      <c r="J548" s="94"/>
      <c r="K548" s="94">
        <f>IFERROR(__xludf.DUMMYFUNCTION("""COMPUTED_VALUE"""),50.0)</f>
        <v>50</v>
      </c>
      <c r="L548" s="94">
        <f>IFERROR(__xludf.DUMMYFUNCTION("""COMPUTED_VALUE"""),40.0)</f>
        <v>40</v>
      </c>
      <c r="M548" s="94">
        <f>IFERROR(__xludf.DUMMYFUNCTION("""COMPUTED_VALUE"""),10.0)</f>
        <v>10</v>
      </c>
      <c r="N548" s="94"/>
      <c r="O548" s="1430">
        <f>IFERROR(__xludf.DUMMYFUNCTION("""COMPUTED_VALUE"""),10.0)</f>
        <v>10</v>
      </c>
      <c r="P548" s="1431">
        <f>IFERROR(__xludf.DUMMYFUNCTION("""COMPUTED_VALUE"""),2.7)</f>
        <v>2.7</v>
      </c>
      <c r="Q548" s="1432">
        <f>IFERROR(__xludf.DUMMYFUNCTION("""COMPUTED_VALUE"""),621.0)</f>
        <v>621</v>
      </c>
    </row>
    <row r="549" ht="15.75" customHeight="1">
      <c r="A549" s="94"/>
      <c r="B549" s="94" t="str">
        <f>IFERROR(__xludf.DUMMYFUNCTION("""COMPUTED_VALUE"""),"WS E 1202")</f>
        <v>WS E 1202</v>
      </c>
      <c r="C549" s="1429" t="str">
        <f>IFERROR(__xludf.DUMMYFUNCTION("""COMPUTED_VALUE"""),"WS")</f>
        <v>WS</v>
      </c>
      <c r="D549" s="1432">
        <f>IFERROR(__xludf.DUMMYFUNCTION("""COMPUTED_VALUE"""),7.0)</f>
        <v>7</v>
      </c>
      <c r="E549" s="1429">
        <f>IFERROR(__xludf.DUMMYFUNCTION("""COMPUTED_VALUE"""),45493.0)</f>
        <v>45493</v>
      </c>
      <c r="F549" s="1429">
        <f>IFERROR(__xludf.DUMMYFUNCTION("""COMPUTED_VALUE"""),45499.0)</f>
        <v>45499</v>
      </c>
      <c r="G549" s="1164">
        <f>IFERROR(__xludf.DUMMYFUNCTION("""COMPUTED_VALUE"""),6.0)</f>
        <v>6</v>
      </c>
      <c r="H549" s="94"/>
      <c r="I549" s="94">
        <f>IFERROR(__xludf.DUMMYFUNCTION("""COMPUTED_VALUE"""),1708.0)</f>
        <v>1708</v>
      </c>
      <c r="J549" s="94"/>
      <c r="K549" s="94">
        <f>IFERROR(__xludf.DUMMYFUNCTION("""COMPUTED_VALUE"""),70.0)</f>
        <v>70</v>
      </c>
      <c r="L549" s="94">
        <f>IFERROR(__xludf.DUMMYFUNCTION("""COMPUTED_VALUE"""),40.0)</f>
        <v>40</v>
      </c>
      <c r="M549" s="94">
        <f>IFERROR(__xludf.DUMMYFUNCTION("""COMPUTED_VALUE"""),30.0)</f>
        <v>30</v>
      </c>
      <c r="N549" s="94"/>
      <c r="O549" s="1430">
        <f>IFERROR(__xludf.DUMMYFUNCTION("""COMPUTED_VALUE"""),30.0)</f>
        <v>30</v>
      </c>
      <c r="P549" s="1431">
        <f>IFERROR(__xludf.DUMMYFUNCTION("""COMPUTED_VALUE"""),2.7)</f>
        <v>2.7</v>
      </c>
      <c r="Q549" s="1432">
        <f>IFERROR(__xludf.DUMMYFUNCTION("""COMPUTED_VALUE"""),1708.0)</f>
        <v>1708</v>
      </c>
    </row>
    <row r="550" ht="15.75" customHeight="1">
      <c r="A550" s="94"/>
      <c r="B550" s="94" t="str">
        <f>IFERROR(__xludf.DUMMYFUNCTION("""COMPUTED_VALUE"""),"WS Е804")</f>
        <v>WS Е804</v>
      </c>
      <c r="C550" s="94" t="str">
        <f>IFERROR(__xludf.DUMMYFUNCTION("""COMPUTED_VALUE"""),"WS")</f>
        <v>WS</v>
      </c>
      <c r="D550" s="1432">
        <f>IFERROR(__xludf.DUMMYFUNCTION("""COMPUTED_VALUE"""),7.0)</f>
        <v>7</v>
      </c>
      <c r="E550" s="1429">
        <f>IFERROR(__xludf.DUMMYFUNCTION("""COMPUTED_VALUE"""),45493.0)</f>
        <v>45493</v>
      </c>
      <c r="F550" s="1429">
        <f>IFERROR(__xludf.DUMMYFUNCTION("""COMPUTED_VALUE"""),45501.0)</f>
        <v>45501</v>
      </c>
      <c r="G550" s="1164">
        <f>IFERROR(__xludf.DUMMYFUNCTION("""COMPUTED_VALUE"""),8.0)</f>
        <v>8</v>
      </c>
      <c r="H550" s="94"/>
      <c r="I550" s="94">
        <f>IFERROR(__xludf.DUMMYFUNCTION("""COMPUTED_VALUE"""),1417.0)</f>
        <v>1417</v>
      </c>
      <c r="J550" s="94"/>
      <c r="K550" s="94">
        <f>IFERROR(__xludf.DUMMYFUNCTION("""COMPUTED_VALUE"""),40.0)</f>
        <v>40</v>
      </c>
      <c r="L550" s="94">
        <f>IFERROR(__xludf.DUMMYFUNCTION("""COMPUTED_VALUE"""),40.0)</f>
        <v>40</v>
      </c>
      <c r="M550" s="94">
        <f>IFERROR(__xludf.DUMMYFUNCTION("""COMPUTED_VALUE"""),0.0)</f>
        <v>0</v>
      </c>
      <c r="N550" s="94"/>
      <c r="O550" s="1430">
        <f>IFERROR(__xludf.DUMMYFUNCTION("""COMPUTED_VALUE"""),0.0)</f>
        <v>0</v>
      </c>
      <c r="P550" s="1431">
        <f>IFERROR(__xludf.DUMMYFUNCTION("""COMPUTED_VALUE"""),2.7)</f>
        <v>2.7</v>
      </c>
      <c r="Q550" s="1432">
        <f>IFERROR(__xludf.DUMMYFUNCTION("""COMPUTED_VALUE"""),1417.0)</f>
        <v>1417</v>
      </c>
    </row>
    <row r="551" ht="15.75" customHeight="1">
      <c r="A551" s="94"/>
      <c r="B551" s="94" t="str">
        <f>IFERROR(__xludf.DUMMYFUNCTION("""COMPUTED_VALUE"""),"WS E704")</f>
        <v>WS E704</v>
      </c>
      <c r="C551" s="1429" t="str">
        <f>IFERROR(__xludf.DUMMYFUNCTION("""COMPUTED_VALUE"""),"WS")</f>
        <v>WS</v>
      </c>
      <c r="D551" s="1432">
        <f>IFERROR(__xludf.DUMMYFUNCTION("""COMPUTED_VALUE"""),7.0)</f>
        <v>7</v>
      </c>
      <c r="E551" s="1429">
        <f>IFERROR(__xludf.DUMMYFUNCTION("""COMPUTED_VALUE"""),45493.0)</f>
        <v>45493</v>
      </c>
      <c r="F551" s="1429">
        <f>IFERROR(__xludf.DUMMYFUNCTION("""COMPUTED_VALUE"""),45501.0)</f>
        <v>45501</v>
      </c>
      <c r="G551" s="1164">
        <f>IFERROR(__xludf.DUMMYFUNCTION("""COMPUTED_VALUE"""),8.0)</f>
        <v>8</v>
      </c>
      <c r="H551" s="94"/>
      <c r="I551" s="94">
        <f>IFERROR(__xludf.DUMMYFUNCTION("""COMPUTED_VALUE"""),1417.0)</f>
        <v>1417</v>
      </c>
      <c r="J551" s="94"/>
      <c r="K551" s="94">
        <f>IFERROR(__xludf.DUMMYFUNCTION("""COMPUTED_VALUE"""),40.0)</f>
        <v>40</v>
      </c>
      <c r="L551" s="94">
        <f>IFERROR(__xludf.DUMMYFUNCTION("""COMPUTED_VALUE"""),40.0)</f>
        <v>40</v>
      </c>
      <c r="M551" s="94">
        <f>IFERROR(__xludf.DUMMYFUNCTION("""COMPUTED_VALUE"""),0.0)</f>
        <v>0</v>
      </c>
      <c r="N551" s="94"/>
      <c r="O551" s="1430">
        <f>IFERROR(__xludf.DUMMYFUNCTION("""COMPUTED_VALUE"""),0.0)</f>
        <v>0</v>
      </c>
      <c r="P551" s="1431">
        <f>IFERROR(__xludf.DUMMYFUNCTION("""COMPUTED_VALUE"""),2.7)</f>
        <v>2.7</v>
      </c>
      <c r="Q551" s="1432">
        <f>IFERROR(__xludf.DUMMYFUNCTION("""COMPUTED_VALUE"""),1417.0)</f>
        <v>1417</v>
      </c>
    </row>
    <row r="552" ht="15.75" customHeight="1">
      <c r="A552" s="94"/>
      <c r="B552" s="94" t="str">
        <f>IFERROR(__xludf.DUMMYFUNCTION("""COMPUTED_VALUE"""),"WS A 409")</f>
        <v>WS A 409</v>
      </c>
      <c r="C552" s="1429" t="str">
        <f>IFERROR(__xludf.DUMMYFUNCTION("""COMPUTED_VALUE"""),"WS")</f>
        <v>WS</v>
      </c>
      <c r="D552" s="1432">
        <f>IFERROR(__xludf.DUMMYFUNCTION("""COMPUTED_VALUE"""),7.0)</f>
        <v>7</v>
      </c>
      <c r="E552" s="1429">
        <f>IFERROR(__xludf.DUMMYFUNCTION("""COMPUTED_VALUE"""),45493.0)</f>
        <v>45493</v>
      </c>
      <c r="F552" s="1429">
        <f>IFERROR(__xludf.DUMMYFUNCTION("""COMPUTED_VALUE"""),45497.0)</f>
        <v>45497</v>
      </c>
      <c r="G552" s="1164">
        <f>IFERROR(__xludf.DUMMYFUNCTION("""COMPUTED_VALUE"""),4.0)</f>
        <v>4</v>
      </c>
      <c r="H552" s="1430">
        <f>IFERROR(__xludf.DUMMYFUNCTION("""COMPUTED_VALUE"""),195.0)</f>
        <v>195</v>
      </c>
      <c r="I552" s="94">
        <f>IFERROR(__xludf.DUMMYFUNCTION("""COMPUTED_VALUE"""),0.0)</f>
        <v>0</v>
      </c>
      <c r="J552" s="94"/>
      <c r="K552" s="94">
        <f>IFERROR(__xludf.DUMMYFUNCTION("""COMPUTED_VALUE"""),60.0)</f>
        <v>60</v>
      </c>
      <c r="L552" s="94">
        <f>IFERROR(__xludf.DUMMYFUNCTION("""COMPUTED_VALUE"""),40.0)</f>
        <v>40</v>
      </c>
      <c r="M552" s="94">
        <f>IFERROR(__xludf.DUMMYFUNCTION("""COMPUTED_VALUE"""),20.0)</f>
        <v>20</v>
      </c>
      <c r="N552" s="94"/>
      <c r="O552" s="1430">
        <f>IFERROR(__xludf.DUMMYFUNCTION("""COMPUTED_VALUE"""),20.0)</f>
        <v>20</v>
      </c>
      <c r="P552" s="1431">
        <f>IFERROR(__xludf.DUMMYFUNCTION("""COMPUTED_VALUE"""),2.7)</f>
        <v>2.7</v>
      </c>
      <c r="Q552" s="1432">
        <f>IFERROR(__xludf.DUMMYFUNCTION("""COMPUTED_VALUE"""),526.5)</f>
        <v>526.5</v>
      </c>
    </row>
    <row r="553" ht="15.75" customHeight="1">
      <c r="A553" s="94"/>
      <c r="B553" s="94" t="str">
        <f>IFERROR(__xludf.DUMMYFUNCTION("""COMPUTED_VALUE"""),"DL 11-1305")</f>
        <v>DL 11-1305</v>
      </c>
      <c r="C553" s="1429" t="str">
        <f>IFERROR(__xludf.DUMMYFUNCTION("""COMPUTED_VALUE"""),"DL")</f>
        <v>DL</v>
      </c>
      <c r="D553" s="1432">
        <f>IFERROR(__xludf.DUMMYFUNCTION("""COMPUTED_VALUE"""),7.0)</f>
        <v>7</v>
      </c>
      <c r="E553" s="1429">
        <f>IFERROR(__xludf.DUMMYFUNCTION("""COMPUTED_VALUE"""),45493.0)</f>
        <v>45493</v>
      </c>
      <c r="F553" s="1429">
        <f>IFERROR(__xludf.DUMMYFUNCTION("""COMPUTED_VALUE"""),45496.0)</f>
        <v>45496</v>
      </c>
      <c r="G553" s="1164">
        <f>IFERROR(__xludf.DUMMYFUNCTION("""COMPUTED_VALUE"""),3.0)</f>
        <v>3</v>
      </c>
      <c r="H553" s="1430">
        <f>IFERROR(__xludf.DUMMYFUNCTION("""COMPUTED_VALUE"""),315.0)</f>
        <v>315</v>
      </c>
      <c r="I553" s="94">
        <f>IFERROR(__xludf.DUMMYFUNCTION("""COMPUTED_VALUE"""),0.0)</f>
        <v>0</v>
      </c>
      <c r="J553" s="94"/>
      <c r="K553" s="94">
        <f>IFERROR(__xludf.DUMMYFUNCTION("""COMPUTED_VALUE"""),40.0)</f>
        <v>40</v>
      </c>
      <c r="L553" s="94">
        <f>IFERROR(__xludf.DUMMYFUNCTION("""COMPUTED_VALUE"""),40.0)</f>
        <v>40</v>
      </c>
      <c r="M553" s="94">
        <f>IFERROR(__xludf.DUMMYFUNCTION("""COMPUTED_VALUE"""),0.0)</f>
        <v>0</v>
      </c>
      <c r="N553" s="94"/>
      <c r="O553" s="1430">
        <f>IFERROR(__xludf.DUMMYFUNCTION("""COMPUTED_VALUE"""),0.0)</f>
        <v>0</v>
      </c>
      <c r="P553" s="1431">
        <f>IFERROR(__xludf.DUMMYFUNCTION("""COMPUTED_VALUE"""),2.7)</f>
        <v>2.7</v>
      </c>
      <c r="Q553" s="1432">
        <f>IFERROR(__xludf.DUMMYFUNCTION("""COMPUTED_VALUE"""),850.5)</f>
        <v>850.5</v>
      </c>
    </row>
    <row r="554" ht="15.75" customHeight="1">
      <c r="A554" s="94"/>
      <c r="B554" s="94" t="str">
        <f>IFERROR(__xludf.DUMMYFUNCTION("""COMPUTED_VALUE"""),"D 1321")</f>
        <v>D 1321</v>
      </c>
      <c r="C554" s="1429" t="str">
        <f>IFERROR(__xludf.DUMMYFUNCTION("""COMPUTED_VALUE"""),"ORBI")</f>
        <v>ORBI</v>
      </c>
      <c r="D554" s="1432">
        <f>IFERROR(__xludf.DUMMYFUNCTION("""COMPUTED_VALUE"""),7.0)</f>
        <v>7</v>
      </c>
      <c r="E554" s="1429">
        <f>IFERROR(__xludf.DUMMYFUNCTION("""COMPUTED_VALUE"""),45494.0)</f>
        <v>45494</v>
      </c>
      <c r="F554" s="1429">
        <f>IFERROR(__xludf.DUMMYFUNCTION("""COMPUTED_VALUE"""),45498.0)</f>
        <v>45498</v>
      </c>
      <c r="G554" s="1164">
        <f>IFERROR(__xludf.DUMMYFUNCTION("""COMPUTED_VALUE"""),4.0)</f>
        <v>4</v>
      </c>
      <c r="H554" s="1430">
        <f>IFERROR(__xludf.DUMMYFUNCTION("""COMPUTED_VALUE"""),143.0)</f>
        <v>143</v>
      </c>
      <c r="I554" s="94">
        <f>IFERROR(__xludf.DUMMYFUNCTION("""COMPUTED_VALUE"""),0.0)</f>
        <v>0</v>
      </c>
      <c r="J554" s="94"/>
      <c r="K554" s="94">
        <f>IFERROR(__xludf.DUMMYFUNCTION("""COMPUTED_VALUE"""),50.0)</f>
        <v>50</v>
      </c>
      <c r="L554" s="94">
        <f>IFERROR(__xludf.DUMMYFUNCTION("""COMPUTED_VALUE"""),40.0)</f>
        <v>40</v>
      </c>
      <c r="M554" s="94">
        <f>IFERROR(__xludf.DUMMYFUNCTION("""COMPUTED_VALUE"""),10.0)</f>
        <v>10</v>
      </c>
      <c r="N554" s="94"/>
      <c r="O554" s="1430">
        <f>IFERROR(__xludf.DUMMYFUNCTION("""COMPUTED_VALUE"""),10.0)</f>
        <v>10</v>
      </c>
      <c r="P554" s="1431">
        <f>IFERROR(__xludf.DUMMYFUNCTION("""COMPUTED_VALUE"""),2.7)</f>
        <v>2.7</v>
      </c>
      <c r="Q554" s="1432">
        <f>IFERROR(__xludf.DUMMYFUNCTION("""COMPUTED_VALUE"""),386.1)</f>
        <v>386.1</v>
      </c>
    </row>
    <row r="555" ht="15.75" customHeight="1">
      <c r="A555" s="94"/>
      <c r="B555" s="94" t="str">
        <f>IFERROR(__xludf.DUMMYFUNCTION("""COMPUTED_VALUE"""),"С 2756")</f>
        <v>С 2756</v>
      </c>
      <c r="C555" s="1429" t="str">
        <f>IFERROR(__xludf.DUMMYFUNCTION("""COMPUTED_VALUE"""),"ORBI")</f>
        <v>ORBI</v>
      </c>
      <c r="D555" s="1432">
        <f>IFERROR(__xludf.DUMMYFUNCTION("""COMPUTED_VALUE"""),7.0)</f>
        <v>7</v>
      </c>
      <c r="E555" s="1429">
        <f>IFERROR(__xludf.DUMMYFUNCTION("""COMPUTED_VALUE"""),45494.0)</f>
        <v>45494</v>
      </c>
      <c r="F555" s="1429">
        <f>IFERROR(__xludf.DUMMYFUNCTION("""COMPUTED_VALUE"""),45508.0)</f>
        <v>45508</v>
      </c>
      <c r="G555" s="1164">
        <f>IFERROR(__xludf.DUMMYFUNCTION("""COMPUTED_VALUE"""),14.0)</f>
        <v>14</v>
      </c>
      <c r="H555" s="1430">
        <f>IFERROR(__xludf.DUMMYFUNCTION("""COMPUTED_VALUE"""),437.0)</f>
        <v>437</v>
      </c>
      <c r="I555" s="94">
        <f>IFERROR(__xludf.DUMMYFUNCTION("""COMPUTED_VALUE"""),0.0)</f>
        <v>0</v>
      </c>
      <c r="J555" s="94"/>
      <c r="K555" s="94">
        <f>IFERROR(__xludf.DUMMYFUNCTION("""COMPUTED_VALUE"""),50.0)</f>
        <v>50</v>
      </c>
      <c r="L555" s="94">
        <f>IFERROR(__xludf.DUMMYFUNCTION("""COMPUTED_VALUE"""),40.0)</f>
        <v>40</v>
      </c>
      <c r="M555" s="94">
        <f>IFERROR(__xludf.DUMMYFUNCTION("""COMPUTED_VALUE"""),10.0)</f>
        <v>10</v>
      </c>
      <c r="N555" s="94"/>
      <c r="O555" s="1430">
        <f>IFERROR(__xludf.DUMMYFUNCTION("""COMPUTED_VALUE"""),10.0)</f>
        <v>10</v>
      </c>
      <c r="P555" s="1431">
        <f>IFERROR(__xludf.DUMMYFUNCTION("""COMPUTED_VALUE"""),2.7)</f>
        <v>2.7</v>
      </c>
      <c r="Q555" s="1432">
        <f>IFERROR(__xludf.DUMMYFUNCTION("""COMPUTED_VALUE"""),1179.9)</f>
        <v>1179.9</v>
      </c>
    </row>
    <row r="556" ht="15.75" customHeight="1">
      <c r="A556" s="94"/>
      <c r="B556" s="94" t="str">
        <f>IFERROR(__xludf.DUMMYFUNCTION("""COMPUTED_VALUE"""),"DL 14-516")</f>
        <v>DL 14-516</v>
      </c>
      <c r="C556" s="1429" t="str">
        <f>IFERROR(__xludf.DUMMYFUNCTION("""COMPUTED_VALUE"""),"DL")</f>
        <v>DL</v>
      </c>
      <c r="D556" s="1432">
        <f>IFERROR(__xludf.DUMMYFUNCTION("""COMPUTED_VALUE"""),7.0)</f>
        <v>7</v>
      </c>
      <c r="E556" s="1429">
        <f>IFERROR(__xludf.DUMMYFUNCTION("""COMPUTED_VALUE"""),45494.0)</f>
        <v>45494</v>
      </c>
      <c r="F556" s="1429">
        <f>IFERROR(__xludf.DUMMYFUNCTION("""COMPUTED_VALUE"""),45501.0)</f>
        <v>45501</v>
      </c>
      <c r="G556" s="1164">
        <f>IFERROR(__xludf.DUMMYFUNCTION("""COMPUTED_VALUE"""),7.0)</f>
        <v>7</v>
      </c>
      <c r="H556" s="94"/>
      <c r="I556" s="94">
        <f>IFERROR(__xludf.DUMMYFUNCTION("""COMPUTED_VALUE"""),3500.0)</f>
        <v>3500</v>
      </c>
      <c r="J556" s="94"/>
      <c r="K556" s="94">
        <f>IFERROR(__xludf.DUMMYFUNCTION("""COMPUTED_VALUE"""),40.0)</f>
        <v>40</v>
      </c>
      <c r="L556" s="94">
        <f>IFERROR(__xludf.DUMMYFUNCTION("""COMPUTED_VALUE"""),40.0)</f>
        <v>40</v>
      </c>
      <c r="M556" s="94">
        <f>IFERROR(__xludf.DUMMYFUNCTION("""COMPUTED_VALUE"""),0.0)</f>
        <v>0</v>
      </c>
      <c r="N556" s="94"/>
      <c r="O556" s="1430">
        <f>IFERROR(__xludf.DUMMYFUNCTION("""COMPUTED_VALUE"""),0.0)</f>
        <v>0</v>
      </c>
      <c r="P556" s="1431">
        <f>IFERROR(__xludf.DUMMYFUNCTION("""COMPUTED_VALUE"""),2.7)</f>
        <v>2.7</v>
      </c>
      <c r="Q556" s="1432">
        <f>IFERROR(__xludf.DUMMYFUNCTION("""COMPUTED_VALUE"""),3500.0)</f>
        <v>3500</v>
      </c>
    </row>
    <row r="557" ht="15.75" customHeight="1">
      <c r="A557" s="94"/>
      <c r="B557" s="94" t="str">
        <f>IFERROR(__xludf.DUMMYFUNCTION("""COMPUTED_VALUE"""),"DL14-518")</f>
        <v>DL14-518</v>
      </c>
      <c r="C557" s="1429" t="str">
        <f>IFERROR(__xludf.DUMMYFUNCTION("""COMPUTED_VALUE"""),"DL")</f>
        <v>DL</v>
      </c>
      <c r="D557" s="1432">
        <f>IFERROR(__xludf.DUMMYFUNCTION("""COMPUTED_VALUE"""),7.0)</f>
        <v>7</v>
      </c>
      <c r="E557" s="1429">
        <f>IFERROR(__xludf.DUMMYFUNCTION("""COMPUTED_VALUE"""),45494.0)</f>
        <v>45494</v>
      </c>
      <c r="F557" s="1429">
        <f>IFERROR(__xludf.DUMMYFUNCTION("""COMPUTED_VALUE"""),45501.0)</f>
        <v>45501</v>
      </c>
      <c r="G557" s="1164">
        <f>IFERROR(__xludf.DUMMYFUNCTION("""COMPUTED_VALUE"""),7.0)</f>
        <v>7</v>
      </c>
      <c r="H557" s="94"/>
      <c r="I557" s="94">
        <f>IFERROR(__xludf.DUMMYFUNCTION("""COMPUTED_VALUE"""),2800.0)</f>
        <v>2800</v>
      </c>
      <c r="J557" s="94"/>
      <c r="K557" s="94">
        <f>IFERROR(__xludf.DUMMYFUNCTION("""COMPUTED_VALUE"""),40.0)</f>
        <v>40</v>
      </c>
      <c r="L557" s="94">
        <f>IFERROR(__xludf.DUMMYFUNCTION("""COMPUTED_VALUE"""),40.0)</f>
        <v>40</v>
      </c>
      <c r="M557" s="94">
        <f>IFERROR(__xludf.DUMMYFUNCTION("""COMPUTED_VALUE"""),0.0)</f>
        <v>0</v>
      </c>
      <c r="N557" s="94"/>
      <c r="O557" s="1430">
        <f>IFERROR(__xludf.DUMMYFUNCTION("""COMPUTED_VALUE"""),0.0)</f>
        <v>0</v>
      </c>
      <c r="P557" s="1431">
        <f>IFERROR(__xludf.DUMMYFUNCTION("""COMPUTED_VALUE"""),2.7)</f>
        <v>2.7</v>
      </c>
      <c r="Q557" s="1432">
        <f>IFERROR(__xludf.DUMMYFUNCTION("""COMPUTED_VALUE"""),2800.0)</f>
        <v>2800</v>
      </c>
    </row>
    <row r="558" ht="15.75" customHeight="1">
      <c r="A558" s="94"/>
      <c r="B558" s="94" t="str">
        <f>IFERROR(__xludf.DUMMYFUNCTION("""COMPUTED_VALUE"""),"DL14-1707")</f>
        <v>DL14-1707</v>
      </c>
      <c r="C558" s="1429" t="str">
        <f>IFERROR(__xludf.DUMMYFUNCTION("""COMPUTED_VALUE"""),"DL")</f>
        <v>DL</v>
      </c>
      <c r="D558" s="1432">
        <f>IFERROR(__xludf.DUMMYFUNCTION("""COMPUTED_VALUE"""),7.0)</f>
        <v>7</v>
      </c>
      <c r="E558" s="1429">
        <f>IFERROR(__xludf.DUMMYFUNCTION("""COMPUTED_VALUE"""),45494.0)</f>
        <v>45494</v>
      </c>
      <c r="F558" s="1429">
        <f>IFERROR(__xludf.DUMMYFUNCTION("""COMPUTED_VALUE"""),45500.0)</f>
        <v>45500</v>
      </c>
      <c r="G558" s="1164">
        <f>IFERROR(__xludf.DUMMYFUNCTION("""COMPUTED_VALUE"""),6.0)</f>
        <v>6</v>
      </c>
      <c r="H558" s="1430">
        <f>IFERROR(__xludf.DUMMYFUNCTION("""COMPUTED_VALUE"""),635.0)</f>
        <v>635</v>
      </c>
      <c r="I558" s="94"/>
      <c r="J558" s="94"/>
      <c r="K558" s="94">
        <f>IFERROR(__xludf.DUMMYFUNCTION("""COMPUTED_VALUE"""),40.0)</f>
        <v>40</v>
      </c>
      <c r="L558" s="94">
        <f>IFERROR(__xludf.DUMMYFUNCTION("""COMPUTED_VALUE"""),40.0)</f>
        <v>40</v>
      </c>
      <c r="M558" s="94">
        <f>IFERROR(__xludf.DUMMYFUNCTION("""COMPUTED_VALUE"""),0.0)</f>
        <v>0</v>
      </c>
      <c r="N558" s="94"/>
      <c r="O558" s="1430">
        <f>IFERROR(__xludf.DUMMYFUNCTION("""COMPUTED_VALUE"""),0.0)</f>
        <v>0</v>
      </c>
      <c r="P558" s="1431">
        <f>IFERROR(__xludf.DUMMYFUNCTION("""COMPUTED_VALUE"""),2.7)</f>
        <v>2.7</v>
      </c>
      <c r="Q558" s="1432">
        <f>IFERROR(__xludf.DUMMYFUNCTION("""COMPUTED_VALUE"""),1714.5)</f>
        <v>1714.5</v>
      </c>
    </row>
    <row r="559" ht="15.75" customHeight="1">
      <c r="A559" s="94"/>
      <c r="B559" s="94" t="str">
        <f>IFERROR(__xludf.DUMMYFUNCTION("""COMPUTED_VALUE"""),"DL 14-702")</f>
        <v>DL 14-702</v>
      </c>
      <c r="C559" s="1429" t="str">
        <f>IFERROR(__xludf.DUMMYFUNCTION("""COMPUTED_VALUE"""),"DL")</f>
        <v>DL</v>
      </c>
      <c r="D559" s="1432">
        <f>IFERROR(__xludf.DUMMYFUNCTION("""COMPUTED_VALUE"""),7.0)</f>
        <v>7</v>
      </c>
      <c r="E559" s="1429">
        <f>IFERROR(__xludf.DUMMYFUNCTION("""COMPUTED_VALUE"""),45494.0)</f>
        <v>45494</v>
      </c>
      <c r="F559" s="1429">
        <f>IFERROR(__xludf.DUMMYFUNCTION("""COMPUTED_VALUE"""),45499.0)</f>
        <v>45499</v>
      </c>
      <c r="G559" s="1164">
        <f>IFERROR(__xludf.DUMMYFUNCTION("""COMPUTED_VALUE"""),5.0)</f>
        <v>5</v>
      </c>
      <c r="H559" s="1430">
        <f>IFERROR(__xludf.DUMMYFUNCTION("""COMPUTED_VALUE"""),650.0)</f>
        <v>650</v>
      </c>
      <c r="I559" s="94"/>
      <c r="J559" s="94"/>
      <c r="K559" s="94">
        <f>IFERROR(__xludf.DUMMYFUNCTION("""COMPUTED_VALUE"""),40.0)</f>
        <v>40</v>
      </c>
      <c r="L559" s="94">
        <f>IFERROR(__xludf.DUMMYFUNCTION("""COMPUTED_VALUE"""),40.0)</f>
        <v>40</v>
      </c>
      <c r="M559" s="94">
        <f>IFERROR(__xludf.DUMMYFUNCTION("""COMPUTED_VALUE"""),0.0)</f>
        <v>0</v>
      </c>
      <c r="N559" s="94"/>
      <c r="O559" s="1430">
        <f>IFERROR(__xludf.DUMMYFUNCTION("""COMPUTED_VALUE"""),0.0)</f>
        <v>0</v>
      </c>
      <c r="P559" s="1431">
        <f>IFERROR(__xludf.DUMMYFUNCTION("""COMPUTED_VALUE"""),2.7)</f>
        <v>2.7</v>
      </c>
      <c r="Q559" s="1432">
        <f>IFERROR(__xludf.DUMMYFUNCTION("""COMPUTED_VALUE"""),1755.0000000000002)</f>
        <v>1755</v>
      </c>
    </row>
    <row r="560" ht="15.75" customHeight="1">
      <c r="A560" s="94"/>
      <c r="B560" s="94" t="str">
        <f>IFERROR(__xludf.DUMMYFUNCTION("""COMPUTED_VALUE"""),"А 4049")</f>
        <v>А 4049</v>
      </c>
      <c r="C560" s="1429" t="str">
        <f>IFERROR(__xludf.DUMMYFUNCTION("""COMPUTED_VALUE"""),"ORBI")</f>
        <v>ORBI</v>
      </c>
      <c r="D560" s="1432">
        <f>IFERROR(__xludf.DUMMYFUNCTION("""COMPUTED_VALUE"""),7.0)</f>
        <v>7</v>
      </c>
      <c r="E560" s="1429">
        <f>IFERROR(__xludf.DUMMYFUNCTION("""COMPUTED_VALUE"""),45494.0)</f>
        <v>45494</v>
      </c>
      <c r="F560" s="1429">
        <f>IFERROR(__xludf.DUMMYFUNCTION("""COMPUTED_VALUE"""),45501.0)</f>
        <v>45501</v>
      </c>
      <c r="G560" s="1164">
        <f>IFERROR(__xludf.DUMMYFUNCTION("""COMPUTED_VALUE"""),7.0)</f>
        <v>7</v>
      </c>
      <c r="H560" s="1430">
        <f>IFERROR(__xludf.DUMMYFUNCTION("""COMPUTED_VALUE"""),295.0)</f>
        <v>295</v>
      </c>
      <c r="I560" s="94"/>
      <c r="J560" s="94"/>
      <c r="K560" s="94">
        <f>IFERROR(__xludf.DUMMYFUNCTION("""COMPUTED_VALUE"""),50.0)</f>
        <v>50</v>
      </c>
      <c r="L560" s="94">
        <f>IFERROR(__xludf.DUMMYFUNCTION("""COMPUTED_VALUE"""),40.0)</f>
        <v>40</v>
      </c>
      <c r="M560" s="94">
        <f>IFERROR(__xludf.DUMMYFUNCTION("""COMPUTED_VALUE"""),10.0)</f>
        <v>10</v>
      </c>
      <c r="N560" s="94"/>
      <c r="O560" s="1430">
        <f>IFERROR(__xludf.DUMMYFUNCTION("""COMPUTED_VALUE"""),10.0)</f>
        <v>10</v>
      </c>
      <c r="P560" s="1431">
        <f>IFERROR(__xludf.DUMMYFUNCTION("""COMPUTED_VALUE"""),2.7)</f>
        <v>2.7</v>
      </c>
      <c r="Q560" s="1432">
        <f>IFERROR(__xludf.DUMMYFUNCTION("""COMPUTED_VALUE"""),796.5)</f>
        <v>796.5</v>
      </c>
    </row>
    <row r="561" ht="15.75" customHeight="1">
      <c r="A561" s="94" t="str">
        <f>IFERROR(__xludf.DUMMYFUNCTION("""COMPUTED_VALUE"""),"Итого неделя")</f>
        <v>Итого неделя</v>
      </c>
      <c r="B561" s="94" t="str">
        <f>IFERROR(__xludf.DUMMYFUNCTION("""COMPUTED_VALUE"""),"29 неделя")</f>
        <v>29 неделя</v>
      </c>
      <c r="C561" s="94"/>
      <c r="D561" s="94"/>
      <c r="E561" s="94"/>
      <c r="F561" s="94"/>
      <c r="G561" s="1164">
        <f>IFERROR(__xludf.DUMMYFUNCTION("""COMPUTED_VALUE"""),267.0)</f>
        <v>267</v>
      </c>
      <c r="H561" s="1430">
        <f>IFERROR(__xludf.DUMMYFUNCTION("""COMPUTED_VALUE"""),10934.9)</f>
        <v>10934.9</v>
      </c>
      <c r="I561" s="94">
        <f>IFERROR(__xludf.DUMMYFUNCTION("""COMPUTED_VALUE"""),24675.0)</f>
        <v>24675</v>
      </c>
      <c r="J561" s="94">
        <f>IFERROR(__xludf.DUMMYFUNCTION("""COMPUTED_VALUE"""),0.0)</f>
        <v>0</v>
      </c>
      <c r="K561" s="94">
        <f>IFERROR(__xludf.DUMMYFUNCTION("""COMPUTED_VALUE"""),3210.0)</f>
        <v>3210</v>
      </c>
      <c r="L561" s="94">
        <f>IFERROR(__xludf.DUMMYFUNCTION("""COMPUTED_VALUE"""),2200.0)</f>
        <v>2200</v>
      </c>
      <c r="M561" s="94">
        <f>IFERROR(__xludf.DUMMYFUNCTION("""COMPUTED_VALUE"""),1010.0)</f>
        <v>1010</v>
      </c>
      <c r="N561" s="94">
        <f>IFERROR(__xludf.DUMMYFUNCTION("""COMPUTED_VALUE"""),0.0)</f>
        <v>0</v>
      </c>
      <c r="O561" s="1430">
        <f>IFERROR(__xludf.DUMMYFUNCTION("""COMPUTED_VALUE"""),1010.0)</f>
        <v>1010</v>
      </c>
      <c r="P561" s="94"/>
      <c r="Q561" s="1432">
        <f>IFERROR(__xludf.DUMMYFUNCTION("""COMPUTED_VALUE"""),54199.229999999996)</f>
        <v>54199.23</v>
      </c>
    </row>
    <row r="562" ht="15.75" customHeight="1">
      <c r="A562" s="94"/>
      <c r="B562" s="94" t="str">
        <f>IFERROR(__xludf.DUMMYFUNCTION("""COMPUTED_VALUE"""),"WS A 1312")</f>
        <v>WS A 1312</v>
      </c>
      <c r="C562" s="1429" t="str">
        <f>IFERROR(__xludf.DUMMYFUNCTION("""COMPUTED_VALUE"""),"WS")</f>
        <v>WS</v>
      </c>
      <c r="D562" s="1432">
        <f>IFERROR(__xludf.DUMMYFUNCTION("""COMPUTED_VALUE"""),7.0)</f>
        <v>7</v>
      </c>
      <c r="E562" s="1429">
        <f>IFERROR(__xludf.DUMMYFUNCTION("""COMPUTED_VALUE"""),45495.0)</f>
        <v>45495</v>
      </c>
      <c r="F562" s="1429">
        <f>IFERROR(__xludf.DUMMYFUNCTION("""COMPUTED_VALUE"""),45501.0)</f>
        <v>45501</v>
      </c>
      <c r="G562" s="1164">
        <f>IFERROR(__xludf.DUMMYFUNCTION("""COMPUTED_VALUE"""),6.0)</f>
        <v>6</v>
      </c>
      <c r="H562" s="94"/>
      <c r="I562" s="94">
        <f>IFERROR(__xludf.DUMMYFUNCTION("""COMPUTED_VALUE"""),775.0)</f>
        <v>775</v>
      </c>
      <c r="J562" s="94"/>
      <c r="K562" s="94">
        <f>IFERROR(__xludf.DUMMYFUNCTION("""COMPUTED_VALUE"""),60.0)</f>
        <v>60</v>
      </c>
      <c r="L562" s="94">
        <f>IFERROR(__xludf.DUMMYFUNCTION("""COMPUTED_VALUE"""),40.0)</f>
        <v>40</v>
      </c>
      <c r="M562" s="94">
        <f>IFERROR(__xludf.DUMMYFUNCTION("""COMPUTED_VALUE"""),20.0)</f>
        <v>20</v>
      </c>
      <c r="N562" s="94"/>
      <c r="O562" s="1430">
        <f>IFERROR(__xludf.DUMMYFUNCTION("""COMPUTED_VALUE"""),20.0)</f>
        <v>20</v>
      </c>
      <c r="P562" s="1431">
        <f>IFERROR(__xludf.DUMMYFUNCTION("""COMPUTED_VALUE"""),2.7)</f>
        <v>2.7</v>
      </c>
      <c r="Q562" s="1432">
        <f>IFERROR(__xludf.DUMMYFUNCTION("""COMPUTED_VALUE"""),775.0)</f>
        <v>775</v>
      </c>
    </row>
    <row r="563" ht="15.75" customHeight="1">
      <c r="A563" s="94"/>
      <c r="B563" s="94" t="str">
        <f>IFERROR(__xludf.DUMMYFUNCTION("""COMPUTED_VALUE"""),"WS A 713")</f>
        <v>WS A 713</v>
      </c>
      <c r="C563" s="1429" t="str">
        <f>IFERROR(__xludf.DUMMYFUNCTION("""COMPUTED_VALUE"""),"WS")</f>
        <v>WS</v>
      </c>
      <c r="D563" s="1432">
        <f>IFERROR(__xludf.DUMMYFUNCTION("""COMPUTED_VALUE"""),7.0)</f>
        <v>7</v>
      </c>
      <c r="E563" s="1429">
        <f>IFERROR(__xludf.DUMMYFUNCTION("""COMPUTED_VALUE"""),45495.0)</f>
        <v>45495</v>
      </c>
      <c r="F563" s="1429">
        <f>IFERROR(__xludf.DUMMYFUNCTION("""COMPUTED_VALUE"""),45501.0)</f>
        <v>45501</v>
      </c>
      <c r="G563" s="1164">
        <f>IFERROR(__xludf.DUMMYFUNCTION("""COMPUTED_VALUE"""),6.0)</f>
        <v>6</v>
      </c>
      <c r="H563" s="94"/>
      <c r="I563" s="94">
        <f>IFERROR(__xludf.DUMMYFUNCTION("""COMPUTED_VALUE"""),775.0)</f>
        <v>775</v>
      </c>
      <c r="J563" s="94"/>
      <c r="K563" s="94">
        <f>IFERROR(__xludf.DUMMYFUNCTION("""COMPUTED_VALUE"""),60.0)</f>
        <v>60</v>
      </c>
      <c r="L563" s="94">
        <f>IFERROR(__xludf.DUMMYFUNCTION("""COMPUTED_VALUE"""),40.0)</f>
        <v>40</v>
      </c>
      <c r="M563" s="94">
        <f>IFERROR(__xludf.DUMMYFUNCTION("""COMPUTED_VALUE"""),20.0)</f>
        <v>20</v>
      </c>
      <c r="N563" s="94"/>
      <c r="O563" s="1430">
        <f>IFERROR(__xludf.DUMMYFUNCTION("""COMPUTED_VALUE"""),20.0)</f>
        <v>20</v>
      </c>
      <c r="P563" s="1431">
        <f>IFERROR(__xludf.DUMMYFUNCTION("""COMPUTED_VALUE"""),2.7)</f>
        <v>2.7</v>
      </c>
      <c r="Q563" s="1432">
        <f>IFERROR(__xludf.DUMMYFUNCTION("""COMPUTED_VALUE"""),775.0)</f>
        <v>775</v>
      </c>
    </row>
    <row r="564" ht="15.75" customHeight="1">
      <c r="A564" s="94"/>
      <c r="B564" s="94" t="str">
        <f>IFERROR(__xludf.DUMMYFUNCTION("""COMPUTED_VALUE"""),"WS E1405")</f>
        <v>WS E1405</v>
      </c>
      <c r="C564" s="1429" t="str">
        <f>IFERROR(__xludf.DUMMYFUNCTION("""COMPUTED_VALUE"""),"WS")</f>
        <v>WS</v>
      </c>
      <c r="D564" s="1432">
        <f>IFERROR(__xludf.DUMMYFUNCTION("""COMPUTED_VALUE"""),7.0)</f>
        <v>7</v>
      </c>
      <c r="E564" s="1429">
        <f>IFERROR(__xludf.DUMMYFUNCTION("""COMPUTED_VALUE"""),45495.0)</f>
        <v>45495</v>
      </c>
      <c r="F564" s="1429">
        <f>IFERROR(__xludf.DUMMYFUNCTION("""COMPUTED_VALUE"""),45501.0)</f>
        <v>45501</v>
      </c>
      <c r="G564" s="1164">
        <f>IFERROR(__xludf.DUMMYFUNCTION("""COMPUTED_VALUE"""),6.0)</f>
        <v>6</v>
      </c>
      <c r="H564" s="94"/>
      <c r="I564" s="94">
        <f>IFERROR(__xludf.DUMMYFUNCTION("""COMPUTED_VALUE"""),1010.0)</f>
        <v>1010</v>
      </c>
      <c r="J564" s="94"/>
      <c r="K564" s="94">
        <f>IFERROR(__xludf.DUMMYFUNCTION("""COMPUTED_VALUE"""),60.0)</f>
        <v>60</v>
      </c>
      <c r="L564" s="94">
        <f>IFERROR(__xludf.DUMMYFUNCTION("""COMPUTED_VALUE"""),40.0)</f>
        <v>40</v>
      </c>
      <c r="M564" s="94">
        <f>IFERROR(__xludf.DUMMYFUNCTION("""COMPUTED_VALUE"""),20.0)</f>
        <v>20</v>
      </c>
      <c r="N564" s="94"/>
      <c r="O564" s="1430">
        <f>IFERROR(__xludf.DUMMYFUNCTION("""COMPUTED_VALUE"""),20.0)</f>
        <v>20</v>
      </c>
      <c r="P564" s="1431">
        <f>IFERROR(__xludf.DUMMYFUNCTION("""COMPUTED_VALUE"""),2.7)</f>
        <v>2.7</v>
      </c>
      <c r="Q564" s="1432">
        <f>IFERROR(__xludf.DUMMYFUNCTION("""COMPUTED_VALUE"""),1010.0)</f>
        <v>1010</v>
      </c>
    </row>
    <row r="565" ht="15.75" customHeight="1">
      <c r="A565" s="94"/>
      <c r="B565" s="94" t="str">
        <f>IFERROR(__xludf.DUMMYFUNCTION("""COMPUTED_VALUE"""),"CM 1604")</f>
        <v>CM 1604</v>
      </c>
      <c r="C565" s="1429" t="str">
        <f>IFERROR(__xludf.DUMMYFUNCTION("""COMPUTED_VALUE"""),"MAR")</f>
        <v>MAR</v>
      </c>
      <c r="D565" s="1432">
        <f>IFERROR(__xludf.DUMMYFUNCTION("""COMPUTED_VALUE"""),7.0)</f>
        <v>7</v>
      </c>
      <c r="E565" s="1429">
        <f>IFERROR(__xludf.DUMMYFUNCTION("""COMPUTED_VALUE"""),45495.0)</f>
        <v>45495</v>
      </c>
      <c r="F565" s="1429">
        <f>IFERROR(__xludf.DUMMYFUNCTION("""COMPUTED_VALUE"""),45500.0)</f>
        <v>45500</v>
      </c>
      <c r="G565" s="1164">
        <f>IFERROR(__xludf.DUMMYFUNCTION("""COMPUTED_VALUE"""),5.0)</f>
        <v>5</v>
      </c>
      <c r="H565" s="1430">
        <f>IFERROR(__xludf.DUMMYFUNCTION("""COMPUTED_VALUE"""),353.0)</f>
        <v>353</v>
      </c>
      <c r="I565" s="94">
        <f>IFERROR(__xludf.DUMMYFUNCTION("""COMPUTED_VALUE"""),0.0)</f>
        <v>0</v>
      </c>
      <c r="J565" s="94"/>
      <c r="K565" s="94">
        <f>IFERROR(__xludf.DUMMYFUNCTION("""COMPUTED_VALUE"""),70.0)</f>
        <v>70</v>
      </c>
      <c r="L565" s="94">
        <f>IFERROR(__xludf.DUMMYFUNCTION("""COMPUTED_VALUE"""),40.0)</f>
        <v>40</v>
      </c>
      <c r="M565" s="94">
        <f>IFERROR(__xludf.DUMMYFUNCTION("""COMPUTED_VALUE"""),30.0)</f>
        <v>30</v>
      </c>
      <c r="N565" s="94"/>
      <c r="O565" s="1430">
        <f>IFERROR(__xludf.DUMMYFUNCTION("""COMPUTED_VALUE"""),30.0)</f>
        <v>30</v>
      </c>
      <c r="P565" s="1431">
        <f>IFERROR(__xludf.DUMMYFUNCTION("""COMPUTED_VALUE"""),2.7)</f>
        <v>2.7</v>
      </c>
      <c r="Q565" s="1432">
        <f>IFERROR(__xludf.DUMMYFUNCTION("""COMPUTED_VALUE"""),953.1)</f>
        <v>953.1</v>
      </c>
    </row>
    <row r="566" ht="15.75" customHeight="1">
      <c r="A566" s="94"/>
      <c r="B566" s="94" t="str">
        <f>IFERROR(__xludf.DUMMYFUNCTION("""COMPUTED_VALUE"""),"CM 1606")</f>
        <v>CM 1606</v>
      </c>
      <c r="C566" s="1429" t="str">
        <f>IFERROR(__xludf.DUMMYFUNCTION("""COMPUTED_VALUE"""),"MAR")</f>
        <v>MAR</v>
      </c>
      <c r="D566" s="1432">
        <f>IFERROR(__xludf.DUMMYFUNCTION("""COMPUTED_VALUE"""),7.0)</f>
        <v>7</v>
      </c>
      <c r="E566" s="1429">
        <f>IFERROR(__xludf.DUMMYFUNCTION("""COMPUTED_VALUE"""),45495.0)</f>
        <v>45495</v>
      </c>
      <c r="F566" s="1429">
        <f>IFERROR(__xludf.DUMMYFUNCTION("""COMPUTED_VALUE"""),45500.0)</f>
        <v>45500</v>
      </c>
      <c r="G566" s="1164">
        <f>IFERROR(__xludf.DUMMYFUNCTION("""COMPUTED_VALUE"""),5.0)</f>
        <v>5</v>
      </c>
      <c r="H566" s="1430">
        <f>IFERROR(__xludf.DUMMYFUNCTION("""COMPUTED_VALUE"""),301.0)</f>
        <v>301</v>
      </c>
      <c r="I566" s="94">
        <f>IFERROR(__xludf.DUMMYFUNCTION("""COMPUTED_VALUE"""),0.0)</f>
        <v>0</v>
      </c>
      <c r="J566" s="94"/>
      <c r="K566" s="94">
        <f>IFERROR(__xludf.DUMMYFUNCTION("""COMPUTED_VALUE"""),60.0)</f>
        <v>60</v>
      </c>
      <c r="L566" s="94">
        <f>IFERROR(__xludf.DUMMYFUNCTION("""COMPUTED_VALUE"""),40.0)</f>
        <v>40</v>
      </c>
      <c r="M566" s="94">
        <f>IFERROR(__xludf.DUMMYFUNCTION("""COMPUTED_VALUE"""),20.0)</f>
        <v>20</v>
      </c>
      <c r="N566" s="94"/>
      <c r="O566" s="1430">
        <f>IFERROR(__xludf.DUMMYFUNCTION("""COMPUTED_VALUE"""),20.0)</f>
        <v>20</v>
      </c>
      <c r="P566" s="1431">
        <f>IFERROR(__xludf.DUMMYFUNCTION("""COMPUTED_VALUE"""),2.7)</f>
        <v>2.7</v>
      </c>
      <c r="Q566" s="1432">
        <f>IFERROR(__xludf.DUMMYFUNCTION("""COMPUTED_VALUE"""),812.7)</f>
        <v>812.7</v>
      </c>
    </row>
    <row r="567" ht="15.75" customHeight="1">
      <c r="A567" s="94"/>
      <c r="B567" s="94" t="str">
        <f>IFERROR(__xludf.DUMMYFUNCTION("""COMPUTED_VALUE"""),"Wyn")</f>
        <v>Wyn</v>
      </c>
      <c r="C567" s="1429" t="str">
        <f>IFERROR(__xludf.DUMMYFUNCTION("""COMPUTED_VALUE"""),"Other")</f>
        <v>Other</v>
      </c>
      <c r="D567" s="1432">
        <f>IFERROR(__xludf.DUMMYFUNCTION("""COMPUTED_VALUE"""),7.0)</f>
        <v>7</v>
      </c>
      <c r="E567" s="1429">
        <f>IFERROR(__xludf.DUMMYFUNCTION("""COMPUTED_VALUE"""),45495.0)</f>
        <v>45495</v>
      </c>
      <c r="F567" s="1429">
        <f>IFERROR(__xludf.DUMMYFUNCTION("""COMPUTED_VALUE"""),45500.0)</f>
        <v>45500</v>
      </c>
      <c r="G567" s="1164">
        <f>IFERROR(__xludf.DUMMYFUNCTION("""COMPUTED_VALUE"""),5.0)</f>
        <v>5</v>
      </c>
      <c r="H567" s="1430">
        <f>IFERROR(__xludf.DUMMYFUNCTION("""COMPUTED_VALUE"""),238.0)</f>
        <v>238</v>
      </c>
      <c r="I567" s="94">
        <f>IFERROR(__xludf.DUMMYFUNCTION("""COMPUTED_VALUE"""),0.0)</f>
        <v>0</v>
      </c>
      <c r="J567" s="94"/>
      <c r="K567" s="94">
        <f>IFERROR(__xludf.DUMMYFUNCTION("""COMPUTED_VALUE"""),70.0)</f>
        <v>70</v>
      </c>
      <c r="L567" s="94">
        <f>IFERROR(__xludf.DUMMYFUNCTION("""COMPUTED_VALUE"""),40.0)</f>
        <v>40</v>
      </c>
      <c r="M567" s="94">
        <f>IFERROR(__xludf.DUMMYFUNCTION("""COMPUTED_VALUE"""),30.0)</f>
        <v>30</v>
      </c>
      <c r="N567" s="94"/>
      <c r="O567" s="1430">
        <f>IFERROR(__xludf.DUMMYFUNCTION("""COMPUTED_VALUE"""),30.0)</f>
        <v>30</v>
      </c>
      <c r="P567" s="1431">
        <f>IFERROR(__xludf.DUMMYFUNCTION("""COMPUTED_VALUE"""),2.7)</f>
        <v>2.7</v>
      </c>
      <c r="Q567" s="1432">
        <f>IFERROR(__xludf.DUMMYFUNCTION("""COMPUTED_VALUE"""),642.6)</f>
        <v>642.6</v>
      </c>
    </row>
    <row r="568" ht="15.75" customHeight="1">
      <c r="A568" s="94"/>
      <c r="B568" s="94" t="str">
        <f>IFERROR(__xludf.DUMMYFUNCTION("""COMPUTED_VALUE"""),"WS A 608")</f>
        <v>WS A 608</v>
      </c>
      <c r="C568" s="1429" t="str">
        <f>IFERROR(__xludf.DUMMYFUNCTION("""COMPUTED_VALUE"""),"WS")</f>
        <v>WS</v>
      </c>
      <c r="D568" s="1432">
        <f>IFERROR(__xludf.DUMMYFUNCTION("""COMPUTED_VALUE"""),7.0)</f>
        <v>7</v>
      </c>
      <c r="E568" s="1429">
        <f>IFERROR(__xludf.DUMMYFUNCTION("""COMPUTED_VALUE"""),45495.0)</f>
        <v>45495</v>
      </c>
      <c r="F568" s="1429">
        <f>IFERROR(__xludf.DUMMYFUNCTION("""COMPUTED_VALUE"""),45497.0)</f>
        <v>45497</v>
      </c>
      <c r="G568" s="1164">
        <f>IFERROR(__xludf.DUMMYFUNCTION("""COMPUTED_VALUE"""),2.0)</f>
        <v>2</v>
      </c>
      <c r="H568" s="1430">
        <f>IFERROR(__xludf.DUMMYFUNCTION("""COMPUTED_VALUE"""),129.0)</f>
        <v>129</v>
      </c>
      <c r="I568" s="94">
        <f>IFERROR(__xludf.DUMMYFUNCTION("""COMPUTED_VALUE"""),0.0)</f>
        <v>0</v>
      </c>
      <c r="J568" s="94"/>
      <c r="K568" s="94">
        <f>IFERROR(__xludf.DUMMYFUNCTION("""COMPUTED_VALUE"""),60.0)</f>
        <v>60</v>
      </c>
      <c r="L568" s="94">
        <f>IFERROR(__xludf.DUMMYFUNCTION("""COMPUTED_VALUE"""),40.0)</f>
        <v>40</v>
      </c>
      <c r="M568" s="94">
        <f>IFERROR(__xludf.DUMMYFUNCTION("""COMPUTED_VALUE"""),20.0)</f>
        <v>20</v>
      </c>
      <c r="N568" s="94"/>
      <c r="O568" s="1430">
        <f>IFERROR(__xludf.DUMMYFUNCTION("""COMPUTED_VALUE"""),20.0)</f>
        <v>20</v>
      </c>
      <c r="P568" s="1431">
        <f>IFERROR(__xludf.DUMMYFUNCTION("""COMPUTED_VALUE"""),2.7)</f>
        <v>2.7</v>
      </c>
      <c r="Q568" s="1432">
        <f>IFERROR(__xludf.DUMMYFUNCTION("""COMPUTED_VALUE"""),348.3)</f>
        <v>348.3</v>
      </c>
    </row>
    <row r="569" ht="15.75" customHeight="1">
      <c r="A569" s="94"/>
      <c r="B569" s="94" t="str">
        <f>IFERROR(__xludf.DUMMYFUNCTION("""COMPUTED_VALUE"""),"BV206")</f>
        <v>BV206</v>
      </c>
      <c r="C569" s="1429" t="str">
        <f>IFERROR(__xludf.DUMMYFUNCTION("""COMPUTED_VALUE"""),"Other")</f>
        <v>Other</v>
      </c>
      <c r="D569" s="1432">
        <f>IFERROR(__xludf.DUMMYFUNCTION("""COMPUTED_VALUE"""),7.0)</f>
        <v>7</v>
      </c>
      <c r="E569" s="1429">
        <f>IFERROR(__xludf.DUMMYFUNCTION("""COMPUTED_VALUE"""),45495.0)</f>
        <v>45495</v>
      </c>
      <c r="F569" s="1429">
        <f>IFERROR(__xludf.DUMMYFUNCTION("""COMPUTED_VALUE"""),45498.0)</f>
        <v>45498</v>
      </c>
      <c r="G569" s="1164">
        <f>IFERROR(__xludf.DUMMYFUNCTION("""COMPUTED_VALUE"""),3.0)</f>
        <v>3</v>
      </c>
      <c r="H569" s="1430">
        <f>IFERROR(__xludf.DUMMYFUNCTION("""COMPUTED_VALUE"""),190.0)</f>
        <v>190</v>
      </c>
      <c r="I569" s="94">
        <f>IFERROR(__xludf.DUMMYFUNCTION("""COMPUTED_VALUE"""),0.0)</f>
        <v>0</v>
      </c>
      <c r="J569" s="94"/>
      <c r="K569" s="94">
        <f>IFERROR(__xludf.DUMMYFUNCTION("""COMPUTED_VALUE"""),40.0)</f>
        <v>40</v>
      </c>
      <c r="L569" s="94">
        <f>IFERROR(__xludf.DUMMYFUNCTION("""COMPUTED_VALUE"""),40.0)</f>
        <v>40</v>
      </c>
      <c r="M569" s="94">
        <f>IFERROR(__xludf.DUMMYFUNCTION("""COMPUTED_VALUE"""),0.0)</f>
        <v>0</v>
      </c>
      <c r="N569" s="94"/>
      <c r="O569" s="1430">
        <f>IFERROR(__xludf.DUMMYFUNCTION("""COMPUTED_VALUE"""),0.0)</f>
        <v>0</v>
      </c>
      <c r="P569" s="1431">
        <f>IFERROR(__xludf.DUMMYFUNCTION("""COMPUTED_VALUE"""),2.7)</f>
        <v>2.7</v>
      </c>
      <c r="Q569" s="1432">
        <f>IFERROR(__xludf.DUMMYFUNCTION("""COMPUTED_VALUE"""),513.0)</f>
        <v>513</v>
      </c>
    </row>
    <row r="570" ht="15.75" customHeight="1">
      <c r="A570" s="94"/>
      <c r="B570" s="94" t="str">
        <f>IFERROR(__xludf.DUMMYFUNCTION("""COMPUTED_VALUE"""),"Шар 2505")</f>
        <v>Шар 2505</v>
      </c>
      <c r="C570" s="1429" t="str">
        <f>IFERROR(__xludf.DUMMYFUNCTION("""COMPUTED_VALUE"""),"Other")</f>
        <v>Other</v>
      </c>
      <c r="D570" s="1432">
        <f>IFERROR(__xludf.DUMMYFUNCTION("""COMPUTED_VALUE"""),7.0)</f>
        <v>7</v>
      </c>
      <c r="E570" s="1429">
        <f>IFERROR(__xludf.DUMMYFUNCTION("""COMPUTED_VALUE"""),45496.0)</f>
        <v>45496</v>
      </c>
      <c r="F570" s="1429">
        <f>IFERROR(__xludf.DUMMYFUNCTION("""COMPUTED_VALUE"""),45504.0)</f>
        <v>45504</v>
      </c>
      <c r="G570" s="1164">
        <f>IFERROR(__xludf.DUMMYFUNCTION("""COMPUTED_VALUE"""),8.0)</f>
        <v>8</v>
      </c>
      <c r="H570" s="1430">
        <f>IFERROR(__xludf.DUMMYFUNCTION("""COMPUTED_VALUE"""),373.0)</f>
        <v>373</v>
      </c>
      <c r="I570" s="94">
        <f>IFERROR(__xludf.DUMMYFUNCTION("""COMPUTED_VALUE"""),0.0)</f>
        <v>0</v>
      </c>
      <c r="J570" s="94"/>
      <c r="K570" s="94">
        <f>IFERROR(__xludf.DUMMYFUNCTION("""COMPUTED_VALUE"""),60.0)</f>
        <v>60</v>
      </c>
      <c r="L570" s="94">
        <f>IFERROR(__xludf.DUMMYFUNCTION("""COMPUTED_VALUE"""),40.0)</f>
        <v>40</v>
      </c>
      <c r="M570" s="94">
        <f>IFERROR(__xludf.DUMMYFUNCTION("""COMPUTED_VALUE"""),20.0)</f>
        <v>20</v>
      </c>
      <c r="N570" s="94"/>
      <c r="O570" s="1430">
        <f>IFERROR(__xludf.DUMMYFUNCTION("""COMPUTED_VALUE"""),20.0)</f>
        <v>20</v>
      </c>
      <c r="P570" s="1431">
        <f>IFERROR(__xludf.DUMMYFUNCTION("""COMPUTED_VALUE"""),2.7)</f>
        <v>2.7</v>
      </c>
      <c r="Q570" s="1432">
        <f>IFERROR(__xludf.DUMMYFUNCTION("""COMPUTED_VALUE"""),1007.1)</f>
        <v>1007.1</v>
      </c>
    </row>
    <row r="571" ht="15.75" customHeight="1">
      <c r="A571" s="94"/>
      <c r="B571" s="94" t="str">
        <f>IFERROR(__xludf.DUMMYFUNCTION("""COMPUTED_VALUE"""),"С 1443")</f>
        <v>С 1443</v>
      </c>
      <c r="C571" s="1429" t="str">
        <f>IFERROR(__xludf.DUMMYFUNCTION("""COMPUTED_VALUE"""),"ORBI")</f>
        <v>ORBI</v>
      </c>
      <c r="D571" s="1432">
        <f>IFERROR(__xludf.DUMMYFUNCTION("""COMPUTED_VALUE"""),7.0)</f>
        <v>7</v>
      </c>
      <c r="E571" s="1429">
        <f>IFERROR(__xludf.DUMMYFUNCTION("""COMPUTED_VALUE"""),45496.0)</f>
        <v>45496</v>
      </c>
      <c r="F571" s="1429">
        <f>IFERROR(__xludf.DUMMYFUNCTION("""COMPUTED_VALUE"""),45499.0)</f>
        <v>45499</v>
      </c>
      <c r="G571" s="1164">
        <f>IFERROR(__xludf.DUMMYFUNCTION("""COMPUTED_VALUE"""),3.0)</f>
        <v>3</v>
      </c>
      <c r="H571" s="1430">
        <f>IFERROR(__xludf.DUMMYFUNCTION("""COMPUTED_VALUE"""),205.0)</f>
        <v>205</v>
      </c>
      <c r="I571" s="94">
        <f>IFERROR(__xludf.DUMMYFUNCTION("""COMPUTED_VALUE"""),0.0)</f>
        <v>0</v>
      </c>
      <c r="J571" s="94"/>
      <c r="K571" s="94">
        <f>IFERROR(__xludf.DUMMYFUNCTION("""COMPUTED_VALUE"""),70.0)</f>
        <v>70</v>
      </c>
      <c r="L571" s="94">
        <f>IFERROR(__xludf.DUMMYFUNCTION("""COMPUTED_VALUE"""),40.0)</f>
        <v>40</v>
      </c>
      <c r="M571" s="94">
        <f>IFERROR(__xludf.DUMMYFUNCTION("""COMPUTED_VALUE"""),30.0)</f>
        <v>30</v>
      </c>
      <c r="N571" s="94"/>
      <c r="O571" s="1430">
        <f>IFERROR(__xludf.DUMMYFUNCTION("""COMPUTED_VALUE"""),30.0)</f>
        <v>30</v>
      </c>
      <c r="P571" s="1431">
        <f>IFERROR(__xludf.DUMMYFUNCTION("""COMPUTED_VALUE"""),2.7)</f>
        <v>2.7</v>
      </c>
      <c r="Q571" s="1432">
        <f>IFERROR(__xludf.DUMMYFUNCTION("""COMPUTED_VALUE"""),553.5)</f>
        <v>553.5</v>
      </c>
    </row>
    <row r="572" ht="15.75" customHeight="1">
      <c r="A572" s="94"/>
      <c r="B572" s="94" t="str">
        <f>IFERROR(__xludf.DUMMYFUNCTION("""COMPUTED_VALUE"""),"WS А 908")</f>
        <v>WS А 908</v>
      </c>
      <c r="C572" s="1429" t="str">
        <f>IFERROR(__xludf.DUMMYFUNCTION("""COMPUTED_VALUE"""),"WS")</f>
        <v>WS</v>
      </c>
      <c r="D572" s="1432">
        <f>IFERROR(__xludf.DUMMYFUNCTION("""COMPUTED_VALUE"""),7.0)</f>
        <v>7</v>
      </c>
      <c r="E572" s="1429">
        <f>IFERROR(__xludf.DUMMYFUNCTION("""COMPUTED_VALUE"""),45496.0)</f>
        <v>45496</v>
      </c>
      <c r="F572" s="1429">
        <f>IFERROR(__xludf.DUMMYFUNCTION("""COMPUTED_VALUE"""),45501.0)</f>
        <v>45501</v>
      </c>
      <c r="G572" s="1164">
        <f>IFERROR(__xludf.DUMMYFUNCTION("""COMPUTED_VALUE"""),5.0)</f>
        <v>5</v>
      </c>
      <c r="H572" s="94"/>
      <c r="I572" s="94">
        <f>IFERROR(__xludf.DUMMYFUNCTION("""COMPUTED_VALUE"""),952.0)</f>
        <v>952</v>
      </c>
      <c r="J572" s="94"/>
      <c r="K572" s="94">
        <f>IFERROR(__xludf.DUMMYFUNCTION("""COMPUTED_VALUE"""),60.0)</f>
        <v>60</v>
      </c>
      <c r="L572" s="94">
        <f>IFERROR(__xludf.DUMMYFUNCTION("""COMPUTED_VALUE"""),40.0)</f>
        <v>40</v>
      </c>
      <c r="M572" s="94">
        <f>IFERROR(__xludf.DUMMYFUNCTION("""COMPUTED_VALUE"""),20.0)</f>
        <v>20</v>
      </c>
      <c r="N572" s="94"/>
      <c r="O572" s="1430">
        <f>IFERROR(__xludf.DUMMYFUNCTION("""COMPUTED_VALUE"""),20.0)</f>
        <v>20</v>
      </c>
      <c r="P572" s="1431">
        <f>IFERROR(__xludf.DUMMYFUNCTION("""COMPUTED_VALUE"""),2.7)</f>
        <v>2.7</v>
      </c>
      <c r="Q572" s="1432">
        <f>IFERROR(__xludf.DUMMYFUNCTION("""COMPUTED_VALUE"""),952.0)</f>
        <v>952</v>
      </c>
    </row>
    <row r="573" ht="15.75" customHeight="1">
      <c r="A573" s="94"/>
      <c r="B573" s="94" t="str">
        <f>IFERROR(__xludf.DUMMYFUNCTION("""COMPUTED_VALUE"""),"WS В 212")</f>
        <v>WS В 212</v>
      </c>
      <c r="C573" s="1429" t="str">
        <f>IFERROR(__xludf.DUMMYFUNCTION("""COMPUTED_VALUE"""),"WS")</f>
        <v>WS</v>
      </c>
      <c r="D573" s="1432">
        <f>IFERROR(__xludf.DUMMYFUNCTION("""COMPUTED_VALUE"""),7.0)</f>
        <v>7</v>
      </c>
      <c r="E573" s="1429">
        <f>IFERROR(__xludf.DUMMYFUNCTION("""COMPUTED_VALUE"""),45496.0)</f>
        <v>45496</v>
      </c>
      <c r="F573" s="1429">
        <f>IFERROR(__xludf.DUMMYFUNCTION("""COMPUTED_VALUE"""),45499.0)</f>
        <v>45499</v>
      </c>
      <c r="G573" s="1164">
        <f>IFERROR(__xludf.DUMMYFUNCTION("""COMPUTED_VALUE"""),3.0)</f>
        <v>3</v>
      </c>
      <c r="H573" s="94"/>
      <c r="I573" s="94">
        <f>IFERROR(__xludf.DUMMYFUNCTION("""COMPUTED_VALUE"""),1060.0)</f>
        <v>1060</v>
      </c>
      <c r="J573" s="94"/>
      <c r="K573" s="94">
        <f>IFERROR(__xludf.DUMMYFUNCTION("""COMPUTED_VALUE"""),70.0)</f>
        <v>70</v>
      </c>
      <c r="L573" s="94">
        <f>IFERROR(__xludf.DUMMYFUNCTION("""COMPUTED_VALUE"""),40.0)</f>
        <v>40</v>
      </c>
      <c r="M573" s="94">
        <f>IFERROR(__xludf.DUMMYFUNCTION("""COMPUTED_VALUE"""),30.0)</f>
        <v>30</v>
      </c>
      <c r="N573" s="94"/>
      <c r="O573" s="1430">
        <f>IFERROR(__xludf.DUMMYFUNCTION("""COMPUTED_VALUE"""),30.0)</f>
        <v>30</v>
      </c>
      <c r="P573" s="1431">
        <f>IFERROR(__xludf.DUMMYFUNCTION("""COMPUTED_VALUE"""),2.7)</f>
        <v>2.7</v>
      </c>
      <c r="Q573" s="1432">
        <f>IFERROR(__xludf.DUMMYFUNCTION("""COMPUTED_VALUE"""),1060.0)</f>
        <v>1060</v>
      </c>
    </row>
    <row r="574" ht="15.75" customHeight="1">
      <c r="A574" s="94"/>
      <c r="B574" s="94" t="str">
        <f>IFERROR(__xludf.DUMMYFUNCTION("""COMPUTED_VALUE"""),"Вилла Ева")</f>
        <v>Вилла Ева</v>
      </c>
      <c r="C574" s="1429" t="str">
        <f>IFERROR(__xludf.DUMMYFUNCTION("""COMPUTED_VALUE"""),"Other")</f>
        <v>Other</v>
      </c>
      <c r="D574" s="1432">
        <f>IFERROR(__xludf.DUMMYFUNCTION("""COMPUTED_VALUE"""),7.0)</f>
        <v>7</v>
      </c>
      <c r="E574" s="1429">
        <f>IFERROR(__xludf.DUMMYFUNCTION("""COMPUTED_VALUE"""),45496.0)</f>
        <v>45496</v>
      </c>
      <c r="F574" s="1429">
        <f>IFERROR(__xludf.DUMMYFUNCTION("""COMPUTED_VALUE"""),45500.0)</f>
        <v>45500</v>
      </c>
      <c r="G574" s="1164">
        <f>IFERROR(__xludf.DUMMYFUNCTION("""COMPUTED_VALUE"""),4.0)</f>
        <v>4</v>
      </c>
      <c r="H574" s="1430">
        <f>IFERROR(__xludf.DUMMYFUNCTION("""COMPUTED_VALUE"""),38.58)</f>
        <v>38.58</v>
      </c>
      <c r="I574" s="94">
        <f>IFERROR(__xludf.DUMMYFUNCTION("""COMPUTED_VALUE"""),0.0)</f>
        <v>0</v>
      </c>
      <c r="J574" s="94"/>
      <c r="K574" s="94">
        <f>IFERROR(__xludf.DUMMYFUNCTION("""COMPUTED_VALUE"""),40.0)</f>
        <v>40</v>
      </c>
      <c r="L574" s="94">
        <f>IFERROR(__xludf.DUMMYFUNCTION("""COMPUTED_VALUE"""),40.0)</f>
        <v>40</v>
      </c>
      <c r="M574" s="94">
        <f>IFERROR(__xludf.DUMMYFUNCTION("""COMPUTED_VALUE"""),0.0)</f>
        <v>0</v>
      </c>
      <c r="N574" s="94"/>
      <c r="O574" s="1430">
        <f>IFERROR(__xludf.DUMMYFUNCTION("""COMPUTED_VALUE"""),0.0)</f>
        <v>0</v>
      </c>
      <c r="P574" s="1431">
        <f>IFERROR(__xludf.DUMMYFUNCTION("""COMPUTED_VALUE"""),2.7)</f>
        <v>2.7</v>
      </c>
      <c r="Q574" s="1432">
        <f>IFERROR(__xludf.DUMMYFUNCTION("""COMPUTED_VALUE"""),104.166)</f>
        <v>104.166</v>
      </c>
    </row>
    <row r="575" ht="15.75" customHeight="1">
      <c r="A575" s="94"/>
      <c r="B575" s="94" t="str">
        <f>IFERROR(__xludf.DUMMYFUNCTION("""COMPUTED_VALUE"""),"DL 11-1112")</f>
        <v>DL 11-1112</v>
      </c>
      <c r="C575" s="1429" t="str">
        <f>IFERROR(__xludf.DUMMYFUNCTION("""COMPUTED_VALUE"""),"DL")</f>
        <v>DL</v>
      </c>
      <c r="D575" s="1432">
        <f>IFERROR(__xludf.DUMMYFUNCTION("""COMPUTED_VALUE"""),7.0)</f>
        <v>7</v>
      </c>
      <c r="E575" s="1429">
        <f>IFERROR(__xludf.DUMMYFUNCTION("""COMPUTED_VALUE"""),45496.0)</f>
        <v>45496</v>
      </c>
      <c r="F575" s="1429">
        <f>IFERROR(__xludf.DUMMYFUNCTION("""COMPUTED_VALUE"""),45500.0)</f>
        <v>45500</v>
      </c>
      <c r="G575" s="1164">
        <f>IFERROR(__xludf.DUMMYFUNCTION("""COMPUTED_VALUE"""),4.0)</f>
        <v>4</v>
      </c>
      <c r="H575" s="1430">
        <f>IFERROR(__xludf.DUMMYFUNCTION("""COMPUTED_VALUE"""),400.0)</f>
        <v>400</v>
      </c>
      <c r="I575" s="94">
        <f>IFERROR(__xludf.DUMMYFUNCTION("""COMPUTED_VALUE"""),0.0)</f>
        <v>0</v>
      </c>
      <c r="J575" s="94"/>
      <c r="K575" s="94">
        <f>IFERROR(__xludf.DUMMYFUNCTION("""COMPUTED_VALUE"""),40.0)</f>
        <v>40</v>
      </c>
      <c r="L575" s="94">
        <f>IFERROR(__xludf.DUMMYFUNCTION("""COMPUTED_VALUE"""),40.0)</f>
        <v>40</v>
      </c>
      <c r="M575" s="94">
        <f>IFERROR(__xludf.DUMMYFUNCTION("""COMPUTED_VALUE"""),0.0)</f>
        <v>0</v>
      </c>
      <c r="N575" s="94"/>
      <c r="O575" s="1430">
        <f>IFERROR(__xludf.DUMMYFUNCTION("""COMPUTED_VALUE"""),0.0)</f>
        <v>0</v>
      </c>
      <c r="P575" s="1431">
        <f>IFERROR(__xludf.DUMMYFUNCTION("""COMPUTED_VALUE"""),2.7)</f>
        <v>2.7</v>
      </c>
      <c r="Q575" s="1432">
        <f>IFERROR(__xludf.DUMMYFUNCTION("""COMPUTED_VALUE"""),1080.0)</f>
        <v>1080</v>
      </c>
    </row>
    <row r="576" ht="15.75" customHeight="1">
      <c r="A576" s="94"/>
      <c r="B576" s="94" t="str">
        <f>IFERROR(__xludf.DUMMYFUNCTION("""COMPUTED_VALUE"""),"DL 11-1305")</f>
        <v>DL 11-1305</v>
      </c>
      <c r="C576" s="1429" t="str">
        <f>IFERROR(__xludf.DUMMYFUNCTION("""COMPUTED_VALUE"""),"DL")</f>
        <v>DL</v>
      </c>
      <c r="D576" s="1432">
        <f>IFERROR(__xludf.DUMMYFUNCTION("""COMPUTED_VALUE"""),7.0)</f>
        <v>7</v>
      </c>
      <c r="E576" s="1429">
        <f>IFERROR(__xludf.DUMMYFUNCTION("""COMPUTED_VALUE"""),45496.0)</f>
        <v>45496</v>
      </c>
      <c r="F576" s="1429">
        <f>IFERROR(__xludf.DUMMYFUNCTION("""COMPUTED_VALUE"""),45498.0)</f>
        <v>45498</v>
      </c>
      <c r="G576" s="1164">
        <f>IFERROR(__xludf.DUMMYFUNCTION("""COMPUTED_VALUE"""),2.0)</f>
        <v>2</v>
      </c>
      <c r="H576" s="1430">
        <f>IFERROR(__xludf.DUMMYFUNCTION("""COMPUTED_VALUE"""),208.0)</f>
        <v>208</v>
      </c>
      <c r="I576" s="94">
        <f>IFERROR(__xludf.DUMMYFUNCTION("""COMPUTED_VALUE"""),0.0)</f>
        <v>0</v>
      </c>
      <c r="J576" s="94"/>
      <c r="K576" s="94">
        <f>IFERROR(__xludf.DUMMYFUNCTION("""COMPUTED_VALUE"""),40.0)</f>
        <v>40</v>
      </c>
      <c r="L576" s="94">
        <f>IFERROR(__xludf.DUMMYFUNCTION("""COMPUTED_VALUE"""),40.0)</f>
        <v>40</v>
      </c>
      <c r="M576" s="94">
        <f>IFERROR(__xludf.DUMMYFUNCTION("""COMPUTED_VALUE"""),0.0)</f>
        <v>0</v>
      </c>
      <c r="N576" s="94"/>
      <c r="O576" s="1430">
        <f>IFERROR(__xludf.DUMMYFUNCTION("""COMPUTED_VALUE"""),0.0)</f>
        <v>0</v>
      </c>
      <c r="P576" s="1431">
        <f>IFERROR(__xludf.DUMMYFUNCTION("""COMPUTED_VALUE"""),2.7)</f>
        <v>2.7</v>
      </c>
      <c r="Q576" s="1432">
        <f>IFERROR(__xludf.DUMMYFUNCTION("""COMPUTED_VALUE"""),561.6)</f>
        <v>561.6</v>
      </c>
    </row>
    <row r="577" ht="15.75" customHeight="1">
      <c r="A577" s="94"/>
      <c r="B577" s="94" t="str">
        <f>IFERROR(__xludf.DUMMYFUNCTION("""COMPUTED_VALUE"""),"14-411")</f>
        <v>14-411</v>
      </c>
      <c r="C577" s="1429" t="str">
        <f>IFERROR(__xludf.DUMMYFUNCTION("""COMPUTED_VALUE"""),"DL")</f>
        <v>DL</v>
      </c>
      <c r="D577" s="1432">
        <f>IFERROR(__xludf.DUMMYFUNCTION("""COMPUTED_VALUE"""),7.0)</f>
        <v>7</v>
      </c>
      <c r="E577" s="1429">
        <f>IFERROR(__xludf.DUMMYFUNCTION("""COMPUTED_VALUE"""),45497.0)</f>
        <v>45497</v>
      </c>
      <c r="F577" s="1429">
        <f>IFERROR(__xludf.DUMMYFUNCTION("""COMPUTED_VALUE"""),45507.0)</f>
        <v>45507</v>
      </c>
      <c r="G577" s="1164">
        <f>IFERROR(__xludf.DUMMYFUNCTION("""COMPUTED_VALUE"""),10.0)</f>
        <v>10</v>
      </c>
      <c r="H577" s="1430">
        <f>IFERROR(__xludf.DUMMYFUNCTION("""COMPUTED_VALUE"""),753.0)</f>
        <v>753</v>
      </c>
      <c r="I577" s="94">
        <f>IFERROR(__xludf.DUMMYFUNCTION("""COMPUTED_VALUE"""),0.0)</f>
        <v>0</v>
      </c>
      <c r="J577" s="94"/>
      <c r="K577" s="94">
        <f>IFERROR(__xludf.DUMMYFUNCTION("""COMPUTED_VALUE"""),95.0)</f>
        <v>95</v>
      </c>
      <c r="L577" s="94">
        <f>IFERROR(__xludf.DUMMYFUNCTION("""COMPUTED_VALUE"""),40.0)</f>
        <v>40</v>
      </c>
      <c r="M577" s="94">
        <f>IFERROR(__xludf.DUMMYFUNCTION("""COMPUTED_VALUE"""),55.0)</f>
        <v>55</v>
      </c>
      <c r="N577" s="94"/>
      <c r="O577" s="1430">
        <f>IFERROR(__xludf.DUMMYFUNCTION("""COMPUTED_VALUE"""),55.0)</f>
        <v>55</v>
      </c>
      <c r="P577" s="1431">
        <f>IFERROR(__xludf.DUMMYFUNCTION("""COMPUTED_VALUE"""),2.7)</f>
        <v>2.7</v>
      </c>
      <c r="Q577" s="1432">
        <f>IFERROR(__xludf.DUMMYFUNCTION("""COMPUTED_VALUE"""),2033.1000000000001)</f>
        <v>2033.1</v>
      </c>
    </row>
    <row r="578" ht="15.75" customHeight="1">
      <c r="A578" s="94"/>
      <c r="B578" s="94" t="str">
        <f>IFERROR(__xludf.DUMMYFUNCTION("""COMPUTED_VALUE"""),"BV206")</f>
        <v>BV206</v>
      </c>
      <c r="C578" s="1429" t="str">
        <f>IFERROR(__xludf.DUMMYFUNCTION("""COMPUTED_VALUE"""),"Other")</f>
        <v>Other</v>
      </c>
      <c r="D578" s="1432">
        <f>IFERROR(__xludf.DUMMYFUNCTION("""COMPUTED_VALUE"""),7.0)</f>
        <v>7</v>
      </c>
      <c r="E578" s="1429">
        <f>IFERROR(__xludf.DUMMYFUNCTION("""COMPUTED_VALUE"""),45498.0)</f>
        <v>45498</v>
      </c>
      <c r="F578" s="1429">
        <f>IFERROR(__xludf.DUMMYFUNCTION("""COMPUTED_VALUE"""),45509.0)</f>
        <v>45509</v>
      </c>
      <c r="G578" s="1164">
        <f>IFERROR(__xludf.DUMMYFUNCTION("""COMPUTED_VALUE"""),11.0)</f>
        <v>11</v>
      </c>
      <c r="H578" s="1430">
        <f>IFERROR(__xludf.DUMMYFUNCTION("""COMPUTED_VALUE"""),842.0)</f>
        <v>842</v>
      </c>
      <c r="I578" s="94">
        <f>IFERROR(__xludf.DUMMYFUNCTION("""COMPUTED_VALUE"""),0.0)</f>
        <v>0</v>
      </c>
      <c r="J578" s="94"/>
      <c r="K578" s="94">
        <f>IFERROR(__xludf.DUMMYFUNCTION("""COMPUTED_VALUE"""),40.0)</f>
        <v>40</v>
      </c>
      <c r="L578" s="94">
        <f>IFERROR(__xludf.DUMMYFUNCTION("""COMPUTED_VALUE"""),40.0)</f>
        <v>40</v>
      </c>
      <c r="M578" s="94">
        <f>IFERROR(__xludf.DUMMYFUNCTION("""COMPUTED_VALUE"""),0.0)</f>
        <v>0</v>
      </c>
      <c r="N578" s="94"/>
      <c r="O578" s="1430">
        <f>IFERROR(__xludf.DUMMYFUNCTION("""COMPUTED_VALUE"""),0.0)</f>
        <v>0</v>
      </c>
      <c r="P578" s="1431">
        <f>IFERROR(__xludf.DUMMYFUNCTION("""COMPUTED_VALUE"""),2.7)</f>
        <v>2.7</v>
      </c>
      <c r="Q578" s="1432">
        <f>IFERROR(__xludf.DUMMYFUNCTION("""COMPUTED_VALUE"""),2273.4)</f>
        <v>2273.4</v>
      </c>
    </row>
    <row r="579" ht="15.75" customHeight="1">
      <c r="A579" s="94"/>
      <c r="B579" s="94" t="str">
        <f>IFERROR(__xludf.DUMMYFUNCTION("""COMPUTED_VALUE"""),"WS В 1510")</f>
        <v>WS В 1510</v>
      </c>
      <c r="C579" s="1429" t="str">
        <f>IFERROR(__xludf.DUMMYFUNCTION("""COMPUTED_VALUE"""),"WS")</f>
        <v>WS</v>
      </c>
      <c r="D579" s="1432">
        <f>IFERROR(__xludf.DUMMYFUNCTION("""COMPUTED_VALUE"""),7.0)</f>
        <v>7</v>
      </c>
      <c r="E579" s="1429">
        <f>IFERROR(__xludf.DUMMYFUNCTION("""COMPUTED_VALUE"""),45498.0)</f>
        <v>45498</v>
      </c>
      <c r="F579" s="1429">
        <f>IFERROR(__xludf.DUMMYFUNCTION("""COMPUTED_VALUE"""),45504.0)</f>
        <v>45504</v>
      </c>
      <c r="G579" s="1164">
        <f>IFERROR(__xludf.DUMMYFUNCTION("""COMPUTED_VALUE"""),6.0)</f>
        <v>6</v>
      </c>
      <c r="H579" s="1430">
        <f>IFERROR(__xludf.DUMMYFUNCTION("""COMPUTED_VALUE"""),352.0)</f>
        <v>352</v>
      </c>
      <c r="I579" s="94">
        <f>IFERROR(__xludf.DUMMYFUNCTION("""COMPUTED_VALUE"""),0.0)</f>
        <v>0</v>
      </c>
      <c r="J579" s="94"/>
      <c r="K579" s="94">
        <f>IFERROR(__xludf.DUMMYFUNCTION("""COMPUTED_VALUE"""),60.0)</f>
        <v>60</v>
      </c>
      <c r="L579" s="94">
        <f>IFERROR(__xludf.DUMMYFUNCTION("""COMPUTED_VALUE"""),40.0)</f>
        <v>40</v>
      </c>
      <c r="M579" s="94">
        <f>IFERROR(__xludf.DUMMYFUNCTION("""COMPUTED_VALUE"""),20.0)</f>
        <v>20</v>
      </c>
      <c r="N579" s="94"/>
      <c r="O579" s="1430">
        <f>IFERROR(__xludf.DUMMYFUNCTION("""COMPUTED_VALUE"""),20.0)</f>
        <v>20</v>
      </c>
      <c r="P579" s="1431">
        <f>IFERROR(__xludf.DUMMYFUNCTION("""COMPUTED_VALUE"""),2.7)</f>
        <v>2.7</v>
      </c>
      <c r="Q579" s="1432">
        <f>IFERROR(__xludf.DUMMYFUNCTION("""COMPUTED_VALUE"""),950.4000000000001)</f>
        <v>950.4</v>
      </c>
    </row>
    <row r="580" ht="15.75" customHeight="1">
      <c r="A580" s="94"/>
      <c r="B580" s="94" t="str">
        <f>IFERROR(__xludf.DUMMYFUNCTION("""COMPUTED_VALUE"""),"Int 2905")</f>
        <v>Int 2905</v>
      </c>
      <c r="C580" s="1429" t="str">
        <f>IFERROR(__xludf.DUMMYFUNCTION("""COMPUTED_VALUE"""),"Other")</f>
        <v>Other</v>
      </c>
      <c r="D580" s="1432">
        <f>IFERROR(__xludf.DUMMYFUNCTION("""COMPUTED_VALUE"""),7.0)</f>
        <v>7</v>
      </c>
      <c r="E580" s="1429">
        <f>IFERROR(__xludf.DUMMYFUNCTION("""COMPUTED_VALUE"""),45498.0)</f>
        <v>45498</v>
      </c>
      <c r="F580" s="1429">
        <f>IFERROR(__xludf.DUMMYFUNCTION("""COMPUTED_VALUE"""),45520.0)</f>
        <v>45520</v>
      </c>
      <c r="G580" s="1164">
        <f>IFERROR(__xludf.DUMMYFUNCTION("""COMPUTED_VALUE"""),22.0)</f>
        <v>22</v>
      </c>
      <c r="H580" s="1430">
        <f>IFERROR(__xludf.DUMMYFUNCTION("""COMPUTED_VALUE"""),1284.0)</f>
        <v>1284</v>
      </c>
      <c r="I580" s="94">
        <f>IFERROR(__xludf.DUMMYFUNCTION("""COMPUTED_VALUE"""),0.0)</f>
        <v>0</v>
      </c>
      <c r="J580" s="94"/>
      <c r="K580" s="94">
        <f>IFERROR(__xludf.DUMMYFUNCTION("""COMPUTED_VALUE"""),60.0)</f>
        <v>60</v>
      </c>
      <c r="L580" s="94">
        <f>IFERROR(__xludf.DUMMYFUNCTION("""COMPUTED_VALUE"""),40.0)</f>
        <v>40</v>
      </c>
      <c r="M580" s="94">
        <f>IFERROR(__xludf.DUMMYFUNCTION("""COMPUTED_VALUE"""),20.0)</f>
        <v>20</v>
      </c>
      <c r="N580" s="94"/>
      <c r="O580" s="1430">
        <f>IFERROR(__xludf.DUMMYFUNCTION("""COMPUTED_VALUE"""),20.0)</f>
        <v>20</v>
      </c>
      <c r="P580" s="1431">
        <f>IFERROR(__xludf.DUMMYFUNCTION("""COMPUTED_VALUE"""),2.7)</f>
        <v>2.7</v>
      </c>
      <c r="Q580" s="1432">
        <f>IFERROR(__xludf.DUMMYFUNCTION("""COMPUTED_VALUE"""),3466.8)</f>
        <v>3466.8</v>
      </c>
    </row>
    <row r="581" ht="15.75" customHeight="1">
      <c r="A581" s="94"/>
      <c r="B581" s="94" t="str">
        <f>IFERROR(__xludf.DUMMYFUNCTION("""COMPUTED_VALUE"""),"DL 11-1305")</f>
        <v>DL 11-1305</v>
      </c>
      <c r="C581" s="1429" t="str">
        <f>IFERROR(__xludf.DUMMYFUNCTION("""COMPUTED_VALUE"""),"DL")</f>
        <v>DL</v>
      </c>
      <c r="D581" s="1432">
        <f>IFERROR(__xludf.DUMMYFUNCTION("""COMPUTED_VALUE"""),7.0)</f>
        <v>7</v>
      </c>
      <c r="E581" s="1429">
        <f>IFERROR(__xludf.DUMMYFUNCTION("""COMPUTED_VALUE"""),45498.0)</f>
        <v>45498</v>
      </c>
      <c r="F581" s="1429">
        <f>IFERROR(__xludf.DUMMYFUNCTION("""COMPUTED_VALUE"""),45503.0)</f>
        <v>45503</v>
      </c>
      <c r="G581" s="1164">
        <f>IFERROR(__xludf.DUMMYFUNCTION("""COMPUTED_VALUE"""),5.0)</f>
        <v>5</v>
      </c>
      <c r="H581" s="1430">
        <f>IFERROR(__xludf.DUMMYFUNCTION("""COMPUTED_VALUE"""),654.0)</f>
        <v>654</v>
      </c>
      <c r="I581" s="94">
        <f>IFERROR(__xludf.DUMMYFUNCTION("""COMPUTED_VALUE"""),0.0)</f>
        <v>0</v>
      </c>
      <c r="J581" s="94"/>
      <c r="K581" s="94">
        <f>IFERROR(__xludf.DUMMYFUNCTION("""COMPUTED_VALUE"""),40.0)</f>
        <v>40</v>
      </c>
      <c r="L581" s="94">
        <f>IFERROR(__xludf.DUMMYFUNCTION("""COMPUTED_VALUE"""),40.0)</f>
        <v>40</v>
      </c>
      <c r="M581" s="94">
        <f>IFERROR(__xludf.DUMMYFUNCTION("""COMPUTED_VALUE"""),0.0)</f>
        <v>0</v>
      </c>
      <c r="N581" s="94"/>
      <c r="O581" s="1430">
        <f>IFERROR(__xludf.DUMMYFUNCTION("""COMPUTED_VALUE"""),0.0)</f>
        <v>0</v>
      </c>
      <c r="P581" s="1431">
        <f>IFERROR(__xludf.DUMMYFUNCTION("""COMPUTED_VALUE"""),2.7)</f>
        <v>2.7</v>
      </c>
      <c r="Q581" s="1432">
        <f>IFERROR(__xludf.DUMMYFUNCTION("""COMPUTED_VALUE"""),1765.8000000000002)</f>
        <v>1765.8</v>
      </c>
    </row>
    <row r="582" ht="15.75" customHeight="1">
      <c r="A582" s="94"/>
      <c r="B582" s="94" t="str">
        <f>IFERROR(__xludf.DUMMYFUNCTION("""COMPUTED_VALUE"""),"DL14-1405")</f>
        <v>DL14-1405</v>
      </c>
      <c r="C582" s="1429" t="str">
        <f>IFERROR(__xludf.DUMMYFUNCTION("""COMPUTED_VALUE"""),"DL")</f>
        <v>DL</v>
      </c>
      <c r="D582" s="1432">
        <f>IFERROR(__xludf.DUMMYFUNCTION("""COMPUTED_VALUE"""),7.0)</f>
        <v>7</v>
      </c>
      <c r="E582" s="1429">
        <f>IFERROR(__xludf.DUMMYFUNCTION("""COMPUTED_VALUE"""),45498.0)</f>
        <v>45498</v>
      </c>
      <c r="F582" s="1429">
        <f>IFERROR(__xludf.DUMMYFUNCTION("""COMPUTED_VALUE"""),45503.0)</f>
        <v>45503</v>
      </c>
      <c r="G582" s="1164">
        <f>IFERROR(__xludf.DUMMYFUNCTION("""COMPUTED_VALUE"""),5.0)</f>
        <v>5</v>
      </c>
      <c r="H582" s="94"/>
      <c r="I582" s="94">
        <f>IFERROR(__xludf.DUMMYFUNCTION("""COMPUTED_VALUE"""),2700.0)</f>
        <v>2700</v>
      </c>
      <c r="J582" s="94"/>
      <c r="K582" s="94">
        <f>IFERROR(__xludf.DUMMYFUNCTION("""COMPUTED_VALUE"""),40.0)</f>
        <v>40</v>
      </c>
      <c r="L582" s="94">
        <f>IFERROR(__xludf.DUMMYFUNCTION("""COMPUTED_VALUE"""),40.0)</f>
        <v>40</v>
      </c>
      <c r="M582" s="94">
        <f>IFERROR(__xludf.DUMMYFUNCTION("""COMPUTED_VALUE"""),0.0)</f>
        <v>0</v>
      </c>
      <c r="N582" s="94"/>
      <c r="O582" s="1430">
        <f>IFERROR(__xludf.DUMMYFUNCTION("""COMPUTED_VALUE"""),0.0)</f>
        <v>0</v>
      </c>
      <c r="P582" s="1431">
        <f>IFERROR(__xludf.DUMMYFUNCTION("""COMPUTED_VALUE"""),2.7)</f>
        <v>2.7</v>
      </c>
      <c r="Q582" s="1432">
        <f>IFERROR(__xludf.DUMMYFUNCTION("""COMPUTED_VALUE"""),2700.0)</f>
        <v>2700</v>
      </c>
    </row>
    <row r="583" ht="15.75" customHeight="1">
      <c r="A583" s="94"/>
      <c r="B583" s="94" t="str">
        <f>IFERROR(__xludf.DUMMYFUNCTION("""COMPUTED_VALUE"""),"С 1125")</f>
        <v>С 1125</v>
      </c>
      <c r="C583" s="1429" t="str">
        <f>IFERROR(__xludf.DUMMYFUNCTION("""COMPUTED_VALUE"""),"ORBI")</f>
        <v>ORBI</v>
      </c>
      <c r="D583" s="1432">
        <f>IFERROR(__xludf.DUMMYFUNCTION("""COMPUTED_VALUE"""),7.0)</f>
        <v>7</v>
      </c>
      <c r="E583" s="1429">
        <f>IFERROR(__xludf.DUMMYFUNCTION("""COMPUTED_VALUE"""),45499.0)</f>
        <v>45499</v>
      </c>
      <c r="F583" s="1429">
        <f>IFERROR(__xludf.DUMMYFUNCTION("""COMPUTED_VALUE"""),45501.0)</f>
        <v>45501</v>
      </c>
      <c r="G583" s="1164">
        <f>IFERROR(__xludf.DUMMYFUNCTION("""COMPUTED_VALUE"""),2.0)</f>
        <v>2</v>
      </c>
      <c r="H583" s="1430">
        <f>IFERROR(__xludf.DUMMYFUNCTION("""COMPUTED_VALUE"""),90.0)</f>
        <v>90</v>
      </c>
      <c r="I583" s="94">
        <f>IFERROR(__xludf.DUMMYFUNCTION("""COMPUTED_VALUE"""),0.0)</f>
        <v>0</v>
      </c>
      <c r="J583" s="94"/>
      <c r="K583" s="94">
        <f>IFERROR(__xludf.DUMMYFUNCTION("""COMPUTED_VALUE"""),50.0)</f>
        <v>50</v>
      </c>
      <c r="L583" s="94">
        <f>IFERROR(__xludf.DUMMYFUNCTION("""COMPUTED_VALUE"""),40.0)</f>
        <v>40</v>
      </c>
      <c r="M583" s="94">
        <f>IFERROR(__xludf.DUMMYFUNCTION("""COMPUTED_VALUE"""),10.0)</f>
        <v>10</v>
      </c>
      <c r="N583" s="94"/>
      <c r="O583" s="1430">
        <f>IFERROR(__xludf.DUMMYFUNCTION("""COMPUTED_VALUE"""),10.0)</f>
        <v>10</v>
      </c>
      <c r="P583" s="1431">
        <f>IFERROR(__xludf.DUMMYFUNCTION("""COMPUTED_VALUE"""),2.7)</f>
        <v>2.7</v>
      </c>
      <c r="Q583" s="1432">
        <f>IFERROR(__xludf.DUMMYFUNCTION("""COMPUTED_VALUE"""),243.00000000000003)</f>
        <v>243</v>
      </c>
    </row>
    <row r="584" ht="15.75" customHeight="1">
      <c r="A584" s="94"/>
      <c r="B584" s="94" t="str">
        <f>IFERROR(__xludf.DUMMYFUNCTION("""COMPUTED_VALUE"""),"WS A 608")</f>
        <v>WS A 608</v>
      </c>
      <c r="C584" s="1429" t="str">
        <f>IFERROR(__xludf.DUMMYFUNCTION("""COMPUTED_VALUE"""),"WS")</f>
        <v>WS</v>
      </c>
      <c r="D584" s="1432">
        <f>IFERROR(__xludf.DUMMYFUNCTION("""COMPUTED_VALUE"""),7.0)</f>
        <v>7</v>
      </c>
      <c r="E584" s="1429">
        <f>IFERROR(__xludf.DUMMYFUNCTION("""COMPUTED_VALUE"""),45498.0)</f>
        <v>45498</v>
      </c>
      <c r="F584" s="1429">
        <f>IFERROR(__xludf.DUMMYFUNCTION("""COMPUTED_VALUE"""),45509.0)</f>
        <v>45509</v>
      </c>
      <c r="G584" s="1164">
        <f>IFERROR(__xludf.DUMMYFUNCTION("""COMPUTED_VALUE"""),11.0)</f>
        <v>11</v>
      </c>
      <c r="H584" s="1430">
        <f>IFERROR(__xludf.DUMMYFUNCTION("""COMPUTED_VALUE"""),200.0)</f>
        <v>200</v>
      </c>
      <c r="I584" s="94"/>
      <c r="J584" s="94"/>
      <c r="K584" s="94">
        <f>IFERROR(__xludf.DUMMYFUNCTION("""COMPUTED_VALUE"""),60.0)</f>
        <v>60</v>
      </c>
      <c r="L584" s="94">
        <f>IFERROR(__xludf.DUMMYFUNCTION("""COMPUTED_VALUE"""),40.0)</f>
        <v>40</v>
      </c>
      <c r="M584" s="94">
        <f>IFERROR(__xludf.DUMMYFUNCTION("""COMPUTED_VALUE"""),20.0)</f>
        <v>20</v>
      </c>
      <c r="N584" s="94"/>
      <c r="O584" s="1430">
        <f>IFERROR(__xludf.DUMMYFUNCTION("""COMPUTED_VALUE"""),20.0)</f>
        <v>20</v>
      </c>
      <c r="P584" s="1431">
        <f>IFERROR(__xludf.DUMMYFUNCTION("""COMPUTED_VALUE"""),2.7)</f>
        <v>2.7</v>
      </c>
      <c r="Q584" s="1432">
        <f>IFERROR(__xludf.DUMMYFUNCTION("""COMPUTED_VALUE"""),675.0)</f>
        <v>675</v>
      </c>
    </row>
    <row r="585" ht="15.75" customHeight="1">
      <c r="A585" s="94"/>
      <c r="B585" s="94" t="str">
        <f>IFERROR(__xludf.DUMMYFUNCTION("""COMPUTED_VALUE"""),"WS A 409")</f>
        <v>WS A 409</v>
      </c>
      <c r="C585" s="1429" t="str">
        <f>IFERROR(__xludf.DUMMYFUNCTION("""COMPUTED_VALUE"""),"WS")</f>
        <v>WS</v>
      </c>
      <c r="D585" s="1432">
        <f>IFERROR(__xludf.DUMMYFUNCTION("""COMPUTED_VALUE"""),7.0)</f>
        <v>7</v>
      </c>
      <c r="E585" s="1429">
        <f>IFERROR(__xludf.DUMMYFUNCTION("""COMPUTED_VALUE"""),45498.0)</f>
        <v>45498</v>
      </c>
      <c r="F585" s="1429">
        <f>IFERROR(__xludf.DUMMYFUNCTION("""COMPUTED_VALUE"""),45509.0)</f>
        <v>45509</v>
      </c>
      <c r="G585" s="1164">
        <f>IFERROR(__xludf.DUMMYFUNCTION("""COMPUTED_VALUE"""),11.0)</f>
        <v>11</v>
      </c>
      <c r="H585" s="94"/>
      <c r="I585" s="94">
        <f>IFERROR(__xludf.DUMMYFUNCTION("""COMPUTED_VALUE"""),637.0)</f>
        <v>637</v>
      </c>
      <c r="J585" s="94"/>
      <c r="K585" s="94">
        <f>IFERROR(__xludf.DUMMYFUNCTION("""COMPUTED_VALUE"""),60.0)</f>
        <v>60</v>
      </c>
      <c r="L585" s="94">
        <f>IFERROR(__xludf.DUMMYFUNCTION("""COMPUTED_VALUE"""),40.0)</f>
        <v>40</v>
      </c>
      <c r="M585" s="94">
        <f>IFERROR(__xludf.DUMMYFUNCTION("""COMPUTED_VALUE"""),20.0)</f>
        <v>20</v>
      </c>
      <c r="N585" s="94"/>
      <c r="O585" s="1430">
        <f>IFERROR(__xludf.DUMMYFUNCTION("""COMPUTED_VALUE"""),20.0)</f>
        <v>20</v>
      </c>
      <c r="P585" s="1431">
        <f>IFERROR(__xludf.DUMMYFUNCTION("""COMPUTED_VALUE"""),2.7)</f>
        <v>2.7</v>
      </c>
      <c r="Q585" s="1432">
        <f>IFERROR(__xludf.DUMMYFUNCTION("""COMPUTED_VALUE"""),637.0)</f>
        <v>637</v>
      </c>
    </row>
    <row r="586" ht="15.75" customHeight="1">
      <c r="A586" s="94"/>
      <c r="B586" s="94" t="str">
        <f>IFERROR(__xludf.DUMMYFUNCTION("""COMPUTED_VALUE"""),"WS В 503")</f>
        <v>WS В 503</v>
      </c>
      <c r="C586" s="1429" t="str">
        <f>IFERROR(__xludf.DUMMYFUNCTION("""COMPUTED_VALUE"""),"WS")</f>
        <v>WS</v>
      </c>
      <c r="D586" s="1432">
        <f>IFERROR(__xludf.DUMMYFUNCTION("""COMPUTED_VALUE"""),7.0)</f>
        <v>7</v>
      </c>
      <c r="E586" s="1429">
        <f>IFERROR(__xludf.DUMMYFUNCTION("""COMPUTED_VALUE"""),45498.0)</f>
        <v>45498</v>
      </c>
      <c r="F586" s="1429">
        <f>IFERROR(__xludf.DUMMYFUNCTION("""COMPUTED_VALUE"""),45504.0)</f>
        <v>45504</v>
      </c>
      <c r="G586" s="1164">
        <f>IFERROR(__xludf.DUMMYFUNCTION("""COMPUTED_VALUE"""),6.0)</f>
        <v>6</v>
      </c>
      <c r="H586" s="94"/>
      <c r="I586" s="94">
        <f>IFERROR(__xludf.DUMMYFUNCTION("""COMPUTED_VALUE"""),1825.0)</f>
        <v>1825</v>
      </c>
      <c r="J586" s="94"/>
      <c r="K586" s="94">
        <f>IFERROR(__xludf.DUMMYFUNCTION("""COMPUTED_VALUE"""),70.0)</f>
        <v>70</v>
      </c>
      <c r="L586" s="94">
        <f>IFERROR(__xludf.DUMMYFUNCTION("""COMPUTED_VALUE"""),40.0)</f>
        <v>40</v>
      </c>
      <c r="M586" s="94">
        <f>IFERROR(__xludf.DUMMYFUNCTION("""COMPUTED_VALUE"""),30.0)</f>
        <v>30</v>
      </c>
      <c r="N586" s="94"/>
      <c r="O586" s="1430">
        <f>IFERROR(__xludf.DUMMYFUNCTION("""COMPUTED_VALUE"""),30.0)</f>
        <v>30</v>
      </c>
      <c r="P586" s="1431">
        <f>IFERROR(__xludf.DUMMYFUNCTION("""COMPUTED_VALUE"""),2.7)</f>
        <v>2.7</v>
      </c>
      <c r="Q586" s="1432">
        <f>IFERROR(__xludf.DUMMYFUNCTION("""COMPUTED_VALUE"""),1825.0)</f>
        <v>1825</v>
      </c>
    </row>
    <row r="587" ht="15.75" customHeight="1">
      <c r="A587" s="94"/>
      <c r="B587" s="94" t="str">
        <f>IFERROR(__xludf.DUMMYFUNCTION("""COMPUTED_VALUE"""),"WS В 212")</f>
        <v>WS В 212</v>
      </c>
      <c r="C587" s="1429" t="str">
        <f>IFERROR(__xludf.DUMMYFUNCTION("""COMPUTED_VALUE"""),"WS")</f>
        <v>WS</v>
      </c>
      <c r="D587" s="1432">
        <f>IFERROR(__xludf.DUMMYFUNCTION("""COMPUTED_VALUE"""),7.0)</f>
        <v>7</v>
      </c>
      <c r="E587" s="1429">
        <f>IFERROR(__xludf.DUMMYFUNCTION("""COMPUTED_VALUE"""),45499.0)</f>
        <v>45499</v>
      </c>
      <c r="F587" s="1429">
        <f>IFERROR(__xludf.DUMMYFUNCTION("""COMPUTED_VALUE"""),45501.0)</f>
        <v>45501</v>
      </c>
      <c r="G587" s="1164">
        <f>IFERROR(__xludf.DUMMYFUNCTION("""COMPUTED_VALUE"""),2.0)</f>
        <v>2</v>
      </c>
      <c r="H587" s="94"/>
      <c r="I587" s="94">
        <f>IFERROR(__xludf.DUMMYFUNCTION("""COMPUTED_VALUE"""),647.0)</f>
        <v>647</v>
      </c>
      <c r="J587" s="94"/>
      <c r="K587" s="94">
        <f>IFERROR(__xludf.DUMMYFUNCTION("""COMPUTED_VALUE"""),70.0)</f>
        <v>70</v>
      </c>
      <c r="L587" s="94">
        <f>IFERROR(__xludf.DUMMYFUNCTION("""COMPUTED_VALUE"""),40.0)</f>
        <v>40</v>
      </c>
      <c r="M587" s="94">
        <f>IFERROR(__xludf.DUMMYFUNCTION("""COMPUTED_VALUE"""),30.0)</f>
        <v>30</v>
      </c>
      <c r="N587" s="94"/>
      <c r="O587" s="1430">
        <f>IFERROR(__xludf.DUMMYFUNCTION("""COMPUTED_VALUE"""),30.0)</f>
        <v>30</v>
      </c>
      <c r="P587" s="1431">
        <f>IFERROR(__xludf.DUMMYFUNCTION("""COMPUTED_VALUE"""),2.7)</f>
        <v>2.7</v>
      </c>
      <c r="Q587" s="1432">
        <f>IFERROR(__xludf.DUMMYFUNCTION("""COMPUTED_VALUE"""),647.0)</f>
        <v>647</v>
      </c>
    </row>
    <row r="588" ht="15.75" customHeight="1">
      <c r="A588" s="94"/>
      <c r="B588" s="94" t="str">
        <f>IFERROR(__xludf.DUMMYFUNCTION("""COMPUTED_VALUE"""),"WS  B 405")</f>
        <v>WS  B 405</v>
      </c>
      <c r="C588" s="1429" t="str">
        <f>IFERROR(__xludf.DUMMYFUNCTION("""COMPUTED_VALUE"""),"WS")</f>
        <v>WS</v>
      </c>
      <c r="D588" s="1432">
        <f>IFERROR(__xludf.DUMMYFUNCTION("""COMPUTED_VALUE"""),7.0)</f>
        <v>7</v>
      </c>
      <c r="E588" s="1429">
        <f>IFERROR(__xludf.DUMMYFUNCTION("""COMPUTED_VALUE"""),45499.0)</f>
        <v>45499</v>
      </c>
      <c r="F588" s="1429">
        <f>IFERROR(__xludf.DUMMYFUNCTION("""COMPUTED_VALUE"""),45501.0)</f>
        <v>45501</v>
      </c>
      <c r="G588" s="1164">
        <f>IFERROR(__xludf.DUMMYFUNCTION("""COMPUTED_VALUE"""),2.0)</f>
        <v>2</v>
      </c>
      <c r="H588" s="94"/>
      <c r="I588" s="94">
        <f>IFERROR(__xludf.DUMMYFUNCTION("""COMPUTED_VALUE"""),450.0)</f>
        <v>450</v>
      </c>
      <c r="J588" s="94"/>
      <c r="K588" s="94">
        <f>IFERROR(__xludf.DUMMYFUNCTION("""COMPUTED_VALUE"""),60.0)</f>
        <v>60</v>
      </c>
      <c r="L588" s="94">
        <f>IFERROR(__xludf.DUMMYFUNCTION("""COMPUTED_VALUE"""),40.0)</f>
        <v>40</v>
      </c>
      <c r="M588" s="94">
        <f>IFERROR(__xludf.DUMMYFUNCTION("""COMPUTED_VALUE"""),20.0)</f>
        <v>20</v>
      </c>
      <c r="N588" s="94"/>
      <c r="O588" s="1430">
        <f>IFERROR(__xludf.DUMMYFUNCTION("""COMPUTED_VALUE"""),20.0)</f>
        <v>20</v>
      </c>
      <c r="P588" s="1431">
        <f>IFERROR(__xludf.DUMMYFUNCTION("""COMPUTED_VALUE"""),2.7)</f>
        <v>2.7</v>
      </c>
      <c r="Q588" s="1432">
        <f>IFERROR(__xludf.DUMMYFUNCTION("""COMPUTED_VALUE"""),450.0)</f>
        <v>450</v>
      </c>
    </row>
    <row r="589" ht="15.75" customHeight="1">
      <c r="A589" s="94"/>
      <c r="B589" s="94" t="str">
        <f>IFERROR(__xludf.DUMMYFUNCTION("""COMPUTED_VALUE"""),"WS E 1202")</f>
        <v>WS E 1202</v>
      </c>
      <c r="C589" s="1429" t="str">
        <f>IFERROR(__xludf.DUMMYFUNCTION("""COMPUTED_VALUE"""),"WS")</f>
        <v>WS</v>
      </c>
      <c r="D589" s="1432">
        <f>IFERROR(__xludf.DUMMYFUNCTION("""COMPUTED_VALUE"""),7.0)</f>
        <v>7</v>
      </c>
      <c r="E589" s="1429">
        <f>IFERROR(__xludf.DUMMYFUNCTION("""COMPUTED_VALUE"""),45499.0)</f>
        <v>45499</v>
      </c>
      <c r="F589" s="1429">
        <f>IFERROR(__xludf.DUMMYFUNCTION("""COMPUTED_VALUE"""),45501.0)</f>
        <v>45501</v>
      </c>
      <c r="G589" s="1164">
        <f>IFERROR(__xludf.DUMMYFUNCTION("""COMPUTED_VALUE"""),2.0)</f>
        <v>2</v>
      </c>
      <c r="H589" s="1430">
        <f>IFERROR(__xludf.DUMMYFUNCTION("""COMPUTED_VALUE"""),184.0)</f>
        <v>184</v>
      </c>
      <c r="I589" s="94">
        <f>IFERROR(__xludf.DUMMYFUNCTION("""COMPUTED_VALUE"""),0.0)</f>
        <v>0</v>
      </c>
      <c r="J589" s="94"/>
      <c r="K589" s="94">
        <f>IFERROR(__xludf.DUMMYFUNCTION("""COMPUTED_VALUE"""),70.0)</f>
        <v>70</v>
      </c>
      <c r="L589" s="94">
        <f>IFERROR(__xludf.DUMMYFUNCTION("""COMPUTED_VALUE"""),40.0)</f>
        <v>40</v>
      </c>
      <c r="M589" s="94">
        <f>IFERROR(__xludf.DUMMYFUNCTION("""COMPUTED_VALUE"""),30.0)</f>
        <v>30</v>
      </c>
      <c r="N589" s="94"/>
      <c r="O589" s="1430">
        <f>IFERROR(__xludf.DUMMYFUNCTION("""COMPUTED_VALUE"""),30.0)</f>
        <v>30</v>
      </c>
      <c r="P589" s="1431">
        <f>IFERROR(__xludf.DUMMYFUNCTION("""COMPUTED_VALUE"""),2.7)</f>
        <v>2.7</v>
      </c>
      <c r="Q589" s="1432">
        <f>IFERROR(__xludf.DUMMYFUNCTION("""COMPUTED_VALUE"""),496.8)</f>
        <v>496.8</v>
      </c>
    </row>
    <row r="590" ht="15.75" customHeight="1">
      <c r="A590" s="94"/>
      <c r="B590" s="94" t="str">
        <f>IFERROR(__xludf.DUMMYFUNCTION("""COMPUTED_VALUE"""),"DL 4-09")</f>
        <v>DL 4-09</v>
      </c>
      <c r="C590" s="1429" t="str">
        <f>IFERROR(__xludf.DUMMYFUNCTION("""COMPUTED_VALUE"""),"DL")</f>
        <v>DL</v>
      </c>
      <c r="D590" s="1432">
        <f>IFERROR(__xludf.DUMMYFUNCTION("""COMPUTED_VALUE"""),7.0)</f>
        <v>7</v>
      </c>
      <c r="E590" s="1429">
        <f>IFERROR(__xludf.DUMMYFUNCTION("""COMPUTED_VALUE"""),45499.0)</f>
        <v>45499</v>
      </c>
      <c r="F590" s="1429">
        <f>IFERROR(__xludf.DUMMYFUNCTION("""COMPUTED_VALUE"""),45501.0)</f>
        <v>45501</v>
      </c>
      <c r="G590" s="1164">
        <f>IFERROR(__xludf.DUMMYFUNCTION("""COMPUTED_VALUE"""),2.0)</f>
        <v>2</v>
      </c>
      <c r="H590" s="94"/>
      <c r="I590" s="94">
        <f>IFERROR(__xludf.DUMMYFUNCTION("""COMPUTED_VALUE"""),490.0)</f>
        <v>490</v>
      </c>
      <c r="J590" s="94"/>
      <c r="K590" s="94">
        <f>IFERROR(__xludf.DUMMYFUNCTION("""COMPUTED_VALUE"""),40.0)</f>
        <v>40</v>
      </c>
      <c r="L590" s="94">
        <f>IFERROR(__xludf.DUMMYFUNCTION("""COMPUTED_VALUE"""),40.0)</f>
        <v>40</v>
      </c>
      <c r="M590" s="94">
        <f>IFERROR(__xludf.DUMMYFUNCTION("""COMPUTED_VALUE"""),0.0)</f>
        <v>0</v>
      </c>
      <c r="N590" s="94"/>
      <c r="O590" s="1430">
        <f>IFERROR(__xludf.DUMMYFUNCTION("""COMPUTED_VALUE"""),0.0)</f>
        <v>0</v>
      </c>
      <c r="P590" s="1431">
        <f>IFERROR(__xludf.DUMMYFUNCTION("""COMPUTED_VALUE"""),2.7)</f>
        <v>2.7</v>
      </c>
      <c r="Q590" s="1432">
        <f>IFERROR(__xludf.DUMMYFUNCTION("""COMPUTED_VALUE"""),490.0)</f>
        <v>490</v>
      </c>
    </row>
    <row r="591" ht="15.75" customHeight="1">
      <c r="A591" s="94"/>
      <c r="B591" s="94" t="str">
        <f>IFERROR(__xludf.DUMMYFUNCTION("""COMPUTED_VALUE"""),"Wyn")</f>
        <v>Wyn</v>
      </c>
      <c r="C591" s="1429" t="str">
        <f>IFERROR(__xludf.DUMMYFUNCTION("""COMPUTED_VALUE"""),"Other")</f>
        <v>Other</v>
      </c>
      <c r="D591" s="1432">
        <f>IFERROR(__xludf.DUMMYFUNCTION("""COMPUTED_VALUE"""),7.0)</f>
        <v>7</v>
      </c>
      <c r="E591" s="1429">
        <f>IFERROR(__xludf.DUMMYFUNCTION("""COMPUTED_VALUE"""),45500.0)</f>
        <v>45500</v>
      </c>
      <c r="F591" s="1429">
        <f>IFERROR(__xludf.DUMMYFUNCTION("""COMPUTED_VALUE"""),45507.0)</f>
        <v>45507</v>
      </c>
      <c r="G591" s="1164">
        <f>IFERROR(__xludf.DUMMYFUNCTION("""COMPUTED_VALUE"""),7.0)</f>
        <v>7</v>
      </c>
      <c r="H591" s="1430">
        <f>IFERROR(__xludf.DUMMYFUNCTION("""COMPUTED_VALUE"""),329.0)</f>
        <v>329</v>
      </c>
      <c r="I591" s="94">
        <f>IFERROR(__xludf.DUMMYFUNCTION("""COMPUTED_VALUE"""),0.0)</f>
        <v>0</v>
      </c>
      <c r="J591" s="94"/>
      <c r="K591" s="94">
        <f>IFERROR(__xludf.DUMMYFUNCTION("""COMPUTED_VALUE"""),70.0)</f>
        <v>70</v>
      </c>
      <c r="L591" s="94">
        <f>IFERROR(__xludf.DUMMYFUNCTION("""COMPUTED_VALUE"""),40.0)</f>
        <v>40</v>
      </c>
      <c r="M591" s="94">
        <f>IFERROR(__xludf.DUMMYFUNCTION("""COMPUTED_VALUE"""),30.0)</f>
        <v>30</v>
      </c>
      <c r="N591" s="94"/>
      <c r="O591" s="1430">
        <f>IFERROR(__xludf.DUMMYFUNCTION("""COMPUTED_VALUE"""),30.0)</f>
        <v>30</v>
      </c>
      <c r="P591" s="1431">
        <f>IFERROR(__xludf.DUMMYFUNCTION("""COMPUTED_VALUE"""),2.7)</f>
        <v>2.7</v>
      </c>
      <c r="Q591" s="1432">
        <f>IFERROR(__xludf.DUMMYFUNCTION("""COMPUTED_VALUE"""),888.3000000000001)</f>
        <v>888.3</v>
      </c>
    </row>
    <row r="592" ht="15.75" customHeight="1">
      <c r="A592" s="94"/>
      <c r="B592" s="94" t="str">
        <f>IFERROR(__xludf.DUMMYFUNCTION("""COMPUTED_VALUE"""),"DL 14-1214")</f>
        <v>DL 14-1214</v>
      </c>
      <c r="C592" s="1429" t="str">
        <f>IFERROR(__xludf.DUMMYFUNCTION("""COMPUTED_VALUE"""),"DL")</f>
        <v>DL</v>
      </c>
      <c r="D592" s="1432">
        <f>IFERROR(__xludf.DUMMYFUNCTION("""COMPUTED_VALUE"""),7.0)</f>
        <v>7</v>
      </c>
      <c r="E592" s="1429">
        <f>IFERROR(__xludf.DUMMYFUNCTION("""COMPUTED_VALUE"""),45500.0)</f>
        <v>45500</v>
      </c>
      <c r="F592" s="1429">
        <f>IFERROR(__xludf.DUMMYFUNCTION("""COMPUTED_VALUE"""),45502.0)</f>
        <v>45502</v>
      </c>
      <c r="G592" s="1164">
        <f>IFERROR(__xludf.DUMMYFUNCTION("""COMPUTED_VALUE"""),2.0)</f>
        <v>2</v>
      </c>
      <c r="H592" s="1430">
        <f>IFERROR(__xludf.DUMMYFUNCTION("""COMPUTED_VALUE"""),180.0)</f>
        <v>180</v>
      </c>
      <c r="I592" s="94">
        <f>IFERROR(__xludf.DUMMYFUNCTION("""COMPUTED_VALUE"""),0.0)</f>
        <v>0</v>
      </c>
      <c r="J592" s="94"/>
      <c r="K592" s="94">
        <f>IFERROR(__xludf.DUMMYFUNCTION("""COMPUTED_VALUE"""),40.0)</f>
        <v>40</v>
      </c>
      <c r="L592" s="94">
        <f>IFERROR(__xludf.DUMMYFUNCTION("""COMPUTED_VALUE"""),40.0)</f>
        <v>40</v>
      </c>
      <c r="M592" s="94">
        <f>IFERROR(__xludf.DUMMYFUNCTION("""COMPUTED_VALUE"""),0.0)</f>
        <v>0</v>
      </c>
      <c r="N592" s="94"/>
      <c r="O592" s="1430">
        <f>IFERROR(__xludf.DUMMYFUNCTION("""COMPUTED_VALUE"""),0.0)</f>
        <v>0</v>
      </c>
      <c r="P592" s="1431">
        <f>IFERROR(__xludf.DUMMYFUNCTION("""COMPUTED_VALUE"""),2.7)</f>
        <v>2.7</v>
      </c>
      <c r="Q592" s="1432">
        <f>IFERROR(__xludf.DUMMYFUNCTION("""COMPUTED_VALUE"""),486.00000000000006)</f>
        <v>486</v>
      </c>
    </row>
    <row r="593" ht="15.75" customHeight="1">
      <c r="A593" s="94"/>
      <c r="B593" s="94" t="str">
        <f>IFERROR(__xludf.DUMMYFUNCTION("""COMPUTED_VALUE"""),"DL14-1707")</f>
        <v>DL14-1707</v>
      </c>
      <c r="C593" s="1429" t="str">
        <f>IFERROR(__xludf.DUMMYFUNCTION("""COMPUTED_VALUE"""),"DL")</f>
        <v>DL</v>
      </c>
      <c r="D593" s="1432">
        <f>IFERROR(__xludf.DUMMYFUNCTION("""COMPUTED_VALUE"""),7.0)</f>
        <v>7</v>
      </c>
      <c r="E593" s="1429">
        <f>IFERROR(__xludf.DUMMYFUNCTION("""COMPUTED_VALUE"""),45500.0)</f>
        <v>45500</v>
      </c>
      <c r="F593" s="1429">
        <f>IFERROR(__xludf.DUMMYFUNCTION("""COMPUTED_VALUE"""),45502.0)</f>
        <v>45502</v>
      </c>
      <c r="G593" s="1164">
        <f>IFERROR(__xludf.DUMMYFUNCTION("""COMPUTED_VALUE"""),2.0)</f>
        <v>2</v>
      </c>
      <c r="H593" s="1430">
        <f>IFERROR(__xludf.DUMMYFUNCTION("""COMPUTED_VALUE"""),180.0)</f>
        <v>180</v>
      </c>
      <c r="I593" s="94">
        <f>IFERROR(__xludf.DUMMYFUNCTION("""COMPUTED_VALUE"""),0.0)</f>
        <v>0</v>
      </c>
      <c r="J593" s="94"/>
      <c r="K593" s="94">
        <f>IFERROR(__xludf.DUMMYFUNCTION("""COMPUTED_VALUE"""),40.0)</f>
        <v>40</v>
      </c>
      <c r="L593" s="94">
        <f>IFERROR(__xludf.DUMMYFUNCTION("""COMPUTED_VALUE"""),40.0)</f>
        <v>40</v>
      </c>
      <c r="M593" s="94">
        <f>IFERROR(__xludf.DUMMYFUNCTION("""COMPUTED_VALUE"""),0.0)</f>
        <v>0</v>
      </c>
      <c r="N593" s="94"/>
      <c r="O593" s="1430">
        <f>IFERROR(__xludf.DUMMYFUNCTION("""COMPUTED_VALUE"""),0.0)</f>
        <v>0</v>
      </c>
      <c r="P593" s="1431">
        <f>IFERROR(__xludf.DUMMYFUNCTION("""COMPUTED_VALUE"""),2.7)</f>
        <v>2.7</v>
      </c>
      <c r="Q593" s="1432">
        <f>IFERROR(__xludf.DUMMYFUNCTION("""COMPUTED_VALUE"""),486.00000000000006)</f>
        <v>486</v>
      </c>
    </row>
    <row r="594" ht="15.75" customHeight="1">
      <c r="A594" s="94"/>
      <c r="B594" s="94" t="str">
        <f>IFERROR(__xludf.DUMMYFUNCTION("""COMPUTED_VALUE"""),"DL 14-702")</f>
        <v>DL 14-702</v>
      </c>
      <c r="C594" s="1429" t="str">
        <f>IFERROR(__xludf.DUMMYFUNCTION("""COMPUTED_VALUE"""),"DL")</f>
        <v>DL</v>
      </c>
      <c r="D594" s="1432">
        <f>IFERROR(__xludf.DUMMYFUNCTION("""COMPUTED_VALUE"""),7.0)</f>
        <v>7</v>
      </c>
      <c r="E594" s="1429">
        <f>IFERROR(__xludf.DUMMYFUNCTION("""COMPUTED_VALUE"""),45499.0)</f>
        <v>45499</v>
      </c>
      <c r="F594" s="1429">
        <f>IFERROR(__xludf.DUMMYFUNCTION("""COMPUTED_VALUE"""),45505.0)</f>
        <v>45505</v>
      </c>
      <c r="G594" s="1164">
        <f>IFERROR(__xludf.DUMMYFUNCTION("""COMPUTED_VALUE"""),6.0)</f>
        <v>6</v>
      </c>
      <c r="H594" s="1430">
        <f>IFERROR(__xludf.DUMMYFUNCTION("""COMPUTED_VALUE"""),720.0)</f>
        <v>720</v>
      </c>
      <c r="I594" s="94">
        <f>IFERROR(__xludf.DUMMYFUNCTION("""COMPUTED_VALUE"""),0.0)</f>
        <v>0</v>
      </c>
      <c r="J594" s="94"/>
      <c r="K594" s="94">
        <f>IFERROR(__xludf.DUMMYFUNCTION("""COMPUTED_VALUE"""),40.0)</f>
        <v>40</v>
      </c>
      <c r="L594" s="94">
        <f>IFERROR(__xludf.DUMMYFUNCTION("""COMPUTED_VALUE"""),40.0)</f>
        <v>40</v>
      </c>
      <c r="M594" s="94">
        <f>IFERROR(__xludf.DUMMYFUNCTION("""COMPUTED_VALUE"""),0.0)</f>
        <v>0</v>
      </c>
      <c r="N594" s="94"/>
      <c r="O594" s="1430">
        <f>IFERROR(__xludf.DUMMYFUNCTION("""COMPUTED_VALUE"""),0.0)</f>
        <v>0</v>
      </c>
      <c r="P594" s="1431">
        <f>IFERROR(__xludf.DUMMYFUNCTION("""COMPUTED_VALUE"""),2.7)</f>
        <v>2.7</v>
      </c>
      <c r="Q594" s="1432">
        <f>IFERROR(__xludf.DUMMYFUNCTION("""COMPUTED_VALUE"""),1944.0000000000002)</f>
        <v>1944</v>
      </c>
    </row>
    <row r="595" ht="15.75" customHeight="1">
      <c r="A595" s="94"/>
      <c r="B595" s="94" t="str">
        <f>IFERROR(__xludf.DUMMYFUNCTION("""COMPUTED_VALUE"""),"CM 1606")</f>
        <v>CM 1606</v>
      </c>
      <c r="C595" s="1429" t="str">
        <f>IFERROR(__xludf.DUMMYFUNCTION("""COMPUTED_VALUE"""),"MAR")</f>
        <v>MAR</v>
      </c>
      <c r="D595" s="1432">
        <f>IFERROR(__xludf.DUMMYFUNCTION("""COMPUTED_VALUE"""),7.0)</f>
        <v>7</v>
      </c>
      <c r="E595" s="1429">
        <f>IFERROR(__xludf.DUMMYFUNCTION("""COMPUTED_VALUE"""),45500.0)</f>
        <v>45500</v>
      </c>
      <c r="F595" s="1429">
        <f>IFERROR(__xludf.DUMMYFUNCTION("""COMPUTED_VALUE"""),45503.0)</f>
        <v>45503</v>
      </c>
      <c r="G595" s="1164">
        <f>IFERROR(__xludf.DUMMYFUNCTION("""COMPUTED_VALUE"""),3.0)</f>
        <v>3</v>
      </c>
      <c r="H595" s="1430">
        <f>IFERROR(__xludf.DUMMYFUNCTION("""COMPUTED_VALUE"""),187.0)</f>
        <v>187</v>
      </c>
      <c r="I595" s="94">
        <f>IFERROR(__xludf.DUMMYFUNCTION("""COMPUTED_VALUE"""),0.0)</f>
        <v>0</v>
      </c>
      <c r="J595" s="94"/>
      <c r="K595" s="94">
        <f>IFERROR(__xludf.DUMMYFUNCTION("""COMPUTED_VALUE"""),60.0)</f>
        <v>60</v>
      </c>
      <c r="L595" s="94">
        <f>IFERROR(__xludf.DUMMYFUNCTION("""COMPUTED_VALUE"""),40.0)</f>
        <v>40</v>
      </c>
      <c r="M595" s="94">
        <f>IFERROR(__xludf.DUMMYFUNCTION("""COMPUTED_VALUE"""),20.0)</f>
        <v>20</v>
      </c>
      <c r="N595" s="94"/>
      <c r="O595" s="1430">
        <f>IFERROR(__xludf.DUMMYFUNCTION("""COMPUTED_VALUE"""),20.0)</f>
        <v>20</v>
      </c>
      <c r="P595" s="1431">
        <f>IFERROR(__xludf.DUMMYFUNCTION("""COMPUTED_VALUE"""),2.7)</f>
        <v>2.7</v>
      </c>
      <c r="Q595" s="1432">
        <f>IFERROR(__xludf.DUMMYFUNCTION("""COMPUTED_VALUE"""),504.90000000000003)</f>
        <v>504.9</v>
      </c>
    </row>
    <row r="596" ht="15.75" customHeight="1">
      <c r="A596" s="94"/>
      <c r="B596" s="94" t="str">
        <f>IFERROR(__xludf.DUMMYFUNCTION("""COMPUTED_VALUE"""),"CM 1604")</f>
        <v>CM 1604</v>
      </c>
      <c r="C596" s="1429" t="str">
        <f>IFERROR(__xludf.DUMMYFUNCTION("""COMPUTED_VALUE"""),"MAR")</f>
        <v>MAR</v>
      </c>
      <c r="D596" s="1432">
        <f>IFERROR(__xludf.DUMMYFUNCTION("""COMPUTED_VALUE"""),7.0)</f>
        <v>7</v>
      </c>
      <c r="E596" s="1429">
        <f>IFERROR(__xludf.DUMMYFUNCTION("""COMPUTED_VALUE"""),45500.0)</f>
        <v>45500</v>
      </c>
      <c r="F596" s="1429">
        <f>IFERROR(__xludf.DUMMYFUNCTION("""COMPUTED_VALUE"""),45503.0)</f>
        <v>45503</v>
      </c>
      <c r="G596" s="1164">
        <f>IFERROR(__xludf.DUMMYFUNCTION("""COMPUTED_VALUE"""),3.0)</f>
        <v>3</v>
      </c>
      <c r="H596" s="1430">
        <f>IFERROR(__xludf.DUMMYFUNCTION("""COMPUTED_VALUE"""),229.0)</f>
        <v>229</v>
      </c>
      <c r="I596" s="94">
        <f>IFERROR(__xludf.DUMMYFUNCTION("""COMPUTED_VALUE"""),0.0)</f>
        <v>0</v>
      </c>
      <c r="J596" s="94"/>
      <c r="K596" s="94">
        <f>IFERROR(__xludf.DUMMYFUNCTION("""COMPUTED_VALUE"""),70.0)</f>
        <v>70</v>
      </c>
      <c r="L596" s="94">
        <f>IFERROR(__xludf.DUMMYFUNCTION("""COMPUTED_VALUE"""),40.0)</f>
        <v>40</v>
      </c>
      <c r="M596" s="94">
        <f>IFERROR(__xludf.DUMMYFUNCTION("""COMPUTED_VALUE"""),30.0)</f>
        <v>30</v>
      </c>
      <c r="N596" s="94"/>
      <c r="O596" s="1430">
        <f>IFERROR(__xludf.DUMMYFUNCTION("""COMPUTED_VALUE"""),30.0)</f>
        <v>30</v>
      </c>
      <c r="P596" s="1431">
        <f>IFERROR(__xludf.DUMMYFUNCTION("""COMPUTED_VALUE"""),2.7)</f>
        <v>2.7</v>
      </c>
      <c r="Q596" s="1432">
        <f>IFERROR(__xludf.DUMMYFUNCTION("""COMPUTED_VALUE"""),618.3000000000001)</f>
        <v>618.3</v>
      </c>
    </row>
    <row r="597" ht="15.75" customHeight="1">
      <c r="A597" s="94"/>
      <c r="B597" s="94" t="str">
        <f>IFERROR(__xludf.DUMMYFUNCTION("""COMPUTED_VALUE"""),"CM 1931")</f>
        <v>CM 1931</v>
      </c>
      <c r="C597" s="1429" t="str">
        <f>IFERROR(__xludf.DUMMYFUNCTION("""COMPUTED_VALUE"""),"MAR")</f>
        <v>MAR</v>
      </c>
      <c r="D597" s="1432">
        <f>IFERROR(__xludf.DUMMYFUNCTION("""COMPUTED_VALUE"""),7.0)</f>
        <v>7</v>
      </c>
      <c r="E597" s="1429">
        <f>IFERROR(__xludf.DUMMYFUNCTION("""COMPUTED_VALUE"""),45500.0)</f>
        <v>45500</v>
      </c>
      <c r="F597" s="1429">
        <f>IFERROR(__xludf.DUMMYFUNCTION("""COMPUTED_VALUE"""),45502.0)</f>
        <v>45502</v>
      </c>
      <c r="G597" s="1164">
        <f>IFERROR(__xludf.DUMMYFUNCTION("""COMPUTED_VALUE"""),2.0)</f>
        <v>2</v>
      </c>
      <c r="H597" s="1430">
        <f>IFERROR(__xludf.DUMMYFUNCTION("""COMPUTED_VALUE"""),100.0)</f>
        <v>100</v>
      </c>
      <c r="I597" s="94">
        <f>IFERROR(__xludf.DUMMYFUNCTION("""COMPUTED_VALUE"""),0.0)</f>
        <v>0</v>
      </c>
      <c r="J597" s="94"/>
      <c r="K597" s="94">
        <f>IFERROR(__xludf.DUMMYFUNCTION("""COMPUTED_VALUE"""),60.0)</f>
        <v>60</v>
      </c>
      <c r="L597" s="94">
        <f>IFERROR(__xludf.DUMMYFUNCTION("""COMPUTED_VALUE"""),40.0)</f>
        <v>40</v>
      </c>
      <c r="M597" s="94">
        <f>IFERROR(__xludf.DUMMYFUNCTION("""COMPUTED_VALUE"""),20.0)</f>
        <v>20</v>
      </c>
      <c r="N597" s="94"/>
      <c r="O597" s="1430">
        <f>IFERROR(__xludf.DUMMYFUNCTION("""COMPUTED_VALUE"""),20.0)</f>
        <v>20</v>
      </c>
      <c r="P597" s="1431">
        <f>IFERROR(__xludf.DUMMYFUNCTION("""COMPUTED_VALUE"""),2.7)</f>
        <v>2.7</v>
      </c>
      <c r="Q597" s="1432">
        <f>IFERROR(__xludf.DUMMYFUNCTION("""COMPUTED_VALUE"""),270.0)</f>
        <v>270</v>
      </c>
    </row>
    <row r="598" ht="15.75" customHeight="1">
      <c r="A598" s="94"/>
      <c r="B598" s="94" t="str">
        <f>IFERROR(__xludf.DUMMYFUNCTION("""COMPUTED_VALUE"""),"D 1321")</f>
        <v>D 1321</v>
      </c>
      <c r="C598" s="1429" t="str">
        <f>IFERROR(__xludf.DUMMYFUNCTION("""COMPUTED_VALUE"""),"ORBI")</f>
        <v>ORBI</v>
      </c>
      <c r="D598" s="1432">
        <f>IFERROR(__xludf.DUMMYFUNCTION("""COMPUTED_VALUE"""),7.0)</f>
        <v>7</v>
      </c>
      <c r="E598" s="1429">
        <f>IFERROR(__xludf.DUMMYFUNCTION("""COMPUTED_VALUE"""),45500.0)</f>
        <v>45500</v>
      </c>
      <c r="F598" s="1429">
        <f>IFERROR(__xludf.DUMMYFUNCTION("""COMPUTED_VALUE"""),45507.0)</f>
        <v>45507</v>
      </c>
      <c r="G598" s="1164">
        <f>IFERROR(__xludf.DUMMYFUNCTION("""COMPUTED_VALUE"""),7.0)</f>
        <v>7</v>
      </c>
      <c r="H598" s="1430">
        <f>IFERROR(__xludf.DUMMYFUNCTION("""COMPUTED_VALUE"""),365.0)</f>
        <v>365</v>
      </c>
      <c r="I598" s="94">
        <f>IFERROR(__xludf.DUMMYFUNCTION("""COMPUTED_VALUE"""),0.0)</f>
        <v>0</v>
      </c>
      <c r="J598" s="94"/>
      <c r="K598" s="94">
        <f>IFERROR(__xludf.DUMMYFUNCTION("""COMPUTED_VALUE"""),50.0)</f>
        <v>50</v>
      </c>
      <c r="L598" s="94">
        <f>IFERROR(__xludf.DUMMYFUNCTION("""COMPUTED_VALUE"""),40.0)</f>
        <v>40</v>
      </c>
      <c r="M598" s="94">
        <f>IFERROR(__xludf.DUMMYFUNCTION("""COMPUTED_VALUE"""),10.0)</f>
        <v>10</v>
      </c>
      <c r="N598" s="94"/>
      <c r="O598" s="1430">
        <f>IFERROR(__xludf.DUMMYFUNCTION("""COMPUTED_VALUE"""),10.0)</f>
        <v>10</v>
      </c>
      <c r="P598" s="1431">
        <f>IFERROR(__xludf.DUMMYFUNCTION("""COMPUTED_VALUE"""),2.7)</f>
        <v>2.7</v>
      </c>
      <c r="Q598" s="1432">
        <f>IFERROR(__xludf.DUMMYFUNCTION("""COMPUTED_VALUE"""),985.5000000000001)</f>
        <v>985.5</v>
      </c>
    </row>
    <row r="599" ht="15.75" customHeight="1">
      <c r="A599" s="94"/>
      <c r="B599" s="94" t="str">
        <f>IFERROR(__xludf.DUMMYFUNCTION("""COMPUTED_VALUE"""),"DL14-518")</f>
        <v>DL14-518</v>
      </c>
      <c r="C599" s="1429" t="str">
        <f>IFERROR(__xludf.DUMMYFUNCTION("""COMPUTED_VALUE"""),"DL")</f>
        <v>DL</v>
      </c>
      <c r="D599" s="1432">
        <f>IFERROR(__xludf.DUMMYFUNCTION("""COMPUTED_VALUE"""),7.0)</f>
        <v>7</v>
      </c>
      <c r="E599" s="1429">
        <f>IFERROR(__xludf.DUMMYFUNCTION("""COMPUTED_VALUE"""),45502.0)</f>
        <v>45502</v>
      </c>
      <c r="F599" s="1429">
        <f>IFERROR(__xludf.DUMMYFUNCTION("""COMPUTED_VALUE"""),45508.0)</f>
        <v>45508</v>
      </c>
      <c r="G599" s="1164">
        <f>IFERROR(__xludf.DUMMYFUNCTION("""COMPUTED_VALUE"""),6.0)</f>
        <v>6</v>
      </c>
      <c r="H599" s="1430">
        <f>IFERROR(__xludf.DUMMYFUNCTION("""COMPUTED_VALUE"""),660.0)</f>
        <v>660</v>
      </c>
      <c r="I599" s="94">
        <f>IFERROR(__xludf.DUMMYFUNCTION("""COMPUTED_VALUE"""),0.0)</f>
        <v>0</v>
      </c>
      <c r="J599" s="94"/>
      <c r="K599" s="94">
        <f>IFERROR(__xludf.DUMMYFUNCTION("""COMPUTED_VALUE"""),40.0)</f>
        <v>40</v>
      </c>
      <c r="L599" s="94">
        <f>IFERROR(__xludf.DUMMYFUNCTION("""COMPUTED_VALUE"""),40.0)</f>
        <v>40</v>
      </c>
      <c r="M599" s="94">
        <f>IFERROR(__xludf.DUMMYFUNCTION("""COMPUTED_VALUE"""),0.0)</f>
        <v>0</v>
      </c>
      <c r="N599" s="94"/>
      <c r="O599" s="1430">
        <f>IFERROR(__xludf.DUMMYFUNCTION("""COMPUTED_VALUE"""),0.0)</f>
        <v>0</v>
      </c>
      <c r="P599" s="1431">
        <f>IFERROR(__xludf.DUMMYFUNCTION("""COMPUTED_VALUE"""),2.7)</f>
        <v>2.7</v>
      </c>
      <c r="Q599" s="1432">
        <f>IFERROR(__xludf.DUMMYFUNCTION("""COMPUTED_VALUE"""),1782.0000000000002)</f>
        <v>1782</v>
      </c>
    </row>
    <row r="600" ht="15.75" customHeight="1">
      <c r="A600" s="94"/>
      <c r="B600" s="94" t="str">
        <f>IFERROR(__xludf.DUMMYFUNCTION("""COMPUTED_VALUE"""),"DL 14-516")</f>
        <v>DL 14-516</v>
      </c>
      <c r="C600" s="1429" t="str">
        <f>IFERROR(__xludf.DUMMYFUNCTION("""COMPUTED_VALUE"""),"DL")</f>
        <v>DL</v>
      </c>
      <c r="D600" s="1432">
        <f>IFERROR(__xludf.DUMMYFUNCTION("""COMPUTED_VALUE"""),7.0)</f>
        <v>7</v>
      </c>
      <c r="E600" s="1429">
        <f>IFERROR(__xludf.DUMMYFUNCTION("""COMPUTED_VALUE"""),45501.0)</f>
        <v>45501</v>
      </c>
      <c r="F600" s="1429">
        <f>IFERROR(__xludf.DUMMYFUNCTION("""COMPUTED_VALUE"""),45505.0)</f>
        <v>45505</v>
      </c>
      <c r="G600" s="1164">
        <f>IFERROR(__xludf.DUMMYFUNCTION("""COMPUTED_VALUE"""),4.0)</f>
        <v>4</v>
      </c>
      <c r="H600" s="94"/>
      <c r="I600" s="94">
        <f>IFERROR(__xludf.DUMMYFUNCTION("""COMPUTED_VALUE"""),2040.0)</f>
        <v>2040</v>
      </c>
      <c r="J600" s="94"/>
      <c r="K600" s="94">
        <f>IFERROR(__xludf.DUMMYFUNCTION("""COMPUTED_VALUE"""),40.0)</f>
        <v>40</v>
      </c>
      <c r="L600" s="94">
        <f>IFERROR(__xludf.DUMMYFUNCTION("""COMPUTED_VALUE"""),40.0)</f>
        <v>40</v>
      </c>
      <c r="M600" s="94">
        <f>IFERROR(__xludf.DUMMYFUNCTION("""COMPUTED_VALUE"""),0.0)</f>
        <v>0</v>
      </c>
      <c r="N600" s="94"/>
      <c r="O600" s="1430">
        <f>IFERROR(__xludf.DUMMYFUNCTION("""COMPUTED_VALUE"""),0.0)</f>
        <v>0</v>
      </c>
      <c r="P600" s="1431">
        <f>IFERROR(__xludf.DUMMYFUNCTION("""COMPUTED_VALUE"""),2.7)</f>
        <v>2.7</v>
      </c>
      <c r="Q600" s="1432">
        <f>IFERROR(__xludf.DUMMYFUNCTION("""COMPUTED_VALUE"""),2040.0)</f>
        <v>2040</v>
      </c>
    </row>
    <row r="601" ht="15.75" customHeight="1">
      <c r="A601" s="94"/>
      <c r="B601" s="94" t="str">
        <f>IFERROR(__xludf.DUMMYFUNCTION("""COMPUTED_VALUE"""),"С 1443")</f>
        <v>С 1443</v>
      </c>
      <c r="C601" s="1429" t="str">
        <f>IFERROR(__xludf.DUMMYFUNCTION("""COMPUTED_VALUE"""),"ORBI")</f>
        <v>ORBI</v>
      </c>
      <c r="D601" s="1432">
        <f>IFERROR(__xludf.DUMMYFUNCTION("""COMPUTED_VALUE"""),7.0)</f>
        <v>7</v>
      </c>
      <c r="E601" s="1429">
        <f>IFERROR(__xludf.DUMMYFUNCTION("""COMPUTED_VALUE"""),45501.0)</f>
        <v>45501</v>
      </c>
      <c r="F601" s="1429">
        <f>IFERROR(__xludf.DUMMYFUNCTION("""COMPUTED_VALUE"""),45510.0)</f>
        <v>45510</v>
      </c>
      <c r="G601" s="1164">
        <f>IFERROR(__xludf.DUMMYFUNCTION("""COMPUTED_VALUE"""),9.0)</f>
        <v>9</v>
      </c>
      <c r="H601" s="94"/>
      <c r="I601" s="94">
        <f>IFERROR(__xludf.DUMMYFUNCTION("""COMPUTED_VALUE"""),1390.0)</f>
        <v>1390</v>
      </c>
      <c r="J601" s="94"/>
      <c r="K601" s="94">
        <f>IFERROR(__xludf.DUMMYFUNCTION("""COMPUTED_VALUE"""),70.0)</f>
        <v>70</v>
      </c>
      <c r="L601" s="94">
        <f>IFERROR(__xludf.DUMMYFUNCTION("""COMPUTED_VALUE"""),50.0)</f>
        <v>50</v>
      </c>
      <c r="M601" s="94">
        <f>IFERROR(__xludf.DUMMYFUNCTION("""COMPUTED_VALUE"""),20.0)</f>
        <v>20</v>
      </c>
      <c r="N601" s="94"/>
      <c r="O601" s="1430">
        <f>IFERROR(__xludf.DUMMYFUNCTION("""COMPUTED_VALUE"""),20.0)</f>
        <v>20</v>
      </c>
      <c r="P601" s="1431">
        <f>IFERROR(__xludf.DUMMYFUNCTION("""COMPUTED_VALUE"""),2.7)</f>
        <v>2.7</v>
      </c>
      <c r="Q601" s="1432">
        <f>IFERROR(__xludf.DUMMYFUNCTION("""COMPUTED_VALUE"""),1390.0)</f>
        <v>1390</v>
      </c>
    </row>
    <row r="602" ht="15.75" customHeight="1">
      <c r="A602" s="94"/>
      <c r="B602" s="94" t="str">
        <f>IFERROR(__xludf.DUMMYFUNCTION("""COMPUTED_VALUE"""),"WS В 212")</f>
        <v>WS В 212</v>
      </c>
      <c r="C602" s="1429" t="str">
        <f>IFERROR(__xludf.DUMMYFUNCTION("""COMPUTED_VALUE"""),"WS")</f>
        <v>WS</v>
      </c>
      <c r="D602" s="1432">
        <f>IFERROR(__xludf.DUMMYFUNCTION("""COMPUTED_VALUE"""),7.0)</f>
        <v>7</v>
      </c>
      <c r="E602" s="1429">
        <f>IFERROR(__xludf.DUMMYFUNCTION("""COMPUTED_VALUE"""),45501.0)</f>
        <v>45501</v>
      </c>
      <c r="F602" s="1429">
        <f>IFERROR(__xludf.DUMMYFUNCTION("""COMPUTED_VALUE"""),45506.0)</f>
        <v>45506</v>
      </c>
      <c r="G602" s="1164">
        <f>IFERROR(__xludf.DUMMYFUNCTION("""COMPUTED_VALUE"""),5.0)</f>
        <v>5</v>
      </c>
      <c r="H602" s="1430">
        <f>IFERROR(__xludf.DUMMYFUNCTION("""COMPUTED_VALUE"""),575.0)</f>
        <v>575</v>
      </c>
      <c r="I602" s="94">
        <f>IFERROR(__xludf.DUMMYFUNCTION("""COMPUTED_VALUE"""),0.0)</f>
        <v>0</v>
      </c>
      <c r="J602" s="94"/>
      <c r="K602" s="94">
        <f>IFERROR(__xludf.DUMMYFUNCTION("""COMPUTED_VALUE"""),70.0)</f>
        <v>70</v>
      </c>
      <c r="L602" s="94">
        <f>IFERROR(__xludf.DUMMYFUNCTION("""COMPUTED_VALUE"""),40.0)</f>
        <v>40</v>
      </c>
      <c r="M602" s="94">
        <f>IFERROR(__xludf.DUMMYFUNCTION("""COMPUTED_VALUE"""),30.0)</f>
        <v>30</v>
      </c>
      <c r="N602" s="94"/>
      <c r="O602" s="1430">
        <f>IFERROR(__xludf.DUMMYFUNCTION("""COMPUTED_VALUE"""),30.0)</f>
        <v>30</v>
      </c>
      <c r="P602" s="1431">
        <f>IFERROR(__xludf.DUMMYFUNCTION("""COMPUTED_VALUE"""),2.7)</f>
        <v>2.7</v>
      </c>
      <c r="Q602" s="1432">
        <f>IFERROR(__xludf.DUMMYFUNCTION("""COMPUTED_VALUE"""),1552.5)</f>
        <v>1552.5</v>
      </c>
    </row>
    <row r="603" ht="15.75" customHeight="1">
      <c r="A603" s="94"/>
      <c r="B603" s="94" t="str">
        <f>IFERROR(__xludf.DUMMYFUNCTION("""COMPUTED_VALUE"""),"WS E 1202")</f>
        <v>WS E 1202</v>
      </c>
      <c r="C603" s="1429" t="str">
        <f>IFERROR(__xludf.DUMMYFUNCTION("""COMPUTED_VALUE"""),"WS")</f>
        <v>WS</v>
      </c>
      <c r="D603" s="1432">
        <f>IFERROR(__xludf.DUMMYFUNCTION("""COMPUTED_VALUE"""),7.0)</f>
        <v>7</v>
      </c>
      <c r="E603" s="1429">
        <f>IFERROR(__xludf.DUMMYFUNCTION("""COMPUTED_VALUE"""),45501.0)</f>
        <v>45501</v>
      </c>
      <c r="F603" s="1429">
        <f>IFERROR(__xludf.DUMMYFUNCTION("""COMPUTED_VALUE"""),45514.0)</f>
        <v>45514</v>
      </c>
      <c r="G603" s="1164">
        <f>IFERROR(__xludf.DUMMYFUNCTION("""COMPUTED_VALUE"""),13.0)</f>
        <v>13</v>
      </c>
      <c r="H603" s="1430">
        <f>IFERROR(__xludf.DUMMYFUNCTION("""COMPUTED_VALUE"""),1400.0)</f>
        <v>1400</v>
      </c>
      <c r="I603" s="94">
        <f>IFERROR(__xludf.DUMMYFUNCTION("""COMPUTED_VALUE"""),0.0)</f>
        <v>0</v>
      </c>
      <c r="J603" s="94"/>
      <c r="K603" s="94">
        <f>IFERROR(__xludf.DUMMYFUNCTION("""COMPUTED_VALUE"""),70.0)</f>
        <v>70</v>
      </c>
      <c r="L603" s="94">
        <f>IFERROR(__xludf.DUMMYFUNCTION("""COMPUTED_VALUE"""),40.0)</f>
        <v>40</v>
      </c>
      <c r="M603" s="94">
        <f>IFERROR(__xludf.DUMMYFUNCTION("""COMPUTED_VALUE"""),30.0)</f>
        <v>30</v>
      </c>
      <c r="N603" s="94"/>
      <c r="O603" s="1430">
        <f>IFERROR(__xludf.DUMMYFUNCTION("""COMPUTED_VALUE"""),30.0)</f>
        <v>30</v>
      </c>
      <c r="P603" s="1431">
        <f>IFERROR(__xludf.DUMMYFUNCTION("""COMPUTED_VALUE"""),2.7)</f>
        <v>2.7</v>
      </c>
      <c r="Q603" s="1432">
        <f>IFERROR(__xludf.DUMMYFUNCTION("""COMPUTED_VALUE"""),3780.0000000000005)</f>
        <v>3780</v>
      </c>
    </row>
    <row r="604" ht="15.75" customHeight="1">
      <c r="A604" s="94"/>
      <c r="B604" s="94" t="str">
        <f>IFERROR(__xludf.DUMMYFUNCTION("""COMPUTED_VALUE"""),"WS А 908")</f>
        <v>WS А 908</v>
      </c>
      <c r="C604" s="1429" t="str">
        <f>IFERROR(__xludf.DUMMYFUNCTION("""COMPUTED_VALUE"""),"WS")</f>
        <v>WS</v>
      </c>
      <c r="D604" s="1432">
        <f>IFERROR(__xludf.DUMMYFUNCTION("""COMPUTED_VALUE"""),7.0)</f>
        <v>7</v>
      </c>
      <c r="E604" s="1429">
        <f>IFERROR(__xludf.DUMMYFUNCTION("""COMPUTED_VALUE"""),45501.0)</f>
        <v>45501</v>
      </c>
      <c r="F604" s="1429">
        <f>IFERROR(__xludf.DUMMYFUNCTION("""COMPUTED_VALUE"""),45504.0)</f>
        <v>45504</v>
      </c>
      <c r="G604" s="1164">
        <f>IFERROR(__xludf.DUMMYFUNCTION("""COMPUTED_VALUE"""),3.0)</f>
        <v>3</v>
      </c>
      <c r="H604" s="94"/>
      <c r="I604" s="94">
        <f>IFERROR(__xludf.DUMMYFUNCTION("""COMPUTED_VALUE"""),562.0)</f>
        <v>562</v>
      </c>
      <c r="J604" s="94"/>
      <c r="K604" s="94">
        <f>IFERROR(__xludf.DUMMYFUNCTION("""COMPUTED_VALUE"""),60.0)</f>
        <v>60</v>
      </c>
      <c r="L604" s="94">
        <f>IFERROR(__xludf.DUMMYFUNCTION("""COMPUTED_VALUE"""),40.0)</f>
        <v>40</v>
      </c>
      <c r="M604" s="94">
        <f>IFERROR(__xludf.DUMMYFUNCTION("""COMPUTED_VALUE"""),20.0)</f>
        <v>20</v>
      </c>
      <c r="N604" s="94"/>
      <c r="O604" s="1430">
        <f>IFERROR(__xludf.DUMMYFUNCTION("""COMPUTED_VALUE"""),20.0)</f>
        <v>20</v>
      </c>
      <c r="P604" s="1431">
        <f>IFERROR(__xludf.DUMMYFUNCTION("""COMPUTED_VALUE"""),2.7)</f>
        <v>2.7</v>
      </c>
      <c r="Q604" s="1432">
        <f>IFERROR(__xludf.DUMMYFUNCTION("""COMPUTED_VALUE"""),562.0)</f>
        <v>562</v>
      </c>
    </row>
    <row r="605" ht="15.75" customHeight="1">
      <c r="A605" s="94"/>
      <c r="B605" s="94" t="str">
        <f>IFERROR(__xludf.DUMMYFUNCTION("""COMPUTED_VALUE"""),"WS  B 405")</f>
        <v>WS  B 405</v>
      </c>
      <c r="C605" s="1429" t="str">
        <f>IFERROR(__xludf.DUMMYFUNCTION("""COMPUTED_VALUE"""),"WS")</f>
        <v>WS</v>
      </c>
      <c r="D605" s="1432">
        <f>IFERROR(__xludf.DUMMYFUNCTION("""COMPUTED_VALUE"""),7.0)</f>
        <v>7</v>
      </c>
      <c r="E605" s="1429">
        <f>IFERROR(__xludf.DUMMYFUNCTION("""COMPUTED_VALUE"""),45501.0)</f>
        <v>45501</v>
      </c>
      <c r="F605" s="1429">
        <f>IFERROR(__xludf.DUMMYFUNCTION("""COMPUTED_VALUE"""),45504.0)</f>
        <v>45504</v>
      </c>
      <c r="G605" s="1164">
        <f>IFERROR(__xludf.DUMMYFUNCTION("""COMPUTED_VALUE"""),3.0)</f>
        <v>3</v>
      </c>
      <c r="H605" s="94"/>
      <c r="I605" s="94">
        <f>IFERROR(__xludf.DUMMYFUNCTION("""COMPUTED_VALUE"""),581.0)</f>
        <v>581</v>
      </c>
      <c r="J605" s="94"/>
      <c r="K605" s="94">
        <f>IFERROR(__xludf.DUMMYFUNCTION("""COMPUTED_VALUE"""),60.0)</f>
        <v>60</v>
      </c>
      <c r="L605" s="94">
        <f>IFERROR(__xludf.DUMMYFUNCTION("""COMPUTED_VALUE"""),40.0)</f>
        <v>40</v>
      </c>
      <c r="M605" s="94">
        <f>IFERROR(__xludf.DUMMYFUNCTION("""COMPUTED_VALUE"""),20.0)</f>
        <v>20</v>
      </c>
      <c r="N605" s="94"/>
      <c r="O605" s="1430">
        <f>IFERROR(__xludf.DUMMYFUNCTION("""COMPUTED_VALUE"""),20.0)</f>
        <v>20</v>
      </c>
      <c r="P605" s="1431">
        <f>IFERROR(__xludf.DUMMYFUNCTION("""COMPUTED_VALUE"""),2.7)</f>
        <v>2.7</v>
      </c>
      <c r="Q605" s="1432">
        <f>IFERROR(__xludf.DUMMYFUNCTION("""COMPUTED_VALUE"""),581.0)</f>
        <v>581</v>
      </c>
    </row>
    <row r="606" ht="15.75" customHeight="1">
      <c r="A606" s="94"/>
      <c r="B606" s="94" t="str">
        <f>IFERROR(__xludf.DUMMYFUNCTION("""COMPUTED_VALUE"""),"DL 4-09")</f>
        <v>DL 4-09</v>
      </c>
      <c r="C606" s="1429" t="str">
        <f>IFERROR(__xludf.DUMMYFUNCTION("""COMPUTED_VALUE"""),"DL")</f>
        <v>DL</v>
      </c>
      <c r="D606" s="1432">
        <f>IFERROR(__xludf.DUMMYFUNCTION("""COMPUTED_VALUE"""),7.0)</f>
        <v>7</v>
      </c>
      <c r="E606" s="1429">
        <f>IFERROR(__xludf.DUMMYFUNCTION("""COMPUTED_VALUE"""),45501.0)</f>
        <v>45501</v>
      </c>
      <c r="F606" s="1429">
        <f>IFERROR(__xludf.DUMMYFUNCTION("""COMPUTED_VALUE"""),45503.0)</f>
        <v>45503</v>
      </c>
      <c r="G606" s="1164">
        <f>IFERROR(__xludf.DUMMYFUNCTION("""COMPUTED_VALUE"""),2.0)</f>
        <v>2</v>
      </c>
      <c r="H606" s="1430">
        <f>IFERROR(__xludf.DUMMYFUNCTION("""COMPUTED_VALUE"""),172.0)</f>
        <v>172</v>
      </c>
      <c r="I606" s="94">
        <f>IFERROR(__xludf.DUMMYFUNCTION("""COMPUTED_VALUE"""),0.0)</f>
        <v>0</v>
      </c>
      <c r="J606" s="94"/>
      <c r="K606" s="94">
        <f>IFERROR(__xludf.DUMMYFUNCTION("""COMPUTED_VALUE"""),40.0)</f>
        <v>40</v>
      </c>
      <c r="L606" s="94">
        <f>IFERROR(__xludf.DUMMYFUNCTION("""COMPUTED_VALUE"""),40.0)</f>
        <v>40</v>
      </c>
      <c r="M606" s="94">
        <f>IFERROR(__xludf.DUMMYFUNCTION("""COMPUTED_VALUE"""),0.0)</f>
        <v>0</v>
      </c>
      <c r="N606" s="94"/>
      <c r="O606" s="1430">
        <f>IFERROR(__xludf.DUMMYFUNCTION("""COMPUTED_VALUE"""),0.0)</f>
        <v>0</v>
      </c>
      <c r="P606" s="1431">
        <f>IFERROR(__xludf.DUMMYFUNCTION("""COMPUTED_VALUE"""),2.7)</f>
        <v>2.7</v>
      </c>
      <c r="Q606" s="1432">
        <f>IFERROR(__xludf.DUMMYFUNCTION("""COMPUTED_VALUE"""),464.40000000000003)</f>
        <v>464.4</v>
      </c>
    </row>
    <row r="607" ht="15.75" customHeight="1">
      <c r="A607" s="94" t="str">
        <f>IFERROR(__xludf.DUMMYFUNCTION("""COMPUTED_VALUE"""),"Итого неделя")</f>
        <v>Итого неделя</v>
      </c>
      <c r="B607" s="94" t="str">
        <f>IFERROR(__xludf.DUMMYFUNCTION("""COMPUTED_VALUE"""),"30 неделя")</f>
        <v>30 неделя</v>
      </c>
      <c r="C607" s="94"/>
      <c r="D607" s="94"/>
      <c r="E607" s="94"/>
      <c r="F607" s="94"/>
      <c r="G607" s="1164">
        <f>IFERROR(__xludf.DUMMYFUNCTION("""COMPUTED_VALUE"""),241.0)</f>
        <v>241</v>
      </c>
      <c r="H607" s="1430">
        <f>IFERROR(__xludf.DUMMYFUNCTION("""COMPUTED_VALUE"""),11891.58)</f>
        <v>11891.58</v>
      </c>
      <c r="I607" s="94">
        <f>IFERROR(__xludf.DUMMYFUNCTION("""COMPUTED_VALUE"""),15894.0)</f>
        <v>15894</v>
      </c>
      <c r="J607" s="94">
        <f>IFERROR(__xludf.DUMMYFUNCTION("""COMPUTED_VALUE"""),0.0)</f>
        <v>0</v>
      </c>
      <c r="K607" s="94">
        <f>IFERROR(__xludf.DUMMYFUNCTION("""COMPUTED_VALUE"""),2555.0)</f>
        <v>2555</v>
      </c>
      <c r="L607" s="94">
        <f>IFERROR(__xludf.DUMMYFUNCTION("""COMPUTED_VALUE"""),1810.0)</f>
        <v>1810</v>
      </c>
      <c r="M607" s="94">
        <f>IFERROR(__xludf.DUMMYFUNCTION("""COMPUTED_VALUE"""),745.0)</f>
        <v>745</v>
      </c>
      <c r="N607" s="94">
        <f>IFERROR(__xludf.DUMMYFUNCTION("""COMPUTED_VALUE"""),0.0)</f>
        <v>0</v>
      </c>
      <c r="O607" s="1430">
        <f>IFERROR(__xludf.DUMMYFUNCTION("""COMPUTED_VALUE"""),745.0)</f>
        <v>745</v>
      </c>
      <c r="P607" s="1431">
        <f>IFERROR(__xludf.DUMMYFUNCTION("""COMPUTED_VALUE"""),121.50000000000009)</f>
        <v>121.5</v>
      </c>
      <c r="Q607" s="1432">
        <f>IFERROR(__xludf.DUMMYFUNCTION("""COMPUTED_VALUE"""),48136.266)</f>
        <v>48136.266</v>
      </c>
    </row>
    <row r="608" ht="15.75" customHeight="1">
      <c r="A608" s="94"/>
      <c r="B608" s="94" t="str">
        <f>IFERROR(__xludf.DUMMYFUNCTION("""COMPUTED_VALUE"""),"CM 1931")</f>
        <v>CM 1931</v>
      </c>
      <c r="C608" s="1429" t="str">
        <f>IFERROR(__xludf.DUMMYFUNCTION("""COMPUTED_VALUE"""),"MAR")</f>
        <v>MAR</v>
      </c>
      <c r="D608" s="1432">
        <f>IFERROR(__xludf.DUMMYFUNCTION("""COMPUTED_VALUE"""),7.0)</f>
        <v>7</v>
      </c>
      <c r="E608" s="1429">
        <f>IFERROR(__xludf.DUMMYFUNCTION("""COMPUTED_VALUE"""),45502.0)</f>
        <v>45502</v>
      </c>
      <c r="F608" s="1429">
        <f>IFERROR(__xludf.DUMMYFUNCTION("""COMPUTED_VALUE"""),45504.0)</f>
        <v>45504</v>
      </c>
      <c r="G608" s="1164">
        <f>IFERROR(__xludf.DUMMYFUNCTION("""COMPUTED_VALUE"""),2.0)</f>
        <v>2</v>
      </c>
      <c r="H608" s="1430">
        <f>IFERROR(__xludf.DUMMYFUNCTION("""COMPUTED_VALUE"""),100.0)</f>
        <v>100</v>
      </c>
      <c r="I608" s="94">
        <f>IFERROR(__xludf.DUMMYFUNCTION("""COMPUTED_VALUE"""),0.0)</f>
        <v>0</v>
      </c>
      <c r="J608" s="94"/>
      <c r="K608" s="94">
        <f>IFERROR(__xludf.DUMMYFUNCTION("""COMPUTED_VALUE"""),60.0)</f>
        <v>60</v>
      </c>
      <c r="L608" s="94">
        <f>IFERROR(__xludf.DUMMYFUNCTION("""COMPUTED_VALUE"""),40.0)</f>
        <v>40</v>
      </c>
      <c r="M608" s="94">
        <f>IFERROR(__xludf.DUMMYFUNCTION("""COMPUTED_VALUE"""),20.0)</f>
        <v>20</v>
      </c>
      <c r="N608" s="94"/>
      <c r="O608" s="1430">
        <f>IFERROR(__xludf.DUMMYFUNCTION("""COMPUTED_VALUE"""),20.0)</f>
        <v>20</v>
      </c>
      <c r="P608" s="1431">
        <f>IFERROR(__xludf.DUMMYFUNCTION("""COMPUTED_VALUE"""),2.69)</f>
        <v>2.69</v>
      </c>
      <c r="Q608" s="1432">
        <f>IFERROR(__xludf.DUMMYFUNCTION("""COMPUTED_VALUE"""),269.0)</f>
        <v>269</v>
      </c>
    </row>
    <row r="609" ht="15.75" customHeight="1">
      <c r="A609" s="94"/>
      <c r="B609" s="94" t="str">
        <f>IFERROR(__xludf.DUMMYFUNCTION("""COMPUTED_VALUE"""),"WS Е804")</f>
        <v>WS Е804</v>
      </c>
      <c r="C609" s="1429" t="str">
        <f>IFERROR(__xludf.DUMMYFUNCTION("""COMPUTED_VALUE"""),"WS")</f>
        <v>WS</v>
      </c>
      <c r="D609" s="1432">
        <f>IFERROR(__xludf.DUMMYFUNCTION("""COMPUTED_VALUE"""),7.0)</f>
        <v>7</v>
      </c>
      <c r="E609" s="1429">
        <f>IFERROR(__xludf.DUMMYFUNCTION("""COMPUTED_VALUE"""),45502.0)</f>
        <v>45502</v>
      </c>
      <c r="F609" s="1429">
        <f>IFERROR(__xludf.DUMMYFUNCTION("""COMPUTED_VALUE"""),45507.0)</f>
        <v>45507</v>
      </c>
      <c r="G609" s="1164">
        <f>IFERROR(__xludf.DUMMYFUNCTION("""COMPUTED_VALUE"""),5.0)</f>
        <v>5</v>
      </c>
      <c r="H609" s="94"/>
      <c r="I609" s="94">
        <f>IFERROR(__xludf.DUMMYFUNCTION("""COMPUTED_VALUE"""),885.0)</f>
        <v>885</v>
      </c>
      <c r="J609" s="94"/>
      <c r="K609" s="94">
        <f>IFERROR(__xludf.DUMMYFUNCTION("""COMPUTED_VALUE"""),40.0)</f>
        <v>40</v>
      </c>
      <c r="L609" s="94">
        <f>IFERROR(__xludf.DUMMYFUNCTION("""COMPUTED_VALUE"""),40.0)</f>
        <v>40</v>
      </c>
      <c r="M609" s="94">
        <f>IFERROR(__xludf.DUMMYFUNCTION("""COMPUTED_VALUE"""),0.0)</f>
        <v>0</v>
      </c>
      <c r="N609" s="94"/>
      <c r="O609" s="1430">
        <f>IFERROR(__xludf.DUMMYFUNCTION("""COMPUTED_VALUE"""),0.0)</f>
        <v>0</v>
      </c>
      <c r="P609" s="1431">
        <f>IFERROR(__xludf.DUMMYFUNCTION("""COMPUTED_VALUE"""),2.69)</f>
        <v>2.69</v>
      </c>
      <c r="Q609" s="1432">
        <f>IFERROR(__xludf.DUMMYFUNCTION("""COMPUTED_VALUE"""),885.0)</f>
        <v>885</v>
      </c>
    </row>
    <row r="610" ht="15.75" customHeight="1">
      <c r="A610" s="94"/>
      <c r="B610" s="94" t="str">
        <f>IFERROR(__xludf.DUMMYFUNCTION("""COMPUTED_VALUE"""),"WS E704")</f>
        <v>WS E704</v>
      </c>
      <c r="C610" s="1429" t="str">
        <f>IFERROR(__xludf.DUMMYFUNCTION("""COMPUTED_VALUE"""),"WS")</f>
        <v>WS</v>
      </c>
      <c r="D610" s="1432">
        <f>IFERROR(__xludf.DUMMYFUNCTION("""COMPUTED_VALUE"""),7.0)</f>
        <v>7</v>
      </c>
      <c r="E610" s="1429">
        <f>IFERROR(__xludf.DUMMYFUNCTION("""COMPUTED_VALUE"""),45502.0)</f>
        <v>45502</v>
      </c>
      <c r="F610" s="1429">
        <f>IFERROR(__xludf.DUMMYFUNCTION("""COMPUTED_VALUE"""),45507.0)</f>
        <v>45507</v>
      </c>
      <c r="G610" s="1164">
        <f>IFERROR(__xludf.DUMMYFUNCTION("""COMPUTED_VALUE"""),5.0)</f>
        <v>5</v>
      </c>
      <c r="H610" s="94"/>
      <c r="I610" s="94">
        <f>IFERROR(__xludf.DUMMYFUNCTION("""COMPUTED_VALUE"""),885.0)</f>
        <v>885</v>
      </c>
      <c r="J610" s="94"/>
      <c r="K610" s="94">
        <f>IFERROR(__xludf.DUMMYFUNCTION("""COMPUTED_VALUE"""),40.0)</f>
        <v>40</v>
      </c>
      <c r="L610" s="94">
        <f>IFERROR(__xludf.DUMMYFUNCTION("""COMPUTED_VALUE"""),40.0)</f>
        <v>40</v>
      </c>
      <c r="M610" s="94">
        <f>IFERROR(__xludf.DUMMYFUNCTION("""COMPUTED_VALUE"""),0.0)</f>
        <v>0</v>
      </c>
      <c r="N610" s="94"/>
      <c r="O610" s="1430">
        <f>IFERROR(__xludf.DUMMYFUNCTION("""COMPUTED_VALUE"""),0.0)</f>
        <v>0</v>
      </c>
      <c r="P610" s="1431">
        <f>IFERROR(__xludf.DUMMYFUNCTION("""COMPUTED_VALUE"""),2.69)</f>
        <v>2.69</v>
      </c>
      <c r="Q610" s="1432">
        <f>IFERROR(__xludf.DUMMYFUNCTION("""COMPUTED_VALUE"""),885.0)</f>
        <v>885</v>
      </c>
    </row>
    <row r="611" ht="15.75" customHeight="1">
      <c r="A611" s="94"/>
      <c r="B611" s="94" t="str">
        <f>IFERROR(__xludf.DUMMYFUNCTION("""COMPUTED_VALUE"""),"DL 4-09")</f>
        <v>DL 4-09</v>
      </c>
      <c r="C611" s="1429" t="str">
        <f>IFERROR(__xludf.DUMMYFUNCTION("""COMPUTED_VALUE"""),"DL")</f>
        <v>DL</v>
      </c>
      <c r="D611" s="1432">
        <f>IFERROR(__xludf.DUMMYFUNCTION("""COMPUTED_VALUE"""),7.0)</f>
        <v>7</v>
      </c>
      <c r="E611" s="1429">
        <f>IFERROR(__xludf.DUMMYFUNCTION("""COMPUTED_VALUE"""),45503.0)</f>
        <v>45503</v>
      </c>
      <c r="F611" s="1429">
        <f>IFERROR(__xludf.DUMMYFUNCTION("""COMPUTED_VALUE"""),45505.0)</f>
        <v>45505</v>
      </c>
      <c r="G611" s="1164">
        <f>IFERROR(__xludf.DUMMYFUNCTION("""COMPUTED_VALUE"""),2.0)</f>
        <v>2</v>
      </c>
      <c r="H611" s="1430">
        <f>IFERROR(__xludf.DUMMYFUNCTION("""COMPUTED_VALUE"""),150.0)</f>
        <v>150</v>
      </c>
      <c r="I611" s="94">
        <f>IFERROR(__xludf.DUMMYFUNCTION("""COMPUTED_VALUE"""),0.0)</f>
        <v>0</v>
      </c>
      <c r="J611" s="94"/>
      <c r="K611" s="94">
        <f>IFERROR(__xludf.DUMMYFUNCTION("""COMPUTED_VALUE"""),95.0)</f>
        <v>95</v>
      </c>
      <c r="L611" s="94">
        <f>IFERROR(__xludf.DUMMYFUNCTION("""COMPUTED_VALUE"""),95.0)</f>
        <v>95</v>
      </c>
      <c r="M611" s="94">
        <f>IFERROR(__xludf.DUMMYFUNCTION("""COMPUTED_VALUE"""),0.0)</f>
        <v>0</v>
      </c>
      <c r="N611" s="94"/>
      <c r="O611" s="1430">
        <f>IFERROR(__xludf.DUMMYFUNCTION("""COMPUTED_VALUE"""),0.0)</f>
        <v>0</v>
      </c>
      <c r="P611" s="1431">
        <f>IFERROR(__xludf.DUMMYFUNCTION("""COMPUTED_VALUE"""),2.69)</f>
        <v>2.69</v>
      </c>
      <c r="Q611" s="1432">
        <f>IFERROR(__xludf.DUMMYFUNCTION("""COMPUTED_VALUE"""),403.5)</f>
        <v>403.5</v>
      </c>
    </row>
    <row r="612" ht="15.75" customHeight="1">
      <c r="A612" s="94"/>
      <c r="B612" s="94" t="str">
        <f>IFERROR(__xludf.DUMMYFUNCTION("""COMPUTED_VALUE"""),"WS A 1312")</f>
        <v>WS A 1312</v>
      </c>
      <c r="C612" s="1429" t="str">
        <f>IFERROR(__xludf.DUMMYFUNCTION("""COMPUTED_VALUE"""),"WS")</f>
        <v>WS</v>
      </c>
      <c r="D612" s="1432">
        <f>IFERROR(__xludf.DUMMYFUNCTION("""COMPUTED_VALUE"""),7.0)</f>
        <v>7</v>
      </c>
      <c r="E612" s="1429">
        <f>IFERROR(__xludf.DUMMYFUNCTION("""COMPUTED_VALUE"""),45504.0)</f>
        <v>45504</v>
      </c>
      <c r="F612" s="1429">
        <f>IFERROR(__xludf.DUMMYFUNCTION("""COMPUTED_VALUE"""),45506.0)</f>
        <v>45506</v>
      </c>
      <c r="G612" s="1164">
        <f>IFERROR(__xludf.DUMMYFUNCTION("""COMPUTED_VALUE"""),2.0)</f>
        <v>2</v>
      </c>
      <c r="H612" s="1430">
        <f>IFERROR(__xludf.DUMMYFUNCTION("""COMPUTED_VALUE"""),120.0)</f>
        <v>120</v>
      </c>
      <c r="I612" s="94">
        <f>IFERROR(__xludf.DUMMYFUNCTION("""COMPUTED_VALUE"""),0.0)</f>
        <v>0</v>
      </c>
      <c r="J612" s="94"/>
      <c r="K612" s="94">
        <f>IFERROR(__xludf.DUMMYFUNCTION("""COMPUTED_VALUE"""),60.0)</f>
        <v>60</v>
      </c>
      <c r="L612" s="94">
        <f>IFERROR(__xludf.DUMMYFUNCTION("""COMPUTED_VALUE"""),40.0)</f>
        <v>40</v>
      </c>
      <c r="M612" s="94">
        <f>IFERROR(__xludf.DUMMYFUNCTION("""COMPUTED_VALUE"""),20.0)</f>
        <v>20</v>
      </c>
      <c r="N612" s="94"/>
      <c r="O612" s="1430">
        <f>IFERROR(__xludf.DUMMYFUNCTION("""COMPUTED_VALUE"""),20.0)</f>
        <v>20</v>
      </c>
      <c r="P612" s="1431">
        <f>IFERROR(__xludf.DUMMYFUNCTION("""COMPUTED_VALUE"""),2.69)</f>
        <v>2.69</v>
      </c>
      <c r="Q612" s="1432">
        <f>IFERROR(__xludf.DUMMYFUNCTION("""COMPUTED_VALUE"""),322.8)</f>
        <v>322.8</v>
      </c>
    </row>
    <row r="613" ht="15.75" customHeight="1">
      <c r="A613" s="94"/>
      <c r="B613" s="94" t="str">
        <f>IFERROR(__xludf.DUMMYFUNCTION("""COMPUTED_VALUE"""),"С 1125")</f>
        <v>С 1125</v>
      </c>
      <c r="C613" s="1429" t="str">
        <f>IFERROR(__xludf.DUMMYFUNCTION("""COMPUTED_VALUE"""),"ORBI")</f>
        <v>ORBI</v>
      </c>
      <c r="D613" s="1432">
        <f>IFERROR(__xludf.DUMMYFUNCTION("""COMPUTED_VALUE"""),7.0)</f>
        <v>7</v>
      </c>
      <c r="E613" s="1429">
        <f>IFERROR(__xludf.DUMMYFUNCTION("""COMPUTED_VALUE"""),45503.0)</f>
        <v>45503</v>
      </c>
      <c r="F613" s="1429">
        <f>IFERROR(__xludf.DUMMYFUNCTION("""COMPUTED_VALUE"""),45516.0)</f>
        <v>45516</v>
      </c>
      <c r="G613" s="1164">
        <f>IFERROR(__xludf.DUMMYFUNCTION("""COMPUTED_VALUE"""),13.0)</f>
        <v>13</v>
      </c>
      <c r="H613" s="94"/>
      <c r="I613" s="94">
        <f>IFERROR(__xludf.DUMMYFUNCTION("""COMPUTED_VALUE"""),1351.0)</f>
        <v>1351</v>
      </c>
      <c r="J613" s="94"/>
      <c r="K613" s="94">
        <f>IFERROR(__xludf.DUMMYFUNCTION("""COMPUTED_VALUE"""),50.0)</f>
        <v>50</v>
      </c>
      <c r="L613" s="94">
        <f>IFERROR(__xludf.DUMMYFUNCTION("""COMPUTED_VALUE"""),40.0)</f>
        <v>40</v>
      </c>
      <c r="M613" s="94">
        <f>IFERROR(__xludf.DUMMYFUNCTION("""COMPUTED_VALUE"""),10.0)</f>
        <v>10</v>
      </c>
      <c r="N613" s="94"/>
      <c r="O613" s="1430">
        <f>IFERROR(__xludf.DUMMYFUNCTION("""COMPUTED_VALUE"""),10.0)</f>
        <v>10</v>
      </c>
      <c r="P613" s="1431">
        <f>IFERROR(__xludf.DUMMYFUNCTION("""COMPUTED_VALUE"""),2.69)</f>
        <v>2.69</v>
      </c>
      <c r="Q613" s="1432">
        <f>IFERROR(__xludf.DUMMYFUNCTION("""COMPUTED_VALUE"""),1351.0)</f>
        <v>1351</v>
      </c>
    </row>
    <row r="614" ht="15.75" customHeight="1">
      <c r="A614" s="94"/>
      <c r="B614" s="94" t="str">
        <f>IFERROR(__xludf.DUMMYFUNCTION("""COMPUTED_VALUE"""),"C 4245")</f>
        <v>C 4245</v>
      </c>
      <c r="C614" s="1429" t="str">
        <f>IFERROR(__xludf.DUMMYFUNCTION("""COMPUTED_VALUE"""),"ORBI")</f>
        <v>ORBI</v>
      </c>
      <c r="D614" s="1432">
        <f>IFERROR(__xludf.DUMMYFUNCTION("""COMPUTED_VALUE"""),7.0)</f>
        <v>7</v>
      </c>
      <c r="E614" s="1429">
        <f>IFERROR(__xludf.DUMMYFUNCTION("""COMPUTED_VALUE"""),45503.0)</f>
        <v>45503</v>
      </c>
      <c r="F614" s="1429">
        <f>IFERROR(__xludf.DUMMYFUNCTION("""COMPUTED_VALUE"""),45506.0)</f>
        <v>45506</v>
      </c>
      <c r="G614" s="1164">
        <f>IFERROR(__xludf.DUMMYFUNCTION("""COMPUTED_VALUE"""),3.0)</f>
        <v>3</v>
      </c>
      <c r="H614" s="1430">
        <f>IFERROR(__xludf.DUMMYFUNCTION("""COMPUTED_VALUE"""),182.0)</f>
        <v>182</v>
      </c>
      <c r="I614" s="94">
        <f>IFERROR(__xludf.DUMMYFUNCTION("""COMPUTED_VALUE"""),0.0)</f>
        <v>0</v>
      </c>
      <c r="J614" s="94"/>
      <c r="K614" s="94">
        <f>IFERROR(__xludf.DUMMYFUNCTION("""COMPUTED_VALUE"""),70.0)</f>
        <v>70</v>
      </c>
      <c r="L614" s="94">
        <f>IFERROR(__xludf.DUMMYFUNCTION("""COMPUTED_VALUE"""),40.0)</f>
        <v>40</v>
      </c>
      <c r="M614" s="94">
        <f>IFERROR(__xludf.DUMMYFUNCTION("""COMPUTED_VALUE"""),30.0)</f>
        <v>30</v>
      </c>
      <c r="N614" s="94"/>
      <c r="O614" s="1430">
        <f>IFERROR(__xludf.DUMMYFUNCTION("""COMPUTED_VALUE"""),30.0)</f>
        <v>30</v>
      </c>
      <c r="P614" s="1431">
        <f>IFERROR(__xludf.DUMMYFUNCTION("""COMPUTED_VALUE"""),2.69)</f>
        <v>2.69</v>
      </c>
      <c r="Q614" s="1432">
        <f>IFERROR(__xludf.DUMMYFUNCTION("""COMPUTED_VALUE"""),489.58)</f>
        <v>489.58</v>
      </c>
    </row>
    <row r="615" ht="15.75" customHeight="1">
      <c r="A615" s="94"/>
      <c r="B615" s="94" t="str">
        <f>IFERROR(__xludf.DUMMYFUNCTION("""COMPUTED_VALUE"""),"А 4049")</f>
        <v>А 4049</v>
      </c>
      <c r="C615" s="1429" t="str">
        <f>IFERROR(__xludf.DUMMYFUNCTION("""COMPUTED_VALUE"""),"ORBI")</f>
        <v>ORBI</v>
      </c>
      <c r="D615" s="1432">
        <f>IFERROR(__xludf.DUMMYFUNCTION("""COMPUTED_VALUE"""),7.0)</f>
        <v>7</v>
      </c>
      <c r="E615" s="1429">
        <f>IFERROR(__xludf.DUMMYFUNCTION("""COMPUTED_VALUE"""),45503.0)</f>
        <v>45503</v>
      </c>
      <c r="F615" s="1429">
        <f>IFERROR(__xludf.DUMMYFUNCTION("""COMPUTED_VALUE"""),45505.0)</f>
        <v>45505</v>
      </c>
      <c r="G615" s="1164">
        <f>IFERROR(__xludf.DUMMYFUNCTION("""COMPUTED_VALUE"""),2.0)</f>
        <v>2</v>
      </c>
      <c r="H615" s="1430">
        <f>IFERROR(__xludf.DUMMYFUNCTION("""COMPUTED_VALUE"""),80.0)</f>
        <v>80</v>
      </c>
      <c r="I615" s="94">
        <f>IFERROR(__xludf.DUMMYFUNCTION("""COMPUTED_VALUE"""),0.0)</f>
        <v>0</v>
      </c>
      <c r="J615" s="94"/>
      <c r="K615" s="94">
        <f>IFERROR(__xludf.DUMMYFUNCTION("""COMPUTED_VALUE"""),50.0)</f>
        <v>50</v>
      </c>
      <c r="L615" s="94">
        <f>IFERROR(__xludf.DUMMYFUNCTION("""COMPUTED_VALUE"""),40.0)</f>
        <v>40</v>
      </c>
      <c r="M615" s="94">
        <f>IFERROR(__xludf.DUMMYFUNCTION("""COMPUTED_VALUE"""),10.0)</f>
        <v>10</v>
      </c>
      <c r="N615" s="94"/>
      <c r="O615" s="1430">
        <f>IFERROR(__xludf.DUMMYFUNCTION("""COMPUTED_VALUE"""),10.0)</f>
        <v>10</v>
      </c>
      <c r="P615" s="1431">
        <f>IFERROR(__xludf.DUMMYFUNCTION("""COMPUTED_VALUE"""),2.69)</f>
        <v>2.69</v>
      </c>
      <c r="Q615" s="1432">
        <f>IFERROR(__xludf.DUMMYFUNCTION("""COMPUTED_VALUE"""),215.2)</f>
        <v>215.2</v>
      </c>
    </row>
    <row r="616" ht="15.75" customHeight="1">
      <c r="A616" s="94"/>
      <c r="B616" s="94" t="str">
        <f>IFERROR(__xludf.DUMMYFUNCTION("""COMPUTED_VALUE"""),"DL 11-1305")</f>
        <v>DL 11-1305</v>
      </c>
      <c r="C616" s="1429" t="str">
        <f>IFERROR(__xludf.DUMMYFUNCTION("""COMPUTED_VALUE"""),"DL")</f>
        <v>DL</v>
      </c>
      <c r="D616" s="1432">
        <f>IFERROR(__xludf.DUMMYFUNCTION("""COMPUTED_VALUE"""),7.0)</f>
        <v>7</v>
      </c>
      <c r="E616" s="1429">
        <f>IFERROR(__xludf.DUMMYFUNCTION("""COMPUTED_VALUE"""),45503.0)</f>
        <v>45503</v>
      </c>
      <c r="F616" s="1429">
        <f>IFERROR(__xludf.DUMMYFUNCTION("""COMPUTED_VALUE"""),45505.0)</f>
        <v>45505</v>
      </c>
      <c r="G616" s="1164">
        <f>IFERROR(__xludf.DUMMYFUNCTION("""COMPUTED_VALUE"""),2.0)</f>
        <v>2</v>
      </c>
      <c r="H616" s="1430">
        <f>IFERROR(__xludf.DUMMYFUNCTION("""COMPUTED_VALUE"""),210.0)</f>
        <v>210</v>
      </c>
      <c r="I616" s="94">
        <f>IFERROR(__xludf.DUMMYFUNCTION("""COMPUTED_VALUE"""),0.0)</f>
        <v>0</v>
      </c>
      <c r="J616" s="94"/>
      <c r="K616" s="94">
        <f>IFERROR(__xludf.DUMMYFUNCTION("""COMPUTED_VALUE"""),105.0)</f>
        <v>105</v>
      </c>
      <c r="L616" s="94">
        <f>IFERROR(__xludf.DUMMYFUNCTION("""COMPUTED_VALUE"""),105.0)</f>
        <v>105</v>
      </c>
      <c r="M616" s="94">
        <f>IFERROR(__xludf.DUMMYFUNCTION("""COMPUTED_VALUE"""),0.0)</f>
        <v>0</v>
      </c>
      <c r="N616" s="94"/>
      <c r="O616" s="1430">
        <f>IFERROR(__xludf.DUMMYFUNCTION("""COMPUTED_VALUE"""),0.0)</f>
        <v>0</v>
      </c>
      <c r="P616" s="1431">
        <f>IFERROR(__xludf.DUMMYFUNCTION("""COMPUTED_VALUE"""),2.69)</f>
        <v>2.69</v>
      </c>
      <c r="Q616" s="1432">
        <f>IFERROR(__xludf.DUMMYFUNCTION("""COMPUTED_VALUE"""),564.9)</f>
        <v>564.9</v>
      </c>
    </row>
    <row r="617" ht="15.75" customHeight="1">
      <c r="A617" s="94"/>
      <c r="B617" s="94" t="str">
        <f>IFERROR(__xludf.DUMMYFUNCTION("""COMPUTED_VALUE"""),"CM 1606")</f>
        <v>CM 1606</v>
      </c>
      <c r="C617" s="1429" t="str">
        <f>IFERROR(__xludf.DUMMYFUNCTION("""COMPUTED_VALUE"""),"MAR")</f>
        <v>MAR</v>
      </c>
      <c r="D617" s="1432">
        <f>IFERROR(__xludf.DUMMYFUNCTION("""COMPUTED_VALUE"""),7.0)</f>
        <v>7</v>
      </c>
      <c r="E617" s="1429">
        <f>IFERROR(__xludf.DUMMYFUNCTION("""COMPUTED_VALUE"""),45503.0)</f>
        <v>45503</v>
      </c>
      <c r="F617" s="1429">
        <f>IFERROR(__xludf.DUMMYFUNCTION("""COMPUTED_VALUE"""),45507.0)</f>
        <v>45507</v>
      </c>
      <c r="G617" s="1164">
        <f>IFERROR(__xludf.DUMMYFUNCTION("""COMPUTED_VALUE"""),4.0)</f>
        <v>4</v>
      </c>
      <c r="H617" s="1430">
        <f>IFERROR(__xludf.DUMMYFUNCTION("""COMPUTED_VALUE"""),200.0)</f>
        <v>200</v>
      </c>
      <c r="I617" s="94">
        <f>IFERROR(__xludf.DUMMYFUNCTION("""COMPUTED_VALUE"""),0.0)</f>
        <v>0</v>
      </c>
      <c r="J617" s="94"/>
      <c r="K617" s="94">
        <f>IFERROR(__xludf.DUMMYFUNCTION("""COMPUTED_VALUE"""),60.0)</f>
        <v>60</v>
      </c>
      <c r="L617" s="94">
        <f>IFERROR(__xludf.DUMMYFUNCTION("""COMPUTED_VALUE"""),40.0)</f>
        <v>40</v>
      </c>
      <c r="M617" s="94">
        <f>IFERROR(__xludf.DUMMYFUNCTION("""COMPUTED_VALUE"""),20.0)</f>
        <v>20</v>
      </c>
      <c r="N617" s="94"/>
      <c r="O617" s="1430">
        <f>IFERROR(__xludf.DUMMYFUNCTION("""COMPUTED_VALUE"""),20.0)</f>
        <v>20</v>
      </c>
      <c r="P617" s="1431">
        <f>IFERROR(__xludf.DUMMYFUNCTION("""COMPUTED_VALUE"""),2.69)</f>
        <v>2.69</v>
      </c>
      <c r="Q617" s="1432">
        <f>IFERROR(__xludf.DUMMYFUNCTION("""COMPUTED_VALUE"""),538.0)</f>
        <v>538</v>
      </c>
    </row>
    <row r="618" ht="15.75" customHeight="1">
      <c r="A618" s="94"/>
      <c r="B618" s="94" t="str">
        <f>IFERROR(__xludf.DUMMYFUNCTION("""COMPUTED_VALUE"""),"CM 1604")</f>
        <v>CM 1604</v>
      </c>
      <c r="C618" s="1429" t="str">
        <f>IFERROR(__xludf.DUMMYFUNCTION("""COMPUTED_VALUE"""),"MAR")</f>
        <v>MAR</v>
      </c>
      <c r="D618" s="1432">
        <f>IFERROR(__xludf.DUMMYFUNCTION("""COMPUTED_VALUE"""),7.0)</f>
        <v>7</v>
      </c>
      <c r="E618" s="1429">
        <f>IFERROR(__xludf.DUMMYFUNCTION("""COMPUTED_VALUE"""),45504.0)</f>
        <v>45504</v>
      </c>
      <c r="F618" s="1429">
        <f>IFERROR(__xludf.DUMMYFUNCTION("""COMPUTED_VALUE"""),45512.0)</f>
        <v>45512</v>
      </c>
      <c r="G618" s="1164">
        <f>IFERROR(__xludf.DUMMYFUNCTION("""COMPUTED_VALUE"""),8.0)</f>
        <v>8</v>
      </c>
      <c r="H618" s="1430">
        <f>IFERROR(__xludf.DUMMYFUNCTION("""COMPUTED_VALUE"""),515.0)</f>
        <v>515</v>
      </c>
      <c r="I618" s="94">
        <f>IFERROR(__xludf.DUMMYFUNCTION("""COMPUTED_VALUE"""),0.0)</f>
        <v>0</v>
      </c>
      <c r="J618" s="94"/>
      <c r="K618" s="94">
        <f>IFERROR(__xludf.DUMMYFUNCTION("""COMPUTED_VALUE"""),70.0)</f>
        <v>70</v>
      </c>
      <c r="L618" s="94">
        <f>IFERROR(__xludf.DUMMYFUNCTION("""COMPUTED_VALUE"""),40.0)</f>
        <v>40</v>
      </c>
      <c r="M618" s="94">
        <f>IFERROR(__xludf.DUMMYFUNCTION("""COMPUTED_VALUE"""),30.0)</f>
        <v>30</v>
      </c>
      <c r="N618" s="94"/>
      <c r="O618" s="1430">
        <f>IFERROR(__xludf.DUMMYFUNCTION("""COMPUTED_VALUE"""),30.0)</f>
        <v>30</v>
      </c>
      <c r="P618" s="1431">
        <f>IFERROR(__xludf.DUMMYFUNCTION("""COMPUTED_VALUE"""),2.69)</f>
        <v>2.69</v>
      </c>
      <c r="Q618" s="1432">
        <f>IFERROR(__xludf.DUMMYFUNCTION("""COMPUTED_VALUE"""),1385.35)</f>
        <v>1385.35</v>
      </c>
    </row>
    <row r="619" ht="15.75" customHeight="1">
      <c r="A619" s="94"/>
      <c r="B619" s="94" t="str">
        <f>IFERROR(__xludf.DUMMYFUNCTION("""COMPUTED_VALUE"""),"DL 11-1112")</f>
        <v>DL 11-1112</v>
      </c>
      <c r="C619" s="1429" t="str">
        <f>IFERROR(__xludf.DUMMYFUNCTION("""COMPUTED_VALUE"""),"DL")</f>
        <v>DL</v>
      </c>
      <c r="D619" s="1432">
        <f>IFERROR(__xludf.DUMMYFUNCTION("""COMPUTED_VALUE"""),7.0)</f>
        <v>7</v>
      </c>
      <c r="E619" s="1429">
        <f>IFERROR(__xludf.DUMMYFUNCTION("""COMPUTED_VALUE"""),45504.0)</f>
        <v>45504</v>
      </c>
      <c r="F619" s="1429">
        <f>IFERROR(__xludf.DUMMYFUNCTION("""COMPUTED_VALUE"""),45507.0)</f>
        <v>45507</v>
      </c>
      <c r="G619" s="1164">
        <f>IFERROR(__xludf.DUMMYFUNCTION("""COMPUTED_VALUE"""),3.0)</f>
        <v>3</v>
      </c>
      <c r="H619" s="94"/>
      <c r="I619" s="94">
        <f>IFERROR(__xludf.DUMMYFUNCTION("""COMPUTED_VALUE"""),907.0)</f>
        <v>907</v>
      </c>
      <c r="J619" s="94"/>
      <c r="K619" s="94">
        <f>IFERROR(__xludf.DUMMYFUNCTION("""COMPUTED_VALUE"""),95.0)</f>
        <v>95</v>
      </c>
      <c r="L619" s="94">
        <f>IFERROR(__xludf.DUMMYFUNCTION("""COMPUTED_VALUE"""),95.0)</f>
        <v>95</v>
      </c>
      <c r="M619" s="94">
        <f>IFERROR(__xludf.DUMMYFUNCTION("""COMPUTED_VALUE"""),0.0)</f>
        <v>0</v>
      </c>
      <c r="N619" s="94"/>
      <c r="O619" s="1430">
        <f>IFERROR(__xludf.DUMMYFUNCTION("""COMPUTED_VALUE"""),0.0)</f>
        <v>0</v>
      </c>
      <c r="P619" s="1431">
        <f>IFERROR(__xludf.DUMMYFUNCTION("""COMPUTED_VALUE"""),2.69)</f>
        <v>2.69</v>
      </c>
      <c r="Q619" s="1432">
        <f>IFERROR(__xludf.DUMMYFUNCTION("""COMPUTED_VALUE"""),907.0)</f>
        <v>907</v>
      </c>
    </row>
    <row r="620" ht="15.75" customHeight="1">
      <c r="A620" s="94"/>
      <c r="B620" s="94" t="str">
        <f>IFERROR(__xludf.DUMMYFUNCTION("""COMPUTED_VALUE"""),"Шар 2505")</f>
        <v>Шар 2505</v>
      </c>
      <c r="C620" s="1429" t="str">
        <f>IFERROR(__xludf.DUMMYFUNCTION("""COMPUTED_VALUE"""),"Other")</f>
        <v>Other</v>
      </c>
      <c r="D620" s="1432">
        <f>IFERROR(__xludf.DUMMYFUNCTION("""COMPUTED_VALUE"""),7.0)</f>
        <v>7</v>
      </c>
      <c r="E620" s="1429">
        <f>IFERROR(__xludf.DUMMYFUNCTION("""COMPUTED_VALUE"""),45504.0)</f>
        <v>45504</v>
      </c>
      <c r="F620" s="1429">
        <f>IFERROR(__xludf.DUMMYFUNCTION("""COMPUTED_VALUE"""),45511.0)</f>
        <v>45511</v>
      </c>
      <c r="G620" s="1164">
        <f>IFERROR(__xludf.DUMMYFUNCTION("""COMPUTED_VALUE"""),7.0)</f>
        <v>7</v>
      </c>
      <c r="H620" s="1430">
        <f>IFERROR(__xludf.DUMMYFUNCTION("""COMPUTED_VALUE"""),353.0)</f>
        <v>353</v>
      </c>
      <c r="I620" s="94">
        <f>IFERROR(__xludf.DUMMYFUNCTION("""COMPUTED_VALUE"""),0.0)</f>
        <v>0</v>
      </c>
      <c r="J620" s="94"/>
      <c r="K620" s="94">
        <f>IFERROR(__xludf.DUMMYFUNCTION("""COMPUTED_VALUE"""),60.0)</f>
        <v>60</v>
      </c>
      <c r="L620" s="94">
        <f>IFERROR(__xludf.DUMMYFUNCTION("""COMPUTED_VALUE"""),40.0)</f>
        <v>40</v>
      </c>
      <c r="M620" s="94">
        <f>IFERROR(__xludf.DUMMYFUNCTION("""COMPUTED_VALUE"""),20.0)</f>
        <v>20</v>
      </c>
      <c r="N620" s="94"/>
      <c r="O620" s="1430">
        <f>IFERROR(__xludf.DUMMYFUNCTION("""COMPUTED_VALUE"""),20.0)</f>
        <v>20</v>
      </c>
      <c r="P620" s="1431">
        <f>IFERROR(__xludf.DUMMYFUNCTION("""COMPUTED_VALUE"""),2.69)</f>
        <v>2.69</v>
      </c>
      <c r="Q620" s="1432">
        <f>IFERROR(__xludf.DUMMYFUNCTION("""COMPUTED_VALUE"""),949.5699999999999)</f>
        <v>949.57</v>
      </c>
    </row>
    <row r="621" ht="15.75" customHeight="1">
      <c r="A621" s="94"/>
      <c r="B621" s="94" t="str">
        <f>IFERROR(__xludf.DUMMYFUNCTION("""COMPUTED_VALUE"""),"WS А 908")</f>
        <v>WS А 908</v>
      </c>
      <c r="C621" s="1429" t="str">
        <f>IFERROR(__xludf.DUMMYFUNCTION("""COMPUTED_VALUE"""),"WS")</f>
        <v>WS</v>
      </c>
      <c r="D621" s="1432">
        <f>IFERROR(__xludf.DUMMYFUNCTION("""COMPUTED_VALUE"""),7.0)</f>
        <v>7</v>
      </c>
      <c r="E621" s="1429">
        <f>IFERROR(__xludf.DUMMYFUNCTION("""COMPUTED_VALUE"""),45504.0)</f>
        <v>45504</v>
      </c>
      <c r="F621" s="1429">
        <f>IFERROR(__xludf.DUMMYFUNCTION("""COMPUTED_VALUE"""),45516.0)</f>
        <v>45516</v>
      </c>
      <c r="G621" s="1164">
        <f>IFERROR(__xludf.DUMMYFUNCTION("""COMPUTED_VALUE"""),12.0)</f>
        <v>12</v>
      </c>
      <c r="H621" s="94"/>
      <c r="I621" s="94">
        <f>IFERROR(__xludf.DUMMYFUNCTION("""COMPUTED_VALUE"""),1620.0)</f>
        <v>1620</v>
      </c>
      <c r="J621" s="94"/>
      <c r="K621" s="94">
        <f>IFERROR(__xludf.DUMMYFUNCTION("""COMPUTED_VALUE"""),60.0)</f>
        <v>60</v>
      </c>
      <c r="L621" s="94">
        <f>IFERROR(__xludf.DUMMYFUNCTION("""COMPUTED_VALUE"""),40.0)</f>
        <v>40</v>
      </c>
      <c r="M621" s="94">
        <f>IFERROR(__xludf.DUMMYFUNCTION("""COMPUTED_VALUE"""),20.0)</f>
        <v>20</v>
      </c>
      <c r="N621" s="94"/>
      <c r="O621" s="1430">
        <f>IFERROR(__xludf.DUMMYFUNCTION("""COMPUTED_VALUE"""),20.0)</f>
        <v>20</v>
      </c>
      <c r="P621" s="1431">
        <f>IFERROR(__xludf.DUMMYFUNCTION("""COMPUTED_VALUE"""),2.69)</f>
        <v>2.69</v>
      </c>
      <c r="Q621" s="1432">
        <f>IFERROR(__xludf.DUMMYFUNCTION("""COMPUTED_VALUE"""),1620.0)</f>
        <v>1620</v>
      </c>
    </row>
    <row r="622" ht="15.75" customHeight="1">
      <c r="A622" s="94"/>
      <c r="B622" s="94" t="str">
        <f>IFERROR(__xludf.DUMMYFUNCTION("""COMPUTED_VALUE"""),"WS В 1510")</f>
        <v>WS В 1510</v>
      </c>
      <c r="C622" s="1429" t="str">
        <f>IFERROR(__xludf.DUMMYFUNCTION("""COMPUTED_VALUE"""),"WS")</f>
        <v>WS</v>
      </c>
      <c r="D622" s="1432">
        <f>IFERROR(__xludf.DUMMYFUNCTION("""COMPUTED_VALUE"""),7.0)</f>
        <v>7</v>
      </c>
      <c r="E622" s="1429">
        <f>IFERROR(__xludf.DUMMYFUNCTION("""COMPUTED_VALUE"""),45504.0)</f>
        <v>45504</v>
      </c>
      <c r="F622" s="1429">
        <f>IFERROR(__xludf.DUMMYFUNCTION("""COMPUTED_VALUE"""),45510.0)</f>
        <v>45510</v>
      </c>
      <c r="G622" s="1164">
        <f>IFERROR(__xludf.DUMMYFUNCTION("""COMPUTED_VALUE"""),6.0)</f>
        <v>6</v>
      </c>
      <c r="H622" s="1430">
        <f>IFERROR(__xludf.DUMMYFUNCTION("""COMPUTED_VALUE"""),378.0)</f>
        <v>378</v>
      </c>
      <c r="I622" s="94">
        <f>IFERROR(__xludf.DUMMYFUNCTION("""COMPUTED_VALUE"""),0.0)</f>
        <v>0</v>
      </c>
      <c r="J622" s="94"/>
      <c r="K622" s="94">
        <f>IFERROR(__xludf.DUMMYFUNCTION("""COMPUTED_VALUE"""),60.0)</f>
        <v>60</v>
      </c>
      <c r="L622" s="94">
        <f>IFERROR(__xludf.DUMMYFUNCTION("""COMPUTED_VALUE"""),40.0)</f>
        <v>40</v>
      </c>
      <c r="M622" s="94">
        <f>IFERROR(__xludf.DUMMYFUNCTION("""COMPUTED_VALUE"""),20.0)</f>
        <v>20</v>
      </c>
      <c r="N622" s="94"/>
      <c r="O622" s="1430">
        <f>IFERROR(__xludf.DUMMYFUNCTION("""COMPUTED_VALUE"""),20.0)</f>
        <v>20</v>
      </c>
      <c r="P622" s="1431">
        <f>IFERROR(__xludf.DUMMYFUNCTION("""COMPUTED_VALUE"""),2.69)</f>
        <v>2.69</v>
      </c>
      <c r="Q622" s="1432">
        <f>IFERROR(__xludf.DUMMYFUNCTION("""COMPUTED_VALUE"""),1016.8199999999999)</f>
        <v>1016.82</v>
      </c>
    </row>
    <row r="623" ht="15.75" customHeight="1">
      <c r="A623" s="94"/>
      <c r="B623" s="94" t="str">
        <f>IFERROR(__xludf.DUMMYFUNCTION("""COMPUTED_VALUE"""),"WS A 409")</f>
        <v>WS A 409</v>
      </c>
      <c r="C623" s="1429" t="str">
        <f>IFERROR(__xludf.DUMMYFUNCTION("""COMPUTED_VALUE"""),"WS")</f>
        <v>WS</v>
      </c>
      <c r="D623" s="1432">
        <f>IFERROR(__xludf.DUMMYFUNCTION("""COMPUTED_VALUE"""),7.0)</f>
        <v>7</v>
      </c>
      <c r="E623" s="1429">
        <f>IFERROR(__xludf.DUMMYFUNCTION("""COMPUTED_VALUE"""),45504.0)</f>
        <v>45504</v>
      </c>
      <c r="F623" s="1429">
        <f>IFERROR(__xludf.DUMMYFUNCTION("""COMPUTED_VALUE"""),45517.0)</f>
        <v>45517</v>
      </c>
      <c r="G623" s="1164">
        <f>IFERROR(__xludf.DUMMYFUNCTION("""COMPUTED_VALUE"""),13.0)</f>
        <v>13</v>
      </c>
      <c r="H623" s="1430">
        <f>IFERROR(__xludf.DUMMYFUNCTION("""COMPUTED_VALUE"""),542.0)</f>
        <v>542</v>
      </c>
      <c r="I623" s="94">
        <f>IFERROR(__xludf.DUMMYFUNCTION("""COMPUTED_VALUE"""),0.0)</f>
        <v>0</v>
      </c>
      <c r="J623" s="94"/>
      <c r="K623" s="94">
        <f>IFERROR(__xludf.DUMMYFUNCTION("""COMPUTED_VALUE"""),60.0)</f>
        <v>60</v>
      </c>
      <c r="L623" s="94">
        <f>IFERROR(__xludf.DUMMYFUNCTION("""COMPUTED_VALUE"""),40.0)</f>
        <v>40</v>
      </c>
      <c r="M623" s="94">
        <f>IFERROR(__xludf.DUMMYFUNCTION("""COMPUTED_VALUE"""),20.0)</f>
        <v>20</v>
      </c>
      <c r="N623" s="94"/>
      <c r="O623" s="1430">
        <f>IFERROR(__xludf.DUMMYFUNCTION("""COMPUTED_VALUE"""),20.0)</f>
        <v>20</v>
      </c>
      <c r="P623" s="1431">
        <f>IFERROR(__xludf.DUMMYFUNCTION("""COMPUTED_VALUE"""),2.69)</f>
        <v>2.69</v>
      </c>
      <c r="Q623" s="1432">
        <f>IFERROR(__xludf.DUMMYFUNCTION("""COMPUTED_VALUE"""),1457.98)</f>
        <v>1457.98</v>
      </c>
    </row>
    <row r="624" ht="15.75" customHeight="1">
      <c r="A624" s="94"/>
      <c r="B624" s="94" t="str">
        <f>IFERROR(__xludf.DUMMYFUNCTION("""COMPUTED_VALUE"""),"DL14-1405")</f>
        <v>DL14-1405</v>
      </c>
      <c r="C624" s="1429" t="str">
        <f>IFERROR(__xludf.DUMMYFUNCTION("""COMPUTED_VALUE"""),"DL")</f>
        <v>DL</v>
      </c>
      <c r="D624" s="1432">
        <f>IFERROR(__xludf.DUMMYFUNCTION("""COMPUTED_VALUE"""),7.0)</f>
        <v>7</v>
      </c>
      <c r="E624" s="1429">
        <f>IFERROR(__xludf.DUMMYFUNCTION("""COMPUTED_VALUE"""),45504.0)</f>
        <v>45504</v>
      </c>
      <c r="F624" s="1429">
        <f>IFERROR(__xludf.DUMMYFUNCTION("""COMPUTED_VALUE"""),45512.0)</f>
        <v>45512</v>
      </c>
      <c r="G624" s="1164">
        <f>IFERROR(__xludf.DUMMYFUNCTION("""COMPUTED_VALUE"""),8.0)</f>
        <v>8</v>
      </c>
      <c r="H624" s="1430">
        <f>IFERROR(__xludf.DUMMYFUNCTION("""COMPUTED_VALUE"""),1200.0)</f>
        <v>1200</v>
      </c>
      <c r="I624" s="94">
        <f>IFERROR(__xludf.DUMMYFUNCTION("""COMPUTED_VALUE"""),0.0)</f>
        <v>0</v>
      </c>
      <c r="J624" s="94"/>
      <c r="K624" s="94">
        <f>IFERROR(__xludf.DUMMYFUNCTION("""COMPUTED_VALUE"""),105.0)</f>
        <v>105</v>
      </c>
      <c r="L624" s="94">
        <f>IFERROR(__xludf.DUMMYFUNCTION("""COMPUTED_VALUE"""),105.0)</f>
        <v>105</v>
      </c>
      <c r="M624" s="94">
        <f>IFERROR(__xludf.DUMMYFUNCTION("""COMPUTED_VALUE"""),0.0)</f>
        <v>0</v>
      </c>
      <c r="N624" s="94"/>
      <c r="O624" s="1430">
        <f>IFERROR(__xludf.DUMMYFUNCTION("""COMPUTED_VALUE"""),0.0)</f>
        <v>0</v>
      </c>
      <c r="P624" s="1431">
        <f>IFERROR(__xludf.DUMMYFUNCTION("""COMPUTED_VALUE"""),2.69)</f>
        <v>2.69</v>
      </c>
      <c r="Q624" s="1432">
        <f>IFERROR(__xludf.DUMMYFUNCTION("""COMPUTED_VALUE"""),3228.0)</f>
        <v>3228</v>
      </c>
    </row>
    <row r="625" ht="15.75" customHeight="1">
      <c r="A625" s="94"/>
      <c r="B625" s="94" t="str">
        <f>IFERROR(__xludf.DUMMYFUNCTION("""COMPUTED_VALUE"""),"Горизонт 2705")</f>
        <v>Горизонт 2705</v>
      </c>
      <c r="C625" s="1429" t="str">
        <f>IFERROR(__xludf.DUMMYFUNCTION("""COMPUTED_VALUE"""),"Other")</f>
        <v>Other</v>
      </c>
      <c r="D625" s="1432">
        <f>IFERROR(__xludf.DUMMYFUNCTION("""COMPUTED_VALUE"""),7.0)</f>
        <v>7</v>
      </c>
      <c r="E625" s="1429">
        <f>IFERROR(__xludf.DUMMYFUNCTION("""COMPUTED_VALUE"""),45474.0)</f>
        <v>45474</v>
      </c>
      <c r="F625" s="1429">
        <f>IFERROR(__xludf.DUMMYFUNCTION("""COMPUTED_VALUE"""),45504.0)</f>
        <v>45504</v>
      </c>
      <c r="G625" s="1164">
        <f>IFERROR(__xludf.DUMMYFUNCTION("""COMPUTED_VALUE"""),30.0)</f>
        <v>30</v>
      </c>
      <c r="H625" s="1430">
        <f>IFERROR(__xludf.DUMMYFUNCTION("""COMPUTED_VALUE"""),682.0)</f>
        <v>682</v>
      </c>
      <c r="I625" s="94"/>
      <c r="J625" s="94"/>
      <c r="K625" s="94"/>
      <c r="L625" s="94"/>
      <c r="M625" s="94">
        <f>IFERROR(__xludf.DUMMYFUNCTION("""COMPUTED_VALUE"""),0.0)</f>
        <v>0</v>
      </c>
      <c r="N625" s="94"/>
      <c r="O625" s="1430">
        <f>IFERROR(__xludf.DUMMYFUNCTION("""COMPUTED_VALUE"""),0.0)</f>
        <v>0</v>
      </c>
      <c r="P625" s="1431">
        <f>IFERROR(__xludf.DUMMYFUNCTION("""COMPUTED_VALUE"""),2.69)</f>
        <v>2.69</v>
      </c>
      <c r="Q625" s="1432">
        <f>IFERROR(__xludf.DUMMYFUNCTION("""COMPUTED_VALUE"""),1834.58)</f>
        <v>1834.58</v>
      </c>
    </row>
    <row r="626" ht="15.75" customHeight="1">
      <c r="A626" s="94"/>
      <c r="B626" s="94" t="str">
        <f>IFERROR(__xludf.DUMMYFUNCTION("""COMPUTED_VALUE"""),"DL 14-1214")</f>
        <v>DL 14-1214</v>
      </c>
      <c r="C626" s="1429" t="str">
        <f>IFERROR(__xludf.DUMMYFUNCTION("""COMPUTED_VALUE"""),"DL")</f>
        <v>DL</v>
      </c>
      <c r="D626" s="1432">
        <f>IFERROR(__xludf.DUMMYFUNCTION("""COMPUTED_VALUE"""),8.0)</f>
        <v>8</v>
      </c>
      <c r="E626" s="1429">
        <f>IFERROR(__xludf.DUMMYFUNCTION("""COMPUTED_VALUE"""),45505.0)</f>
        <v>45505</v>
      </c>
      <c r="F626" s="1429">
        <f>IFERROR(__xludf.DUMMYFUNCTION("""COMPUTED_VALUE"""),45511.0)</f>
        <v>45511</v>
      </c>
      <c r="G626" s="1164">
        <f>IFERROR(__xludf.DUMMYFUNCTION("""COMPUTED_VALUE"""),6.0)</f>
        <v>6</v>
      </c>
      <c r="H626" s="94"/>
      <c r="I626" s="94">
        <f>IFERROR(__xludf.DUMMYFUNCTION("""COMPUTED_VALUE"""),1462.0)</f>
        <v>1462</v>
      </c>
      <c r="J626" s="94"/>
      <c r="K626" s="94">
        <f>IFERROR(__xludf.DUMMYFUNCTION("""COMPUTED_VALUE"""),95.0)</f>
        <v>95</v>
      </c>
      <c r="L626" s="94">
        <f>IFERROR(__xludf.DUMMYFUNCTION("""COMPUTED_VALUE"""),95.0)</f>
        <v>95</v>
      </c>
      <c r="M626" s="94">
        <f>IFERROR(__xludf.DUMMYFUNCTION("""COMPUTED_VALUE"""),0.0)</f>
        <v>0</v>
      </c>
      <c r="N626" s="94"/>
      <c r="O626" s="1430">
        <f>IFERROR(__xludf.DUMMYFUNCTION("""COMPUTED_VALUE"""),0.0)</f>
        <v>0</v>
      </c>
      <c r="P626" s="1431">
        <f>IFERROR(__xludf.DUMMYFUNCTION("""COMPUTED_VALUE"""),2.69)</f>
        <v>2.69</v>
      </c>
      <c r="Q626" s="1432">
        <f>IFERROR(__xludf.DUMMYFUNCTION("""COMPUTED_VALUE"""),1462.0)</f>
        <v>1462</v>
      </c>
    </row>
    <row r="627" ht="15.75" customHeight="1">
      <c r="A627" s="94"/>
      <c r="B627" s="94" t="str">
        <f>IFERROR(__xludf.DUMMYFUNCTION("""COMPUTED_VALUE"""),"DL 14-516")</f>
        <v>DL 14-516</v>
      </c>
      <c r="C627" s="1429" t="str">
        <f>IFERROR(__xludf.DUMMYFUNCTION("""COMPUTED_VALUE"""),"DL")</f>
        <v>DL</v>
      </c>
      <c r="D627" s="1432">
        <f>IFERROR(__xludf.DUMMYFUNCTION("""COMPUTED_VALUE"""),8.0)</f>
        <v>8</v>
      </c>
      <c r="E627" s="1429">
        <f>IFERROR(__xludf.DUMMYFUNCTION("""COMPUTED_VALUE"""),45505.0)</f>
        <v>45505</v>
      </c>
      <c r="F627" s="1429">
        <f>IFERROR(__xludf.DUMMYFUNCTION("""COMPUTED_VALUE"""),45512.0)</f>
        <v>45512</v>
      </c>
      <c r="G627" s="1164">
        <f>IFERROR(__xludf.DUMMYFUNCTION("""COMPUTED_VALUE"""),7.0)</f>
        <v>7</v>
      </c>
      <c r="H627" s="1430">
        <f>IFERROR(__xludf.DUMMYFUNCTION("""COMPUTED_VALUE"""),1153.0)</f>
        <v>1153</v>
      </c>
      <c r="I627" s="94">
        <f>IFERROR(__xludf.DUMMYFUNCTION("""COMPUTED_VALUE"""),0.0)</f>
        <v>0</v>
      </c>
      <c r="J627" s="94"/>
      <c r="K627" s="94">
        <f>IFERROR(__xludf.DUMMYFUNCTION("""COMPUTED_VALUE"""),105.0)</f>
        <v>105</v>
      </c>
      <c r="L627" s="94">
        <f>IFERROR(__xludf.DUMMYFUNCTION("""COMPUTED_VALUE"""),105.0)</f>
        <v>105</v>
      </c>
      <c r="M627" s="94">
        <f>IFERROR(__xludf.DUMMYFUNCTION("""COMPUTED_VALUE"""),0.0)</f>
        <v>0</v>
      </c>
      <c r="N627" s="94"/>
      <c r="O627" s="1430">
        <f>IFERROR(__xludf.DUMMYFUNCTION("""COMPUTED_VALUE"""),0.0)</f>
        <v>0</v>
      </c>
      <c r="P627" s="1431">
        <f>IFERROR(__xludf.DUMMYFUNCTION("""COMPUTED_VALUE"""),2.69)</f>
        <v>2.69</v>
      </c>
      <c r="Q627" s="1432">
        <f>IFERROR(__xludf.DUMMYFUNCTION("""COMPUTED_VALUE"""),3101.57)</f>
        <v>3101.57</v>
      </c>
    </row>
    <row r="628" ht="15.75" customHeight="1">
      <c r="A628" s="94"/>
      <c r="B628" s="94" t="str">
        <f>IFERROR(__xludf.DUMMYFUNCTION("""COMPUTED_VALUE"""),"Шартава 16")</f>
        <v>Шартава 16</v>
      </c>
      <c r="C628" s="1429" t="str">
        <f>IFERROR(__xludf.DUMMYFUNCTION("""COMPUTED_VALUE"""),"Other")</f>
        <v>Other</v>
      </c>
      <c r="D628" s="1432">
        <f>IFERROR(__xludf.DUMMYFUNCTION("""COMPUTED_VALUE"""),8.0)</f>
        <v>8</v>
      </c>
      <c r="E628" s="1429">
        <f>IFERROR(__xludf.DUMMYFUNCTION("""COMPUTED_VALUE"""),45505.0)</f>
        <v>45505</v>
      </c>
      <c r="F628" s="1429">
        <f>IFERROR(__xludf.DUMMYFUNCTION("""COMPUTED_VALUE"""),45514.0)</f>
        <v>45514</v>
      </c>
      <c r="G628" s="1164">
        <f>IFERROR(__xludf.DUMMYFUNCTION("""COMPUTED_VALUE"""),9.0)</f>
        <v>9</v>
      </c>
      <c r="H628" s="94"/>
      <c r="I628" s="94">
        <f>IFERROR(__xludf.DUMMYFUNCTION("""COMPUTED_VALUE"""),833.0)</f>
        <v>833</v>
      </c>
      <c r="J628" s="94"/>
      <c r="K628" s="94">
        <f>IFERROR(__xludf.DUMMYFUNCTION("""COMPUTED_VALUE"""),60.0)</f>
        <v>60</v>
      </c>
      <c r="L628" s="94">
        <f>IFERROR(__xludf.DUMMYFUNCTION("""COMPUTED_VALUE"""),40.0)</f>
        <v>40</v>
      </c>
      <c r="M628" s="94">
        <f>IFERROR(__xludf.DUMMYFUNCTION("""COMPUTED_VALUE"""),20.0)</f>
        <v>20</v>
      </c>
      <c r="N628" s="94"/>
      <c r="O628" s="1430">
        <f>IFERROR(__xludf.DUMMYFUNCTION("""COMPUTED_VALUE"""),20.0)</f>
        <v>20</v>
      </c>
      <c r="P628" s="1431">
        <f>IFERROR(__xludf.DUMMYFUNCTION("""COMPUTED_VALUE"""),2.69)</f>
        <v>2.69</v>
      </c>
      <c r="Q628" s="1432">
        <f>IFERROR(__xludf.DUMMYFUNCTION("""COMPUTED_VALUE"""),883.0)</f>
        <v>883</v>
      </c>
    </row>
    <row r="629" ht="15.75" customHeight="1">
      <c r="A629" s="94"/>
      <c r="B629" s="94" t="str">
        <f>IFERROR(__xludf.DUMMYFUNCTION("""COMPUTED_VALUE"""),"А 4049")</f>
        <v>А 4049</v>
      </c>
      <c r="C629" s="1429" t="str">
        <f>IFERROR(__xludf.DUMMYFUNCTION("""COMPUTED_VALUE"""),"ORBI")</f>
        <v>ORBI</v>
      </c>
      <c r="D629" s="1432">
        <f>IFERROR(__xludf.DUMMYFUNCTION("""COMPUTED_VALUE"""),8.0)</f>
        <v>8</v>
      </c>
      <c r="E629" s="1429">
        <f>IFERROR(__xludf.DUMMYFUNCTION("""COMPUTED_VALUE"""),45505.0)</f>
        <v>45505</v>
      </c>
      <c r="F629" s="1429">
        <f>IFERROR(__xludf.DUMMYFUNCTION("""COMPUTED_VALUE"""),45509.0)</f>
        <v>45509</v>
      </c>
      <c r="G629" s="1164">
        <f>IFERROR(__xludf.DUMMYFUNCTION("""COMPUTED_VALUE"""),4.0)</f>
        <v>4</v>
      </c>
      <c r="H629" s="1430">
        <f>IFERROR(__xludf.DUMMYFUNCTION("""COMPUTED_VALUE"""),191.0)</f>
        <v>191</v>
      </c>
      <c r="I629" s="94">
        <f>IFERROR(__xludf.DUMMYFUNCTION("""COMPUTED_VALUE"""),0.0)</f>
        <v>0</v>
      </c>
      <c r="J629" s="94"/>
      <c r="K629" s="94">
        <f>IFERROR(__xludf.DUMMYFUNCTION("""COMPUTED_VALUE"""),50.0)</f>
        <v>50</v>
      </c>
      <c r="L629" s="94">
        <f>IFERROR(__xludf.DUMMYFUNCTION("""COMPUTED_VALUE"""),40.0)</f>
        <v>40</v>
      </c>
      <c r="M629" s="94">
        <f>IFERROR(__xludf.DUMMYFUNCTION("""COMPUTED_VALUE"""),10.0)</f>
        <v>10</v>
      </c>
      <c r="N629" s="94"/>
      <c r="O629" s="1430">
        <f>IFERROR(__xludf.DUMMYFUNCTION("""COMPUTED_VALUE"""),10.0)</f>
        <v>10</v>
      </c>
      <c r="P629" s="1431">
        <f>IFERROR(__xludf.DUMMYFUNCTION("""COMPUTED_VALUE"""),2.69)</f>
        <v>2.69</v>
      </c>
      <c r="Q629" s="1432">
        <f>IFERROR(__xludf.DUMMYFUNCTION("""COMPUTED_VALUE"""),513.79)</f>
        <v>513.79</v>
      </c>
    </row>
    <row r="630" ht="15.75" customHeight="1">
      <c r="A630" s="94"/>
      <c r="B630" s="94" t="str">
        <f>IFERROR(__xludf.DUMMYFUNCTION("""COMPUTED_VALUE"""),"WS E1405")</f>
        <v>WS E1405</v>
      </c>
      <c r="C630" s="1429" t="str">
        <f>IFERROR(__xludf.DUMMYFUNCTION("""COMPUTED_VALUE"""),"WS")</f>
        <v>WS</v>
      </c>
      <c r="D630" s="1432">
        <f>IFERROR(__xludf.DUMMYFUNCTION("""COMPUTED_VALUE"""),8.0)</f>
        <v>8</v>
      </c>
      <c r="E630" s="1429">
        <f>IFERROR(__xludf.DUMMYFUNCTION("""COMPUTED_VALUE"""),45505.0)</f>
        <v>45505</v>
      </c>
      <c r="F630" s="1429">
        <f>IFERROR(__xludf.DUMMYFUNCTION("""COMPUTED_VALUE"""),45508.0)</f>
        <v>45508</v>
      </c>
      <c r="G630" s="1164">
        <f>IFERROR(__xludf.DUMMYFUNCTION("""COMPUTED_VALUE"""),3.0)</f>
        <v>3</v>
      </c>
      <c r="H630" s="1430">
        <f>IFERROR(__xludf.DUMMYFUNCTION("""COMPUTED_VALUE"""),198.0)</f>
        <v>198</v>
      </c>
      <c r="I630" s="94">
        <f>IFERROR(__xludf.DUMMYFUNCTION("""COMPUTED_VALUE"""),0.0)</f>
        <v>0</v>
      </c>
      <c r="J630" s="94"/>
      <c r="K630" s="94">
        <f>IFERROR(__xludf.DUMMYFUNCTION("""COMPUTED_VALUE"""),60.0)</f>
        <v>60</v>
      </c>
      <c r="L630" s="94">
        <f>IFERROR(__xludf.DUMMYFUNCTION("""COMPUTED_VALUE"""),40.0)</f>
        <v>40</v>
      </c>
      <c r="M630" s="94">
        <f>IFERROR(__xludf.DUMMYFUNCTION("""COMPUTED_VALUE"""),20.0)</f>
        <v>20</v>
      </c>
      <c r="N630" s="94"/>
      <c r="O630" s="1430">
        <f>IFERROR(__xludf.DUMMYFUNCTION("""COMPUTED_VALUE"""),20.0)</f>
        <v>20</v>
      </c>
      <c r="P630" s="1431">
        <f>IFERROR(__xludf.DUMMYFUNCTION("""COMPUTED_VALUE"""),2.69)</f>
        <v>2.69</v>
      </c>
      <c r="Q630" s="1432">
        <f>IFERROR(__xludf.DUMMYFUNCTION("""COMPUTED_VALUE"""),532.62)</f>
        <v>532.62</v>
      </c>
    </row>
    <row r="631" ht="15.75" customHeight="1">
      <c r="A631" s="94"/>
      <c r="B631" s="94" t="str">
        <f>IFERROR(__xludf.DUMMYFUNCTION("""COMPUTED_VALUE"""),"WS A 608")</f>
        <v>WS A 608</v>
      </c>
      <c r="C631" s="1429" t="str">
        <f>IFERROR(__xludf.DUMMYFUNCTION("""COMPUTED_VALUE"""),"WS")</f>
        <v>WS</v>
      </c>
      <c r="D631" s="1432">
        <f>IFERROR(__xludf.DUMMYFUNCTION("""COMPUTED_VALUE"""),8.0)</f>
        <v>8</v>
      </c>
      <c r="E631" s="1429">
        <f>IFERROR(__xludf.DUMMYFUNCTION("""COMPUTED_VALUE"""),45505.0)</f>
        <v>45505</v>
      </c>
      <c r="F631" s="1429">
        <f>IFERROR(__xludf.DUMMYFUNCTION("""COMPUTED_VALUE"""),45508.0)</f>
        <v>45508</v>
      </c>
      <c r="G631" s="1164">
        <f>IFERROR(__xludf.DUMMYFUNCTION("""COMPUTED_VALUE"""),3.0)</f>
        <v>3</v>
      </c>
      <c r="H631" s="1430">
        <f>IFERROR(__xludf.DUMMYFUNCTION("""COMPUTED_VALUE"""),135.0)</f>
        <v>135</v>
      </c>
      <c r="I631" s="94">
        <f>IFERROR(__xludf.DUMMYFUNCTION("""COMPUTED_VALUE"""),0.0)</f>
        <v>0</v>
      </c>
      <c r="J631" s="94"/>
      <c r="K631" s="94">
        <f>IFERROR(__xludf.DUMMYFUNCTION("""COMPUTED_VALUE"""),60.0)</f>
        <v>60</v>
      </c>
      <c r="L631" s="94">
        <f>IFERROR(__xludf.DUMMYFUNCTION("""COMPUTED_VALUE"""),40.0)</f>
        <v>40</v>
      </c>
      <c r="M631" s="94">
        <f>IFERROR(__xludf.DUMMYFUNCTION("""COMPUTED_VALUE"""),20.0)</f>
        <v>20</v>
      </c>
      <c r="N631" s="94"/>
      <c r="O631" s="1430">
        <f>IFERROR(__xludf.DUMMYFUNCTION("""COMPUTED_VALUE"""),20.0)</f>
        <v>20</v>
      </c>
      <c r="P631" s="1431">
        <f>IFERROR(__xludf.DUMMYFUNCTION("""COMPUTED_VALUE"""),2.69)</f>
        <v>2.69</v>
      </c>
      <c r="Q631" s="1432">
        <f>IFERROR(__xludf.DUMMYFUNCTION("""COMPUTED_VALUE"""),363.15)</f>
        <v>363.15</v>
      </c>
    </row>
    <row r="632" ht="15.75" customHeight="1">
      <c r="A632" s="94"/>
      <c r="B632" s="94" t="str">
        <f>IFERROR(__xludf.DUMMYFUNCTION("""COMPUTED_VALUE"""),"WS F 907")</f>
        <v>WS F 907</v>
      </c>
      <c r="C632" s="1429" t="str">
        <f>IFERROR(__xludf.DUMMYFUNCTION("""COMPUTED_VALUE"""),"WS")</f>
        <v>WS</v>
      </c>
      <c r="D632" s="1432">
        <f>IFERROR(__xludf.DUMMYFUNCTION("""COMPUTED_VALUE"""),8.0)</f>
        <v>8</v>
      </c>
      <c r="E632" s="1429">
        <f>IFERROR(__xludf.DUMMYFUNCTION("""COMPUTED_VALUE"""),45505.0)</f>
        <v>45505</v>
      </c>
      <c r="F632" s="1429">
        <f>IFERROR(__xludf.DUMMYFUNCTION("""COMPUTED_VALUE"""),45507.0)</f>
        <v>45507</v>
      </c>
      <c r="G632" s="1164">
        <f>IFERROR(__xludf.DUMMYFUNCTION("""COMPUTED_VALUE"""),2.0)</f>
        <v>2</v>
      </c>
      <c r="H632" s="94"/>
      <c r="I632" s="94">
        <f>IFERROR(__xludf.DUMMYFUNCTION("""COMPUTED_VALUE"""),284.0)</f>
        <v>284</v>
      </c>
      <c r="J632" s="94"/>
      <c r="K632" s="94">
        <f>IFERROR(__xludf.DUMMYFUNCTION("""COMPUTED_VALUE"""),60.0)</f>
        <v>60</v>
      </c>
      <c r="L632" s="94">
        <f>IFERROR(__xludf.DUMMYFUNCTION("""COMPUTED_VALUE"""),40.0)</f>
        <v>40</v>
      </c>
      <c r="M632" s="94">
        <f>IFERROR(__xludf.DUMMYFUNCTION("""COMPUTED_VALUE"""),20.0)</f>
        <v>20</v>
      </c>
      <c r="N632" s="94"/>
      <c r="O632" s="1430">
        <f>IFERROR(__xludf.DUMMYFUNCTION("""COMPUTED_VALUE"""),20.0)</f>
        <v>20</v>
      </c>
      <c r="P632" s="1431">
        <f>IFERROR(__xludf.DUMMYFUNCTION("""COMPUTED_VALUE"""),2.69)</f>
        <v>2.69</v>
      </c>
      <c r="Q632" s="1432">
        <f>IFERROR(__xludf.DUMMYFUNCTION("""COMPUTED_VALUE"""),284.0)</f>
        <v>284</v>
      </c>
    </row>
    <row r="633" ht="15.75" customHeight="1">
      <c r="A633" s="94"/>
      <c r="B633" s="94" t="str">
        <f>IFERROR(__xludf.DUMMYFUNCTION("""COMPUTED_VALUE"""),"CM 1931")</f>
        <v>CM 1931</v>
      </c>
      <c r="C633" s="1429" t="str">
        <f>IFERROR(__xludf.DUMMYFUNCTION("""COMPUTED_VALUE"""),"MAR")</f>
        <v>MAR</v>
      </c>
      <c r="D633" s="1432">
        <f>IFERROR(__xludf.DUMMYFUNCTION("""COMPUTED_VALUE"""),8.0)</f>
        <v>8</v>
      </c>
      <c r="E633" s="1429">
        <f>IFERROR(__xludf.DUMMYFUNCTION("""COMPUTED_VALUE"""),45505.0)</f>
        <v>45505</v>
      </c>
      <c r="F633" s="1429">
        <f>IFERROR(__xludf.DUMMYFUNCTION("""COMPUTED_VALUE"""),45508.0)</f>
        <v>45508</v>
      </c>
      <c r="G633" s="1164">
        <f>IFERROR(__xludf.DUMMYFUNCTION("""COMPUTED_VALUE"""),3.0)</f>
        <v>3</v>
      </c>
      <c r="H633" s="1430">
        <f>IFERROR(__xludf.DUMMYFUNCTION("""COMPUTED_VALUE"""),132.0)</f>
        <v>132</v>
      </c>
      <c r="I633" s="94">
        <f>IFERROR(__xludf.DUMMYFUNCTION("""COMPUTED_VALUE"""),0.0)</f>
        <v>0</v>
      </c>
      <c r="J633" s="94"/>
      <c r="K633" s="94">
        <f>IFERROR(__xludf.DUMMYFUNCTION("""COMPUTED_VALUE"""),60.0)</f>
        <v>60</v>
      </c>
      <c r="L633" s="94">
        <f>IFERROR(__xludf.DUMMYFUNCTION("""COMPUTED_VALUE"""),40.0)</f>
        <v>40</v>
      </c>
      <c r="M633" s="94">
        <f>IFERROR(__xludf.DUMMYFUNCTION("""COMPUTED_VALUE"""),20.0)</f>
        <v>20</v>
      </c>
      <c r="N633" s="94"/>
      <c r="O633" s="1430">
        <f>IFERROR(__xludf.DUMMYFUNCTION("""COMPUTED_VALUE"""),20.0)</f>
        <v>20</v>
      </c>
      <c r="P633" s="1431">
        <f>IFERROR(__xludf.DUMMYFUNCTION("""COMPUTED_VALUE"""),2.69)</f>
        <v>2.69</v>
      </c>
      <c r="Q633" s="1432">
        <f>IFERROR(__xludf.DUMMYFUNCTION("""COMPUTED_VALUE"""),355.08)</f>
        <v>355.08</v>
      </c>
    </row>
    <row r="634" ht="15.75" customHeight="1">
      <c r="A634" s="94"/>
      <c r="B634" s="94" t="str">
        <f>IFERROR(__xludf.DUMMYFUNCTION("""COMPUTED_VALUE"""),"DL14-1707")</f>
        <v>DL14-1707</v>
      </c>
      <c r="C634" s="1429" t="str">
        <f>IFERROR(__xludf.DUMMYFUNCTION("""COMPUTED_VALUE"""),"DL")</f>
        <v>DL</v>
      </c>
      <c r="D634" s="1432">
        <f>IFERROR(__xludf.DUMMYFUNCTION("""COMPUTED_VALUE"""),8.0)</f>
        <v>8</v>
      </c>
      <c r="E634" s="1429">
        <f>IFERROR(__xludf.DUMMYFUNCTION("""COMPUTED_VALUE"""),45506.0)</f>
        <v>45506</v>
      </c>
      <c r="F634" s="1429">
        <f>IFERROR(__xludf.DUMMYFUNCTION("""COMPUTED_VALUE"""),45508.0)</f>
        <v>45508</v>
      </c>
      <c r="G634" s="1164">
        <f>IFERROR(__xludf.DUMMYFUNCTION("""COMPUTED_VALUE"""),2.0)</f>
        <v>2</v>
      </c>
      <c r="H634" s="1430">
        <f>IFERROR(__xludf.DUMMYFUNCTION("""COMPUTED_VALUE"""),150.0)</f>
        <v>150</v>
      </c>
      <c r="I634" s="94">
        <f>IFERROR(__xludf.DUMMYFUNCTION("""COMPUTED_VALUE"""),0.0)</f>
        <v>0</v>
      </c>
      <c r="J634" s="94"/>
      <c r="K634" s="94">
        <f>IFERROR(__xludf.DUMMYFUNCTION("""COMPUTED_VALUE"""),40.0)</f>
        <v>40</v>
      </c>
      <c r="L634" s="94">
        <f>IFERROR(__xludf.DUMMYFUNCTION("""COMPUTED_VALUE"""),40.0)</f>
        <v>40</v>
      </c>
      <c r="M634" s="94">
        <f>IFERROR(__xludf.DUMMYFUNCTION("""COMPUTED_VALUE"""),0.0)</f>
        <v>0</v>
      </c>
      <c r="N634" s="94"/>
      <c r="O634" s="1430">
        <f>IFERROR(__xludf.DUMMYFUNCTION("""COMPUTED_VALUE"""),0.0)</f>
        <v>0</v>
      </c>
      <c r="P634" s="1431">
        <f>IFERROR(__xludf.DUMMYFUNCTION("""COMPUTED_VALUE"""),2.69)</f>
        <v>2.69</v>
      </c>
      <c r="Q634" s="1432">
        <f>IFERROR(__xludf.DUMMYFUNCTION("""COMPUTED_VALUE"""),403.5)</f>
        <v>403.5</v>
      </c>
    </row>
    <row r="635" ht="15.75" customHeight="1">
      <c r="A635" s="94"/>
      <c r="B635" s="94" t="str">
        <f>IFERROR(__xludf.DUMMYFUNCTION("""COMPUTED_VALUE"""),"WS В 212")</f>
        <v>WS В 212</v>
      </c>
      <c r="C635" s="1429" t="str">
        <f>IFERROR(__xludf.DUMMYFUNCTION("""COMPUTED_VALUE"""),"WS")</f>
        <v>WS</v>
      </c>
      <c r="D635" s="1432">
        <f>IFERROR(__xludf.DUMMYFUNCTION("""COMPUTED_VALUE"""),8.0)</f>
        <v>8</v>
      </c>
      <c r="E635" s="1429">
        <f>IFERROR(__xludf.DUMMYFUNCTION("""COMPUTED_VALUE"""),45506.0)</f>
        <v>45506</v>
      </c>
      <c r="F635" s="1429">
        <f>IFERROR(__xludf.DUMMYFUNCTION("""COMPUTED_VALUE"""),45516.0)</f>
        <v>45516</v>
      </c>
      <c r="G635" s="1164">
        <f>IFERROR(__xludf.DUMMYFUNCTION("""COMPUTED_VALUE"""),10.0)</f>
        <v>10</v>
      </c>
      <c r="H635" s="94"/>
      <c r="I635" s="94">
        <f>IFERROR(__xludf.DUMMYFUNCTION("""COMPUTED_VALUE"""),3011.0)</f>
        <v>3011</v>
      </c>
      <c r="J635" s="94"/>
      <c r="K635" s="94">
        <f>IFERROR(__xludf.DUMMYFUNCTION("""COMPUTED_VALUE"""),70.0)</f>
        <v>70</v>
      </c>
      <c r="L635" s="94">
        <f>IFERROR(__xludf.DUMMYFUNCTION("""COMPUTED_VALUE"""),40.0)</f>
        <v>40</v>
      </c>
      <c r="M635" s="94">
        <f>IFERROR(__xludf.DUMMYFUNCTION("""COMPUTED_VALUE"""),30.0)</f>
        <v>30</v>
      </c>
      <c r="N635" s="94"/>
      <c r="O635" s="1430">
        <f>IFERROR(__xludf.DUMMYFUNCTION("""COMPUTED_VALUE"""),30.0)</f>
        <v>30</v>
      </c>
      <c r="P635" s="1431">
        <f>IFERROR(__xludf.DUMMYFUNCTION("""COMPUTED_VALUE"""),2.69)</f>
        <v>2.69</v>
      </c>
      <c r="Q635" s="1432">
        <f>IFERROR(__xludf.DUMMYFUNCTION("""COMPUTED_VALUE"""),3011.0)</f>
        <v>3011</v>
      </c>
    </row>
    <row r="636" ht="15.75" customHeight="1">
      <c r="A636" s="94"/>
      <c r="B636" s="94" t="str">
        <f>IFERROR(__xludf.DUMMYFUNCTION("""COMPUTED_VALUE"""),"WS E704")</f>
        <v>WS E704</v>
      </c>
      <c r="C636" s="1429" t="str">
        <f>IFERROR(__xludf.DUMMYFUNCTION("""COMPUTED_VALUE"""),"WS")</f>
        <v>WS</v>
      </c>
      <c r="D636" s="1432">
        <f>IFERROR(__xludf.DUMMYFUNCTION("""COMPUTED_VALUE"""),8.0)</f>
        <v>8</v>
      </c>
      <c r="E636" s="1429">
        <f>IFERROR(__xludf.DUMMYFUNCTION("""COMPUTED_VALUE"""),45507.0)</f>
        <v>45507</v>
      </c>
      <c r="F636" s="1429">
        <f>IFERROR(__xludf.DUMMYFUNCTION("""COMPUTED_VALUE"""),45510.0)</f>
        <v>45510</v>
      </c>
      <c r="G636" s="1164">
        <f>IFERROR(__xludf.DUMMYFUNCTION("""COMPUTED_VALUE"""),3.0)</f>
        <v>3</v>
      </c>
      <c r="H636" s="1430">
        <f>IFERROR(__xludf.DUMMYFUNCTION("""COMPUTED_VALUE"""),202.0)</f>
        <v>202</v>
      </c>
      <c r="I636" s="94">
        <f>IFERROR(__xludf.DUMMYFUNCTION("""COMPUTED_VALUE"""),0.0)</f>
        <v>0</v>
      </c>
      <c r="J636" s="94"/>
      <c r="K636" s="94">
        <f>IFERROR(__xludf.DUMMYFUNCTION("""COMPUTED_VALUE"""),40.0)</f>
        <v>40</v>
      </c>
      <c r="L636" s="94">
        <f>IFERROR(__xludf.DUMMYFUNCTION("""COMPUTED_VALUE"""),40.0)</f>
        <v>40</v>
      </c>
      <c r="M636" s="94">
        <f>IFERROR(__xludf.DUMMYFUNCTION("""COMPUTED_VALUE"""),0.0)</f>
        <v>0</v>
      </c>
      <c r="N636" s="94"/>
      <c r="O636" s="1430">
        <f>IFERROR(__xludf.DUMMYFUNCTION("""COMPUTED_VALUE"""),0.0)</f>
        <v>0</v>
      </c>
      <c r="P636" s="1431">
        <f>IFERROR(__xludf.DUMMYFUNCTION("""COMPUTED_VALUE"""),2.69)</f>
        <v>2.69</v>
      </c>
      <c r="Q636" s="1432">
        <f>IFERROR(__xludf.DUMMYFUNCTION("""COMPUTED_VALUE"""),543.38)</f>
        <v>543.38</v>
      </c>
    </row>
    <row r="637" ht="15.75" customHeight="1">
      <c r="A637" s="94"/>
      <c r="B637" s="94" t="str">
        <f>IFERROR(__xludf.DUMMYFUNCTION("""COMPUTED_VALUE"""),"14-411")</f>
        <v>14-411</v>
      </c>
      <c r="C637" s="1429" t="str">
        <f>IFERROR(__xludf.DUMMYFUNCTION("""COMPUTED_VALUE"""),"DL")</f>
        <v>DL</v>
      </c>
      <c r="D637" s="1432">
        <f>IFERROR(__xludf.DUMMYFUNCTION("""COMPUTED_VALUE"""),8.0)</f>
        <v>8</v>
      </c>
      <c r="E637" s="1429">
        <f>IFERROR(__xludf.DUMMYFUNCTION("""COMPUTED_VALUE"""),45507.0)</f>
        <v>45507</v>
      </c>
      <c r="F637" s="1429">
        <f>IFERROR(__xludf.DUMMYFUNCTION("""COMPUTED_VALUE"""),45511.0)</f>
        <v>45511</v>
      </c>
      <c r="G637" s="1164">
        <f>IFERROR(__xludf.DUMMYFUNCTION("""COMPUTED_VALUE"""),4.0)</f>
        <v>4</v>
      </c>
      <c r="H637" s="1430">
        <f>IFERROR(__xludf.DUMMYFUNCTION("""COMPUTED_VALUE"""),325.0)</f>
        <v>325</v>
      </c>
      <c r="I637" s="94">
        <f>IFERROR(__xludf.DUMMYFUNCTION("""COMPUTED_VALUE"""),0.0)</f>
        <v>0</v>
      </c>
      <c r="J637" s="94"/>
      <c r="K637" s="94">
        <f>IFERROR(__xludf.DUMMYFUNCTION("""COMPUTED_VALUE"""),95.0)</f>
        <v>95</v>
      </c>
      <c r="L637" s="94">
        <f>IFERROR(__xludf.DUMMYFUNCTION("""COMPUTED_VALUE"""),95.0)</f>
        <v>95</v>
      </c>
      <c r="M637" s="94">
        <f>IFERROR(__xludf.DUMMYFUNCTION("""COMPUTED_VALUE"""),0.0)</f>
        <v>0</v>
      </c>
      <c r="N637" s="94"/>
      <c r="O637" s="1430">
        <f>IFERROR(__xludf.DUMMYFUNCTION("""COMPUTED_VALUE"""),0.0)</f>
        <v>0</v>
      </c>
      <c r="P637" s="1431">
        <f>IFERROR(__xludf.DUMMYFUNCTION("""COMPUTED_VALUE"""),2.69)</f>
        <v>2.69</v>
      </c>
      <c r="Q637" s="1432">
        <f>IFERROR(__xludf.DUMMYFUNCTION("""COMPUTED_VALUE"""),874.25)</f>
        <v>874.25</v>
      </c>
    </row>
    <row r="638" ht="15.75" customHeight="1">
      <c r="A638" s="94"/>
      <c r="B638" s="94" t="str">
        <f>IFERROR(__xludf.DUMMYFUNCTION("""COMPUTED_VALUE"""),"DL 11-1112")</f>
        <v>DL 11-1112</v>
      </c>
      <c r="C638" s="1429" t="str">
        <f>IFERROR(__xludf.DUMMYFUNCTION("""COMPUTED_VALUE"""),"DL")</f>
        <v>DL</v>
      </c>
      <c r="D638" s="1432">
        <f>IFERROR(__xludf.DUMMYFUNCTION("""COMPUTED_VALUE"""),8.0)</f>
        <v>8</v>
      </c>
      <c r="E638" s="1429">
        <f>IFERROR(__xludf.DUMMYFUNCTION("""COMPUTED_VALUE"""),45507.0)</f>
        <v>45507</v>
      </c>
      <c r="F638" s="1429">
        <f>IFERROR(__xludf.DUMMYFUNCTION("""COMPUTED_VALUE"""),45511.0)</f>
        <v>45511</v>
      </c>
      <c r="G638" s="1164">
        <f>IFERROR(__xludf.DUMMYFUNCTION("""COMPUTED_VALUE"""),4.0)</f>
        <v>4</v>
      </c>
      <c r="H638" s="94"/>
      <c r="I638" s="94">
        <f>IFERROR(__xludf.DUMMYFUNCTION("""COMPUTED_VALUE"""),1156.0)</f>
        <v>1156</v>
      </c>
      <c r="J638" s="94"/>
      <c r="K638" s="94">
        <f>IFERROR(__xludf.DUMMYFUNCTION("""COMPUTED_VALUE"""),95.0)</f>
        <v>95</v>
      </c>
      <c r="L638" s="94">
        <f>IFERROR(__xludf.DUMMYFUNCTION("""COMPUTED_VALUE"""),95.0)</f>
        <v>95</v>
      </c>
      <c r="M638" s="94">
        <f>IFERROR(__xludf.DUMMYFUNCTION("""COMPUTED_VALUE"""),0.0)</f>
        <v>0</v>
      </c>
      <c r="N638" s="94"/>
      <c r="O638" s="1430">
        <f>IFERROR(__xludf.DUMMYFUNCTION("""COMPUTED_VALUE"""),0.0)</f>
        <v>0</v>
      </c>
      <c r="P638" s="1431">
        <f>IFERROR(__xludf.DUMMYFUNCTION("""COMPUTED_VALUE"""),2.69)</f>
        <v>2.69</v>
      </c>
      <c r="Q638" s="1432">
        <f>IFERROR(__xludf.DUMMYFUNCTION("""COMPUTED_VALUE"""),1156.0)</f>
        <v>1156</v>
      </c>
    </row>
    <row r="639" ht="15.75" customHeight="1">
      <c r="A639" s="94"/>
      <c r="B639" s="94" t="str">
        <f>IFERROR(__xludf.DUMMYFUNCTION("""COMPUTED_VALUE"""),"DL 14-702")</f>
        <v>DL 14-702</v>
      </c>
      <c r="C639" s="1429" t="str">
        <f>IFERROR(__xludf.DUMMYFUNCTION("""COMPUTED_VALUE"""),"DL")</f>
        <v>DL</v>
      </c>
      <c r="D639" s="1432">
        <f>IFERROR(__xludf.DUMMYFUNCTION("""COMPUTED_VALUE"""),8.0)</f>
        <v>8</v>
      </c>
      <c r="E639" s="1429">
        <f>IFERROR(__xludf.DUMMYFUNCTION("""COMPUTED_VALUE"""),45507.0)</f>
        <v>45507</v>
      </c>
      <c r="F639" s="1429">
        <f>IFERROR(__xludf.DUMMYFUNCTION("""COMPUTED_VALUE"""),45512.0)</f>
        <v>45512</v>
      </c>
      <c r="G639" s="1164">
        <f>IFERROR(__xludf.DUMMYFUNCTION("""COMPUTED_VALUE"""),5.0)</f>
        <v>5</v>
      </c>
      <c r="H639" s="1430">
        <f>IFERROR(__xludf.DUMMYFUNCTION("""COMPUTED_VALUE"""),514.0)</f>
        <v>514</v>
      </c>
      <c r="I639" s="94">
        <f>IFERROR(__xludf.DUMMYFUNCTION("""COMPUTED_VALUE"""),0.0)</f>
        <v>0</v>
      </c>
      <c r="J639" s="94"/>
      <c r="K639" s="94">
        <f>IFERROR(__xludf.DUMMYFUNCTION("""COMPUTED_VALUE"""),105.0)</f>
        <v>105</v>
      </c>
      <c r="L639" s="94">
        <f>IFERROR(__xludf.DUMMYFUNCTION("""COMPUTED_VALUE"""),105.0)</f>
        <v>105</v>
      </c>
      <c r="M639" s="94">
        <f>IFERROR(__xludf.DUMMYFUNCTION("""COMPUTED_VALUE"""),0.0)</f>
        <v>0</v>
      </c>
      <c r="N639" s="94"/>
      <c r="O639" s="1430">
        <f>IFERROR(__xludf.DUMMYFUNCTION("""COMPUTED_VALUE"""),0.0)</f>
        <v>0</v>
      </c>
      <c r="P639" s="1431">
        <f>IFERROR(__xludf.DUMMYFUNCTION("""COMPUTED_VALUE"""),2.69)</f>
        <v>2.69</v>
      </c>
      <c r="Q639" s="1432">
        <f>IFERROR(__xludf.DUMMYFUNCTION("""COMPUTED_VALUE"""),1382.66)</f>
        <v>1382.66</v>
      </c>
    </row>
    <row r="640" ht="15.75" customHeight="1">
      <c r="A640" s="94"/>
      <c r="B640" s="94" t="str">
        <f>IFERROR(__xludf.DUMMYFUNCTION("""COMPUTED_VALUE"""),"CM 1606")</f>
        <v>CM 1606</v>
      </c>
      <c r="C640" s="1429" t="str">
        <f>IFERROR(__xludf.DUMMYFUNCTION("""COMPUTED_VALUE"""),"MAR")</f>
        <v>MAR</v>
      </c>
      <c r="D640" s="1432">
        <f>IFERROR(__xludf.DUMMYFUNCTION("""COMPUTED_VALUE"""),8.0)</f>
        <v>8</v>
      </c>
      <c r="E640" s="1429">
        <f>IFERROR(__xludf.DUMMYFUNCTION("""COMPUTED_VALUE"""),45507.0)</f>
        <v>45507</v>
      </c>
      <c r="F640" s="1429">
        <f>IFERROR(__xludf.DUMMYFUNCTION("""COMPUTED_VALUE"""),45514.0)</f>
        <v>45514</v>
      </c>
      <c r="G640" s="1164">
        <f>IFERROR(__xludf.DUMMYFUNCTION("""COMPUTED_VALUE"""),7.0)</f>
        <v>7</v>
      </c>
      <c r="H640" s="1430">
        <f>IFERROR(__xludf.DUMMYFUNCTION("""COMPUTED_VALUE"""),390.0)</f>
        <v>390</v>
      </c>
      <c r="I640" s="94">
        <f>IFERROR(__xludf.DUMMYFUNCTION("""COMPUTED_VALUE"""),0.0)</f>
        <v>0</v>
      </c>
      <c r="J640" s="94"/>
      <c r="K640" s="94">
        <f>IFERROR(__xludf.DUMMYFUNCTION("""COMPUTED_VALUE"""),60.0)</f>
        <v>60</v>
      </c>
      <c r="L640" s="94">
        <f>IFERROR(__xludf.DUMMYFUNCTION("""COMPUTED_VALUE"""),40.0)</f>
        <v>40</v>
      </c>
      <c r="M640" s="94">
        <f>IFERROR(__xludf.DUMMYFUNCTION("""COMPUTED_VALUE"""),20.0)</f>
        <v>20</v>
      </c>
      <c r="N640" s="94"/>
      <c r="O640" s="1430">
        <f>IFERROR(__xludf.DUMMYFUNCTION("""COMPUTED_VALUE"""),20.0)</f>
        <v>20</v>
      </c>
      <c r="P640" s="1431">
        <f>IFERROR(__xludf.DUMMYFUNCTION("""COMPUTED_VALUE"""),2.69)</f>
        <v>2.69</v>
      </c>
      <c r="Q640" s="1432">
        <f>IFERROR(__xludf.DUMMYFUNCTION("""COMPUTED_VALUE"""),1049.1)</f>
        <v>1049.1</v>
      </c>
    </row>
    <row r="641" ht="15.75" customHeight="1">
      <c r="A641" s="94"/>
      <c r="B641" s="94" t="str">
        <f>IFERROR(__xludf.DUMMYFUNCTION("""COMPUTED_VALUE"""),"WS A 1312")</f>
        <v>WS A 1312</v>
      </c>
      <c r="C641" s="1429" t="str">
        <f>IFERROR(__xludf.DUMMYFUNCTION("""COMPUTED_VALUE"""),"WS")</f>
        <v>WS</v>
      </c>
      <c r="D641" s="1432">
        <f>IFERROR(__xludf.DUMMYFUNCTION("""COMPUTED_VALUE"""),8.0)</f>
        <v>8</v>
      </c>
      <c r="E641" s="1429">
        <f>IFERROR(__xludf.DUMMYFUNCTION("""COMPUTED_VALUE"""),45507.0)</f>
        <v>45507</v>
      </c>
      <c r="F641" s="1429">
        <f>IFERROR(__xludf.DUMMYFUNCTION("""COMPUTED_VALUE"""),45510.0)</f>
        <v>45510</v>
      </c>
      <c r="G641" s="1164">
        <f>IFERROR(__xludf.DUMMYFUNCTION("""COMPUTED_VALUE"""),3.0)</f>
        <v>3</v>
      </c>
      <c r="H641" s="1430">
        <f>IFERROR(__xludf.DUMMYFUNCTION("""COMPUTED_VALUE"""),165.0)</f>
        <v>165</v>
      </c>
      <c r="I641" s="94">
        <f>IFERROR(__xludf.DUMMYFUNCTION("""COMPUTED_VALUE"""),0.0)</f>
        <v>0</v>
      </c>
      <c r="J641" s="94"/>
      <c r="K641" s="94">
        <f>IFERROR(__xludf.DUMMYFUNCTION("""COMPUTED_VALUE"""),60.0)</f>
        <v>60</v>
      </c>
      <c r="L641" s="94">
        <f>IFERROR(__xludf.DUMMYFUNCTION("""COMPUTED_VALUE"""),40.0)</f>
        <v>40</v>
      </c>
      <c r="M641" s="94">
        <f>IFERROR(__xludf.DUMMYFUNCTION("""COMPUTED_VALUE"""),20.0)</f>
        <v>20</v>
      </c>
      <c r="N641" s="94"/>
      <c r="O641" s="1430">
        <f>IFERROR(__xludf.DUMMYFUNCTION("""COMPUTED_VALUE"""),20.0)</f>
        <v>20</v>
      </c>
      <c r="P641" s="1431">
        <f>IFERROR(__xludf.DUMMYFUNCTION("""COMPUTED_VALUE"""),2.69)</f>
        <v>2.69</v>
      </c>
      <c r="Q641" s="1432">
        <f>IFERROR(__xludf.DUMMYFUNCTION("""COMPUTED_VALUE"""),443.84999999999997)</f>
        <v>443.85</v>
      </c>
    </row>
    <row r="642" ht="15.75" customHeight="1">
      <c r="A642" s="94"/>
      <c r="B642" s="94" t="str">
        <f>IFERROR(__xludf.DUMMYFUNCTION("""COMPUTED_VALUE"""),"WS F 907")</f>
        <v>WS F 907</v>
      </c>
      <c r="C642" s="1429" t="str">
        <f>IFERROR(__xludf.DUMMYFUNCTION("""COMPUTED_VALUE"""),"WS")</f>
        <v>WS</v>
      </c>
      <c r="D642" s="1432">
        <f>IFERROR(__xludf.DUMMYFUNCTION("""COMPUTED_VALUE"""),8.0)</f>
        <v>8</v>
      </c>
      <c r="E642" s="1429">
        <f>IFERROR(__xludf.DUMMYFUNCTION("""COMPUTED_VALUE"""),45507.0)</f>
        <v>45507</v>
      </c>
      <c r="F642" s="1429">
        <f>IFERROR(__xludf.DUMMYFUNCTION("""COMPUTED_VALUE"""),45510.0)</f>
        <v>45510</v>
      </c>
      <c r="G642" s="1164">
        <f>IFERROR(__xludf.DUMMYFUNCTION("""COMPUTED_VALUE"""),3.0)</f>
        <v>3</v>
      </c>
      <c r="H642" s="1430">
        <f>IFERROR(__xludf.DUMMYFUNCTION("""COMPUTED_VALUE"""),216.0)</f>
        <v>216</v>
      </c>
      <c r="I642" s="94">
        <f>IFERROR(__xludf.DUMMYFUNCTION("""COMPUTED_VALUE"""),0.0)</f>
        <v>0</v>
      </c>
      <c r="J642" s="94"/>
      <c r="K642" s="94">
        <f>IFERROR(__xludf.DUMMYFUNCTION("""COMPUTED_VALUE"""),60.0)</f>
        <v>60</v>
      </c>
      <c r="L642" s="94">
        <f>IFERROR(__xludf.DUMMYFUNCTION("""COMPUTED_VALUE"""),40.0)</f>
        <v>40</v>
      </c>
      <c r="M642" s="94">
        <f>IFERROR(__xludf.DUMMYFUNCTION("""COMPUTED_VALUE"""),20.0)</f>
        <v>20</v>
      </c>
      <c r="N642" s="94"/>
      <c r="O642" s="1430">
        <f>IFERROR(__xludf.DUMMYFUNCTION("""COMPUTED_VALUE"""),20.0)</f>
        <v>20</v>
      </c>
      <c r="P642" s="1431">
        <f>IFERROR(__xludf.DUMMYFUNCTION("""COMPUTED_VALUE"""),2.69)</f>
        <v>2.69</v>
      </c>
      <c r="Q642" s="1432">
        <f>IFERROR(__xludf.DUMMYFUNCTION("""COMPUTED_VALUE"""),581.04)</f>
        <v>581.04</v>
      </c>
    </row>
    <row r="643" ht="15.75" customHeight="1">
      <c r="A643" s="94"/>
      <c r="B643" s="94" t="str">
        <f>IFERROR(__xludf.DUMMYFUNCTION("""COMPUTED_VALUE"""),"WS  B 405")</f>
        <v>WS  B 405</v>
      </c>
      <c r="C643" s="1429" t="str">
        <f>IFERROR(__xludf.DUMMYFUNCTION("""COMPUTED_VALUE"""),"WS")</f>
        <v>WS</v>
      </c>
      <c r="D643" s="1432">
        <f>IFERROR(__xludf.DUMMYFUNCTION("""COMPUTED_VALUE"""),8.0)</f>
        <v>8</v>
      </c>
      <c r="E643" s="1429">
        <f>IFERROR(__xludf.DUMMYFUNCTION("""COMPUTED_VALUE"""),45507.0)</f>
        <v>45507</v>
      </c>
      <c r="F643" s="1429">
        <f>IFERROR(__xludf.DUMMYFUNCTION("""COMPUTED_VALUE"""),45514.0)</f>
        <v>45514</v>
      </c>
      <c r="G643" s="1164">
        <f>IFERROR(__xludf.DUMMYFUNCTION("""COMPUTED_VALUE"""),7.0)</f>
        <v>7</v>
      </c>
      <c r="H643" s="94"/>
      <c r="I643" s="94">
        <f>IFERROR(__xludf.DUMMYFUNCTION("""COMPUTED_VALUE"""),0.0)</f>
        <v>0</v>
      </c>
      <c r="J643" s="94">
        <f>IFERROR(__xludf.DUMMYFUNCTION("""COMPUTED_VALUE"""),24000.0)</f>
        <v>24000</v>
      </c>
      <c r="K643" s="94">
        <f>IFERROR(__xludf.DUMMYFUNCTION("""COMPUTED_VALUE"""),60.0)</f>
        <v>60</v>
      </c>
      <c r="L643" s="94">
        <f>IFERROR(__xludf.DUMMYFUNCTION("""COMPUTED_VALUE"""),40.0)</f>
        <v>40</v>
      </c>
      <c r="M643" s="94">
        <f>IFERROR(__xludf.DUMMYFUNCTION("""COMPUTED_VALUE"""),20.0)</f>
        <v>20</v>
      </c>
      <c r="N643" s="94"/>
      <c r="O643" s="1430">
        <f>IFERROR(__xludf.DUMMYFUNCTION("""COMPUTED_VALUE"""),20.0)</f>
        <v>20</v>
      </c>
      <c r="P643" s="1431">
        <f>IFERROR(__xludf.DUMMYFUNCTION("""COMPUTED_VALUE"""),2.69)</f>
        <v>2.69</v>
      </c>
      <c r="Q643" s="1432">
        <f>IFERROR(__xludf.DUMMYFUNCTION("""COMPUTED_VALUE"""),737.0)</f>
        <v>737</v>
      </c>
    </row>
    <row r="644" ht="15.75" customHeight="1">
      <c r="A644" s="94"/>
      <c r="B644" s="94" t="str">
        <f>IFERROR(__xludf.DUMMYFUNCTION("""COMPUTED_VALUE"""),"CM 1931")</f>
        <v>CM 1931</v>
      </c>
      <c r="C644" s="1429" t="str">
        <f>IFERROR(__xludf.DUMMYFUNCTION("""COMPUTED_VALUE"""),"MAR")</f>
        <v>MAR</v>
      </c>
      <c r="D644" s="1432">
        <f>IFERROR(__xludf.DUMMYFUNCTION("""COMPUTED_VALUE"""),8.0)</f>
        <v>8</v>
      </c>
      <c r="E644" s="1429">
        <f>IFERROR(__xludf.DUMMYFUNCTION("""COMPUTED_VALUE"""),45508.0)</f>
        <v>45508</v>
      </c>
      <c r="F644" s="1429">
        <f>IFERROR(__xludf.DUMMYFUNCTION("""COMPUTED_VALUE"""),45512.0)</f>
        <v>45512</v>
      </c>
      <c r="G644" s="1164">
        <f>IFERROR(__xludf.DUMMYFUNCTION("""COMPUTED_VALUE"""),4.0)</f>
        <v>4</v>
      </c>
      <c r="H644" s="1430">
        <f>IFERROR(__xludf.DUMMYFUNCTION("""COMPUTED_VALUE"""),200.0)</f>
        <v>200</v>
      </c>
      <c r="I644" s="94">
        <f>IFERROR(__xludf.DUMMYFUNCTION("""COMPUTED_VALUE"""),0.0)</f>
        <v>0</v>
      </c>
      <c r="J644" s="94"/>
      <c r="K644" s="94">
        <f>IFERROR(__xludf.DUMMYFUNCTION("""COMPUTED_VALUE"""),60.0)</f>
        <v>60</v>
      </c>
      <c r="L644" s="94">
        <f>IFERROR(__xludf.DUMMYFUNCTION("""COMPUTED_VALUE"""),40.0)</f>
        <v>40</v>
      </c>
      <c r="M644" s="94">
        <f>IFERROR(__xludf.DUMMYFUNCTION("""COMPUTED_VALUE"""),20.0)</f>
        <v>20</v>
      </c>
      <c r="N644" s="94"/>
      <c r="O644" s="1430">
        <f>IFERROR(__xludf.DUMMYFUNCTION("""COMPUTED_VALUE"""),20.0)</f>
        <v>20</v>
      </c>
      <c r="P644" s="1431">
        <f>IFERROR(__xludf.DUMMYFUNCTION("""COMPUTED_VALUE"""),2.69)</f>
        <v>2.69</v>
      </c>
      <c r="Q644" s="1432">
        <f>IFERROR(__xludf.DUMMYFUNCTION("""COMPUTED_VALUE"""),538.0)</f>
        <v>538</v>
      </c>
    </row>
    <row r="645" ht="15.75" customHeight="1">
      <c r="A645" s="94"/>
      <c r="B645" s="94" t="str">
        <f>IFERROR(__xludf.DUMMYFUNCTION("""COMPUTED_VALUE"""),"C 4245")</f>
        <v>C 4245</v>
      </c>
      <c r="C645" s="1429" t="str">
        <f>IFERROR(__xludf.DUMMYFUNCTION("""COMPUTED_VALUE"""),"ORBI")</f>
        <v>ORBI</v>
      </c>
      <c r="D645" s="1432">
        <f>IFERROR(__xludf.DUMMYFUNCTION("""COMPUTED_VALUE"""),8.0)</f>
        <v>8</v>
      </c>
      <c r="E645" s="1429">
        <f>IFERROR(__xludf.DUMMYFUNCTION("""COMPUTED_VALUE"""),45508.0)</f>
        <v>45508</v>
      </c>
      <c r="F645" s="1429">
        <f>IFERROR(__xludf.DUMMYFUNCTION("""COMPUTED_VALUE"""),45515.0)</f>
        <v>45515</v>
      </c>
      <c r="G645" s="1164">
        <f>IFERROR(__xludf.DUMMYFUNCTION("""COMPUTED_VALUE"""),7.0)</f>
        <v>7</v>
      </c>
      <c r="H645" s="1430">
        <f>IFERROR(__xludf.DUMMYFUNCTION("""COMPUTED_VALUE"""),445.0)</f>
        <v>445</v>
      </c>
      <c r="I645" s="94">
        <f>IFERROR(__xludf.DUMMYFUNCTION("""COMPUTED_VALUE"""),0.0)</f>
        <v>0</v>
      </c>
      <c r="J645" s="94"/>
      <c r="K645" s="94">
        <f>IFERROR(__xludf.DUMMYFUNCTION("""COMPUTED_VALUE"""),70.0)</f>
        <v>70</v>
      </c>
      <c r="L645" s="94">
        <f>IFERROR(__xludf.DUMMYFUNCTION("""COMPUTED_VALUE"""),40.0)</f>
        <v>40</v>
      </c>
      <c r="M645" s="94">
        <f>IFERROR(__xludf.DUMMYFUNCTION("""COMPUTED_VALUE"""),30.0)</f>
        <v>30</v>
      </c>
      <c r="N645" s="94"/>
      <c r="O645" s="1430">
        <f>IFERROR(__xludf.DUMMYFUNCTION("""COMPUTED_VALUE"""),30.0)</f>
        <v>30</v>
      </c>
      <c r="P645" s="1431">
        <f>IFERROR(__xludf.DUMMYFUNCTION("""COMPUTED_VALUE"""),2.69)</f>
        <v>2.69</v>
      </c>
      <c r="Q645" s="1432">
        <f>IFERROR(__xludf.DUMMYFUNCTION("""COMPUTED_VALUE"""),1197.05)</f>
        <v>1197.05</v>
      </c>
    </row>
    <row r="646" ht="15.75" customHeight="1">
      <c r="A646" s="94"/>
      <c r="B646" s="94" t="str">
        <f>IFERROR(__xludf.DUMMYFUNCTION("""COMPUTED_VALUE"""),"WS E1405")</f>
        <v>WS E1405</v>
      </c>
      <c r="C646" s="1429" t="str">
        <f>IFERROR(__xludf.DUMMYFUNCTION("""COMPUTED_VALUE"""),"WS")</f>
        <v>WS</v>
      </c>
      <c r="D646" s="1432">
        <f>IFERROR(__xludf.DUMMYFUNCTION("""COMPUTED_VALUE"""),8.0)</f>
        <v>8</v>
      </c>
      <c r="E646" s="1429">
        <f>IFERROR(__xludf.DUMMYFUNCTION("""COMPUTED_VALUE"""),45508.0)</f>
        <v>45508</v>
      </c>
      <c r="F646" s="1429">
        <f>IFERROR(__xludf.DUMMYFUNCTION("""COMPUTED_VALUE"""),45512.0)</f>
        <v>45512</v>
      </c>
      <c r="G646" s="1164">
        <f>IFERROR(__xludf.DUMMYFUNCTION("""COMPUTED_VALUE"""),4.0)</f>
        <v>4</v>
      </c>
      <c r="H646" s="94"/>
      <c r="I646" s="94">
        <f>IFERROR(__xludf.DUMMYFUNCTION("""COMPUTED_VALUE"""),1063.0)</f>
        <v>1063</v>
      </c>
      <c r="J646" s="94"/>
      <c r="K646" s="94">
        <f>IFERROR(__xludf.DUMMYFUNCTION("""COMPUTED_VALUE"""),60.0)</f>
        <v>60</v>
      </c>
      <c r="L646" s="94">
        <f>IFERROR(__xludf.DUMMYFUNCTION("""COMPUTED_VALUE"""),40.0)</f>
        <v>40</v>
      </c>
      <c r="M646" s="94">
        <f>IFERROR(__xludf.DUMMYFUNCTION("""COMPUTED_VALUE"""),20.0)</f>
        <v>20</v>
      </c>
      <c r="N646" s="94"/>
      <c r="O646" s="1430">
        <f>IFERROR(__xludf.DUMMYFUNCTION("""COMPUTED_VALUE"""),20.0)</f>
        <v>20</v>
      </c>
      <c r="P646" s="1431">
        <f>IFERROR(__xludf.DUMMYFUNCTION("""COMPUTED_VALUE"""),2.69)</f>
        <v>2.69</v>
      </c>
      <c r="Q646" s="1432">
        <f>IFERROR(__xludf.DUMMYFUNCTION("""COMPUTED_VALUE"""),1063.0)</f>
        <v>1063</v>
      </c>
    </row>
    <row r="647" ht="15.75" customHeight="1">
      <c r="A647" s="94"/>
      <c r="B647" s="94" t="str">
        <f>IFERROR(__xludf.DUMMYFUNCTION("""COMPUTED_VALUE"""),"WS A 608")</f>
        <v>WS A 608</v>
      </c>
      <c r="C647" s="1429" t="str">
        <f>IFERROR(__xludf.DUMMYFUNCTION("""COMPUTED_VALUE"""),"WS")</f>
        <v>WS</v>
      </c>
      <c r="D647" s="1432">
        <f>IFERROR(__xludf.DUMMYFUNCTION("""COMPUTED_VALUE"""),8.0)</f>
        <v>8</v>
      </c>
      <c r="E647" s="1429">
        <f>IFERROR(__xludf.DUMMYFUNCTION("""COMPUTED_VALUE"""),45508.0)</f>
        <v>45508</v>
      </c>
      <c r="F647" s="1429">
        <f>IFERROR(__xludf.DUMMYFUNCTION("""COMPUTED_VALUE"""),45512.0)</f>
        <v>45512</v>
      </c>
      <c r="G647" s="1164">
        <f>IFERROR(__xludf.DUMMYFUNCTION("""COMPUTED_VALUE"""),4.0)</f>
        <v>4</v>
      </c>
      <c r="H647" s="94"/>
      <c r="I647" s="94">
        <f>IFERROR(__xludf.DUMMYFUNCTION("""COMPUTED_VALUE"""),1063.0)</f>
        <v>1063</v>
      </c>
      <c r="J647" s="94"/>
      <c r="K647" s="94">
        <f>IFERROR(__xludf.DUMMYFUNCTION("""COMPUTED_VALUE"""),60.0)</f>
        <v>60</v>
      </c>
      <c r="L647" s="94">
        <f>IFERROR(__xludf.DUMMYFUNCTION("""COMPUTED_VALUE"""),40.0)</f>
        <v>40</v>
      </c>
      <c r="M647" s="94">
        <f>IFERROR(__xludf.DUMMYFUNCTION("""COMPUTED_VALUE"""),20.0)</f>
        <v>20</v>
      </c>
      <c r="N647" s="94"/>
      <c r="O647" s="1430">
        <f>IFERROR(__xludf.DUMMYFUNCTION("""COMPUTED_VALUE"""),20.0)</f>
        <v>20</v>
      </c>
      <c r="P647" s="1431">
        <f>IFERROR(__xludf.DUMMYFUNCTION("""COMPUTED_VALUE"""),2.69)</f>
        <v>2.69</v>
      </c>
      <c r="Q647" s="1432">
        <f>IFERROR(__xludf.DUMMYFUNCTION("""COMPUTED_VALUE"""),1063.0)</f>
        <v>1063</v>
      </c>
    </row>
    <row r="648" ht="15.75" customHeight="1">
      <c r="A648" s="94"/>
      <c r="B648" s="94" t="str">
        <f>IFERROR(__xludf.DUMMYFUNCTION("""COMPUTED_VALUE"""),"WS В 503")</f>
        <v>WS В 503</v>
      </c>
      <c r="C648" s="1429" t="str">
        <f>IFERROR(__xludf.DUMMYFUNCTION("""COMPUTED_VALUE"""),"WS")</f>
        <v>WS</v>
      </c>
      <c r="D648" s="1432">
        <f>IFERROR(__xludf.DUMMYFUNCTION("""COMPUTED_VALUE"""),8.0)</f>
        <v>8</v>
      </c>
      <c r="E648" s="1429">
        <f>IFERROR(__xludf.DUMMYFUNCTION("""COMPUTED_VALUE"""),45508.0)</f>
        <v>45508</v>
      </c>
      <c r="F648" s="1429">
        <f>IFERROR(__xludf.DUMMYFUNCTION("""COMPUTED_VALUE"""),45512.0)</f>
        <v>45512</v>
      </c>
      <c r="G648" s="1164">
        <f>IFERROR(__xludf.DUMMYFUNCTION("""COMPUTED_VALUE"""),4.0)</f>
        <v>4</v>
      </c>
      <c r="H648" s="94"/>
      <c r="I648" s="94">
        <f>IFERROR(__xludf.DUMMYFUNCTION("""COMPUTED_VALUE"""),1262.0)</f>
        <v>1262</v>
      </c>
      <c r="J648" s="94"/>
      <c r="K648" s="94">
        <f>IFERROR(__xludf.DUMMYFUNCTION("""COMPUTED_VALUE"""),70.0)</f>
        <v>70</v>
      </c>
      <c r="L648" s="94">
        <f>IFERROR(__xludf.DUMMYFUNCTION("""COMPUTED_VALUE"""),40.0)</f>
        <v>40</v>
      </c>
      <c r="M648" s="94">
        <f>IFERROR(__xludf.DUMMYFUNCTION("""COMPUTED_VALUE"""),30.0)</f>
        <v>30</v>
      </c>
      <c r="N648" s="94"/>
      <c r="O648" s="1430">
        <f>IFERROR(__xludf.DUMMYFUNCTION("""COMPUTED_VALUE"""),30.0)</f>
        <v>30</v>
      </c>
      <c r="P648" s="1431">
        <f>IFERROR(__xludf.DUMMYFUNCTION("""COMPUTED_VALUE"""),2.69)</f>
        <v>2.69</v>
      </c>
      <c r="Q648" s="1432">
        <f>IFERROR(__xludf.DUMMYFUNCTION("""COMPUTED_VALUE"""),1262.0)</f>
        <v>1262</v>
      </c>
    </row>
    <row r="649" ht="15.75" customHeight="1">
      <c r="A649" s="94"/>
      <c r="B649" s="94" t="str">
        <f>IFERROR(__xludf.DUMMYFUNCTION("""COMPUTED_VALUE"""),"WS Е804")</f>
        <v>WS Е804</v>
      </c>
      <c r="C649" s="1429" t="str">
        <f>IFERROR(__xludf.DUMMYFUNCTION("""COMPUTED_VALUE"""),"WS")</f>
        <v>WS</v>
      </c>
      <c r="D649" s="1432">
        <f>IFERROR(__xludf.DUMMYFUNCTION("""COMPUTED_VALUE"""),8.0)</f>
        <v>8</v>
      </c>
      <c r="E649" s="1429">
        <f>IFERROR(__xludf.DUMMYFUNCTION("""COMPUTED_VALUE"""),45508.0)</f>
        <v>45508</v>
      </c>
      <c r="F649" s="1429">
        <f>IFERROR(__xludf.DUMMYFUNCTION("""COMPUTED_VALUE"""),45515.0)</f>
        <v>45515</v>
      </c>
      <c r="G649" s="1164">
        <f>IFERROR(__xludf.DUMMYFUNCTION("""COMPUTED_VALUE"""),7.0)</f>
        <v>7</v>
      </c>
      <c r="H649" s="1430">
        <f>IFERROR(__xludf.DUMMYFUNCTION("""COMPUTED_VALUE"""),443.0)</f>
        <v>443</v>
      </c>
      <c r="I649" s="94">
        <f>IFERROR(__xludf.DUMMYFUNCTION("""COMPUTED_VALUE"""),0.0)</f>
        <v>0</v>
      </c>
      <c r="J649" s="94"/>
      <c r="K649" s="94">
        <f>IFERROR(__xludf.DUMMYFUNCTION("""COMPUTED_VALUE"""),40.0)</f>
        <v>40</v>
      </c>
      <c r="L649" s="94">
        <f>IFERROR(__xludf.DUMMYFUNCTION("""COMPUTED_VALUE"""),40.0)</f>
        <v>40</v>
      </c>
      <c r="M649" s="94">
        <f>IFERROR(__xludf.DUMMYFUNCTION("""COMPUTED_VALUE"""),0.0)</f>
        <v>0</v>
      </c>
      <c r="N649" s="94"/>
      <c r="O649" s="1430">
        <f>IFERROR(__xludf.DUMMYFUNCTION("""COMPUTED_VALUE"""),0.0)</f>
        <v>0</v>
      </c>
      <c r="P649" s="1431">
        <f>IFERROR(__xludf.DUMMYFUNCTION("""COMPUTED_VALUE"""),2.69)</f>
        <v>2.69</v>
      </c>
      <c r="Q649" s="1432">
        <f>IFERROR(__xludf.DUMMYFUNCTION("""COMPUTED_VALUE"""),1191.67)</f>
        <v>1191.67</v>
      </c>
    </row>
    <row r="650" ht="15.75" customHeight="1">
      <c r="A650" s="94"/>
      <c r="B650" s="94" t="str">
        <f>IFERROR(__xludf.DUMMYFUNCTION("""COMPUTED_VALUE"""),"WS A 713")</f>
        <v>WS A 713</v>
      </c>
      <c r="C650" s="1429" t="str">
        <f>IFERROR(__xludf.DUMMYFUNCTION("""COMPUTED_VALUE"""),"WS")</f>
        <v>WS</v>
      </c>
      <c r="D650" s="1432">
        <f>IFERROR(__xludf.DUMMYFUNCTION("""COMPUTED_VALUE"""),8.0)</f>
        <v>8</v>
      </c>
      <c r="E650" s="1429">
        <f>IFERROR(__xludf.DUMMYFUNCTION("""COMPUTED_VALUE"""),45508.0)</f>
        <v>45508</v>
      </c>
      <c r="F650" s="1429">
        <f>IFERROR(__xludf.DUMMYFUNCTION("""COMPUTED_VALUE"""),45513.0)</f>
        <v>45513</v>
      </c>
      <c r="G650" s="1164">
        <f>IFERROR(__xludf.DUMMYFUNCTION("""COMPUTED_VALUE"""),5.0)</f>
        <v>5</v>
      </c>
      <c r="H650" s="1430">
        <f>IFERROR(__xludf.DUMMYFUNCTION("""COMPUTED_VALUE"""),232.0)</f>
        <v>232</v>
      </c>
      <c r="I650" s="94"/>
      <c r="J650" s="94"/>
      <c r="K650" s="94">
        <f>IFERROR(__xludf.DUMMYFUNCTION("""COMPUTED_VALUE"""),60.0)</f>
        <v>60</v>
      </c>
      <c r="L650" s="94">
        <f>IFERROR(__xludf.DUMMYFUNCTION("""COMPUTED_VALUE"""),40.0)</f>
        <v>40</v>
      </c>
      <c r="M650" s="94">
        <f>IFERROR(__xludf.DUMMYFUNCTION("""COMPUTED_VALUE"""),20.0)</f>
        <v>20</v>
      </c>
      <c r="N650" s="94"/>
      <c r="O650" s="1430">
        <f>IFERROR(__xludf.DUMMYFUNCTION("""COMPUTED_VALUE"""),20.0)</f>
        <v>20</v>
      </c>
      <c r="P650" s="1431">
        <f>IFERROR(__xludf.DUMMYFUNCTION("""COMPUTED_VALUE"""),2.69)</f>
        <v>2.69</v>
      </c>
      <c r="Q650" s="1432">
        <f>IFERROR(__xludf.DUMMYFUNCTION("""COMPUTED_VALUE"""),624.08)</f>
        <v>624.08</v>
      </c>
    </row>
    <row r="651" ht="15.75" customHeight="1">
      <c r="A651" s="94" t="str">
        <f>IFERROR(__xludf.DUMMYFUNCTION("""COMPUTED_VALUE"""),"Итого неделя")</f>
        <v>Итого неделя</v>
      </c>
      <c r="B651" s="94" t="str">
        <f>IFERROR(__xludf.DUMMYFUNCTION("""COMPUTED_VALUE"""),"31 неделя")</f>
        <v>31 неделя</v>
      </c>
      <c r="C651" s="94"/>
      <c r="D651" s="94"/>
      <c r="E651" s="1429">
        <f>IFERROR(__xludf.DUMMYFUNCTION("""COMPUTED_VALUE"""),45502.0)</f>
        <v>45502</v>
      </c>
      <c r="F651" s="1429">
        <f>IFERROR(__xludf.DUMMYFUNCTION("""COMPUTED_VALUE"""),45508.0)</f>
        <v>45508</v>
      </c>
      <c r="G651" s="1164">
        <f>IFERROR(__xludf.DUMMYFUNCTION("""COMPUTED_VALUE"""),247.0)</f>
        <v>247</v>
      </c>
      <c r="H651" s="1430">
        <f>IFERROR(__xludf.DUMMYFUNCTION("""COMPUTED_VALUE"""),9803.0)</f>
        <v>9803</v>
      </c>
      <c r="I651" s="94">
        <f>IFERROR(__xludf.DUMMYFUNCTION("""COMPUTED_VALUE"""),15782.0)</f>
        <v>15782</v>
      </c>
      <c r="J651" s="94">
        <f>IFERROR(__xludf.DUMMYFUNCTION("""COMPUTED_VALUE"""),24000.0)</f>
        <v>24000</v>
      </c>
      <c r="K651" s="94">
        <f>IFERROR(__xludf.DUMMYFUNCTION("""COMPUTED_VALUE"""),2795.0)</f>
        <v>2795</v>
      </c>
      <c r="L651" s="94">
        <f>IFERROR(__xludf.DUMMYFUNCTION("""COMPUTED_VALUE"""),2215.0)</f>
        <v>2215</v>
      </c>
      <c r="M651" s="94">
        <f>IFERROR(__xludf.DUMMYFUNCTION("""COMPUTED_VALUE"""),580.0)</f>
        <v>580</v>
      </c>
      <c r="N651" s="94">
        <f>IFERROR(__xludf.DUMMYFUNCTION("""COMPUTED_VALUE"""),0.0)</f>
        <v>0</v>
      </c>
      <c r="O651" s="1430">
        <f>IFERROR(__xludf.DUMMYFUNCTION("""COMPUTED_VALUE"""),580.0)</f>
        <v>580</v>
      </c>
      <c r="P651" s="1431">
        <f>IFERROR(__xludf.DUMMYFUNCTION("""COMPUTED_VALUE"""),115.66999999999994)</f>
        <v>115.67</v>
      </c>
      <c r="Q651" s="1432">
        <f>IFERROR(__xludf.DUMMYFUNCTION("""COMPUTED_VALUE"""),42939.07000000001)</f>
        <v>42939.07</v>
      </c>
    </row>
    <row r="652" ht="15.75" customHeight="1">
      <c r="A652" s="94"/>
      <c r="B652" s="94" t="str">
        <f>IFERROR(__xludf.DUMMYFUNCTION("""COMPUTED_VALUE"""),"С 2756")</f>
        <v>С 2756</v>
      </c>
      <c r="C652" s="1429" t="str">
        <f>IFERROR(__xludf.DUMMYFUNCTION("""COMPUTED_VALUE"""),"ORBI")</f>
        <v>ORBI</v>
      </c>
      <c r="D652" s="1432">
        <f>IFERROR(__xludf.DUMMYFUNCTION("""COMPUTED_VALUE"""),8.0)</f>
        <v>8</v>
      </c>
      <c r="E652" s="1429">
        <f>IFERROR(__xludf.DUMMYFUNCTION("""COMPUTED_VALUE"""),45509.0)</f>
        <v>45509</v>
      </c>
      <c r="F652" s="1429">
        <f>IFERROR(__xludf.DUMMYFUNCTION("""COMPUTED_VALUE"""),45511.0)</f>
        <v>45511</v>
      </c>
      <c r="G652" s="1164">
        <f>IFERROR(__xludf.DUMMYFUNCTION("""COMPUTED_VALUE"""),2.0)</f>
        <v>2</v>
      </c>
      <c r="H652" s="1430">
        <f>IFERROR(__xludf.DUMMYFUNCTION("""COMPUTED_VALUE"""),75.0)</f>
        <v>75</v>
      </c>
      <c r="I652" s="94">
        <f>IFERROR(__xludf.DUMMYFUNCTION("""COMPUTED_VALUE"""),0.0)</f>
        <v>0</v>
      </c>
      <c r="J652" s="94"/>
      <c r="K652" s="94">
        <f>IFERROR(__xludf.DUMMYFUNCTION("""COMPUTED_VALUE"""),50.0)</f>
        <v>50</v>
      </c>
      <c r="L652" s="94">
        <f>IFERROR(__xludf.DUMMYFUNCTION("""COMPUTED_VALUE"""),40.0)</f>
        <v>40</v>
      </c>
      <c r="M652" s="94">
        <f>IFERROR(__xludf.DUMMYFUNCTION("""COMPUTED_VALUE"""),10.0)</f>
        <v>10</v>
      </c>
      <c r="N652" s="94"/>
      <c r="O652" s="1430">
        <f>IFERROR(__xludf.DUMMYFUNCTION("""COMPUTED_VALUE"""),10.0)</f>
        <v>10</v>
      </c>
      <c r="P652" s="1431">
        <f>IFERROR(__xludf.DUMMYFUNCTION("""COMPUTED_VALUE"""),2.69)</f>
        <v>2.69</v>
      </c>
      <c r="Q652" s="1432">
        <f>IFERROR(__xludf.DUMMYFUNCTION("""COMPUTED_VALUE"""),201.75)</f>
        <v>201.75</v>
      </c>
    </row>
    <row r="653" ht="15.75" customHeight="1">
      <c r="A653" s="94"/>
      <c r="B653" s="94" t="str">
        <f>IFERROR(__xludf.DUMMYFUNCTION("""COMPUTED_VALUE"""),"BV206")</f>
        <v>BV206</v>
      </c>
      <c r="C653" s="1429" t="str">
        <f>IFERROR(__xludf.DUMMYFUNCTION("""COMPUTED_VALUE"""),"Other")</f>
        <v>Other</v>
      </c>
      <c r="D653" s="1432">
        <f>IFERROR(__xludf.DUMMYFUNCTION("""COMPUTED_VALUE"""),8.0)</f>
        <v>8</v>
      </c>
      <c r="E653" s="1429">
        <f>IFERROR(__xludf.DUMMYFUNCTION("""COMPUTED_VALUE"""),45509.0)</f>
        <v>45509</v>
      </c>
      <c r="F653" s="1429">
        <f>IFERROR(__xludf.DUMMYFUNCTION("""COMPUTED_VALUE"""),45511.0)</f>
        <v>45511</v>
      </c>
      <c r="G653" s="1164">
        <f>IFERROR(__xludf.DUMMYFUNCTION("""COMPUTED_VALUE"""),2.0)</f>
        <v>2</v>
      </c>
      <c r="H653" s="1430">
        <f>IFERROR(__xludf.DUMMYFUNCTION("""COMPUTED_VALUE"""),159.0)</f>
        <v>159</v>
      </c>
      <c r="I653" s="94">
        <f>IFERROR(__xludf.DUMMYFUNCTION("""COMPUTED_VALUE"""),0.0)</f>
        <v>0</v>
      </c>
      <c r="J653" s="94"/>
      <c r="K653" s="94">
        <f>IFERROR(__xludf.DUMMYFUNCTION("""COMPUTED_VALUE"""),40.0)</f>
        <v>40</v>
      </c>
      <c r="L653" s="94">
        <f>IFERROR(__xludf.DUMMYFUNCTION("""COMPUTED_VALUE"""),40.0)</f>
        <v>40</v>
      </c>
      <c r="M653" s="94">
        <f>IFERROR(__xludf.DUMMYFUNCTION("""COMPUTED_VALUE"""),0.0)</f>
        <v>0</v>
      </c>
      <c r="N653" s="94"/>
      <c r="O653" s="1430">
        <f>IFERROR(__xludf.DUMMYFUNCTION("""COMPUTED_VALUE"""),0.0)</f>
        <v>0</v>
      </c>
      <c r="P653" s="1431">
        <f>IFERROR(__xludf.DUMMYFUNCTION("""COMPUTED_VALUE"""),2.69)</f>
        <v>2.69</v>
      </c>
      <c r="Q653" s="1432">
        <f>IFERROR(__xludf.DUMMYFUNCTION("""COMPUTED_VALUE"""),427.71)</f>
        <v>427.71</v>
      </c>
    </row>
    <row r="654" ht="15.75" customHeight="1">
      <c r="A654" s="94"/>
      <c r="B654" s="94" t="str">
        <f>IFERROR(__xludf.DUMMYFUNCTION("""COMPUTED_VALUE"""),"DL 11-1305")</f>
        <v>DL 11-1305</v>
      </c>
      <c r="C654" s="1429" t="str">
        <f>IFERROR(__xludf.DUMMYFUNCTION("""COMPUTED_VALUE"""),"DL")</f>
        <v>DL</v>
      </c>
      <c r="D654" s="1432">
        <f>IFERROR(__xludf.DUMMYFUNCTION("""COMPUTED_VALUE"""),8.0)</f>
        <v>8</v>
      </c>
      <c r="E654" s="1429">
        <f>IFERROR(__xludf.DUMMYFUNCTION("""COMPUTED_VALUE"""),45509.0)</f>
        <v>45509</v>
      </c>
      <c r="F654" s="1429">
        <f>IFERROR(__xludf.DUMMYFUNCTION("""COMPUTED_VALUE"""),45514.0)</f>
        <v>45514</v>
      </c>
      <c r="G654" s="1164">
        <f>IFERROR(__xludf.DUMMYFUNCTION("""COMPUTED_VALUE"""),5.0)</f>
        <v>5</v>
      </c>
      <c r="H654" s="1430">
        <f>IFERROR(__xludf.DUMMYFUNCTION("""COMPUTED_VALUE"""),735.0)</f>
        <v>735</v>
      </c>
      <c r="I654" s="94">
        <f>IFERROR(__xludf.DUMMYFUNCTION("""COMPUTED_VALUE"""),0.0)</f>
        <v>0</v>
      </c>
      <c r="J654" s="94"/>
      <c r="K654" s="94">
        <f>IFERROR(__xludf.DUMMYFUNCTION("""COMPUTED_VALUE"""),105.0)</f>
        <v>105</v>
      </c>
      <c r="L654" s="94">
        <f>IFERROR(__xludf.DUMMYFUNCTION("""COMPUTED_VALUE"""),105.0)</f>
        <v>105</v>
      </c>
      <c r="M654" s="94">
        <f>IFERROR(__xludf.DUMMYFUNCTION("""COMPUTED_VALUE"""),0.0)</f>
        <v>0</v>
      </c>
      <c r="N654" s="94"/>
      <c r="O654" s="1430">
        <f>IFERROR(__xludf.DUMMYFUNCTION("""COMPUTED_VALUE"""),0.0)</f>
        <v>0</v>
      </c>
      <c r="P654" s="1431">
        <f>IFERROR(__xludf.DUMMYFUNCTION("""COMPUTED_VALUE"""),2.69)</f>
        <v>2.69</v>
      </c>
      <c r="Q654" s="1432">
        <f>IFERROR(__xludf.DUMMYFUNCTION("""COMPUTED_VALUE"""),1977.1499999999999)</f>
        <v>1977.15</v>
      </c>
    </row>
    <row r="655" ht="15.75" customHeight="1">
      <c r="A655" s="94"/>
      <c r="B655" s="94" t="str">
        <f>IFERROR(__xludf.DUMMYFUNCTION("""COMPUTED_VALUE"""),"DL 4-09")</f>
        <v>DL 4-09</v>
      </c>
      <c r="C655" s="1429" t="str">
        <f>IFERROR(__xludf.DUMMYFUNCTION("""COMPUTED_VALUE"""),"DL")</f>
        <v>DL</v>
      </c>
      <c r="D655" s="1432">
        <f>IFERROR(__xludf.DUMMYFUNCTION("""COMPUTED_VALUE"""),8.0)</f>
        <v>8</v>
      </c>
      <c r="E655" s="1429">
        <f>IFERROR(__xludf.DUMMYFUNCTION("""COMPUTED_VALUE"""),45509.0)</f>
        <v>45509</v>
      </c>
      <c r="F655" s="1429">
        <f>IFERROR(__xludf.DUMMYFUNCTION("""COMPUTED_VALUE"""),45520.0)</f>
        <v>45520</v>
      </c>
      <c r="G655" s="1164">
        <f>IFERROR(__xludf.DUMMYFUNCTION("""COMPUTED_VALUE"""),11.0)</f>
        <v>11</v>
      </c>
      <c r="H655" s="1430">
        <f>IFERROR(__xludf.DUMMYFUNCTION("""COMPUTED_VALUE"""),1260.0)</f>
        <v>1260</v>
      </c>
      <c r="I655" s="94">
        <f>IFERROR(__xludf.DUMMYFUNCTION("""COMPUTED_VALUE"""),0.0)</f>
        <v>0</v>
      </c>
      <c r="J655" s="94"/>
      <c r="K655" s="94">
        <f>IFERROR(__xludf.DUMMYFUNCTION("""COMPUTED_VALUE"""),95.0)</f>
        <v>95</v>
      </c>
      <c r="L655" s="94">
        <f>IFERROR(__xludf.DUMMYFUNCTION("""COMPUTED_VALUE"""),95.0)</f>
        <v>95</v>
      </c>
      <c r="M655" s="94">
        <f>IFERROR(__xludf.DUMMYFUNCTION("""COMPUTED_VALUE"""),0.0)</f>
        <v>0</v>
      </c>
      <c r="N655" s="94"/>
      <c r="O655" s="1430">
        <f>IFERROR(__xludf.DUMMYFUNCTION("""COMPUTED_VALUE"""),0.0)</f>
        <v>0</v>
      </c>
      <c r="P655" s="1431">
        <f>IFERROR(__xludf.DUMMYFUNCTION("""COMPUTED_VALUE"""),2.69)</f>
        <v>2.69</v>
      </c>
      <c r="Q655" s="1432">
        <f>IFERROR(__xludf.DUMMYFUNCTION("""COMPUTED_VALUE"""),3389.4)</f>
        <v>3389.4</v>
      </c>
    </row>
    <row r="656" ht="15.75" customHeight="1">
      <c r="A656" s="94"/>
      <c r="B656" s="94" t="str">
        <f>IFERROR(__xludf.DUMMYFUNCTION("""COMPUTED_VALUE"""),"Wyn")</f>
        <v>Wyn</v>
      </c>
      <c r="C656" s="1429" t="str">
        <f>IFERROR(__xludf.DUMMYFUNCTION("""COMPUTED_VALUE"""),"Other")</f>
        <v>Other</v>
      </c>
      <c r="D656" s="1432">
        <f>IFERROR(__xludf.DUMMYFUNCTION("""COMPUTED_VALUE"""),8.0)</f>
        <v>8</v>
      </c>
      <c r="E656" s="1429">
        <f>IFERROR(__xludf.DUMMYFUNCTION("""COMPUTED_VALUE"""),45509.0)</f>
        <v>45509</v>
      </c>
      <c r="F656" s="1429">
        <f>IFERROR(__xludf.DUMMYFUNCTION("""COMPUTED_VALUE"""),45511.0)</f>
        <v>45511</v>
      </c>
      <c r="G656" s="1164">
        <f>IFERROR(__xludf.DUMMYFUNCTION("""COMPUTED_VALUE"""),2.0)</f>
        <v>2</v>
      </c>
      <c r="H656" s="1430">
        <f>IFERROR(__xludf.DUMMYFUNCTION("""COMPUTED_VALUE"""),104.0)</f>
        <v>104</v>
      </c>
      <c r="I656" s="94">
        <f>IFERROR(__xludf.DUMMYFUNCTION("""COMPUTED_VALUE"""),0.0)</f>
        <v>0</v>
      </c>
      <c r="J656" s="94"/>
      <c r="K656" s="94">
        <f>IFERROR(__xludf.DUMMYFUNCTION("""COMPUTED_VALUE"""),70.0)</f>
        <v>70</v>
      </c>
      <c r="L656" s="94">
        <f>IFERROR(__xludf.DUMMYFUNCTION("""COMPUTED_VALUE"""),40.0)</f>
        <v>40</v>
      </c>
      <c r="M656" s="94">
        <f>IFERROR(__xludf.DUMMYFUNCTION("""COMPUTED_VALUE"""),30.0)</f>
        <v>30</v>
      </c>
      <c r="N656" s="94"/>
      <c r="O656" s="1430">
        <f>IFERROR(__xludf.DUMMYFUNCTION("""COMPUTED_VALUE"""),30.0)</f>
        <v>30</v>
      </c>
      <c r="P656" s="1431">
        <f>IFERROR(__xludf.DUMMYFUNCTION("""COMPUTED_VALUE"""),2.69)</f>
        <v>2.69</v>
      </c>
      <c r="Q656" s="1432">
        <f>IFERROR(__xludf.DUMMYFUNCTION("""COMPUTED_VALUE"""),279.76)</f>
        <v>279.76</v>
      </c>
    </row>
    <row r="657" ht="15.75" customHeight="1">
      <c r="A657" s="94"/>
      <c r="B657" s="94" t="str">
        <f>IFERROR(__xludf.DUMMYFUNCTION("""COMPUTED_VALUE"""),"DL14-1707")</f>
        <v>DL14-1707</v>
      </c>
      <c r="C657" s="1429" t="str">
        <f>IFERROR(__xludf.DUMMYFUNCTION("""COMPUTED_VALUE"""),"DL")</f>
        <v>DL</v>
      </c>
      <c r="D657" s="1432">
        <f>IFERROR(__xludf.DUMMYFUNCTION("""COMPUTED_VALUE"""),8.0)</f>
        <v>8</v>
      </c>
      <c r="E657" s="1429">
        <f>IFERROR(__xludf.DUMMYFUNCTION("""COMPUTED_VALUE"""),45510.0)</f>
        <v>45510</v>
      </c>
      <c r="F657" s="1429">
        <f>IFERROR(__xludf.DUMMYFUNCTION("""COMPUTED_VALUE"""),45514.0)</f>
        <v>45514</v>
      </c>
      <c r="G657" s="1164">
        <f>IFERROR(__xludf.DUMMYFUNCTION("""COMPUTED_VALUE"""),4.0)</f>
        <v>4</v>
      </c>
      <c r="H657" s="94"/>
      <c r="I657" s="94">
        <f>IFERROR(__xludf.DUMMYFUNCTION("""COMPUTED_VALUE"""),836.0)</f>
        <v>836</v>
      </c>
      <c r="J657" s="94"/>
      <c r="K657" s="94">
        <f>IFERROR(__xludf.DUMMYFUNCTION("""COMPUTED_VALUE"""),95.0)</f>
        <v>95</v>
      </c>
      <c r="L657" s="94">
        <f>IFERROR(__xludf.DUMMYFUNCTION("""COMPUTED_VALUE"""),95.0)</f>
        <v>95</v>
      </c>
      <c r="M657" s="94">
        <f>IFERROR(__xludf.DUMMYFUNCTION("""COMPUTED_VALUE"""),0.0)</f>
        <v>0</v>
      </c>
      <c r="N657" s="94"/>
      <c r="O657" s="1430">
        <f>IFERROR(__xludf.DUMMYFUNCTION("""COMPUTED_VALUE"""),0.0)</f>
        <v>0</v>
      </c>
      <c r="P657" s="1431">
        <f>IFERROR(__xludf.DUMMYFUNCTION("""COMPUTED_VALUE"""),2.69)</f>
        <v>2.69</v>
      </c>
      <c r="Q657" s="1432">
        <f>IFERROR(__xludf.DUMMYFUNCTION("""COMPUTED_VALUE"""),836.0)</f>
        <v>836</v>
      </c>
    </row>
    <row r="658" ht="15.75" customHeight="1">
      <c r="A658" s="94"/>
      <c r="B658" s="94" t="str">
        <f>IFERROR(__xludf.DUMMYFUNCTION("""COMPUTED_VALUE"""),"WS A 1312")</f>
        <v>WS A 1312</v>
      </c>
      <c r="C658" s="1429" t="str">
        <f>IFERROR(__xludf.DUMMYFUNCTION("""COMPUTED_VALUE"""),"WS")</f>
        <v>WS</v>
      </c>
      <c r="D658" s="1432">
        <f>IFERROR(__xludf.DUMMYFUNCTION("""COMPUTED_VALUE"""),8.0)</f>
        <v>8</v>
      </c>
      <c r="E658" s="1429">
        <f>IFERROR(__xludf.DUMMYFUNCTION("""COMPUTED_VALUE"""),45510.0)</f>
        <v>45510</v>
      </c>
      <c r="F658" s="1429">
        <f>IFERROR(__xludf.DUMMYFUNCTION("""COMPUTED_VALUE"""),45517.0)</f>
        <v>45517</v>
      </c>
      <c r="G658" s="1164">
        <f>IFERROR(__xludf.DUMMYFUNCTION("""COMPUTED_VALUE"""),7.0)</f>
        <v>7</v>
      </c>
      <c r="H658" s="94"/>
      <c r="I658" s="94">
        <f>IFERROR(__xludf.DUMMYFUNCTION("""COMPUTED_VALUE"""),1115.0)</f>
        <v>1115</v>
      </c>
      <c r="J658" s="94"/>
      <c r="K658" s="94">
        <f>IFERROR(__xludf.DUMMYFUNCTION("""COMPUTED_VALUE"""),60.0)</f>
        <v>60</v>
      </c>
      <c r="L658" s="94">
        <f>IFERROR(__xludf.DUMMYFUNCTION("""COMPUTED_VALUE"""),40.0)</f>
        <v>40</v>
      </c>
      <c r="M658" s="94">
        <f>IFERROR(__xludf.DUMMYFUNCTION("""COMPUTED_VALUE"""),20.0)</f>
        <v>20</v>
      </c>
      <c r="N658" s="94"/>
      <c r="O658" s="1430">
        <f>IFERROR(__xludf.DUMMYFUNCTION("""COMPUTED_VALUE"""),20.0)</f>
        <v>20</v>
      </c>
      <c r="P658" s="1431">
        <f>IFERROR(__xludf.DUMMYFUNCTION("""COMPUTED_VALUE"""),2.69)</f>
        <v>2.69</v>
      </c>
      <c r="Q658" s="1432">
        <f>IFERROR(__xludf.DUMMYFUNCTION("""COMPUTED_VALUE"""),1115.0)</f>
        <v>1115</v>
      </c>
    </row>
    <row r="659" ht="15.75" customHeight="1">
      <c r="A659" s="94"/>
      <c r="B659" s="94" t="str">
        <f>IFERROR(__xludf.DUMMYFUNCTION("""COMPUTED_VALUE"""),"С 1443")</f>
        <v>С 1443</v>
      </c>
      <c r="C659" s="1429" t="str">
        <f>IFERROR(__xludf.DUMMYFUNCTION("""COMPUTED_VALUE"""),"ORBI")</f>
        <v>ORBI</v>
      </c>
      <c r="D659" s="1432">
        <f>IFERROR(__xludf.DUMMYFUNCTION("""COMPUTED_VALUE"""),8.0)</f>
        <v>8</v>
      </c>
      <c r="E659" s="1429">
        <f>IFERROR(__xludf.DUMMYFUNCTION("""COMPUTED_VALUE"""),45510.0)</f>
        <v>45510</v>
      </c>
      <c r="F659" s="1429">
        <f>IFERROR(__xludf.DUMMYFUNCTION("""COMPUTED_VALUE"""),45530.0)</f>
        <v>45530</v>
      </c>
      <c r="G659" s="1164">
        <f>IFERROR(__xludf.DUMMYFUNCTION("""COMPUTED_VALUE"""),20.0)</f>
        <v>20</v>
      </c>
      <c r="H659" s="1430">
        <f>IFERROR(__xludf.DUMMYFUNCTION("""COMPUTED_VALUE"""),1212.0)</f>
        <v>1212</v>
      </c>
      <c r="I659" s="94">
        <f>IFERROR(__xludf.DUMMYFUNCTION("""COMPUTED_VALUE"""),0.0)</f>
        <v>0</v>
      </c>
      <c r="J659" s="94"/>
      <c r="K659" s="94">
        <f>IFERROR(__xludf.DUMMYFUNCTION("""COMPUTED_VALUE"""),70.0)</f>
        <v>70</v>
      </c>
      <c r="L659" s="94">
        <f>IFERROR(__xludf.DUMMYFUNCTION("""COMPUTED_VALUE"""),40.0)</f>
        <v>40</v>
      </c>
      <c r="M659" s="94">
        <f>IFERROR(__xludf.DUMMYFUNCTION("""COMPUTED_VALUE"""),30.0)</f>
        <v>30</v>
      </c>
      <c r="N659" s="94"/>
      <c r="O659" s="1430">
        <f>IFERROR(__xludf.DUMMYFUNCTION("""COMPUTED_VALUE"""),30.0)</f>
        <v>30</v>
      </c>
      <c r="P659" s="1431">
        <f>IFERROR(__xludf.DUMMYFUNCTION("""COMPUTED_VALUE"""),2.69)</f>
        <v>2.69</v>
      </c>
      <c r="Q659" s="1432">
        <f>IFERROR(__xludf.DUMMYFUNCTION("""COMPUTED_VALUE"""),3260.2799999999997)</f>
        <v>3260.28</v>
      </c>
    </row>
    <row r="660" ht="15.75" customHeight="1">
      <c r="A660" s="94"/>
      <c r="B660" s="94" t="str">
        <f>IFERROR(__xludf.DUMMYFUNCTION("""COMPUTED_VALUE"""),"WS E704")</f>
        <v>WS E704</v>
      </c>
      <c r="C660" s="1429" t="str">
        <f>IFERROR(__xludf.DUMMYFUNCTION("""COMPUTED_VALUE"""),"WS")</f>
        <v>WS</v>
      </c>
      <c r="D660" s="1432">
        <f>IFERROR(__xludf.DUMMYFUNCTION("""COMPUTED_VALUE"""),8.0)</f>
        <v>8</v>
      </c>
      <c r="E660" s="1429">
        <f>IFERROR(__xludf.DUMMYFUNCTION("""COMPUTED_VALUE"""),45510.0)</f>
        <v>45510</v>
      </c>
      <c r="F660" s="1429">
        <f>IFERROR(__xludf.DUMMYFUNCTION("""COMPUTED_VALUE"""),45517.0)</f>
        <v>45517</v>
      </c>
      <c r="G660" s="1164">
        <f>IFERROR(__xludf.DUMMYFUNCTION("""COMPUTED_VALUE"""),7.0)</f>
        <v>7</v>
      </c>
      <c r="H660" s="94"/>
      <c r="I660" s="94">
        <f>IFERROR(__xludf.DUMMYFUNCTION("""COMPUTED_VALUE"""),1116.0)</f>
        <v>1116</v>
      </c>
      <c r="J660" s="94"/>
      <c r="K660" s="94">
        <f>IFERROR(__xludf.DUMMYFUNCTION("""COMPUTED_VALUE"""),40.0)</f>
        <v>40</v>
      </c>
      <c r="L660" s="94">
        <f>IFERROR(__xludf.DUMMYFUNCTION("""COMPUTED_VALUE"""),40.0)</f>
        <v>40</v>
      </c>
      <c r="M660" s="94">
        <f>IFERROR(__xludf.DUMMYFUNCTION("""COMPUTED_VALUE"""),0.0)</f>
        <v>0</v>
      </c>
      <c r="N660" s="94"/>
      <c r="O660" s="1430">
        <f>IFERROR(__xludf.DUMMYFUNCTION("""COMPUTED_VALUE"""),0.0)</f>
        <v>0</v>
      </c>
      <c r="P660" s="1431">
        <f>IFERROR(__xludf.DUMMYFUNCTION("""COMPUTED_VALUE"""),2.69)</f>
        <v>2.69</v>
      </c>
      <c r="Q660" s="1432">
        <f>IFERROR(__xludf.DUMMYFUNCTION("""COMPUTED_VALUE"""),1116.0)</f>
        <v>1116</v>
      </c>
    </row>
    <row r="661" ht="15.75" customHeight="1">
      <c r="A661" s="94"/>
      <c r="B661" s="94" t="str">
        <f>IFERROR(__xludf.DUMMYFUNCTION("""COMPUTED_VALUE"""),"Wyn")</f>
        <v>Wyn</v>
      </c>
      <c r="C661" s="1429" t="str">
        <f>IFERROR(__xludf.DUMMYFUNCTION("""COMPUTED_VALUE"""),"Other")</f>
        <v>Other</v>
      </c>
      <c r="D661" s="1432">
        <f>IFERROR(__xludf.DUMMYFUNCTION("""COMPUTED_VALUE"""),8.0)</f>
        <v>8</v>
      </c>
      <c r="E661" s="1429">
        <f>IFERROR(__xludf.DUMMYFUNCTION("""COMPUTED_VALUE"""),45511.0)</f>
        <v>45511</v>
      </c>
      <c r="F661" s="1429">
        <f>IFERROR(__xludf.DUMMYFUNCTION("""COMPUTED_VALUE"""),45514.0)</f>
        <v>45514</v>
      </c>
      <c r="G661" s="1164">
        <f>IFERROR(__xludf.DUMMYFUNCTION("""COMPUTED_VALUE"""),3.0)</f>
        <v>3</v>
      </c>
      <c r="H661" s="1430">
        <f>IFERROR(__xludf.DUMMYFUNCTION("""COMPUTED_VALUE"""),150.0)</f>
        <v>150</v>
      </c>
      <c r="I661" s="94">
        <f>IFERROR(__xludf.DUMMYFUNCTION("""COMPUTED_VALUE"""),0.0)</f>
        <v>0</v>
      </c>
      <c r="J661" s="94"/>
      <c r="K661" s="94">
        <f>IFERROR(__xludf.DUMMYFUNCTION("""COMPUTED_VALUE"""),70.0)</f>
        <v>70</v>
      </c>
      <c r="L661" s="94">
        <f>IFERROR(__xludf.DUMMYFUNCTION("""COMPUTED_VALUE"""),40.0)</f>
        <v>40</v>
      </c>
      <c r="M661" s="94">
        <f>IFERROR(__xludf.DUMMYFUNCTION("""COMPUTED_VALUE"""),30.0)</f>
        <v>30</v>
      </c>
      <c r="N661" s="94"/>
      <c r="O661" s="1430">
        <f>IFERROR(__xludf.DUMMYFUNCTION("""COMPUTED_VALUE"""),30.0)</f>
        <v>30</v>
      </c>
      <c r="P661" s="1431">
        <f>IFERROR(__xludf.DUMMYFUNCTION("""COMPUTED_VALUE"""),2.69)</f>
        <v>2.69</v>
      </c>
      <c r="Q661" s="1432">
        <f>IFERROR(__xludf.DUMMYFUNCTION("""COMPUTED_VALUE"""),403.5)</f>
        <v>403.5</v>
      </c>
    </row>
    <row r="662" ht="15.75" customHeight="1">
      <c r="A662" s="94"/>
      <c r="B662" s="94" t="str">
        <f>IFERROR(__xludf.DUMMYFUNCTION("""COMPUTED_VALUE"""),"D 1321")</f>
        <v>D 1321</v>
      </c>
      <c r="C662" s="1429" t="str">
        <f>IFERROR(__xludf.DUMMYFUNCTION("""COMPUTED_VALUE"""),"ORBI")</f>
        <v>ORBI</v>
      </c>
      <c r="D662" s="1432">
        <f>IFERROR(__xludf.DUMMYFUNCTION("""COMPUTED_VALUE"""),8.0)</f>
        <v>8</v>
      </c>
      <c r="E662" s="1429">
        <f>IFERROR(__xludf.DUMMYFUNCTION("""COMPUTED_VALUE"""),45511.0)</f>
        <v>45511</v>
      </c>
      <c r="F662" s="1429">
        <f>IFERROR(__xludf.DUMMYFUNCTION("""COMPUTED_VALUE"""),45522.0)</f>
        <v>45522</v>
      </c>
      <c r="G662" s="1164">
        <f>IFERROR(__xludf.DUMMYFUNCTION("""COMPUTED_VALUE"""),11.0)</f>
        <v>11</v>
      </c>
      <c r="H662" s="1430">
        <f>IFERROR(__xludf.DUMMYFUNCTION("""COMPUTED_VALUE"""),559.0)</f>
        <v>559</v>
      </c>
      <c r="I662" s="94">
        <f>IFERROR(__xludf.DUMMYFUNCTION("""COMPUTED_VALUE"""),0.0)</f>
        <v>0</v>
      </c>
      <c r="J662" s="94"/>
      <c r="K662" s="94">
        <f>IFERROR(__xludf.DUMMYFUNCTION("""COMPUTED_VALUE"""),50.0)</f>
        <v>50</v>
      </c>
      <c r="L662" s="94">
        <f>IFERROR(__xludf.DUMMYFUNCTION("""COMPUTED_VALUE"""),40.0)</f>
        <v>40</v>
      </c>
      <c r="M662" s="94">
        <f>IFERROR(__xludf.DUMMYFUNCTION("""COMPUTED_VALUE"""),10.0)</f>
        <v>10</v>
      </c>
      <c r="N662" s="94"/>
      <c r="O662" s="1430">
        <f>IFERROR(__xludf.DUMMYFUNCTION("""COMPUTED_VALUE"""),10.0)</f>
        <v>10</v>
      </c>
      <c r="P662" s="1431">
        <f>IFERROR(__xludf.DUMMYFUNCTION("""COMPUTED_VALUE"""),2.69)</f>
        <v>2.69</v>
      </c>
      <c r="Q662" s="1432">
        <f>IFERROR(__xludf.DUMMYFUNCTION("""COMPUTED_VALUE"""),1503.71)</f>
        <v>1503.71</v>
      </c>
    </row>
    <row r="663" ht="15.75" customHeight="1">
      <c r="A663" s="94"/>
      <c r="B663" s="94" t="str">
        <f>IFERROR(__xludf.DUMMYFUNCTION("""COMPUTED_VALUE"""),"С 2756")</f>
        <v>С 2756</v>
      </c>
      <c r="C663" s="1429" t="str">
        <f>IFERROR(__xludf.DUMMYFUNCTION("""COMPUTED_VALUE"""),"ORBI")</f>
        <v>ORBI</v>
      </c>
      <c r="D663" s="1432">
        <f>IFERROR(__xludf.DUMMYFUNCTION("""COMPUTED_VALUE"""),8.0)</f>
        <v>8</v>
      </c>
      <c r="E663" s="1429">
        <f>IFERROR(__xludf.DUMMYFUNCTION("""COMPUTED_VALUE"""),45511.0)</f>
        <v>45511</v>
      </c>
      <c r="F663" s="1429">
        <f>IFERROR(__xludf.DUMMYFUNCTION("""COMPUTED_VALUE"""),45522.0)</f>
        <v>45522</v>
      </c>
      <c r="G663" s="1164">
        <f>IFERROR(__xludf.DUMMYFUNCTION("""COMPUTED_VALUE"""),11.0)</f>
        <v>11</v>
      </c>
      <c r="H663" s="1430">
        <f>IFERROR(__xludf.DUMMYFUNCTION("""COMPUTED_VALUE"""),579.0)</f>
        <v>579</v>
      </c>
      <c r="I663" s="94">
        <f>IFERROR(__xludf.DUMMYFUNCTION("""COMPUTED_VALUE"""),0.0)</f>
        <v>0</v>
      </c>
      <c r="J663" s="94"/>
      <c r="K663" s="94">
        <f>IFERROR(__xludf.DUMMYFUNCTION("""COMPUTED_VALUE"""),50.0)</f>
        <v>50</v>
      </c>
      <c r="L663" s="94">
        <f>IFERROR(__xludf.DUMMYFUNCTION("""COMPUTED_VALUE"""),40.0)</f>
        <v>40</v>
      </c>
      <c r="M663" s="94">
        <f>IFERROR(__xludf.DUMMYFUNCTION("""COMPUTED_VALUE"""),10.0)</f>
        <v>10</v>
      </c>
      <c r="N663" s="94"/>
      <c r="O663" s="1430">
        <f>IFERROR(__xludf.DUMMYFUNCTION("""COMPUTED_VALUE"""),10.0)</f>
        <v>10</v>
      </c>
      <c r="P663" s="1431">
        <f>IFERROR(__xludf.DUMMYFUNCTION("""COMPUTED_VALUE"""),2.69)</f>
        <v>2.69</v>
      </c>
      <c r="Q663" s="1432">
        <f>IFERROR(__xludf.DUMMYFUNCTION("""COMPUTED_VALUE"""),1557.51)</f>
        <v>1557.51</v>
      </c>
    </row>
    <row r="664" ht="15.75" customHeight="1">
      <c r="A664" s="94"/>
      <c r="B664" s="94" t="str">
        <f>IFERROR(__xludf.DUMMYFUNCTION("""COMPUTED_VALUE"""),"А 4049")</f>
        <v>А 4049</v>
      </c>
      <c r="C664" s="1429" t="str">
        <f>IFERROR(__xludf.DUMMYFUNCTION("""COMPUTED_VALUE"""),"ORBI")</f>
        <v>ORBI</v>
      </c>
      <c r="D664" s="1432">
        <f>IFERROR(__xludf.DUMMYFUNCTION("""COMPUTED_VALUE"""),8.0)</f>
        <v>8</v>
      </c>
      <c r="E664" s="1429">
        <f>IFERROR(__xludf.DUMMYFUNCTION("""COMPUTED_VALUE"""),45511.0)</f>
        <v>45511</v>
      </c>
      <c r="F664" s="1429">
        <f>IFERROR(__xludf.DUMMYFUNCTION("""COMPUTED_VALUE"""),45516.0)</f>
        <v>45516</v>
      </c>
      <c r="G664" s="1164">
        <f>IFERROR(__xludf.DUMMYFUNCTION("""COMPUTED_VALUE"""),5.0)</f>
        <v>5</v>
      </c>
      <c r="H664" s="1430">
        <f>IFERROR(__xludf.DUMMYFUNCTION("""COMPUTED_VALUE"""),216.0)</f>
        <v>216</v>
      </c>
      <c r="I664" s="94">
        <f>IFERROR(__xludf.DUMMYFUNCTION("""COMPUTED_VALUE"""),0.0)</f>
        <v>0</v>
      </c>
      <c r="J664" s="94"/>
      <c r="K664" s="94">
        <f>IFERROR(__xludf.DUMMYFUNCTION("""COMPUTED_VALUE"""),50.0)</f>
        <v>50</v>
      </c>
      <c r="L664" s="94">
        <f>IFERROR(__xludf.DUMMYFUNCTION("""COMPUTED_VALUE"""),40.0)</f>
        <v>40</v>
      </c>
      <c r="M664" s="94">
        <f>IFERROR(__xludf.DUMMYFUNCTION("""COMPUTED_VALUE"""),10.0)</f>
        <v>10</v>
      </c>
      <c r="N664" s="94"/>
      <c r="O664" s="1430">
        <f>IFERROR(__xludf.DUMMYFUNCTION("""COMPUTED_VALUE"""),10.0)</f>
        <v>10</v>
      </c>
      <c r="P664" s="1431">
        <f>IFERROR(__xludf.DUMMYFUNCTION("""COMPUTED_VALUE"""),2.69)</f>
        <v>2.69</v>
      </c>
      <c r="Q664" s="1432">
        <f>IFERROR(__xludf.DUMMYFUNCTION("""COMPUTED_VALUE"""),581.04)</f>
        <v>581.04</v>
      </c>
    </row>
    <row r="665" ht="15.75" customHeight="1">
      <c r="A665" s="94"/>
      <c r="B665" s="94" t="str">
        <f>IFERROR(__xludf.DUMMYFUNCTION("""COMPUTED_VALUE"""),"Шар 2505")</f>
        <v>Шар 2505</v>
      </c>
      <c r="C665" s="1429" t="str">
        <f>IFERROR(__xludf.DUMMYFUNCTION("""COMPUTED_VALUE"""),"Other")</f>
        <v>Other</v>
      </c>
      <c r="D665" s="1432">
        <f>IFERROR(__xludf.DUMMYFUNCTION("""COMPUTED_VALUE"""),8.0)</f>
        <v>8</v>
      </c>
      <c r="E665" s="1429">
        <f>IFERROR(__xludf.DUMMYFUNCTION("""COMPUTED_VALUE"""),45511.0)</f>
        <v>45511</v>
      </c>
      <c r="F665" s="1429">
        <f>IFERROR(__xludf.DUMMYFUNCTION("""COMPUTED_VALUE"""),45514.0)</f>
        <v>45514</v>
      </c>
      <c r="G665" s="1164">
        <f>IFERROR(__xludf.DUMMYFUNCTION("""COMPUTED_VALUE"""),3.0)</f>
        <v>3</v>
      </c>
      <c r="H665" s="1430">
        <f>IFERROR(__xludf.DUMMYFUNCTION("""COMPUTED_VALUE"""),187.0)</f>
        <v>187</v>
      </c>
      <c r="I665" s="94">
        <f>IFERROR(__xludf.DUMMYFUNCTION("""COMPUTED_VALUE"""),0.0)</f>
        <v>0</v>
      </c>
      <c r="J665" s="94"/>
      <c r="K665" s="94">
        <f>IFERROR(__xludf.DUMMYFUNCTION("""COMPUTED_VALUE"""),60.0)</f>
        <v>60</v>
      </c>
      <c r="L665" s="94">
        <f>IFERROR(__xludf.DUMMYFUNCTION("""COMPUTED_VALUE"""),40.0)</f>
        <v>40</v>
      </c>
      <c r="M665" s="94">
        <f>IFERROR(__xludf.DUMMYFUNCTION("""COMPUTED_VALUE"""),20.0)</f>
        <v>20</v>
      </c>
      <c r="N665" s="94"/>
      <c r="O665" s="1430">
        <f>IFERROR(__xludf.DUMMYFUNCTION("""COMPUTED_VALUE"""),20.0)</f>
        <v>20</v>
      </c>
      <c r="P665" s="1431">
        <f>IFERROR(__xludf.DUMMYFUNCTION("""COMPUTED_VALUE"""),2.69)</f>
        <v>2.69</v>
      </c>
      <c r="Q665" s="1432">
        <f>IFERROR(__xludf.DUMMYFUNCTION("""COMPUTED_VALUE"""),503.03)</f>
        <v>503.03</v>
      </c>
    </row>
    <row r="666" ht="15.75" customHeight="1">
      <c r="A666" s="94"/>
      <c r="B666" s="94" t="str">
        <f>IFERROR(__xludf.DUMMYFUNCTION("""COMPUTED_VALUE"""),"DL 11-1112")</f>
        <v>DL 11-1112</v>
      </c>
      <c r="C666" s="1429" t="str">
        <f>IFERROR(__xludf.DUMMYFUNCTION("""COMPUTED_VALUE"""),"DL")</f>
        <v>DL</v>
      </c>
      <c r="D666" s="1432">
        <f>IFERROR(__xludf.DUMMYFUNCTION("""COMPUTED_VALUE"""),8.0)</f>
        <v>8</v>
      </c>
      <c r="E666" s="1429">
        <f>IFERROR(__xludf.DUMMYFUNCTION("""COMPUTED_VALUE"""),45511.0)</f>
        <v>45511</v>
      </c>
      <c r="F666" s="1429">
        <f>IFERROR(__xludf.DUMMYFUNCTION("""COMPUTED_VALUE"""),45516.0)</f>
        <v>45516</v>
      </c>
      <c r="G666" s="1164">
        <f>IFERROR(__xludf.DUMMYFUNCTION("""COMPUTED_VALUE"""),5.0)</f>
        <v>5</v>
      </c>
      <c r="H666" s="94"/>
      <c r="I666" s="94">
        <f>IFERROR(__xludf.DUMMYFUNCTION("""COMPUTED_VALUE"""),1912.0)</f>
        <v>1912</v>
      </c>
      <c r="J666" s="94"/>
      <c r="K666" s="94">
        <f>IFERROR(__xludf.DUMMYFUNCTION("""COMPUTED_VALUE"""),95.0)</f>
        <v>95</v>
      </c>
      <c r="L666" s="94">
        <f>IFERROR(__xludf.DUMMYFUNCTION("""COMPUTED_VALUE"""),95.0)</f>
        <v>95</v>
      </c>
      <c r="M666" s="94">
        <f>IFERROR(__xludf.DUMMYFUNCTION("""COMPUTED_VALUE"""),0.0)</f>
        <v>0</v>
      </c>
      <c r="N666" s="94"/>
      <c r="O666" s="1430">
        <f>IFERROR(__xludf.DUMMYFUNCTION("""COMPUTED_VALUE"""),0.0)</f>
        <v>0</v>
      </c>
      <c r="P666" s="1431">
        <f>IFERROR(__xludf.DUMMYFUNCTION("""COMPUTED_VALUE"""),2.69)</f>
        <v>2.69</v>
      </c>
      <c r="Q666" s="1432">
        <f>IFERROR(__xludf.DUMMYFUNCTION("""COMPUTED_VALUE"""),1912.0)</f>
        <v>1912</v>
      </c>
    </row>
    <row r="667" ht="15.75" customHeight="1">
      <c r="A667" s="94"/>
      <c r="B667" s="94" t="str">
        <f>IFERROR(__xludf.DUMMYFUNCTION("""COMPUTED_VALUE"""),"BV206")</f>
        <v>BV206</v>
      </c>
      <c r="C667" s="1429" t="str">
        <f>IFERROR(__xludf.DUMMYFUNCTION("""COMPUTED_VALUE"""),"Other")</f>
        <v>Other</v>
      </c>
      <c r="D667" s="1432">
        <f>IFERROR(__xludf.DUMMYFUNCTION("""COMPUTED_VALUE"""),8.0)</f>
        <v>8</v>
      </c>
      <c r="E667" s="1429">
        <f>IFERROR(__xludf.DUMMYFUNCTION("""COMPUTED_VALUE"""),45511.0)</f>
        <v>45511</v>
      </c>
      <c r="F667" s="1429">
        <f>IFERROR(__xludf.DUMMYFUNCTION("""COMPUTED_VALUE"""),45516.0)</f>
        <v>45516</v>
      </c>
      <c r="G667" s="1164">
        <f>IFERROR(__xludf.DUMMYFUNCTION("""COMPUTED_VALUE"""),5.0)</f>
        <v>5</v>
      </c>
      <c r="H667" s="94"/>
      <c r="I667" s="94">
        <f>IFERROR(__xludf.DUMMYFUNCTION("""COMPUTED_VALUE"""),1290.0)</f>
        <v>1290</v>
      </c>
      <c r="J667" s="94"/>
      <c r="K667" s="94">
        <f>IFERROR(__xludf.DUMMYFUNCTION("""COMPUTED_VALUE"""),40.0)</f>
        <v>40</v>
      </c>
      <c r="L667" s="94">
        <f>IFERROR(__xludf.DUMMYFUNCTION("""COMPUTED_VALUE"""),40.0)</f>
        <v>40</v>
      </c>
      <c r="M667" s="94">
        <f>IFERROR(__xludf.DUMMYFUNCTION("""COMPUTED_VALUE"""),0.0)</f>
        <v>0</v>
      </c>
      <c r="N667" s="94"/>
      <c r="O667" s="1430">
        <f>IFERROR(__xludf.DUMMYFUNCTION("""COMPUTED_VALUE"""),0.0)</f>
        <v>0</v>
      </c>
      <c r="P667" s="1431">
        <f>IFERROR(__xludf.DUMMYFUNCTION("""COMPUTED_VALUE"""),2.69)</f>
        <v>2.69</v>
      </c>
      <c r="Q667" s="1432">
        <f>IFERROR(__xludf.DUMMYFUNCTION("""COMPUTED_VALUE"""),1290.0)</f>
        <v>1290</v>
      </c>
    </row>
    <row r="668" ht="15.75" customHeight="1">
      <c r="A668" s="94"/>
      <c r="B668" s="94" t="str">
        <f>IFERROR(__xludf.DUMMYFUNCTION("""COMPUTED_VALUE"""),"Шартава 16")</f>
        <v>Шартава 16</v>
      </c>
      <c r="C668" s="1429" t="str">
        <f>IFERROR(__xludf.DUMMYFUNCTION("""COMPUTED_VALUE"""),"Other")</f>
        <v>Other</v>
      </c>
      <c r="D668" s="1432">
        <f>IFERROR(__xludf.DUMMYFUNCTION("""COMPUTED_VALUE"""),8.0)</f>
        <v>8</v>
      </c>
      <c r="E668" s="1429">
        <f>IFERROR(__xludf.DUMMYFUNCTION("""COMPUTED_VALUE"""),45511.0)</f>
        <v>45511</v>
      </c>
      <c r="F668" s="1429">
        <f>IFERROR(__xludf.DUMMYFUNCTION("""COMPUTED_VALUE"""),45514.0)</f>
        <v>45514</v>
      </c>
      <c r="G668" s="1164">
        <f>IFERROR(__xludf.DUMMYFUNCTION("""COMPUTED_VALUE"""),3.0)</f>
        <v>3</v>
      </c>
      <c r="H668" s="1430">
        <f>IFERROR(__xludf.DUMMYFUNCTION("""COMPUTED_VALUE"""),163.0)</f>
        <v>163</v>
      </c>
      <c r="I668" s="94">
        <f>IFERROR(__xludf.DUMMYFUNCTION("""COMPUTED_VALUE"""),0.0)</f>
        <v>0</v>
      </c>
      <c r="J668" s="94"/>
      <c r="K668" s="94">
        <f>IFERROR(__xludf.DUMMYFUNCTION("""COMPUTED_VALUE"""),60.0)</f>
        <v>60</v>
      </c>
      <c r="L668" s="94">
        <f>IFERROR(__xludf.DUMMYFUNCTION("""COMPUTED_VALUE"""),40.0)</f>
        <v>40</v>
      </c>
      <c r="M668" s="94">
        <f>IFERROR(__xludf.DUMMYFUNCTION("""COMPUTED_VALUE"""),20.0)</f>
        <v>20</v>
      </c>
      <c r="N668" s="94"/>
      <c r="O668" s="1430">
        <f>IFERROR(__xludf.DUMMYFUNCTION("""COMPUTED_VALUE"""),20.0)</f>
        <v>20</v>
      </c>
      <c r="P668" s="1431">
        <f>IFERROR(__xludf.DUMMYFUNCTION("""COMPUTED_VALUE"""),2.69)</f>
        <v>2.69</v>
      </c>
      <c r="Q668" s="1432">
        <f>IFERROR(__xludf.DUMMYFUNCTION("""COMPUTED_VALUE"""),438.46999999999997)</f>
        <v>438.47</v>
      </c>
    </row>
    <row r="669" ht="15.75" customHeight="1">
      <c r="A669" s="94"/>
      <c r="B669" s="94" t="str">
        <f>IFERROR(__xludf.DUMMYFUNCTION("""COMPUTED_VALUE"""),"CM 1604")</f>
        <v>CM 1604</v>
      </c>
      <c r="C669" s="1429" t="str">
        <f>IFERROR(__xludf.DUMMYFUNCTION("""COMPUTED_VALUE"""),"MAR")</f>
        <v>MAR</v>
      </c>
      <c r="D669" s="1432">
        <f>IFERROR(__xludf.DUMMYFUNCTION("""COMPUTED_VALUE"""),8.0)</f>
        <v>8</v>
      </c>
      <c r="E669" s="1429">
        <f>IFERROR(__xludf.DUMMYFUNCTION("""COMPUTED_VALUE"""),45512.0)</f>
        <v>45512</v>
      </c>
      <c r="F669" s="1429">
        <f>IFERROR(__xludf.DUMMYFUNCTION("""COMPUTED_VALUE"""),45521.0)</f>
        <v>45521</v>
      </c>
      <c r="G669" s="1164">
        <f>IFERROR(__xludf.DUMMYFUNCTION("""COMPUTED_VALUE"""),9.0)</f>
        <v>9</v>
      </c>
      <c r="H669" s="1430">
        <f>IFERROR(__xludf.DUMMYFUNCTION("""COMPUTED_VALUE"""),733.0)</f>
        <v>733</v>
      </c>
      <c r="I669" s="94">
        <f>IFERROR(__xludf.DUMMYFUNCTION("""COMPUTED_VALUE"""),0.0)</f>
        <v>0</v>
      </c>
      <c r="J669" s="94"/>
      <c r="K669" s="94">
        <f>IFERROR(__xludf.DUMMYFUNCTION("""COMPUTED_VALUE"""),70.0)</f>
        <v>70</v>
      </c>
      <c r="L669" s="94">
        <f>IFERROR(__xludf.DUMMYFUNCTION("""COMPUTED_VALUE"""),40.0)</f>
        <v>40</v>
      </c>
      <c r="M669" s="94">
        <f>IFERROR(__xludf.DUMMYFUNCTION("""COMPUTED_VALUE"""),30.0)</f>
        <v>30</v>
      </c>
      <c r="N669" s="94"/>
      <c r="O669" s="1430">
        <f>IFERROR(__xludf.DUMMYFUNCTION("""COMPUTED_VALUE"""),30.0)</f>
        <v>30</v>
      </c>
      <c r="P669" s="1431">
        <f>IFERROR(__xludf.DUMMYFUNCTION("""COMPUTED_VALUE"""),2.69)</f>
        <v>2.69</v>
      </c>
      <c r="Q669" s="1432">
        <f>IFERROR(__xludf.DUMMYFUNCTION("""COMPUTED_VALUE"""),1971.77)</f>
        <v>1971.77</v>
      </c>
    </row>
    <row r="670" ht="15.75" customHeight="1">
      <c r="A670" s="94"/>
      <c r="B670" s="94" t="str">
        <f>IFERROR(__xludf.DUMMYFUNCTION("""COMPUTED_VALUE"""),"DL14-1405")</f>
        <v>DL14-1405</v>
      </c>
      <c r="C670" s="1429" t="str">
        <f>IFERROR(__xludf.DUMMYFUNCTION("""COMPUTED_VALUE"""),"DL")</f>
        <v>DL</v>
      </c>
      <c r="D670" s="1432">
        <f>IFERROR(__xludf.DUMMYFUNCTION("""COMPUTED_VALUE"""),8.0)</f>
        <v>8</v>
      </c>
      <c r="E670" s="1429">
        <f>IFERROR(__xludf.DUMMYFUNCTION("""COMPUTED_VALUE"""),45512.0)</f>
        <v>45512</v>
      </c>
      <c r="F670" s="1429">
        <f>IFERROR(__xludf.DUMMYFUNCTION("""COMPUTED_VALUE"""),45515.0)</f>
        <v>45515</v>
      </c>
      <c r="G670" s="1164">
        <f>IFERROR(__xludf.DUMMYFUNCTION("""COMPUTED_VALUE"""),3.0)</f>
        <v>3</v>
      </c>
      <c r="H670" s="1430">
        <f>IFERROR(__xludf.DUMMYFUNCTION("""COMPUTED_VALUE"""),320.0)</f>
        <v>320</v>
      </c>
      <c r="I670" s="94">
        <f>IFERROR(__xludf.DUMMYFUNCTION("""COMPUTED_VALUE"""),0.0)</f>
        <v>0</v>
      </c>
      <c r="J670" s="94"/>
      <c r="K670" s="94">
        <f>IFERROR(__xludf.DUMMYFUNCTION("""COMPUTED_VALUE"""),105.0)</f>
        <v>105</v>
      </c>
      <c r="L670" s="94">
        <f>IFERROR(__xludf.DUMMYFUNCTION("""COMPUTED_VALUE"""),105.0)</f>
        <v>105</v>
      </c>
      <c r="M670" s="94">
        <f>IFERROR(__xludf.DUMMYFUNCTION("""COMPUTED_VALUE"""),0.0)</f>
        <v>0</v>
      </c>
      <c r="N670" s="94"/>
      <c r="O670" s="1430">
        <f>IFERROR(__xludf.DUMMYFUNCTION("""COMPUTED_VALUE"""),0.0)</f>
        <v>0</v>
      </c>
      <c r="P670" s="1431">
        <f>IFERROR(__xludf.DUMMYFUNCTION("""COMPUTED_VALUE"""),2.69)</f>
        <v>2.69</v>
      </c>
      <c r="Q670" s="1432">
        <f>IFERROR(__xludf.DUMMYFUNCTION("""COMPUTED_VALUE"""),860.8)</f>
        <v>860.8</v>
      </c>
    </row>
    <row r="671" ht="15.75" customHeight="1">
      <c r="A671" s="94"/>
      <c r="B671" s="94" t="str">
        <f>IFERROR(__xludf.DUMMYFUNCTION("""COMPUTED_VALUE"""),"DL 14-516")</f>
        <v>DL 14-516</v>
      </c>
      <c r="C671" s="1429" t="str">
        <f>IFERROR(__xludf.DUMMYFUNCTION("""COMPUTED_VALUE"""),"DL")</f>
        <v>DL</v>
      </c>
      <c r="D671" s="1432">
        <f>IFERROR(__xludf.DUMMYFUNCTION("""COMPUTED_VALUE"""),8.0)</f>
        <v>8</v>
      </c>
      <c r="E671" s="1429">
        <f>IFERROR(__xludf.DUMMYFUNCTION("""COMPUTED_VALUE"""),45512.0)</f>
        <v>45512</v>
      </c>
      <c r="F671" s="1429">
        <f>IFERROR(__xludf.DUMMYFUNCTION("""COMPUTED_VALUE"""),45515.0)</f>
        <v>45515</v>
      </c>
      <c r="G671" s="1164">
        <f>IFERROR(__xludf.DUMMYFUNCTION("""COMPUTED_VALUE"""),3.0)</f>
        <v>3</v>
      </c>
      <c r="H671" s="1430">
        <f>IFERROR(__xludf.DUMMYFUNCTION("""COMPUTED_VALUE"""),435.0)</f>
        <v>435</v>
      </c>
      <c r="I671" s="94">
        <f>IFERROR(__xludf.DUMMYFUNCTION("""COMPUTED_VALUE"""),0.0)</f>
        <v>0</v>
      </c>
      <c r="J671" s="94"/>
      <c r="K671" s="94">
        <f>IFERROR(__xludf.DUMMYFUNCTION("""COMPUTED_VALUE"""),105.0)</f>
        <v>105</v>
      </c>
      <c r="L671" s="94">
        <f>IFERROR(__xludf.DUMMYFUNCTION("""COMPUTED_VALUE"""),105.0)</f>
        <v>105</v>
      </c>
      <c r="M671" s="94">
        <f>IFERROR(__xludf.DUMMYFUNCTION("""COMPUTED_VALUE"""),0.0)</f>
        <v>0</v>
      </c>
      <c r="N671" s="94"/>
      <c r="O671" s="1430">
        <f>IFERROR(__xludf.DUMMYFUNCTION("""COMPUTED_VALUE"""),0.0)</f>
        <v>0</v>
      </c>
      <c r="P671" s="1431">
        <f>IFERROR(__xludf.DUMMYFUNCTION("""COMPUTED_VALUE"""),2.69)</f>
        <v>2.69</v>
      </c>
      <c r="Q671" s="1432">
        <f>IFERROR(__xludf.DUMMYFUNCTION("""COMPUTED_VALUE"""),1170.1499999999999)</f>
        <v>1170.15</v>
      </c>
    </row>
    <row r="672" ht="15.75" customHeight="1">
      <c r="A672" s="94"/>
      <c r="B672" s="94" t="str">
        <f>IFERROR(__xludf.DUMMYFUNCTION("""COMPUTED_VALUE"""),"DL 14-702")</f>
        <v>DL 14-702</v>
      </c>
      <c r="C672" s="1429" t="str">
        <f>IFERROR(__xludf.DUMMYFUNCTION("""COMPUTED_VALUE"""),"DL")</f>
        <v>DL</v>
      </c>
      <c r="D672" s="1432">
        <f>IFERROR(__xludf.DUMMYFUNCTION("""COMPUTED_VALUE"""),8.0)</f>
        <v>8</v>
      </c>
      <c r="E672" s="1429">
        <f>IFERROR(__xludf.DUMMYFUNCTION("""COMPUTED_VALUE"""),45512.0)</f>
        <v>45512</v>
      </c>
      <c r="F672" s="1429">
        <f>IFERROR(__xludf.DUMMYFUNCTION("""COMPUTED_VALUE"""),45515.0)</f>
        <v>45515</v>
      </c>
      <c r="G672" s="1164">
        <f>IFERROR(__xludf.DUMMYFUNCTION("""COMPUTED_VALUE"""),3.0)</f>
        <v>3</v>
      </c>
      <c r="H672" s="1430">
        <f>IFERROR(__xludf.DUMMYFUNCTION("""COMPUTED_VALUE"""),435.0)</f>
        <v>435</v>
      </c>
      <c r="I672" s="94">
        <f>IFERROR(__xludf.DUMMYFUNCTION("""COMPUTED_VALUE"""),0.0)</f>
        <v>0</v>
      </c>
      <c r="J672" s="94"/>
      <c r="K672" s="94">
        <f>IFERROR(__xludf.DUMMYFUNCTION("""COMPUTED_VALUE"""),105.0)</f>
        <v>105</v>
      </c>
      <c r="L672" s="94">
        <f>IFERROR(__xludf.DUMMYFUNCTION("""COMPUTED_VALUE"""),105.0)</f>
        <v>105</v>
      </c>
      <c r="M672" s="94">
        <f>IFERROR(__xludf.DUMMYFUNCTION("""COMPUTED_VALUE"""),0.0)</f>
        <v>0</v>
      </c>
      <c r="N672" s="94"/>
      <c r="O672" s="1430">
        <f>IFERROR(__xludf.DUMMYFUNCTION("""COMPUTED_VALUE"""),0.0)</f>
        <v>0</v>
      </c>
      <c r="P672" s="1431">
        <f>IFERROR(__xludf.DUMMYFUNCTION("""COMPUTED_VALUE"""),2.69)</f>
        <v>2.69</v>
      </c>
      <c r="Q672" s="1432">
        <f>IFERROR(__xludf.DUMMYFUNCTION("""COMPUTED_VALUE"""),1170.1499999999999)</f>
        <v>1170.15</v>
      </c>
    </row>
    <row r="673" ht="15.75" customHeight="1">
      <c r="A673" s="94"/>
      <c r="B673" s="94" t="str">
        <f>IFERROR(__xludf.DUMMYFUNCTION("""COMPUTED_VALUE"""),"WS F 907")</f>
        <v>WS F 907</v>
      </c>
      <c r="C673" s="1429" t="str">
        <f>IFERROR(__xludf.DUMMYFUNCTION("""COMPUTED_VALUE"""),"WS")</f>
        <v>WS</v>
      </c>
      <c r="D673" s="1432">
        <f>IFERROR(__xludf.DUMMYFUNCTION("""COMPUTED_VALUE"""),8.0)</f>
        <v>8</v>
      </c>
      <c r="E673" s="1429">
        <f>IFERROR(__xludf.DUMMYFUNCTION("""COMPUTED_VALUE"""),45512.0)</f>
        <v>45512</v>
      </c>
      <c r="F673" s="1429">
        <f>IFERROR(__xludf.DUMMYFUNCTION("""COMPUTED_VALUE"""),45516.0)</f>
        <v>45516</v>
      </c>
      <c r="G673" s="1164">
        <f>IFERROR(__xludf.DUMMYFUNCTION("""COMPUTED_VALUE"""),4.0)</f>
        <v>4</v>
      </c>
      <c r="H673" s="94"/>
      <c r="I673" s="94">
        <f>IFERROR(__xludf.DUMMYFUNCTION("""COMPUTED_VALUE"""),790.0)</f>
        <v>790</v>
      </c>
      <c r="J673" s="94"/>
      <c r="K673" s="94">
        <f>IFERROR(__xludf.DUMMYFUNCTION("""COMPUTED_VALUE"""),60.0)</f>
        <v>60</v>
      </c>
      <c r="L673" s="94">
        <f>IFERROR(__xludf.DUMMYFUNCTION("""COMPUTED_VALUE"""),40.0)</f>
        <v>40</v>
      </c>
      <c r="M673" s="94">
        <f>IFERROR(__xludf.DUMMYFUNCTION("""COMPUTED_VALUE"""),20.0)</f>
        <v>20</v>
      </c>
      <c r="N673" s="94"/>
      <c r="O673" s="1430">
        <f>IFERROR(__xludf.DUMMYFUNCTION("""COMPUTED_VALUE"""),20.0)</f>
        <v>20</v>
      </c>
      <c r="P673" s="1431">
        <f>IFERROR(__xludf.DUMMYFUNCTION("""COMPUTED_VALUE"""),2.69)</f>
        <v>2.69</v>
      </c>
      <c r="Q673" s="1432">
        <f>IFERROR(__xludf.DUMMYFUNCTION("""COMPUTED_VALUE"""),790.0)</f>
        <v>790</v>
      </c>
    </row>
    <row r="674" ht="15.75" customHeight="1">
      <c r="A674" s="94"/>
      <c r="B674" s="94" t="str">
        <f>IFERROR(__xludf.DUMMYFUNCTION("""COMPUTED_VALUE"""),"14-411")</f>
        <v>14-411</v>
      </c>
      <c r="C674" s="1429" t="str">
        <f>IFERROR(__xludf.DUMMYFUNCTION("""COMPUTED_VALUE"""),"DL")</f>
        <v>DL</v>
      </c>
      <c r="D674" s="1432">
        <f>IFERROR(__xludf.DUMMYFUNCTION("""COMPUTED_VALUE"""),8.0)</f>
        <v>8</v>
      </c>
      <c r="E674" s="1429">
        <f>IFERROR(__xludf.DUMMYFUNCTION("""COMPUTED_VALUE"""),45512.0)</f>
        <v>45512</v>
      </c>
      <c r="F674" s="1429">
        <f>IFERROR(__xludf.DUMMYFUNCTION("""COMPUTED_VALUE"""),45515.0)</f>
        <v>45515</v>
      </c>
      <c r="G674" s="1164">
        <f>IFERROR(__xludf.DUMMYFUNCTION("""COMPUTED_VALUE"""),3.0)</f>
        <v>3</v>
      </c>
      <c r="H674" s="94"/>
      <c r="I674" s="94">
        <f>IFERROR(__xludf.DUMMYFUNCTION("""COMPUTED_VALUE"""),525.0)</f>
        <v>525</v>
      </c>
      <c r="J674" s="94"/>
      <c r="K674" s="94">
        <f>IFERROR(__xludf.DUMMYFUNCTION("""COMPUTED_VALUE"""),95.0)</f>
        <v>95</v>
      </c>
      <c r="L674" s="94">
        <f>IFERROR(__xludf.DUMMYFUNCTION("""COMPUTED_VALUE"""),95.0)</f>
        <v>95</v>
      </c>
      <c r="M674" s="94">
        <f>IFERROR(__xludf.DUMMYFUNCTION("""COMPUTED_VALUE"""),0.0)</f>
        <v>0</v>
      </c>
      <c r="N674" s="94"/>
      <c r="O674" s="1430">
        <f>IFERROR(__xludf.DUMMYFUNCTION("""COMPUTED_VALUE"""),0.0)</f>
        <v>0</v>
      </c>
      <c r="P674" s="1431">
        <f>IFERROR(__xludf.DUMMYFUNCTION("""COMPUTED_VALUE"""),2.69)</f>
        <v>2.69</v>
      </c>
      <c r="Q674" s="1432">
        <f>IFERROR(__xludf.DUMMYFUNCTION("""COMPUTED_VALUE"""),648.0)</f>
        <v>648</v>
      </c>
    </row>
    <row r="675" ht="15.75" customHeight="1">
      <c r="A675" s="94"/>
      <c r="B675" s="94" t="str">
        <f>IFERROR(__xludf.DUMMYFUNCTION("""COMPUTED_VALUE"""),"WS A 713")</f>
        <v>WS A 713</v>
      </c>
      <c r="C675" s="1429" t="str">
        <f>IFERROR(__xludf.DUMMYFUNCTION("""COMPUTED_VALUE"""),"WS")</f>
        <v>WS</v>
      </c>
      <c r="D675" s="1432">
        <f>IFERROR(__xludf.DUMMYFUNCTION("""COMPUTED_VALUE"""),8.0)</f>
        <v>8</v>
      </c>
      <c r="E675" s="1429">
        <f>IFERROR(__xludf.DUMMYFUNCTION("""COMPUTED_VALUE"""),45513.0)</f>
        <v>45513</v>
      </c>
      <c r="F675" s="1429">
        <f>IFERROR(__xludf.DUMMYFUNCTION("""COMPUTED_VALUE"""),45519.0)</f>
        <v>45519</v>
      </c>
      <c r="G675" s="1164">
        <f>IFERROR(__xludf.DUMMYFUNCTION("""COMPUTED_VALUE"""),6.0)</f>
        <v>6</v>
      </c>
      <c r="H675" s="94"/>
      <c r="I675" s="94">
        <f>IFERROR(__xludf.DUMMYFUNCTION("""COMPUTED_VALUE"""),969.0)</f>
        <v>969</v>
      </c>
      <c r="J675" s="94"/>
      <c r="K675" s="94">
        <f>IFERROR(__xludf.DUMMYFUNCTION("""COMPUTED_VALUE"""),60.0)</f>
        <v>60</v>
      </c>
      <c r="L675" s="94">
        <f>IFERROR(__xludf.DUMMYFUNCTION("""COMPUTED_VALUE"""),40.0)</f>
        <v>40</v>
      </c>
      <c r="M675" s="94">
        <f>IFERROR(__xludf.DUMMYFUNCTION("""COMPUTED_VALUE"""),20.0)</f>
        <v>20</v>
      </c>
      <c r="N675" s="94"/>
      <c r="O675" s="1430">
        <f>IFERROR(__xludf.DUMMYFUNCTION("""COMPUTED_VALUE"""),20.0)</f>
        <v>20</v>
      </c>
      <c r="P675" s="1431">
        <f>IFERROR(__xludf.DUMMYFUNCTION("""COMPUTED_VALUE"""),2.69)</f>
        <v>2.69</v>
      </c>
      <c r="Q675" s="1432">
        <f>IFERROR(__xludf.DUMMYFUNCTION("""COMPUTED_VALUE"""),1039.0)</f>
        <v>1039</v>
      </c>
    </row>
    <row r="676" ht="15.75" customHeight="1">
      <c r="A676" s="94"/>
      <c r="B676" s="94" t="str">
        <f>IFERROR(__xludf.DUMMYFUNCTION("""COMPUTED_VALUE"""),"DL 14-1214")</f>
        <v>DL 14-1214</v>
      </c>
      <c r="C676" s="1429" t="str">
        <f>IFERROR(__xludf.DUMMYFUNCTION("""COMPUTED_VALUE"""),"DL")</f>
        <v>DL</v>
      </c>
      <c r="D676" s="1432">
        <f>IFERROR(__xludf.DUMMYFUNCTION("""COMPUTED_VALUE"""),8.0)</f>
        <v>8</v>
      </c>
      <c r="E676" s="1429">
        <f>IFERROR(__xludf.DUMMYFUNCTION("""COMPUTED_VALUE"""),45513.0)</f>
        <v>45513</v>
      </c>
      <c r="F676" s="1429">
        <f>IFERROR(__xludf.DUMMYFUNCTION("""COMPUTED_VALUE"""),45515.0)</f>
        <v>45515</v>
      </c>
      <c r="G676" s="1164">
        <f>IFERROR(__xludf.DUMMYFUNCTION("""COMPUTED_VALUE"""),2.0)</f>
        <v>2</v>
      </c>
      <c r="H676" s="1430">
        <f>IFERROR(__xludf.DUMMYFUNCTION("""COMPUTED_VALUE"""),168.0)</f>
        <v>168</v>
      </c>
      <c r="I676" s="94">
        <f>IFERROR(__xludf.DUMMYFUNCTION("""COMPUTED_VALUE"""),0.0)</f>
        <v>0</v>
      </c>
      <c r="J676" s="94"/>
      <c r="K676" s="94">
        <f>IFERROR(__xludf.DUMMYFUNCTION("""COMPUTED_VALUE"""),95.0)</f>
        <v>95</v>
      </c>
      <c r="L676" s="94">
        <f>IFERROR(__xludf.DUMMYFUNCTION("""COMPUTED_VALUE"""),95.0)</f>
        <v>95</v>
      </c>
      <c r="M676" s="94">
        <f>IFERROR(__xludf.DUMMYFUNCTION("""COMPUTED_VALUE"""),0.0)</f>
        <v>0</v>
      </c>
      <c r="N676" s="94"/>
      <c r="O676" s="1430">
        <f>IFERROR(__xludf.DUMMYFUNCTION("""COMPUTED_VALUE"""),0.0)</f>
        <v>0</v>
      </c>
      <c r="P676" s="1431">
        <f>IFERROR(__xludf.DUMMYFUNCTION("""COMPUTED_VALUE"""),2.69)</f>
        <v>2.69</v>
      </c>
      <c r="Q676" s="1432">
        <f>IFERROR(__xludf.DUMMYFUNCTION("""COMPUTED_VALUE"""),451.92)</f>
        <v>451.92</v>
      </c>
    </row>
    <row r="677" ht="15.75" customHeight="1">
      <c r="A677" s="94"/>
      <c r="B677" s="94" t="str">
        <f>IFERROR(__xludf.DUMMYFUNCTION("""COMPUTED_VALUE"""),"WS A907")</f>
        <v>WS A907</v>
      </c>
      <c r="C677" s="1429" t="str">
        <f>IFERROR(__xludf.DUMMYFUNCTION("""COMPUTED_VALUE"""),"WS")</f>
        <v>WS</v>
      </c>
      <c r="D677" s="1432">
        <f>IFERROR(__xludf.DUMMYFUNCTION("""COMPUTED_VALUE"""),8.0)</f>
        <v>8</v>
      </c>
      <c r="E677" s="1429">
        <f>IFERROR(__xludf.DUMMYFUNCTION("""COMPUTED_VALUE"""),45513.0)</f>
        <v>45513</v>
      </c>
      <c r="F677" s="1429">
        <f>IFERROR(__xludf.DUMMYFUNCTION("""COMPUTED_VALUE"""),45520.0)</f>
        <v>45520</v>
      </c>
      <c r="G677" s="1164">
        <f>IFERROR(__xludf.DUMMYFUNCTION("""COMPUTED_VALUE"""),7.0)</f>
        <v>7</v>
      </c>
      <c r="H677" s="94"/>
      <c r="I677" s="94">
        <f>IFERROR(__xludf.DUMMYFUNCTION("""COMPUTED_VALUE"""),1455.0)</f>
        <v>1455</v>
      </c>
      <c r="J677" s="94"/>
      <c r="K677" s="94">
        <f>IFERROR(__xludf.DUMMYFUNCTION("""COMPUTED_VALUE"""),60.0)</f>
        <v>60</v>
      </c>
      <c r="L677" s="94">
        <f>IFERROR(__xludf.DUMMYFUNCTION("""COMPUTED_VALUE"""),40.0)</f>
        <v>40</v>
      </c>
      <c r="M677" s="94">
        <f>IFERROR(__xludf.DUMMYFUNCTION("""COMPUTED_VALUE"""),20.0)</f>
        <v>20</v>
      </c>
      <c r="N677" s="94"/>
      <c r="O677" s="1430">
        <f>IFERROR(__xludf.DUMMYFUNCTION("""COMPUTED_VALUE"""),20.0)</f>
        <v>20</v>
      </c>
      <c r="P677" s="1431">
        <f>IFERROR(__xludf.DUMMYFUNCTION("""COMPUTED_VALUE"""),2.69)</f>
        <v>2.69</v>
      </c>
      <c r="Q677" s="1432">
        <f>IFERROR(__xludf.DUMMYFUNCTION("""COMPUTED_VALUE"""),1455.0)</f>
        <v>1455</v>
      </c>
    </row>
    <row r="678" ht="15.75" customHeight="1">
      <c r="A678" s="94"/>
      <c r="B678" s="94" t="str">
        <f>IFERROR(__xludf.DUMMYFUNCTION("""COMPUTED_VALUE"""),"WS A 608")</f>
        <v>WS A 608</v>
      </c>
      <c r="C678" s="1429" t="str">
        <f>IFERROR(__xludf.DUMMYFUNCTION("""COMPUTED_VALUE"""),"WS")</f>
        <v>WS</v>
      </c>
      <c r="D678" s="1432">
        <f>IFERROR(__xludf.DUMMYFUNCTION("""COMPUTED_VALUE"""),8.0)</f>
        <v>8</v>
      </c>
      <c r="E678" s="1429">
        <f>IFERROR(__xludf.DUMMYFUNCTION("""COMPUTED_VALUE"""),45513.0)</f>
        <v>45513</v>
      </c>
      <c r="F678" s="1429">
        <f>IFERROR(__xludf.DUMMYFUNCTION("""COMPUTED_VALUE"""),45517.0)</f>
        <v>45517</v>
      </c>
      <c r="G678" s="1164">
        <f>IFERROR(__xludf.DUMMYFUNCTION("""COMPUTED_VALUE"""),4.0)</f>
        <v>4</v>
      </c>
      <c r="H678" s="1430">
        <f>IFERROR(__xludf.DUMMYFUNCTION("""COMPUTED_VALUE"""),300.0)</f>
        <v>300</v>
      </c>
      <c r="I678" s="94">
        <f>IFERROR(__xludf.DUMMYFUNCTION("""COMPUTED_VALUE"""),0.0)</f>
        <v>0</v>
      </c>
      <c r="J678" s="94"/>
      <c r="K678" s="94">
        <f>IFERROR(__xludf.DUMMYFUNCTION("""COMPUTED_VALUE"""),60.0)</f>
        <v>60</v>
      </c>
      <c r="L678" s="94">
        <f>IFERROR(__xludf.DUMMYFUNCTION("""COMPUTED_VALUE"""),40.0)</f>
        <v>40</v>
      </c>
      <c r="M678" s="94">
        <f>IFERROR(__xludf.DUMMYFUNCTION("""COMPUTED_VALUE"""),20.0)</f>
        <v>20</v>
      </c>
      <c r="N678" s="94"/>
      <c r="O678" s="1430">
        <f>IFERROR(__xludf.DUMMYFUNCTION("""COMPUTED_VALUE"""),20.0)</f>
        <v>20</v>
      </c>
      <c r="P678" s="1431">
        <f>IFERROR(__xludf.DUMMYFUNCTION("""COMPUTED_VALUE"""),2.69)</f>
        <v>2.69</v>
      </c>
      <c r="Q678" s="1432">
        <f>IFERROR(__xludf.DUMMYFUNCTION("""COMPUTED_VALUE"""),807.0)</f>
        <v>807</v>
      </c>
    </row>
    <row r="679" ht="15.75" customHeight="1">
      <c r="A679" s="94"/>
      <c r="B679" s="94" t="str">
        <f>IFERROR(__xludf.DUMMYFUNCTION("""COMPUTED_VALUE"""),"WS E1405")</f>
        <v>WS E1405</v>
      </c>
      <c r="C679" s="1429" t="str">
        <f>IFERROR(__xludf.DUMMYFUNCTION("""COMPUTED_VALUE"""),"WS")</f>
        <v>WS</v>
      </c>
      <c r="D679" s="1432">
        <f>IFERROR(__xludf.DUMMYFUNCTION("""COMPUTED_VALUE"""),8.0)</f>
        <v>8</v>
      </c>
      <c r="E679" s="1429">
        <f>IFERROR(__xludf.DUMMYFUNCTION("""COMPUTED_VALUE"""),45513.0)</f>
        <v>45513</v>
      </c>
      <c r="F679" s="1429">
        <f>IFERROR(__xludf.DUMMYFUNCTION("""COMPUTED_VALUE"""),45520.0)</f>
        <v>45520</v>
      </c>
      <c r="G679" s="1164">
        <f>IFERROR(__xludf.DUMMYFUNCTION("""COMPUTED_VALUE"""),7.0)</f>
        <v>7</v>
      </c>
      <c r="H679" s="94"/>
      <c r="I679" s="94">
        <f>IFERROR(__xludf.DUMMYFUNCTION("""COMPUTED_VALUE"""),1480.0)</f>
        <v>1480</v>
      </c>
      <c r="J679" s="94"/>
      <c r="K679" s="94">
        <f>IFERROR(__xludf.DUMMYFUNCTION("""COMPUTED_VALUE"""),60.0)</f>
        <v>60</v>
      </c>
      <c r="L679" s="94">
        <f>IFERROR(__xludf.DUMMYFUNCTION("""COMPUTED_VALUE"""),40.0)</f>
        <v>40</v>
      </c>
      <c r="M679" s="94">
        <f>IFERROR(__xludf.DUMMYFUNCTION("""COMPUTED_VALUE"""),20.0)</f>
        <v>20</v>
      </c>
      <c r="N679" s="94"/>
      <c r="O679" s="1430">
        <f>IFERROR(__xludf.DUMMYFUNCTION("""COMPUTED_VALUE"""),20.0)</f>
        <v>20</v>
      </c>
      <c r="P679" s="1431">
        <f>IFERROR(__xludf.DUMMYFUNCTION("""COMPUTED_VALUE"""),2.69)</f>
        <v>2.69</v>
      </c>
      <c r="Q679" s="1432">
        <f>IFERROR(__xludf.DUMMYFUNCTION("""COMPUTED_VALUE"""),1480.0)</f>
        <v>1480</v>
      </c>
    </row>
    <row r="680" ht="15.75" customHeight="1">
      <c r="A680" s="94"/>
      <c r="B680" s="94" t="str">
        <f>IFERROR(__xludf.DUMMYFUNCTION("""COMPUTED_VALUE"""),"CM 1931")</f>
        <v>CM 1931</v>
      </c>
      <c r="C680" s="1429" t="str">
        <f>IFERROR(__xludf.DUMMYFUNCTION("""COMPUTED_VALUE"""),"MAR")</f>
        <v>MAR</v>
      </c>
      <c r="D680" s="1432">
        <f>IFERROR(__xludf.DUMMYFUNCTION("""COMPUTED_VALUE"""),8.0)</f>
        <v>8</v>
      </c>
      <c r="E680" s="1429">
        <f>IFERROR(__xludf.DUMMYFUNCTION("""COMPUTED_VALUE"""),45513.0)</f>
        <v>45513</v>
      </c>
      <c r="F680" s="1429">
        <f>IFERROR(__xludf.DUMMYFUNCTION("""COMPUTED_VALUE"""),45517.0)</f>
        <v>45517</v>
      </c>
      <c r="G680" s="1164">
        <f>IFERROR(__xludf.DUMMYFUNCTION("""COMPUTED_VALUE"""),4.0)</f>
        <v>4</v>
      </c>
      <c r="H680" s="1430">
        <f>IFERROR(__xludf.DUMMYFUNCTION("""COMPUTED_VALUE"""),264.0)</f>
        <v>264</v>
      </c>
      <c r="I680" s="94">
        <f>IFERROR(__xludf.DUMMYFUNCTION("""COMPUTED_VALUE"""),0.0)</f>
        <v>0</v>
      </c>
      <c r="J680" s="94"/>
      <c r="K680" s="94">
        <f>IFERROR(__xludf.DUMMYFUNCTION("""COMPUTED_VALUE"""),60.0)</f>
        <v>60</v>
      </c>
      <c r="L680" s="94">
        <f>IFERROR(__xludf.DUMMYFUNCTION("""COMPUTED_VALUE"""),40.0)</f>
        <v>40</v>
      </c>
      <c r="M680" s="94">
        <f>IFERROR(__xludf.DUMMYFUNCTION("""COMPUTED_VALUE"""),20.0)</f>
        <v>20</v>
      </c>
      <c r="N680" s="94"/>
      <c r="O680" s="1430">
        <f>IFERROR(__xludf.DUMMYFUNCTION("""COMPUTED_VALUE"""),20.0)</f>
        <v>20</v>
      </c>
      <c r="P680" s="1431">
        <f>IFERROR(__xludf.DUMMYFUNCTION("""COMPUTED_VALUE"""),2.69)</f>
        <v>2.69</v>
      </c>
      <c r="Q680" s="1432">
        <f>IFERROR(__xludf.DUMMYFUNCTION("""COMPUTED_VALUE"""),710.16)</f>
        <v>710.16</v>
      </c>
    </row>
    <row r="681" ht="15.75" customHeight="1">
      <c r="A681" s="94"/>
      <c r="B681" s="94" t="str">
        <f>IFERROR(__xludf.DUMMYFUNCTION("""COMPUTED_VALUE"""),"WS В 503")</f>
        <v>WS В 503</v>
      </c>
      <c r="C681" s="1429" t="str">
        <f>IFERROR(__xludf.DUMMYFUNCTION("""COMPUTED_VALUE"""),"WS")</f>
        <v>WS</v>
      </c>
      <c r="D681" s="1432">
        <f>IFERROR(__xludf.DUMMYFUNCTION("""COMPUTED_VALUE"""),8.0)</f>
        <v>8</v>
      </c>
      <c r="E681" s="1429">
        <f>IFERROR(__xludf.DUMMYFUNCTION("""COMPUTED_VALUE"""),45513.0)</f>
        <v>45513</v>
      </c>
      <c r="F681" s="1429">
        <f>IFERROR(__xludf.DUMMYFUNCTION("""COMPUTED_VALUE"""),45520.0)</f>
        <v>45520</v>
      </c>
      <c r="G681" s="1164">
        <f>IFERROR(__xludf.DUMMYFUNCTION("""COMPUTED_VALUE"""),7.0)</f>
        <v>7</v>
      </c>
      <c r="H681" s="94"/>
      <c r="I681" s="94">
        <f>IFERROR(__xludf.DUMMYFUNCTION("""COMPUTED_VALUE"""),2559.0)</f>
        <v>2559</v>
      </c>
      <c r="J681" s="94"/>
      <c r="K681" s="94">
        <f>IFERROR(__xludf.DUMMYFUNCTION("""COMPUTED_VALUE"""),70.0)</f>
        <v>70</v>
      </c>
      <c r="L681" s="94">
        <f>IFERROR(__xludf.DUMMYFUNCTION("""COMPUTED_VALUE"""),40.0)</f>
        <v>40</v>
      </c>
      <c r="M681" s="94">
        <f>IFERROR(__xludf.DUMMYFUNCTION("""COMPUTED_VALUE"""),30.0)</f>
        <v>30</v>
      </c>
      <c r="N681" s="94"/>
      <c r="O681" s="1430">
        <f>IFERROR(__xludf.DUMMYFUNCTION("""COMPUTED_VALUE"""),30.0)</f>
        <v>30</v>
      </c>
      <c r="P681" s="1431">
        <f>IFERROR(__xludf.DUMMYFUNCTION("""COMPUTED_VALUE"""),2.69)</f>
        <v>2.69</v>
      </c>
      <c r="Q681" s="1432">
        <f>IFERROR(__xludf.DUMMYFUNCTION("""COMPUTED_VALUE"""),2559.0)</f>
        <v>2559</v>
      </c>
    </row>
    <row r="682" ht="15.75" customHeight="1">
      <c r="A682" s="94"/>
      <c r="B682" s="94" t="str">
        <f>IFERROR(__xludf.DUMMYFUNCTION("""COMPUTED_VALUE"""),"WS  B 405")</f>
        <v>WS  B 405</v>
      </c>
      <c r="C682" s="1429" t="str">
        <f>IFERROR(__xludf.DUMMYFUNCTION("""COMPUTED_VALUE"""),"WS")</f>
        <v>WS</v>
      </c>
      <c r="D682" s="1432">
        <f>IFERROR(__xludf.DUMMYFUNCTION("""COMPUTED_VALUE"""),8.0)</f>
        <v>8</v>
      </c>
      <c r="E682" s="1429">
        <f>IFERROR(__xludf.DUMMYFUNCTION("""COMPUTED_VALUE"""),45514.0)</f>
        <v>45514</v>
      </c>
      <c r="F682" s="1429">
        <f>IFERROR(__xludf.DUMMYFUNCTION("""COMPUTED_VALUE"""),45517.0)</f>
        <v>45517</v>
      </c>
      <c r="G682" s="1164">
        <f>IFERROR(__xludf.DUMMYFUNCTION("""COMPUTED_VALUE"""),3.0)</f>
        <v>3</v>
      </c>
      <c r="H682" s="1430">
        <f>IFERROR(__xludf.DUMMYFUNCTION("""COMPUTED_VALUE"""),148.0)</f>
        <v>148</v>
      </c>
      <c r="I682" s="94">
        <f>IFERROR(__xludf.DUMMYFUNCTION("""COMPUTED_VALUE"""),0.0)</f>
        <v>0</v>
      </c>
      <c r="J682" s="94"/>
      <c r="K682" s="94">
        <f>IFERROR(__xludf.DUMMYFUNCTION("""COMPUTED_VALUE"""),60.0)</f>
        <v>60</v>
      </c>
      <c r="L682" s="94">
        <f>IFERROR(__xludf.DUMMYFUNCTION("""COMPUTED_VALUE"""),40.0)</f>
        <v>40</v>
      </c>
      <c r="M682" s="94">
        <f>IFERROR(__xludf.DUMMYFUNCTION("""COMPUTED_VALUE"""),20.0)</f>
        <v>20</v>
      </c>
      <c r="N682" s="94"/>
      <c r="O682" s="1430">
        <f>IFERROR(__xludf.DUMMYFUNCTION("""COMPUTED_VALUE"""),20.0)</f>
        <v>20</v>
      </c>
      <c r="P682" s="1431">
        <f>IFERROR(__xludf.DUMMYFUNCTION("""COMPUTED_VALUE"""),2.69)</f>
        <v>2.69</v>
      </c>
      <c r="Q682" s="1432">
        <f>IFERROR(__xludf.DUMMYFUNCTION("""COMPUTED_VALUE"""),398.12)</f>
        <v>398.12</v>
      </c>
    </row>
    <row r="683" ht="15.75" customHeight="1">
      <c r="A683" s="94"/>
      <c r="B683" s="94" t="str">
        <f>IFERROR(__xludf.DUMMYFUNCTION("""COMPUTED_VALUE"""),"Шар 2505")</f>
        <v>Шар 2505</v>
      </c>
      <c r="C683" s="1429" t="str">
        <f>IFERROR(__xludf.DUMMYFUNCTION("""COMPUTED_VALUE"""),"Other")</f>
        <v>Other</v>
      </c>
      <c r="D683" s="1432">
        <f>IFERROR(__xludf.DUMMYFUNCTION("""COMPUTED_VALUE"""),8.0)</f>
        <v>8</v>
      </c>
      <c r="E683" s="1429">
        <f>IFERROR(__xludf.DUMMYFUNCTION("""COMPUTED_VALUE"""),45514.0)</f>
        <v>45514</v>
      </c>
      <c r="F683" s="1429">
        <f>IFERROR(__xludf.DUMMYFUNCTION("""COMPUTED_VALUE"""),45524.0)</f>
        <v>45524</v>
      </c>
      <c r="G683" s="1164">
        <f>IFERROR(__xludf.DUMMYFUNCTION("""COMPUTED_VALUE"""),10.0)</f>
        <v>10</v>
      </c>
      <c r="H683" s="1430">
        <f>IFERROR(__xludf.DUMMYFUNCTION("""COMPUTED_VALUE"""),505.0)</f>
        <v>505</v>
      </c>
      <c r="I683" s="94">
        <f>IFERROR(__xludf.DUMMYFUNCTION("""COMPUTED_VALUE"""),0.0)</f>
        <v>0</v>
      </c>
      <c r="J683" s="94"/>
      <c r="K683" s="94">
        <f>IFERROR(__xludf.DUMMYFUNCTION("""COMPUTED_VALUE"""),60.0)</f>
        <v>60</v>
      </c>
      <c r="L683" s="94">
        <f>IFERROR(__xludf.DUMMYFUNCTION("""COMPUTED_VALUE"""),40.0)</f>
        <v>40</v>
      </c>
      <c r="M683" s="94">
        <f>IFERROR(__xludf.DUMMYFUNCTION("""COMPUTED_VALUE"""),20.0)</f>
        <v>20</v>
      </c>
      <c r="N683" s="94"/>
      <c r="O683" s="1430">
        <f>IFERROR(__xludf.DUMMYFUNCTION("""COMPUTED_VALUE"""),20.0)</f>
        <v>20</v>
      </c>
      <c r="P683" s="1431">
        <f>IFERROR(__xludf.DUMMYFUNCTION("""COMPUTED_VALUE"""),2.69)</f>
        <v>2.69</v>
      </c>
      <c r="Q683" s="1432">
        <f>IFERROR(__xludf.DUMMYFUNCTION("""COMPUTED_VALUE"""),1358.45)</f>
        <v>1358.45</v>
      </c>
    </row>
    <row r="684" ht="15.75" customHeight="1">
      <c r="A684" s="94"/>
      <c r="B684" s="94" t="str">
        <f>IFERROR(__xludf.DUMMYFUNCTION("""COMPUTED_VALUE"""),"Wyn")</f>
        <v>Wyn</v>
      </c>
      <c r="C684" s="1429" t="str">
        <f>IFERROR(__xludf.DUMMYFUNCTION("""COMPUTED_VALUE"""),"Other")</f>
        <v>Other</v>
      </c>
      <c r="D684" s="1432">
        <f>IFERROR(__xludf.DUMMYFUNCTION("""COMPUTED_VALUE"""),8.0)</f>
        <v>8</v>
      </c>
      <c r="E684" s="1429">
        <f>IFERROR(__xludf.DUMMYFUNCTION("""COMPUTED_VALUE"""),45514.0)</f>
        <v>45514</v>
      </c>
      <c r="F684" s="1429">
        <f>IFERROR(__xludf.DUMMYFUNCTION("""COMPUTED_VALUE"""),45521.0)</f>
        <v>45521</v>
      </c>
      <c r="G684" s="1164">
        <f>IFERROR(__xludf.DUMMYFUNCTION("""COMPUTED_VALUE"""),7.0)</f>
        <v>7</v>
      </c>
      <c r="H684" s="1430">
        <f>IFERROR(__xludf.DUMMYFUNCTION("""COMPUTED_VALUE"""),351.0)</f>
        <v>351</v>
      </c>
      <c r="I684" s="94">
        <f>IFERROR(__xludf.DUMMYFUNCTION("""COMPUTED_VALUE"""),0.0)</f>
        <v>0</v>
      </c>
      <c r="J684" s="94"/>
      <c r="K684" s="94">
        <f>IFERROR(__xludf.DUMMYFUNCTION("""COMPUTED_VALUE"""),70.0)</f>
        <v>70</v>
      </c>
      <c r="L684" s="94">
        <f>IFERROR(__xludf.DUMMYFUNCTION("""COMPUTED_VALUE"""),40.0)</f>
        <v>40</v>
      </c>
      <c r="M684" s="94">
        <f>IFERROR(__xludf.DUMMYFUNCTION("""COMPUTED_VALUE"""),30.0)</f>
        <v>30</v>
      </c>
      <c r="N684" s="94"/>
      <c r="O684" s="1430">
        <f>IFERROR(__xludf.DUMMYFUNCTION("""COMPUTED_VALUE"""),30.0)</f>
        <v>30</v>
      </c>
      <c r="P684" s="1431">
        <f>IFERROR(__xludf.DUMMYFUNCTION("""COMPUTED_VALUE"""),2.69)</f>
        <v>2.69</v>
      </c>
      <c r="Q684" s="1432">
        <f>IFERROR(__xludf.DUMMYFUNCTION("""COMPUTED_VALUE"""),944.1899999999999)</f>
        <v>944.19</v>
      </c>
    </row>
    <row r="685" ht="15.75" customHeight="1">
      <c r="A685" s="94"/>
      <c r="B685" s="94" t="str">
        <f>IFERROR(__xludf.DUMMYFUNCTION("""COMPUTED_VALUE"""),"DL 11-1305")</f>
        <v>DL 11-1305</v>
      </c>
      <c r="C685" s="1429" t="str">
        <f>IFERROR(__xludf.DUMMYFUNCTION("""COMPUTED_VALUE"""),"DL")</f>
        <v>DL</v>
      </c>
      <c r="D685" s="1432">
        <f>IFERROR(__xludf.DUMMYFUNCTION("""COMPUTED_VALUE"""),8.0)</f>
        <v>8</v>
      </c>
      <c r="E685" s="1429">
        <f>IFERROR(__xludf.DUMMYFUNCTION("""COMPUTED_VALUE"""),45514.0)</f>
        <v>45514</v>
      </c>
      <c r="F685" s="1429">
        <f>IFERROR(__xludf.DUMMYFUNCTION("""COMPUTED_VALUE"""),45516.0)</f>
        <v>45516</v>
      </c>
      <c r="G685" s="1164">
        <f>IFERROR(__xludf.DUMMYFUNCTION("""COMPUTED_VALUE"""),2.0)</f>
        <v>2</v>
      </c>
      <c r="H685" s="94"/>
      <c r="I685" s="94">
        <f>IFERROR(__xludf.DUMMYFUNCTION("""COMPUTED_VALUE"""),395.0)</f>
        <v>395</v>
      </c>
      <c r="J685" s="94"/>
      <c r="K685" s="94">
        <f>IFERROR(__xludf.DUMMYFUNCTION("""COMPUTED_VALUE"""),105.0)</f>
        <v>105</v>
      </c>
      <c r="L685" s="94">
        <f>IFERROR(__xludf.DUMMYFUNCTION("""COMPUTED_VALUE"""),105.0)</f>
        <v>105</v>
      </c>
      <c r="M685" s="94">
        <f>IFERROR(__xludf.DUMMYFUNCTION("""COMPUTED_VALUE"""),0.0)</f>
        <v>0</v>
      </c>
      <c r="N685" s="94"/>
      <c r="O685" s="1430">
        <f>IFERROR(__xludf.DUMMYFUNCTION("""COMPUTED_VALUE"""),0.0)</f>
        <v>0</v>
      </c>
      <c r="P685" s="1431">
        <f>IFERROR(__xludf.DUMMYFUNCTION("""COMPUTED_VALUE"""),2.69)</f>
        <v>2.69</v>
      </c>
      <c r="Q685" s="1432">
        <f>IFERROR(__xludf.DUMMYFUNCTION("""COMPUTED_VALUE"""),3072.0)</f>
        <v>3072</v>
      </c>
    </row>
    <row r="686" ht="15.75" customHeight="1">
      <c r="A686" s="94"/>
      <c r="B686" s="94" t="str">
        <f>IFERROR(__xludf.DUMMYFUNCTION("""COMPUTED_VALUE"""),"DL14-1707")</f>
        <v>DL14-1707</v>
      </c>
      <c r="C686" s="1429" t="str">
        <f>IFERROR(__xludf.DUMMYFUNCTION("""COMPUTED_VALUE"""),"DL")</f>
        <v>DL</v>
      </c>
      <c r="D686" s="1432">
        <f>IFERROR(__xludf.DUMMYFUNCTION("""COMPUTED_VALUE"""),8.0)</f>
        <v>8</v>
      </c>
      <c r="E686" s="1429">
        <f>IFERROR(__xludf.DUMMYFUNCTION("""COMPUTED_VALUE"""),45514.0)</f>
        <v>45514</v>
      </c>
      <c r="F686" s="1429">
        <f>IFERROR(__xludf.DUMMYFUNCTION("""COMPUTED_VALUE"""),45518.0)</f>
        <v>45518</v>
      </c>
      <c r="G686" s="1164">
        <f>IFERROR(__xludf.DUMMYFUNCTION("""COMPUTED_VALUE"""),4.0)</f>
        <v>4</v>
      </c>
      <c r="H686" s="94"/>
      <c r="I686" s="94">
        <f>IFERROR(__xludf.DUMMYFUNCTION("""COMPUTED_VALUE"""),1517.0)</f>
        <v>1517</v>
      </c>
      <c r="J686" s="94"/>
      <c r="K686" s="94">
        <f>IFERROR(__xludf.DUMMYFUNCTION("""COMPUTED_VALUE"""),95.0)</f>
        <v>95</v>
      </c>
      <c r="L686" s="94">
        <f>IFERROR(__xludf.DUMMYFUNCTION("""COMPUTED_VALUE"""),95.0)</f>
        <v>95</v>
      </c>
      <c r="M686" s="94">
        <f>IFERROR(__xludf.DUMMYFUNCTION("""COMPUTED_VALUE"""),0.0)</f>
        <v>0</v>
      </c>
      <c r="N686" s="94"/>
      <c r="O686" s="1430">
        <f>IFERROR(__xludf.DUMMYFUNCTION("""COMPUTED_VALUE"""),0.0)</f>
        <v>0</v>
      </c>
      <c r="P686" s="1431">
        <f>IFERROR(__xludf.DUMMYFUNCTION("""COMPUTED_VALUE"""),2.69)</f>
        <v>2.69</v>
      </c>
      <c r="Q686" s="1432">
        <f>IFERROR(__xludf.DUMMYFUNCTION("""COMPUTED_VALUE"""),1517.0)</f>
        <v>1517</v>
      </c>
    </row>
    <row r="687" ht="15.75" customHeight="1">
      <c r="A687" s="94"/>
      <c r="B687" s="94" t="str">
        <f>IFERROR(__xludf.DUMMYFUNCTION("""COMPUTED_VALUE"""),"Шартава 16")</f>
        <v>Шартава 16</v>
      </c>
      <c r="C687" s="1429" t="str">
        <f>IFERROR(__xludf.DUMMYFUNCTION("""COMPUTED_VALUE"""),"Other")</f>
        <v>Other</v>
      </c>
      <c r="D687" s="1432">
        <f>IFERROR(__xludf.DUMMYFUNCTION("""COMPUTED_VALUE"""),8.0)</f>
        <v>8</v>
      </c>
      <c r="E687" s="1429">
        <f>IFERROR(__xludf.DUMMYFUNCTION("""COMPUTED_VALUE"""),45514.0)</f>
        <v>45514</v>
      </c>
      <c r="F687" s="1429">
        <f>IFERROR(__xludf.DUMMYFUNCTION("""COMPUTED_VALUE"""),45527.0)</f>
        <v>45527</v>
      </c>
      <c r="G687" s="1164">
        <f>IFERROR(__xludf.DUMMYFUNCTION("""COMPUTED_VALUE"""),13.0)</f>
        <v>13</v>
      </c>
      <c r="H687" s="94"/>
      <c r="I687" s="94">
        <f>IFERROR(__xludf.DUMMYFUNCTION("""COMPUTED_VALUE"""),1687.0)</f>
        <v>1687</v>
      </c>
      <c r="J687" s="94"/>
      <c r="K687" s="94">
        <f>IFERROR(__xludf.DUMMYFUNCTION("""COMPUTED_VALUE"""),40.0)</f>
        <v>40</v>
      </c>
      <c r="L687" s="94">
        <f>IFERROR(__xludf.DUMMYFUNCTION("""COMPUTED_VALUE"""),40.0)</f>
        <v>40</v>
      </c>
      <c r="M687" s="94">
        <f>IFERROR(__xludf.DUMMYFUNCTION("""COMPUTED_VALUE"""),0.0)</f>
        <v>0</v>
      </c>
      <c r="N687" s="94"/>
      <c r="O687" s="1430">
        <f>IFERROR(__xludf.DUMMYFUNCTION("""COMPUTED_VALUE"""),0.0)</f>
        <v>0</v>
      </c>
      <c r="P687" s="1431">
        <f>IFERROR(__xludf.DUMMYFUNCTION("""COMPUTED_VALUE"""),2.69)</f>
        <v>2.69</v>
      </c>
      <c r="Q687" s="1432">
        <f>IFERROR(__xludf.DUMMYFUNCTION("""COMPUTED_VALUE"""),1247.0)</f>
        <v>1247</v>
      </c>
    </row>
    <row r="688" ht="15.75" customHeight="1">
      <c r="A688" s="94"/>
      <c r="B688" s="94" t="str">
        <f>IFERROR(__xludf.DUMMYFUNCTION("""COMPUTED_VALUE"""),"DL14-1405")</f>
        <v>DL14-1405</v>
      </c>
      <c r="C688" s="1429" t="str">
        <f>IFERROR(__xludf.DUMMYFUNCTION("""COMPUTED_VALUE"""),"DL")</f>
        <v>DL</v>
      </c>
      <c r="D688" s="1432">
        <f>IFERROR(__xludf.DUMMYFUNCTION("""COMPUTED_VALUE"""),8.0)</f>
        <v>8</v>
      </c>
      <c r="E688" s="1429">
        <f>IFERROR(__xludf.DUMMYFUNCTION("""COMPUTED_VALUE"""),45515.0)</f>
        <v>45515</v>
      </c>
      <c r="F688" s="1429">
        <f>IFERROR(__xludf.DUMMYFUNCTION("""COMPUTED_VALUE"""),45516.0)</f>
        <v>45516</v>
      </c>
      <c r="G688" s="1164">
        <f>IFERROR(__xludf.DUMMYFUNCTION("""COMPUTED_VALUE"""),1.0)</f>
        <v>1</v>
      </c>
      <c r="H688" s="94"/>
      <c r="I688" s="94">
        <f>IFERROR(__xludf.DUMMYFUNCTION("""COMPUTED_VALUE"""),907.0)</f>
        <v>907</v>
      </c>
      <c r="J688" s="94"/>
      <c r="K688" s="94">
        <f>IFERROR(__xludf.DUMMYFUNCTION("""COMPUTED_VALUE"""),105.0)</f>
        <v>105</v>
      </c>
      <c r="L688" s="94">
        <f>IFERROR(__xludf.DUMMYFUNCTION("""COMPUTED_VALUE"""),105.0)</f>
        <v>105</v>
      </c>
      <c r="M688" s="94">
        <f>IFERROR(__xludf.DUMMYFUNCTION("""COMPUTED_VALUE"""),0.0)</f>
        <v>0</v>
      </c>
      <c r="N688" s="94"/>
      <c r="O688" s="1430">
        <f>IFERROR(__xludf.DUMMYFUNCTION("""COMPUTED_VALUE"""),0.0)</f>
        <v>0</v>
      </c>
      <c r="P688" s="1431">
        <f>IFERROR(__xludf.DUMMYFUNCTION("""COMPUTED_VALUE"""),2.69)</f>
        <v>2.69</v>
      </c>
      <c r="Q688" s="1432">
        <f>IFERROR(__xludf.DUMMYFUNCTION("""COMPUTED_VALUE"""),462.0)</f>
        <v>462</v>
      </c>
    </row>
    <row r="689" ht="15.75" customHeight="1">
      <c r="A689" s="94"/>
      <c r="B689" s="94" t="str">
        <f>IFERROR(__xludf.DUMMYFUNCTION("""COMPUTED_VALUE"""),"DL 14-516")</f>
        <v>DL 14-516</v>
      </c>
      <c r="C689" s="1429" t="str">
        <f>IFERROR(__xludf.DUMMYFUNCTION("""COMPUTED_VALUE"""),"DL")</f>
        <v>DL</v>
      </c>
      <c r="D689" s="1432">
        <f>IFERROR(__xludf.DUMMYFUNCTION("""COMPUTED_VALUE"""),8.0)</f>
        <v>8</v>
      </c>
      <c r="E689" s="1429">
        <f>IFERROR(__xludf.DUMMYFUNCTION("""COMPUTED_VALUE"""),45515.0)</f>
        <v>45515</v>
      </c>
      <c r="F689" s="1429">
        <f>IFERROR(__xludf.DUMMYFUNCTION("""COMPUTED_VALUE"""),45521.0)</f>
        <v>45521</v>
      </c>
      <c r="G689" s="1164">
        <f>IFERROR(__xludf.DUMMYFUNCTION("""COMPUTED_VALUE"""),6.0)</f>
        <v>6</v>
      </c>
      <c r="H689" s="1430">
        <f>IFERROR(__xludf.DUMMYFUNCTION("""COMPUTED_VALUE"""),960.0)</f>
        <v>960</v>
      </c>
      <c r="I689" s="94">
        <f>IFERROR(__xludf.DUMMYFUNCTION("""COMPUTED_VALUE"""),0.0)</f>
        <v>0</v>
      </c>
      <c r="J689" s="94"/>
      <c r="K689" s="94">
        <f>IFERROR(__xludf.DUMMYFUNCTION("""COMPUTED_VALUE"""),105.0)</f>
        <v>105</v>
      </c>
      <c r="L689" s="94">
        <f>IFERROR(__xludf.DUMMYFUNCTION("""COMPUTED_VALUE"""),105.0)</f>
        <v>105</v>
      </c>
      <c r="M689" s="94">
        <f>IFERROR(__xludf.DUMMYFUNCTION("""COMPUTED_VALUE"""),0.0)</f>
        <v>0</v>
      </c>
      <c r="N689" s="94"/>
      <c r="O689" s="1430">
        <f>IFERROR(__xludf.DUMMYFUNCTION("""COMPUTED_VALUE"""),0.0)</f>
        <v>0</v>
      </c>
      <c r="P689" s="1431">
        <f>IFERROR(__xludf.DUMMYFUNCTION("""COMPUTED_VALUE"""),2.69)</f>
        <v>2.69</v>
      </c>
      <c r="Q689" s="1432">
        <f>IFERROR(__xludf.DUMMYFUNCTION("""COMPUTED_VALUE"""),3570.0)</f>
        <v>3570</v>
      </c>
    </row>
    <row r="690" ht="15.75" customHeight="1">
      <c r="A690" s="94"/>
      <c r="B690" s="94" t="str">
        <f>IFERROR(__xludf.DUMMYFUNCTION("""COMPUTED_VALUE"""),"DL 14-702")</f>
        <v>DL 14-702</v>
      </c>
      <c r="C690" s="1429" t="str">
        <f>IFERROR(__xludf.DUMMYFUNCTION("""COMPUTED_VALUE"""),"DL")</f>
        <v>DL</v>
      </c>
      <c r="D690" s="1432">
        <f>IFERROR(__xludf.DUMMYFUNCTION("""COMPUTED_VALUE"""),8.0)</f>
        <v>8</v>
      </c>
      <c r="E690" s="1429">
        <f>IFERROR(__xludf.DUMMYFUNCTION("""COMPUTED_VALUE"""),45515.0)</f>
        <v>45515</v>
      </c>
      <c r="F690" s="1429">
        <f>IFERROR(__xludf.DUMMYFUNCTION("""COMPUTED_VALUE"""),45519.0)</f>
        <v>45519</v>
      </c>
      <c r="G690" s="1164">
        <f>IFERROR(__xludf.DUMMYFUNCTION("""COMPUTED_VALUE"""),4.0)</f>
        <v>4</v>
      </c>
      <c r="H690" s="1430">
        <f>IFERROR(__xludf.DUMMYFUNCTION("""COMPUTED_VALUE"""),550.0)</f>
        <v>550</v>
      </c>
      <c r="I690" s="94">
        <f>IFERROR(__xludf.DUMMYFUNCTION("""COMPUTED_VALUE"""),0.0)</f>
        <v>0</v>
      </c>
      <c r="J690" s="94"/>
      <c r="K690" s="94">
        <f>IFERROR(__xludf.DUMMYFUNCTION("""COMPUTED_VALUE"""),105.0)</f>
        <v>105</v>
      </c>
      <c r="L690" s="94">
        <f>IFERROR(__xludf.DUMMYFUNCTION("""COMPUTED_VALUE"""),105.0)</f>
        <v>105</v>
      </c>
      <c r="M690" s="94">
        <f>IFERROR(__xludf.DUMMYFUNCTION("""COMPUTED_VALUE"""),0.0)</f>
        <v>0</v>
      </c>
      <c r="N690" s="94"/>
      <c r="O690" s="1430">
        <f>IFERROR(__xludf.DUMMYFUNCTION("""COMPUTED_VALUE"""),0.0)</f>
        <v>0</v>
      </c>
      <c r="P690" s="1431">
        <f>IFERROR(__xludf.DUMMYFUNCTION("""COMPUTED_VALUE"""),2.69)</f>
        <v>2.69</v>
      </c>
      <c r="Q690" s="1432">
        <f>IFERROR(__xludf.DUMMYFUNCTION("""COMPUTED_VALUE"""),1479.5)</f>
        <v>1479.5</v>
      </c>
    </row>
    <row r="691" ht="15.75" customHeight="1">
      <c r="A691" s="94"/>
      <c r="B691" s="94" t="str">
        <f>IFERROR(__xludf.DUMMYFUNCTION("""COMPUTED_VALUE"""),"CM 1606")</f>
        <v>CM 1606</v>
      </c>
      <c r="C691" s="1429" t="str">
        <f>IFERROR(__xludf.DUMMYFUNCTION("""COMPUTED_VALUE"""),"MAR")</f>
        <v>MAR</v>
      </c>
      <c r="D691" s="1432">
        <f>IFERROR(__xludf.DUMMYFUNCTION("""COMPUTED_VALUE"""),8.0)</f>
        <v>8</v>
      </c>
      <c r="E691" s="1429">
        <f>IFERROR(__xludf.DUMMYFUNCTION("""COMPUTED_VALUE"""),45515.0)</f>
        <v>45515</v>
      </c>
      <c r="F691" s="1429">
        <f>IFERROR(__xludf.DUMMYFUNCTION("""COMPUTED_VALUE"""),45522.0)</f>
        <v>45522</v>
      </c>
      <c r="G691" s="1164">
        <f>IFERROR(__xludf.DUMMYFUNCTION("""COMPUTED_VALUE"""),7.0)</f>
        <v>7</v>
      </c>
      <c r="H691" s="1430">
        <f>IFERROR(__xludf.DUMMYFUNCTION("""COMPUTED_VALUE"""),390.0)</f>
        <v>390</v>
      </c>
      <c r="I691" s="94">
        <f>IFERROR(__xludf.DUMMYFUNCTION("""COMPUTED_VALUE"""),0.0)</f>
        <v>0</v>
      </c>
      <c r="J691" s="94"/>
      <c r="K691" s="94">
        <f>IFERROR(__xludf.DUMMYFUNCTION("""COMPUTED_VALUE"""),60.0)</f>
        <v>60</v>
      </c>
      <c r="L691" s="94">
        <f>IFERROR(__xludf.DUMMYFUNCTION("""COMPUTED_VALUE"""),40.0)</f>
        <v>40</v>
      </c>
      <c r="M691" s="94">
        <f>IFERROR(__xludf.DUMMYFUNCTION("""COMPUTED_VALUE"""),20.0)</f>
        <v>20</v>
      </c>
      <c r="N691" s="94"/>
      <c r="O691" s="1430">
        <f>IFERROR(__xludf.DUMMYFUNCTION("""COMPUTED_VALUE"""),20.0)</f>
        <v>20</v>
      </c>
      <c r="P691" s="1431">
        <f>IFERROR(__xludf.DUMMYFUNCTION("""COMPUTED_VALUE"""),2.69)</f>
        <v>2.69</v>
      </c>
      <c r="Q691" s="1432">
        <f>IFERROR(__xludf.DUMMYFUNCTION("""COMPUTED_VALUE"""),1049.1)</f>
        <v>1049.1</v>
      </c>
    </row>
    <row r="692" ht="15.75" customHeight="1">
      <c r="A692" s="94" t="str">
        <f>IFERROR(__xludf.DUMMYFUNCTION("""COMPUTED_VALUE"""),"Итого неделя")</f>
        <v>Итого неделя</v>
      </c>
      <c r="B692" s="94" t="str">
        <f>IFERROR(__xludf.DUMMYFUNCTION("""COMPUTED_VALUE"""),"32 неделя")</f>
        <v>32 неделя</v>
      </c>
      <c r="C692" s="94"/>
      <c r="D692" s="94"/>
      <c r="E692" s="1429">
        <f>IFERROR(__xludf.DUMMYFUNCTION("""COMPUTED_VALUE"""),45509.0)</f>
        <v>45509</v>
      </c>
      <c r="F692" s="1429">
        <f>IFERROR(__xludf.DUMMYFUNCTION("""COMPUTED_VALUE"""),45515.0)</f>
        <v>45515</v>
      </c>
      <c r="G692" s="1164">
        <f>IFERROR(__xludf.DUMMYFUNCTION("""COMPUTED_VALUE"""),225.0)</f>
        <v>225</v>
      </c>
      <c r="H692" s="1430">
        <f>IFERROR(__xludf.DUMMYFUNCTION("""COMPUTED_VALUE"""),10958.0)</f>
        <v>10958</v>
      </c>
      <c r="I692" s="94">
        <f>IFERROR(__xludf.DUMMYFUNCTION("""COMPUTED_VALUE"""),18553.0)</f>
        <v>18553</v>
      </c>
      <c r="J692" s="94">
        <f>IFERROR(__xludf.DUMMYFUNCTION("""COMPUTED_VALUE"""),0.0)</f>
        <v>0</v>
      </c>
      <c r="K692" s="94">
        <f>IFERROR(__xludf.DUMMYFUNCTION("""COMPUTED_VALUE"""),2910.0)</f>
        <v>2910</v>
      </c>
      <c r="L692" s="94">
        <f>IFERROR(__xludf.DUMMYFUNCTION("""COMPUTED_VALUE"""),2450.0)</f>
        <v>2450</v>
      </c>
      <c r="M692" s="94">
        <f>IFERROR(__xludf.DUMMYFUNCTION("""COMPUTED_VALUE"""),460.0)</f>
        <v>460</v>
      </c>
      <c r="N692" s="94">
        <f>IFERROR(__xludf.DUMMYFUNCTION("""COMPUTED_VALUE"""),0.0)</f>
        <v>0</v>
      </c>
      <c r="O692" s="1430">
        <f>IFERROR(__xludf.DUMMYFUNCTION("""COMPUTED_VALUE"""),460.0)</f>
        <v>460</v>
      </c>
      <c r="P692" s="94"/>
      <c r="Q692" s="1432">
        <f>IFERROR(__xludf.DUMMYFUNCTION("""COMPUTED_VALUE"""),51002.62)</f>
        <v>51002.62</v>
      </c>
    </row>
    <row r="693" ht="15.75" customHeight="1">
      <c r="A693" s="94"/>
      <c r="B693" s="94" t="str">
        <f>IFERROR(__xludf.DUMMYFUNCTION("""COMPUTED_VALUE"""),"WS В 212")</f>
        <v>WS В 212</v>
      </c>
      <c r="C693" s="1429" t="str">
        <f>IFERROR(__xludf.DUMMYFUNCTION("""COMPUTED_VALUE"""),"WS")</f>
        <v>WS</v>
      </c>
      <c r="D693" s="1432">
        <f>IFERROR(__xludf.DUMMYFUNCTION("""COMPUTED_VALUE"""),8.0)</f>
        <v>8</v>
      </c>
      <c r="E693" s="1429">
        <f>IFERROR(__xludf.DUMMYFUNCTION("""COMPUTED_VALUE"""),45516.0)</f>
        <v>45516</v>
      </c>
      <c r="F693" s="1429">
        <f>IFERROR(__xludf.DUMMYFUNCTION("""COMPUTED_VALUE"""),45524.0)</f>
        <v>45524</v>
      </c>
      <c r="G693" s="1164">
        <f>IFERROR(__xludf.DUMMYFUNCTION("""COMPUTED_VALUE"""),8.0)</f>
        <v>8</v>
      </c>
      <c r="H693" s="1430">
        <f>IFERROR(__xludf.DUMMYFUNCTION("""COMPUTED_VALUE"""),887.0)</f>
        <v>887</v>
      </c>
      <c r="I693" s="94"/>
      <c r="J693" s="94"/>
      <c r="K693" s="94">
        <f>IFERROR(__xludf.DUMMYFUNCTION("""COMPUTED_VALUE"""),70.0)</f>
        <v>70</v>
      </c>
      <c r="L693" s="94">
        <f>IFERROR(__xludf.DUMMYFUNCTION("""COMPUTED_VALUE"""),40.0)</f>
        <v>40</v>
      </c>
      <c r="M693" s="94">
        <f>IFERROR(__xludf.DUMMYFUNCTION("""COMPUTED_VALUE"""),30.0)</f>
        <v>30</v>
      </c>
      <c r="N693" s="94"/>
      <c r="O693" s="1430">
        <f>IFERROR(__xludf.DUMMYFUNCTION("""COMPUTED_VALUE"""),30.0)</f>
        <v>30</v>
      </c>
      <c r="P693" s="1431">
        <f>IFERROR(__xludf.DUMMYFUNCTION("""COMPUTED_VALUE"""),2.69)</f>
        <v>2.69</v>
      </c>
      <c r="Q693" s="1432">
        <f>IFERROR(__xludf.DUMMYFUNCTION("""COMPUTED_VALUE"""),2386.0299999999997)</f>
        <v>2386.03</v>
      </c>
    </row>
    <row r="694" ht="15.75" customHeight="1">
      <c r="A694" s="94"/>
      <c r="B694" s="94" t="str">
        <f>IFERROR(__xludf.DUMMYFUNCTION("""COMPUTED_VALUE"""),"WS E 1202")</f>
        <v>WS E 1202</v>
      </c>
      <c r="C694" s="1429" t="str">
        <f>IFERROR(__xludf.DUMMYFUNCTION("""COMPUTED_VALUE"""),"WS")</f>
        <v>WS</v>
      </c>
      <c r="D694" s="1432">
        <f>IFERROR(__xludf.DUMMYFUNCTION("""COMPUTED_VALUE"""),8.0)</f>
        <v>8</v>
      </c>
      <c r="E694" s="1429">
        <f>IFERROR(__xludf.DUMMYFUNCTION("""COMPUTED_VALUE"""),45516.0)</f>
        <v>45516</v>
      </c>
      <c r="F694" s="1429">
        <f>IFERROR(__xludf.DUMMYFUNCTION("""COMPUTED_VALUE"""),45518.0)</f>
        <v>45518</v>
      </c>
      <c r="G694" s="1164">
        <f>IFERROR(__xludf.DUMMYFUNCTION("""COMPUTED_VALUE"""),2.0)</f>
        <v>2</v>
      </c>
      <c r="H694" s="1430">
        <f>IFERROR(__xludf.DUMMYFUNCTION("""COMPUTED_VALUE"""),140.0)</f>
        <v>140</v>
      </c>
      <c r="I694" s="94"/>
      <c r="J694" s="94"/>
      <c r="K694" s="94">
        <f>IFERROR(__xludf.DUMMYFUNCTION("""COMPUTED_VALUE"""),70.0)</f>
        <v>70</v>
      </c>
      <c r="L694" s="94">
        <f>IFERROR(__xludf.DUMMYFUNCTION("""COMPUTED_VALUE"""),40.0)</f>
        <v>40</v>
      </c>
      <c r="M694" s="94">
        <f>IFERROR(__xludf.DUMMYFUNCTION("""COMPUTED_VALUE"""),30.0)</f>
        <v>30</v>
      </c>
      <c r="N694" s="94"/>
      <c r="O694" s="1430">
        <f>IFERROR(__xludf.DUMMYFUNCTION("""COMPUTED_VALUE"""),30.0)</f>
        <v>30</v>
      </c>
      <c r="P694" s="1431">
        <f>IFERROR(__xludf.DUMMYFUNCTION("""COMPUTED_VALUE"""),2.69)</f>
        <v>2.69</v>
      </c>
      <c r="Q694" s="1432">
        <f>IFERROR(__xludf.DUMMYFUNCTION("""COMPUTED_VALUE"""),376.59999999999997)</f>
        <v>376.6</v>
      </c>
    </row>
    <row r="695" ht="15.75" customHeight="1">
      <c r="A695" s="94"/>
      <c r="B695" s="94" t="str">
        <f>IFERROR(__xludf.DUMMYFUNCTION("""COMPUTED_VALUE"""),"С 1125")</f>
        <v>С 1125</v>
      </c>
      <c r="C695" s="1429" t="str">
        <f>IFERROR(__xludf.DUMMYFUNCTION("""COMPUTED_VALUE"""),"ORBI")</f>
        <v>ORBI</v>
      </c>
      <c r="D695" s="1432">
        <f>IFERROR(__xludf.DUMMYFUNCTION("""COMPUTED_VALUE"""),8.0)</f>
        <v>8</v>
      </c>
      <c r="E695" s="1429">
        <f>IFERROR(__xludf.DUMMYFUNCTION("""COMPUTED_VALUE"""),45516.0)</f>
        <v>45516</v>
      </c>
      <c r="F695" s="1429">
        <f>IFERROR(__xludf.DUMMYFUNCTION("""COMPUTED_VALUE"""),45523.0)</f>
        <v>45523</v>
      </c>
      <c r="G695" s="1164">
        <f>IFERROR(__xludf.DUMMYFUNCTION("""COMPUTED_VALUE"""),7.0)</f>
        <v>7</v>
      </c>
      <c r="H695" s="94"/>
      <c r="I695" s="94">
        <f>IFERROR(__xludf.DUMMYFUNCTION("""COMPUTED_VALUE"""),751.0)</f>
        <v>751</v>
      </c>
      <c r="J695" s="94"/>
      <c r="K695" s="94">
        <f>IFERROR(__xludf.DUMMYFUNCTION("""COMPUTED_VALUE"""),50.0)</f>
        <v>50</v>
      </c>
      <c r="L695" s="94">
        <f>IFERROR(__xludf.DUMMYFUNCTION("""COMPUTED_VALUE"""),40.0)</f>
        <v>40</v>
      </c>
      <c r="M695" s="94">
        <f>IFERROR(__xludf.DUMMYFUNCTION("""COMPUTED_VALUE"""),10.0)</f>
        <v>10</v>
      </c>
      <c r="N695" s="94"/>
      <c r="O695" s="1430">
        <f>IFERROR(__xludf.DUMMYFUNCTION("""COMPUTED_VALUE"""),10.0)</f>
        <v>10</v>
      </c>
      <c r="P695" s="1431">
        <f>IFERROR(__xludf.DUMMYFUNCTION("""COMPUTED_VALUE"""),2.69)</f>
        <v>2.69</v>
      </c>
      <c r="Q695" s="1432">
        <f>IFERROR(__xludf.DUMMYFUNCTION("""COMPUTED_VALUE"""),751.0)</f>
        <v>751</v>
      </c>
    </row>
    <row r="696" ht="15.75" customHeight="1">
      <c r="A696" s="94"/>
      <c r="B696" s="94" t="str">
        <f>IFERROR(__xludf.DUMMYFUNCTION("""COMPUTED_VALUE"""),"WS F 907")</f>
        <v>WS F 907</v>
      </c>
      <c r="C696" s="1429" t="str">
        <f>IFERROR(__xludf.DUMMYFUNCTION("""COMPUTED_VALUE"""),"WS")</f>
        <v>WS</v>
      </c>
      <c r="D696" s="1432">
        <f>IFERROR(__xludf.DUMMYFUNCTION("""COMPUTED_VALUE"""),8.0)</f>
        <v>8</v>
      </c>
      <c r="E696" s="1429">
        <f>IFERROR(__xludf.DUMMYFUNCTION("""COMPUTED_VALUE"""),45516.0)</f>
        <v>45516</v>
      </c>
      <c r="F696" s="1429">
        <f>IFERROR(__xludf.DUMMYFUNCTION("""COMPUTED_VALUE"""),45520.0)</f>
        <v>45520</v>
      </c>
      <c r="G696" s="1164">
        <f>IFERROR(__xludf.DUMMYFUNCTION("""COMPUTED_VALUE"""),4.0)</f>
        <v>4</v>
      </c>
      <c r="H696" s="94"/>
      <c r="I696" s="94">
        <f>IFERROR(__xludf.DUMMYFUNCTION("""COMPUTED_VALUE"""),690.0)</f>
        <v>690</v>
      </c>
      <c r="J696" s="94"/>
      <c r="K696" s="94">
        <f>IFERROR(__xludf.DUMMYFUNCTION("""COMPUTED_VALUE"""),60.0)</f>
        <v>60</v>
      </c>
      <c r="L696" s="94">
        <f>IFERROR(__xludf.DUMMYFUNCTION("""COMPUTED_VALUE"""),40.0)</f>
        <v>40</v>
      </c>
      <c r="M696" s="94">
        <f>IFERROR(__xludf.DUMMYFUNCTION("""COMPUTED_VALUE"""),20.0)</f>
        <v>20</v>
      </c>
      <c r="N696" s="94"/>
      <c r="O696" s="1430">
        <f>IFERROR(__xludf.DUMMYFUNCTION("""COMPUTED_VALUE"""),20.0)</f>
        <v>20</v>
      </c>
      <c r="P696" s="1431">
        <f>IFERROR(__xludf.DUMMYFUNCTION("""COMPUTED_VALUE"""),2.69)</f>
        <v>2.69</v>
      </c>
      <c r="Q696" s="1432">
        <f>IFERROR(__xludf.DUMMYFUNCTION("""COMPUTED_VALUE"""),690.0)</f>
        <v>690</v>
      </c>
    </row>
    <row r="697" ht="15.75" customHeight="1">
      <c r="A697" s="94"/>
      <c r="B697" s="94" t="str">
        <f>IFERROR(__xludf.DUMMYFUNCTION("""COMPUTED_VALUE"""),"Вилла Ева")</f>
        <v>Вилла Ева</v>
      </c>
      <c r="C697" s="1429" t="str">
        <f>IFERROR(__xludf.DUMMYFUNCTION("""COMPUTED_VALUE"""),"Other")</f>
        <v>Other</v>
      </c>
      <c r="D697" s="1432">
        <f>IFERROR(__xludf.DUMMYFUNCTION("""COMPUTED_VALUE"""),8.0)</f>
        <v>8</v>
      </c>
      <c r="E697" s="1429">
        <f>IFERROR(__xludf.DUMMYFUNCTION("""COMPUTED_VALUE"""),45516.0)</f>
        <v>45516</v>
      </c>
      <c r="F697" s="1429">
        <f>IFERROR(__xludf.DUMMYFUNCTION("""COMPUTED_VALUE"""),45529.0)</f>
        <v>45529</v>
      </c>
      <c r="G697" s="1164">
        <f>IFERROR(__xludf.DUMMYFUNCTION("""COMPUTED_VALUE"""),13.0)</f>
        <v>13</v>
      </c>
      <c r="H697" s="1430">
        <f>IFERROR(__xludf.DUMMYFUNCTION("""COMPUTED_VALUE"""),3197.0)</f>
        <v>3197</v>
      </c>
      <c r="I697" s="94">
        <f>IFERROR(__xludf.DUMMYFUNCTION("""COMPUTED_VALUE"""),0.0)</f>
        <v>0</v>
      </c>
      <c r="J697" s="94"/>
      <c r="K697" s="94"/>
      <c r="L697" s="94"/>
      <c r="M697" s="94">
        <f>IFERROR(__xludf.DUMMYFUNCTION("""COMPUTED_VALUE"""),0.0)</f>
        <v>0</v>
      </c>
      <c r="N697" s="94"/>
      <c r="O697" s="1430">
        <f>IFERROR(__xludf.DUMMYFUNCTION("""COMPUTED_VALUE"""),0.0)</f>
        <v>0</v>
      </c>
      <c r="P697" s="1431">
        <f>IFERROR(__xludf.DUMMYFUNCTION("""COMPUTED_VALUE"""),2.69)</f>
        <v>2.69</v>
      </c>
      <c r="Q697" s="1432">
        <f>IFERROR(__xludf.DUMMYFUNCTION("""COMPUTED_VALUE"""),8599.93)</f>
        <v>8599.93</v>
      </c>
    </row>
    <row r="698" ht="15.75" customHeight="1">
      <c r="A698" s="94"/>
      <c r="B698" s="94" t="str">
        <f>IFERROR(__xludf.DUMMYFUNCTION("""COMPUTED_VALUE"""),"DL 11-1305")</f>
        <v>DL 11-1305</v>
      </c>
      <c r="C698" s="1429" t="str">
        <f>IFERROR(__xludf.DUMMYFUNCTION("""COMPUTED_VALUE"""),"DL")</f>
        <v>DL</v>
      </c>
      <c r="D698" s="1432">
        <f>IFERROR(__xludf.DUMMYFUNCTION("""COMPUTED_VALUE"""),8.0)</f>
        <v>8</v>
      </c>
      <c r="E698" s="1429">
        <f>IFERROR(__xludf.DUMMYFUNCTION("""COMPUTED_VALUE"""),45516.0)</f>
        <v>45516</v>
      </c>
      <c r="F698" s="1429">
        <f>IFERROR(__xludf.DUMMYFUNCTION("""COMPUTED_VALUE"""),45521.0)</f>
        <v>45521</v>
      </c>
      <c r="G698" s="1164">
        <f>IFERROR(__xludf.DUMMYFUNCTION("""COMPUTED_VALUE"""),5.0)</f>
        <v>5</v>
      </c>
      <c r="H698" s="1430">
        <f>IFERROR(__xludf.DUMMYFUNCTION("""COMPUTED_VALUE"""),700.0)</f>
        <v>700</v>
      </c>
      <c r="I698" s="94">
        <f>IFERROR(__xludf.DUMMYFUNCTION("""COMPUTED_VALUE"""),0.0)</f>
        <v>0</v>
      </c>
      <c r="J698" s="94"/>
      <c r="K698" s="94">
        <f>IFERROR(__xludf.DUMMYFUNCTION("""COMPUTED_VALUE"""),105.0)</f>
        <v>105</v>
      </c>
      <c r="L698" s="94">
        <f>IFERROR(__xludf.DUMMYFUNCTION("""COMPUTED_VALUE"""),105.0)</f>
        <v>105</v>
      </c>
      <c r="M698" s="94">
        <f>IFERROR(__xludf.DUMMYFUNCTION("""COMPUTED_VALUE"""),0.0)</f>
        <v>0</v>
      </c>
      <c r="N698" s="94"/>
      <c r="O698" s="1430">
        <f>IFERROR(__xludf.DUMMYFUNCTION("""COMPUTED_VALUE"""),0.0)</f>
        <v>0</v>
      </c>
      <c r="P698" s="1431">
        <f>IFERROR(__xludf.DUMMYFUNCTION("""COMPUTED_VALUE"""),2.69)</f>
        <v>2.69</v>
      </c>
      <c r="Q698" s="1432">
        <f>IFERROR(__xludf.DUMMYFUNCTION("""COMPUTED_VALUE"""),1883.0)</f>
        <v>1883</v>
      </c>
    </row>
    <row r="699" ht="15.75" customHeight="1">
      <c r="A699" s="94"/>
      <c r="B699" s="94" t="str">
        <f>IFERROR(__xludf.DUMMYFUNCTION("""COMPUTED_VALUE"""),"DL 11-1112")</f>
        <v>DL 11-1112</v>
      </c>
      <c r="C699" s="1429" t="str">
        <f>IFERROR(__xludf.DUMMYFUNCTION("""COMPUTED_VALUE"""),"DL")</f>
        <v>DL</v>
      </c>
      <c r="D699" s="1432">
        <f>IFERROR(__xludf.DUMMYFUNCTION("""COMPUTED_VALUE"""),8.0)</f>
        <v>8</v>
      </c>
      <c r="E699" s="1429">
        <f>IFERROR(__xludf.DUMMYFUNCTION("""COMPUTED_VALUE"""),45517.0)</f>
        <v>45517</v>
      </c>
      <c r="F699" s="1429">
        <f>IFERROR(__xludf.DUMMYFUNCTION("""COMPUTED_VALUE"""),45522.0)</f>
        <v>45522</v>
      </c>
      <c r="G699" s="1164">
        <f>IFERROR(__xludf.DUMMYFUNCTION("""COMPUTED_VALUE"""),5.0)</f>
        <v>5</v>
      </c>
      <c r="H699" s="1430">
        <f>IFERROR(__xludf.DUMMYFUNCTION("""COMPUTED_VALUE"""),475.0)</f>
        <v>475</v>
      </c>
      <c r="I699" s="94">
        <f>IFERROR(__xludf.DUMMYFUNCTION("""COMPUTED_VALUE"""),0.0)</f>
        <v>0</v>
      </c>
      <c r="J699" s="94"/>
      <c r="K699" s="94">
        <f>IFERROR(__xludf.DUMMYFUNCTION("""COMPUTED_VALUE"""),95.0)</f>
        <v>95</v>
      </c>
      <c r="L699" s="94">
        <f>IFERROR(__xludf.DUMMYFUNCTION("""COMPUTED_VALUE"""),95.0)</f>
        <v>95</v>
      </c>
      <c r="M699" s="94">
        <f>IFERROR(__xludf.DUMMYFUNCTION("""COMPUTED_VALUE"""),0.0)</f>
        <v>0</v>
      </c>
      <c r="N699" s="94"/>
      <c r="O699" s="1430">
        <f>IFERROR(__xludf.DUMMYFUNCTION("""COMPUTED_VALUE"""),0.0)</f>
        <v>0</v>
      </c>
      <c r="P699" s="1431">
        <f>IFERROR(__xludf.DUMMYFUNCTION("""COMPUTED_VALUE"""),2.69)</f>
        <v>2.69</v>
      </c>
      <c r="Q699" s="1432">
        <f>IFERROR(__xludf.DUMMYFUNCTION("""COMPUTED_VALUE"""),1277.75)</f>
        <v>1277.75</v>
      </c>
    </row>
    <row r="700" ht="15.75" customHeight="1">
      <c r="A700" s="94"/>
      <c r="B700" s="94" t="str">
        <f>IFERROR(__xludf.DUMMYFUNCTION("""COMPUTED_VALUE"""),"DL 14-1214")</f>
        <v>DL 14-1214</v>
      </c>
      <c r="C700" s="1429" t="str">
        <f>IFERROR(__xludf.DUMMYFUNCTION("""COMPUTED_VALUE"""),"DL")</f>
        <v>DL</v>
      </c>
      <c r="D700" s="1432">
        <f>IFERROR(__xludf.DUMMYFUNCTION("""COMPUTED_VALUE"""),8.0)</f>
        <v>8</v>
      </c>
      <c r="E700" s="1429">
        <f>IFERROR(__xludf.DUMMYFUNCTION("""COMPUTED_VALUE"""),45517.0)</f>
        <v>45517</v>
      </c>
      <c r="F700" s="1429">
        <f>IFERROR(__xludf.DUMMYFUNCTION("""COMPUTED_VALUE"""),45522.0)</f>
        <v>45522</v>
      </c>
      <c r="G700" s="1164">
        <f>IFERROR(__xludf.DUMMYFUNCTION("""COMPUTED_VALUE"""),5.0)</f>
        <v>5</v>
      </c>
      <c r="H700" s="1430">
        <f>IFERROR(__xludf.DUMMYFUNCTION("""COMPUTED_VALUE"""),550.0)</f>
        <v>550</v>
      </c>
      <c r="I700" s="94">
        <f>IFERROR(__xludf.DUMMYFUNCTION("""COMPUTED_VALUE"""),0.0)</f>
        <v>0</v>
      </c>
      <c r="J700" s="94"/>
      <c r="K700" s="94">
        <f>IFERROR(__xludf.DUMMYFUNCTION("""COMPUTED_VALUE"""),95.0)</f>
        <v>95</v>
      </c>
      <c r="L700" s="94">
        <f>IFERROR(__xludf.DUMMYFUNCTION("""COMPUTED_VALUE"""),95.0)</f>
        <v>95</v>
      </c>
      <c r="M700" s="94">
        <f>IFERROR(__xludf.DUMMYFUNCTION("""COMPUTED_VALUE"""),0.0)</f>
        <v>0</v>
      </c>
      <c r="N700" s="94"/>
      <c r="O700" s="1430">
        <f>IFERROR(__xludf.DUMMYFUNCTION("""COMPUTED_VALUE"""),0.0)</f>
        <v>0</v>
      </c>
      <c r="P700" s="1431">
        <f>IFERROR(__xludf.DUMMYFUNCTION("""COMPUTED_VALUE"""),2.69)</f>
        <v>2.69</v>
      </c>
      <c r="Q700" s="1432">
        <f>IFERROR(__xludf.DUMMYFUNCTION("""COMPUTED_VALUE"""),1479.5)</f>
        <v>1479.5</v>
      </c>
    </row>
    <row r="701" ht="15.75" customHeight="1">
      <c r="A701" s="94"/>
      <c r="B701" s="94" t="str">
        <f>IFERROR(__xludf.DUMMYFUNCTION("""COMPUTED_VALUE"""),"WS A 608")</f>
        <v>WS A 608</v>
      </c>
      <c r="C701" s="1429" t="str">
        <f>IFERROR(__xludf.DUMMYFUNCTION("""COMPUTED_VALUE"""),"WS")</f>
        <v>WS</v>
      </c>
      <c r="D701" s="1432">
        <f>IFERROR(__xludf.DUMMYFUNCTION("""COMPUTED_VALUE"""),8.0)</f>
        <v>8</v>
      </c>
      <c r="E701" s="1429">
        <f>IFERROR(__xludf.DUMMYFUNCTION("""COMPUTED_VALUE"""),45517.0)</f>
        <v>45517</v>
      </c>
      <c r="F701" s="1429">
        <f>IFERROR(__xludf.DUMMYFUNCTION("""COMPUTED_VALUE"""),45524.0)</f>
        <v>45524</v>
      </c>
      <c r="G701" s="1164">
        <f>IFERROR(__xludf.DUMMYFUNCTION("""COMPUTED_VALUE"""),7.0)</f>
        <v>7</v>
      </c>
      <c r="H701" s="1430">
        <f>IFERROR(__xludf.DUMMYFUNCTION("""COMPUTED_VALUE"""),438.0)</f>
        <v>438</v>
      </c>
      <c r="I701" s="94">
        <f>IFERROR(__xludf.DUMMYFUNCTION("""COMPUTED_VALUE"""),0.0)</f>
        <v>0</v>
      </c>
      <c r="J701" s="94"/>
      <c r="K701" s="94">
        <f>IFERROR(__xludf.DUMMYFUNCTION("""COMPUTED_VALUE"""),60.0)</f>
        <v>60</v>
      </c>
      <c r="L701" s="94">
        <f>IFERROR(__xludf.DUMMYFUNCTION("""COMPUTED_VALUE"""),40.0)</f>
        <v>40</v>
      </c>
      <c r="M701" s="94">
        <f>IFERROR(__xludf.DUMMYFUNCTION("""COMPUTED_VALUE"""),20.0)</f>
        <v>20</v>
      </c>
      <c r="N701" s="94"/>
      <c r="O701" s="1430">
        <f>IFERROR(__xludf.DUMMYFUNCTION("""COMPUTED_VALUE"""),20.0)</f>
        <v>20</v>
      </c>
      <c r="P701" s="1431">
        <f>IFERROR(__xludf.DUMMYFUNCTION("""COMPUTED_VALUE"""),2.69)</f>
        <v>2.69</v>
      </c>
      <c r="Q701" s="1432">
        <f>IFERROR(__xludf.DUMMYFUNCTION("""COMPUTED_VALUE"""),1178.22)</f>
        <v>1178.22</v>
      </c>
    </row>
    <row r="702" ht="15.75" customHeight="1">
      <c r="A702" s="94"/>
      <c r="B702" s="94" t="str">
        <f>IFERROR(__xludf.DUMMYFUNCTION("""COMPUTED_VALUE"""),"WS A 409")</f>
        <v>WS A 409</v>
      </c>
      <c r="C702" s="1429" t="str">
        <f>IFERROR(__xludf.DUMMYFUNCTION("""COMPUTED_VALUE"""),"WS")</f>
        <v>WS</v>
      </c>
      <c r="D702" s="1432">
        <f>IFERROR(__xludf.DUMMYFUNCTION("""COMPUTED_VALUE"""),8.0)</f>
        <v>8</v>
      </c>
      <c r="E702" s="1429">
        <f>IFERROR(__xludf.DUMMYFUNCTION("""COMPUTED_VALUE"""),45517.0)</f>
        <v>45517</v>
      </c>
      <c r="F702" s="1429">
        <f>IFERROR(__xludf.DUMMYFUNCTION("""COMPUTED_VALUE"""),45524.0)</f>
        <v>45524</v>
      </c>
      <c r="G702" s="1164">
        <f>IFERROR(__xludf.DUMMYFUNCTION("""COMPUTED_VALUE"""),7.0)</f>
        <v>7</v>
      </c>
      <c r="H702" s="1430">
        <f>IFERROR(__xludf.DUMMYFUNCTION("""COMPUTED_VALUE"""),444.0)</f>
        <v>444</v>
      </c>
      <c r="I702" s="94">
        <f>IFERROR(__xludf.DUMMYFUNCTION("""COMPUTED_VALUE"""),0.0)</f>
        <v>0</v>
      </c>
      <c r="J702" s="94"/>
      <c r="K702" s="94">
        <f>IFERROR(__xludf.DUMMYFUNCTION("""COMPUTED_VALUE"""),60.0)</f>
        <v>60</v>
      </c>
      <c r="L702" s="94">
        <f>IFERROR(__xludf.DUMMYFUNCTION("""COMPUTED_VALUE"""),40.0)</f>
        <v>40</v>
      </c>
      <c r="M702" s="94">
        <f>IFERROR(__xludf.DUMMYFUNCTION("""COMPUTED_VALUE"""),20.0)</f>
        <v>20</v>
      </c>
      <c r="N702" s="94"/>
      <c r="O702" s="1430">
        <f>IFERROR(__xludf.DUMMYFUNCTION("""COMPUTED_VALUE"""),20.0)</f>
        <v>20</v>
      </c>
      <c r="P702" s="1431">
        <f>IFERROR(__xludf.DUMMYFUNCTION("""COMPUTED_VALUE"""),2.69)</f>
        <v>2.69</v>
      </c>
      <c r="Q702" s="1432">
        <f>IFERROR(__xludf.DUMMYFUNCTION("""COMPUTED_VALUE"""),1194.36)</f>
        <v>1194.36</v>
      </c>
    </row>
    <row r="703" ht="15.75" customHeight="1">
      <c r="A703" s="94"/>
      <c r="B703" s="94" t="str">
        <f>IFERROR(__xludf.DUMMYFUNCTION("""COMPUTED_VALUE"""),"WS E704")</f>
        <v>WS E704</v>
      </c>
      <c r="C703" s="1429" t="str">
        <f>IFERROR(__xludf.DUMMYFUNCTION("""COMPUTED_VALUE"""),"WS")</f>
        <v>WS</v>
      </c>
      <c r="D703" s="1432">
        <f>IFERROR(__xludf.DUMMYFUNCTION("""COMPUTED_VALUE"""),8.0)</f>
        <v>8</v>
      </c>
      <c r="E703" s="1429">
        <f>IFERROR(__xludf.DUMMYFUNCTION("""COMPUTED_VALUE"""),45517.0)</f>
        <v>45517</v>
      </c>
      <c r="F703" s="1429">
        <f>IFERROR(__xludf.DUMMYFUNCTION("""COMPUTED_VALUE"""),45523.0)</f>
        <v>45523</v>
      </c>
      <c r="G703" s="1164">
        <f>IFERROR(__xludf.DUMMYFUNCTION("""COMPUTED_VALUE"""),6.0)</f>
        <v>6</v>
      </c>
      <c r="H703" s="1430">
        <f>IFERROR(__xludf.DUMMYFUNCTION("""COMPUTED_VALUE"""),475.0)</f>
        <v>475</v>
      </c>
      <c r="I703" s="94">
        <f>IFERROR(__xludf.DUMMYFUNCTION("""COMPUTED_VALUE"""),0.0)</f>
        <v>0</v>
      </c>
      <c r="J703" s="94"/>
      <c r="K703" s="94">
        <f>IFERROR(__xludf.DUMMYFUNCTION("""COMPUTED_VALUE"""),60.0)</f>
        <v>60</v>
      </c>
      <c r="L703" s="94">
        <f>IFERROR(__xludf.DUMMYFUNCTION("""COMPUTED_VALUE"""),40.0)</f>
        <v>40</v>
      </c>
      <c r="M703" s="94">
        <f>IFERROR(__xludf.DUMMYFUNCTION("""COMPUTED_VALUE"""),20.0)</f>
        <v>20</v>
      </c>
      <c r="N703" s="94"/>
      <c r="O703" s="1430">
        <f>IFERROR(__xludf.DUMMYFUNCTION("""COMPUTED_VALUE"""),20.0)</f>
        <v>20</v>
      </c>
      <c r="P703" s="1431">
        <f>IFERROR(__xludf.DUMMYFUNCTION("""COMPUTED_VALUE"""),2.69)</f>
        <v>2.69</v>
      </c>
      <c r="Q703" s="1432">
        <f>IFERROR(__xludf.DUMMYFUNCTION("""COMPUTED_VALUE"""),1277.75)</f>
        <v>1277.75</v>
      </c>
    </row>
    <row r="704" ht="15.75" customHeight="1">
      <c r="A704" s="94"/>
      <c r="B704" s="94" t="str">
        <f>IFERROR(__xludf.DUMMYFUNCTION("""COMPUTED_VALUE"""),"BV206")</f>
        <v>BV206</v>
      </c>
      <c r="C704" s="1429" t="str">
        <f>IFERROR(__xludf.DUMMYFUNCTION("""COMPUTED_VALUE"""),"Other")</f>
        <v>Other</v>
      </c>
      <c r="D704" s="1432">
        <f>IFERROR(__xludf.DUMMYFUNCTION("""COMPUTED_VALUE"""),8.0)</f>
        <v>8</v>
      </c>
      <c r="E704" s="1429">
        <f>IFERROR(__xludf.DUMMYFUNCTION("""COMPUTED_VALUE"""),45518.0)</f>
        <v>45518</v>
      </c>
      <c r="F704" s="1429">
        <f>IFERROR(__xludf.DUMMYFUNCTION("""COMPUTED_VALUE"""),45524.0)</f>
        <v>45524</v>
      </c>
      <c r="G704" s="1164">
        <f>IFERROR(__xludf.DUMMYFUNCTION("""COMPUTED_VALUE"""),6.0)</f>
        <v>6</v>
      </c>
      <c r="H704" s="1430">
        <f>IFERROR(__xludf.DUMMYFUNCTION("""COMPUTED_VALUE"""),510.0)</f>
        <v>510</v>
      </c>
      <c r="I704" s="94">
        <f>IFERROR(__xludf.DUMMYFUNCTION("""COMPUTED_VALUE"""),0.0)</f>
        <v>0</v>
      </c>
      <c r="J704" s="94"/>
      <c r="K704" s="94">
        <f>IFERROR(__xludf.DUMMYFUNCTION("""COMPUTED_VALUE"""),60.0)</f>
        <v>60</v>
      </c>
      <c r="L704" s="94">
        <f>IFERROR(__xludf.DUMMYFUNCTION("""COMPUTED_VALUE"""),40.0)</f>
        <v>40</v>
      </c>
      <c r="M704" s="94">
        <f>IFERROR(__xludf.DUMMYFUNCTION("""COMPUTED_VALUE"""),20.0)</f>
        <v>20</v>
      </c>
      <c r="N704" s="94"/>
      <c r="O704" s="1430">
        <f>IFERROR(__xludf.DUMMYFUNCTION("""COMPUTED_VALUE"""),20.0)</f>
        <v>20</v>
      </c>
      <c r="P704" s="1431">
        <f>IFERROR(__xludf.DUMMYFUNCTION("""COMPUTED_VALUE"""),2.69)</f>
        <v>2.69</v>
      </c>
      <c r="Q704" s="1432">
        <f>IFERROR(__xludf.DUMMYFUNCTION("""COMPUTED_VALUE"""),1371.8999999999999)</f>
        <v>1371.9</v>
      </c>
    </row>
    <row r="705" ht="15.75" customHeight="1">
      <c r="A705" s="94"/>
      <c r="B705" s="94" t="str">
        <f>IFERROR(__xludf.DUMMYFUNCTION("""COMPUTED_VALUE"""),"А 4049")</f>
        <v>А 4049</v>
      </c>
      <c r="C705" s="1429" t="str">
        <f>IFERROR(__xludf.DUMMYFUNCTION("""COMPUTED_VALUE"""),"ORBI")</f>
        <v>ORBI</v>
      </c>
      <c r="D705" s="1432">
        <f>IFERROR(__xludf.DUMMYFUNCTION("""COMPUTED_VALUE"""),8.0)</f>
        <v>8</v>
      </c>
      <c r="E705" s="1429">
        <f>IFERROR(__xludf.DUMMYFUNCTION("""COMPUTED_VALUE"""),45517.0)</f>
        <v>45517</v>
      </c>
      <c r="F705" s="1429">
        <f>IFERROR(__xludf.DUMMYFUNCTION("""COMPUTED_VALUE"""),45519.0)</f>
        <v>45519</v>
      </c>
      <c r="G705" s="1164">
        <f>IFERROR(__xludf.DUMMYFUNCTION("""COMPUTED_VALUE"""),2.0)</f>
        <v>2</v>
      </c>
      <c r="H705" s="1430">
        <f>IFERROR(__xludf.DUMMYFUNCTION("""COMPUTED_VALUE"""),150.0)</f>
        <v>150</v>
      </c>
      <c r="I705" s="94"/>
      <c r="J705" s="94"/>
      <c r="K705" s="94">
        <f>IFERROR(__xludf.DUMMYFUNCTION("""COMPUTED_VALUE"""),50.0)</f>
        <v>50</v>
      </c>
      <c r="L705" s="94">
        <f>IFERROR(__xludf.DUMMYFUNCTION("""COMPUTED_VALUE"""),40.0)</f>
        <v>40</v>
      </c>
      <c r="M705" s="94">
        <f>IFERROR(__xludf.DUMMYFUNCTION("""COMPUTED_VALUE"""),10.0)</f>
        <v>10</v>
      </c>
      <c r="N705" s="94"/>
      <c r="O705" s="1430">
        <f>IFERROR(__xludf.DUMMYFUNCTION("""COMPUTED_VALUE"""),10.0)</f>
        <v>10</v>
      </c>
      <c r="P705" s="1431">
        <f>IFERROR(__xludf.DUMMYFUNCTION("""COMPUTED_VALUE"""),2.69)</f>
        <v>2.69</v>
      </c>
      <c r="Q705" s="1432">
        <f>IFERROR(__xludf.DUMMYFUNCTION("""COMPUTED_VALUE"""),403.5)</f>
        <v>403.5</v>
      </c>
    </row>
    <row r="706" ht="15.75" customHeight="1">
      <c r="A706" s="94"/>
      <c r="B706" s="94" t="str">
        <f>IFERROR(__xludf.DUMMYFUNCTION("""COMPUTED_VALUE"""),"C 4245")</f>
        <v>C 4245</v>
      </c>
      <c r="C706" s="1429" t="str">
        <f>IFERROR(__xludf.DUMMYFUNCTION("""COMPUTED_VALUE"""),"ORBI")</f>
        <v>ORBI</v>
      </c>
      <c r="D706" s="1432">
        <f>IFERROR(__xludf.DUMMYFUNCTION("""COMPUTED_VALUE"""),8.0)</f>
        <v>8</v>
      </c>
      <c r="E706" s="1429">
        <f>IFERROR(__xludf.DUMMYFUNCTION("""COMPUTED_VALUE"""),45517.0)</f>
        <v>45517</v>
      </c>
      <c r="F706" s="1429">
        <f>IFERROR(__xludf.DUMMYFUNCTION("""COMPUTED_VALUE"""),45521.0)</f>
        <v>45521</v>
      </c>
      <c r="G706" s="1164">
        <f>IFERROR(__xludf.DUMMYFUNCTION("""COMPUTED_VALUE"""),4.0)</f>
        <v>4</v>
      </c>
      <c r="H706" s="1430">
        <f>IFERROR(__xludf.DUMMYFUNCTION("""COMPUTED_VALUE"""),276.3)</f>
        <v>276.3</v>
      </c>
      <c r="I706" s="94">
        <f>IFERROR(__xludf.DUMMYFUNCTION("""COMPUTED_VALUE"""),0.0)</f>
        <v>0</v>
      </c>
      <c r="J706" s="94"/>
      <c r="K706" s="94">
        <f>IFERROR(__xludf.DUMMYFUNCTION("""COMPUTED_VALUE"""),70.0)</f>
        <v>70</v>
      </c>
      <c r="L706" s="94">
        <f>IFERROR(__xludf.DUMMYFUNCTION("""COMPUTED_VALUE"""),40.0)</f>
        <v>40</v>
      </c>
      <c r="M706" s="94">
        <f>IFERROR(__xludf.DUMMYFUNCTION("""COMPUTED_VALUE"""),30.0)</f>
        <v>30</v>
      </c>
      <c r="N706" s="94"/>
      <c r="O706" s="1430">
        <f>IFERROR(__xludf.DUMMYFUNCTION("""COMPUTED_VALUE"""),30.0)</f>
        <v>30</v>
      </c>
      <c r="P706" s="1431">
        <f>IFERROR(__xludf.DUMMYFUNCTION("""COMPUTED_VALUE"""),2.69)</f>
        <v>2.69</v>
      </c>
      <c r="Q706" s="1432">
        <f>IFERROR(__xludf.DUMMYFUNCTION("""COMPUTED_VALUE"""),743.2470000000001)</f>
        <v>743.247</v>
      </c>
    </row>
    <row r="707" ht="15.75" customHeight="1">
      <c r="A707" s="94"/>
      <c r="B707" s="94" t="str">
        <f>IFERROR(__xludf.DUMMYFUNCTION("""COMPUTED_VALUE"""),"WS E 1202")</f>
        <v>WS E 1202</v>
      </c>
      <c r="C707" s="1429" t="str">
        <f>IFERROR(__xludf.DUMMYFUNCTION("""COMPUTED_VALUE"""),"WS")</f>
        <v>WS</v>
      </c>
      <c r="D707" s="1432">
        <f>IFERROR(__xludf.DUMMYFUNCTION("""COMPUTED_VALUE"""),8.0)</f>
        <v>8</v>
      </c>
      <c r="E707" s="1429">
        <f>IFERROR(__xludf.DUMMYFUNCTION("""COMPUTED_VALUE"""),45518.0)</f>
        <v>45518</v>
      </c>
      <c r="F707" s="1429">
        <f>IFERROR(__xludf.DUMMYFUNCTION("""COMPUTED_VALUE"""),45527.0)</f>
        <v>45527</v>
      </c>
      <c r="G707" s="1164">
        <f>IFERROR(__xludf.DUMMYFUNCTION("""COMPUTED_VALUE"""),9.0)</f>
        <v>9</v>
      </c>
      <c r="H707" s="1430">
        <f>IFERROR(__xludf.DUMMYFUNCTION("""COMPUTED_VALUE"""),912.0)</f>
        <v>912</v>
      </c>
      <c r="I707" s="94">
        <f>IFERROR(__xludf.DUMMYFUNCTION("""COMPUTED_VALUE"""),0.0)</f>
        <v>0</v>
      </c>
      <c r="J707" s="94"/>
      <c r="K707" s="94">
        <f>IFERROR(__xludf.DUMMYFUNCTION("""COMPUTED_VALUE"""),70.0)</f>
        <v>70</v>
      </c>
      <c r="L707" s="94">
        <f>IFERROR(__xludf.DUMMYFUNCTION("""COMPUTED_VALUE"""),40.0)</f>
        <v>40</v>
      </c>
      <c r="M707" s="94">
        <f>IFERROR(__xludf.DUMMYFUNCTION("""COMPUTED_VALUE"""),30.0)</f>
        <v>30</v>
      </c>
      <c r="N707" s="94"/>
      <c r="O707" s="1430">
        <f>IFERROR(__xludf.DUMMYFUNCTION("""COMPUTED_VALUE"""),30.0)</f>
        <v>30</v>
      </c>
      <c r="P707" s="1431">
        <f>IFERROR(__xludf.DUMMYFUNCTION("""COMPUTED_VALUE"""),2.69)</f>
        <v>2.69</v>
      </c>
      <c r="Q707" s="1432">
        <f>IFERROR(__xludf.DUMMYFUNCTION("""COMPUTED_VALUE"""),2453.2799999999997)</f>
        <v>2453.28</v>
      </c>
    </row>
    <row r="708" ht="15.75" customHeight="1">
      <c r="A708" s="94"/>
      <c r="B708" s="94" t="str">
        <f>IFERROR(__xludf.DUMMYFUNCTION("""COMPUTED_VALUE"""),"WS Е804")</f>
        <v>WS Е804</v>
      </c>
      <c r="C708" s="1429" t="str">
        <f>IFERROR(__xludf.DUMMYFUNCTION("""COMPUTED_VALUE"""),"WS")</f>
        <v>WS</v>
      </c>
      <c r="D708" s="1432">
        <f>IFERROR(__xludf.DUMMYFUNCTION("""COMPUTED_VALUE"""),8.0)</f>
        <v>8</v>
      </c>
      <c r="E708" s="1429">
        <f>IFERROR(__xludf.DUMMYFUNCTION("""COMPUTED_VALUE"""),45519.0)</f>
        <v>45519</v>
      </c>
      <c r="F708" s="1429">
        <f>IFERROR(__xludf.DUMMYFUNCTION("""COMPUTED_VALUE"""),45523.0)</f>
        <v>45523</v>
      </c>
      <c r="G708" s="1164">
        <f>IFERROR(__xludf.DUMMYFUNCTION("""COMPUTED_VALUE"""),4.0)</f>
        <v>4</v>
      </c>
      <c r="H708" s="94"/>
      <c r="I708" s="94">
        <f>IFERROR(__xludf.DUMMYFUNCTION("""COMPUTED_VALUE"""),923.0)</f>
        <v>923</v>
      </c>
      <c r="J708" s="94"/>
      <c r="K708" s="94">
        <f>IFERROR(__xludf.DUMMYFUNCTION("""COMPUTED_VALUE"""),60.0)</f>
        <v>60</v>
      </c>
      <c r="L708" s="94">
        <f>IFERROR(__xludf.DUMMYFUNCTION("""COMPUTED_VALUE"""),40.0)</f>
        <v>40</v>
      </c>
      <c r="M708" s="94">
        <f>IFERROR(__xludf.DUMMYFUNCTION("""COMPUTED_VALUE"""),20.0)</f>
        <v>20</v>
      </c>
      <c r="N708" s="94"/>
      <c r="O708" s="1430">
        <f>IFERROR(__xludf.DUMMYFUNCTION("""COMPUTED_VALUE"""),20.0)</f>
        <v>20</v>
      </c>
      <c r="P708" s="1431">
        <f>IFERROR(__xludf.DUMMYFUNCTION("""COMPUTED_VALUE"""),2.69)</f>
        <v>2.69</v>
      </c>
      <c r="Q708" s="1432">
        <f>IFERROR(__xludf.DUMMYFUNCTION("""COMPUTED_VALUE"""),923.0)</f>
        <v>923</v>
      </c>
    </row>
    <row r="709" ht="15.75" customHeight="1">
      <c r="A709" s="94"/>
      <c r="B709" s="94" t="str">
        <f>IFERROR(__xludf.DUMMYFUNCTION("""COMPUTED_VALUE"""),"CM 1931")</f>
        <v>CM 1931</v>
      </c>
      <c r="C709" s="1429" t="str">
        <f>IFERROR(__xludf.DUMMYFUNCTION("""COMPUTED_VALUE"""),"MAR")</f>
        <v>MAR</v>
      </c>
      <c r="D709" s="1432">
        <f>IFERROR(__xludf.DUMMYFUNCTION("""COMPUTED_VALUE"""),8.0)</f>
        <v>8</v>
      </c>
      <c r="E709" s="1429">
        <f>IFERROR(__xludf.DUMMYFUNCTION("""COMPUTED_VALUE"""),45518.0)</f>
        <v>45518</v>
      </c>
      <c r="F709" s="1429">
        <f>IFERROR(__xludf.DUMMYFUNCTION("""COMPUTED_VALUE"""),45520.0)</f>
        <v>45520</v>
      </c>
      <c r="G709" s="1164">
        <f>IFERROR(__xludf.DUMMYFUNCTION("""COMPUTED_VALUE"""),2.0)</f>
        <v>2</v>
      </c>
      <c r="H709" s="1430">
        <f>IFERROR(__xludf.DUMMYFUNCTION("""COMPUTED_VALUE"""),107.0)</f>
        <v>107</v>
      </c>
      <c r="I709" s="94"/>
      <c r="J709" s="94"/>
      <c r="K709" s="94">
        <f>IFERROR(__xludf.DUMMYFUNCTION("""COMPUTED_VALUE"""),60.0)</f>
        <v>60</v>
      </c>
      <c r="L709" s="94">
        <f>IFERROR(__xludf.DUMMYFUNCTION("""COMPUTED_VALUE"""),40.0)</f>
        <v>40</v>
      </c>
      <c r="M709" s="94">
        <f>IFERROR(__xludf.DUMMYFUNCTION("""COMPUTED_VALUE"""),20.0)</f>
        <v>20</v>
      </c>
      <c r="N709" s="94"/>
      <c r="O709" s="1430">
        <f>IFERROR(__xludf.DUMMYFUNCTION("""COMPUTED_VALUE"""),20.0)</f>
        <v>20</v>
      </c>
      <c r="P709" s="1431">
        <f>IFERROR(__xludf.DUMMYFUNCTION("""COMPUTED_VALUE"""),2.69)</f>
        <v>2.69</v>
      </c>
      <c r="Q709" s="1432">
        <f>IFERROR(__xludf.DUMMYFUNCTION("""COMPUTED_VALUE"""),287.83)</f>
        <v>287.83</v>
      </c>
    </row>
    <row r="710" ht="15.75" customHeight="1">
      <c r="A710" s="94"/>
      <c r="B710" s="94" t="str">
        <f>IFERROR(__xludf.DUMMYFUNCTION("""COMPUTED_VALUE"""),"WS А 908")</f>
        <v>WS А 908</v>
      </c>
      <c r="C710" s="1429" t="str">
        <f>IFERROR(__xludf.DUMMYFUNCTION("""COMPUTED_VALUE"""),"WS")</f>
        <v>WS</v>
      </c>
      <c r="D710" s="1432">
        <f>IFERROR(__xludf.DUMMYFUNCTION("""COMPUTED_VALUE"""),8.0)</f>
        <v>8</v>
      </c>
      <c r="E710" s="1429">
        <f>IFERROR(__xludf.DUMMYFUNCTION("""COMPUTED_VALUE"""),45518.0)</f>
        <v>45518</v>
      </c>
      <c r="F710" s="1429">
        <f>IFERROR(__xludf.DUMMYFUNCTION("""COMPUTED_VALUE"""),45525.0)</f>
        <v>45525</v>
      </c>
      <c r="G710" s="1164">
        <f>IFERROR(__xludf.DUMMYFUNCTION("""COMPUTED_VALUE"""),7.0)</f>
        <v>7</v>
      </c>
      <c r="H710" s="94"/>
      <c r="I710" s="94">
        <f>IFERROR(__xludf.DUMMYFUNCTION("""COMPUTED_VALUE"""),1360.0)</f>
        <v>1360</v>
      </c>
      <c r="J710" s="94"/>
      <c r="K710" s="94">
        <f>IFERROR(__xludf.DUMMYFUNCTION("""COMPUTED_VALUE"""),60.0)</f>
        <v>60</v>
      </c>
      <c r="L710" s="94">
        <f>IFERROR(__xludf.DUMMYFUNCTION("""COMPUTED_VALUE"""),40.0)</f>
        <v>40</v>
      </c>
      <c r="M710" s="94">
        <f>IFERROR(__xludf.DUMMYFUNCTION("""COMPUTED_VALUE"""),20.0)</f>
        <v>20</v>
      </c>
      <c r="N710" s="94"/>
      <c r="O710" s="1430">
        <f>IFERROR(__xludf.DUMMYFUNCTION("""COMPUTED_VALUE"""),20.0)</f>
        <v>20</v>
      </c>
      <c r="P710" s="1431">
        <f>IFERROR(__xludf.DUMMYFUNCTION("""COMPUTED_VALUE"""),2.69)</f>
        <v>2.69</v>
      </c>
      <c r="Q710" s="1432">
        <f>IFERROR(__xludf.DUMMYFUNCTION("""COMPUTED_VALUE"""),1360.0)</f>
        <v>1360</v>
      </c>
    </row>
    <row r="711" ht="15.75" customHeight="1">
      <c r="A711" s="94"/>
      <c r="B711" s="94" t="str">
        <f>IFERROR(__xludf.DUMMYFUNCTION("""COMPUTED_VALUE"""),"WS  B 405")</f>
        <v>WS  B 405</v>
      </c>
      <c r="C711" s="1429" t="str">
        <f>IFERROR(__xludf.DUMMYFUNCTION("""COMPUTED_VALUE"""),"WS")</f>
        <v>WS</v>
      </c>
      <c r="D711" s="1432">
        <f>IFERROR(__xludf.DUMMYFUNCTION("""COMPUTED_VALUE"""),8.0)</f>
        <v>8</v>
      </c>
      <c r="E711" s="1429">
        <f>IFERROR(__xludf.DUMMYFUNCTION("""COMPUTED_VALUE"""),45518.0)</f>
        <v>45518</v>
      </c>
      <c r="F711" s="1429">
        <f>IFERROR(__xludf.DUMMYFUNCTION("""COMPUTED_VALUE"""),45525.0)</f>
        <v>45525</v>
      </c>
      <c r="G711" s="1164">
        <f>IFERROR(__xludf.DUMMYFUNCTION("""COMPUTED_VALUE"""),7.0)</f>
        <v>7</v>
      </c>
      <c r="H711" s="94"/>
      <c r="I711" s="94">
        <f>IFERROR(__xludf.DUMMYFUNCTION("""COMPUTED_VALUE"""),1279.0)</f>
        <v>1279</v>
      </c>
      <c r="J711" s="94"/>
      <c r="K711" s="94">
        <f>IFERROR(__xludf.DUMMYFUNCTION("""COMPUTED_VALUE"""),60.0)</f>
        <v>60</v>
      </c>
      <c r="L711" s="94">
        <f>IFERROR(__xludf.DUMMYFUNCTION("""COMPUTED_VALUE"""),40.0)</f>
        <v>40</v>
      </c>
      <c r="M711" s="94">
        <f>IFERROR(__xludf.DUMMYFUNCTION("""COMPUTED_VALUE"""),20.0)</f>
        <v>20</v>
      </c>
      <c r="N711" s="94"/>
      <c r="O711" s="1430">
        <f>IFERROR(__xludf.DUMMYFUNCTION("""COMPUTED_VALUE"""),20.0)</f>
        <v>20</v>
      </c>
      <c r="P711" s="1431">
        <f>IFERROR(__xludf.DUMMYFUNCTION("""COMPUTED_VALUE"""),2.69)</f>
        <v>2.69</v>
      </c>
      <c r="Q711" s="1432">
        <f>IFERROR(__xludf.DUMMYFUNCTION("""COMPUTED_VALUE"""),1279.0)</f>
        <v>1279</v>
      </c>
    </row>
    <row r="712" ht="15.75" customHeight="1">
      <c r="A712" s="94"/>
      <c r="B712" s="94" t="str">
        <f>IFERROR(__xludf.DUMMYFUNCTION("""COMPUTED_VALUE"""),"А 4049")</f>
        <v>А 4049</v>
      </c>
      <c r="C712" s="1429" t="str">
        <f>IFERROR(__xludf.DUMMYFUNCTION("""COMPUTED_VALUE"""),"ORBI")</f>
        <v>ORBI</v>
      </c>
      <c r="D712" s="1432">
        <f>IFERROR(__xludf.DUMMYFUNCTION("""COMPUTED_VALUE"""),8.0)</f>
        <v>8</v>
      </c>
      <c r="E712" s="1429">
        <f>IFERROR(__xludf.DUMMYFUNCTION("""COMPUTED_VALUE"""),45519.0)</f>
        <v>45519</v>
      </c>
      <c r="F712" s="1429">
        <f>IFERROR(__xludf.DUMMYFUNCTION("""COMPUTED_VALUE"""),45522.0)</f>
        <v>45522</v>
      </c>
      <c r="G712" s="1164">
        <f>IFERROR(__xludf.DUMMYFUNCTION("""COMPUTED_VALUE"""),3.0)</f>
        <v>3</v>
      </c>
      <c r="H712" s="1430">
        <f>IFERROR(__xludf.DUMMYFUNCTION("""COMPUTED_VALUE"""),168.0)</f>
        <v>168</v>
      </c>
      <c r="I712" s="94">
        <f>IFERROR(__xludf.DUMMYFUNCTION("""COMPUTED_VALUE"""),0.0)</f>
        <v>0</v>
      </c>
      <c r="J712" s="94"/>
      <c r="K712" s="94">
        <f>IFERROR(__xludf.DUMMYFUNCTION("""COMPUTED_VALUE"""),50.0)</f>
        <v>50</v>
      </c>
      <c r="L712" s="94">
        <f>IFERROR(__xludf.DUMMYFUNCTION("""COMPUTED_VALUE"""),40.0)</f>
        <v>40</v>
      </c>
      <c r="M712" s="94">
        <f>IFERROR(__xludf.DUMMYFUNCTION("""COMPUTED_VALUE"""),10.0)</f>
        <v>10</v>
      </c>
      <c r="N712" s="94"/>
      <c r="O712" s="1430">
        <f>IFERROR(__xludf.DUMMYFUNCTION("""COMPUTED_VALUE"""),10.0)</f>
        <v>10</v>
      </c>
      <c r="P712" s="1431">
        <f>IFERROR(__xludf.DUMMYFUNCTION("""COMPUTED_VALUE"""),2.69)</f>
        <v>2.69</v>
      </c>
      <c r="Q712" s="1432">
        <f>IFERROR(__xludf.DUMMYFUNCTION("""COMPUTED_VALUE"""),451.92)</f>
        <v>451.92</v>
      </c>
    </row>
    <row r="713" ht="15.75" customHeight="1">
      <c r="A713" s="94"/>
      <c r="B713" s="94" t="str">
        <f>IFERROR(__xludf.DUMMYFUNCTION("""COMPUTED_VALUE"""),"DL14-518")</f>
        <v>DL14-518</v>
      </c>
      <c r="C713" s="1429" t="str">
        <f>IFERROR(__xludf.DUMMYFUNCTION("""COMPUTED_VALUE"""),"DL")</f>
        <v>DL</v>
      </c>
      <c r="D713" s="1432">
        <f>IFERROR(__xludf.DUMMYFUNCTION("""COMPUTED_VALUE"""),8.0)</f>
        <v>8</v>
      </c>
      <c r="E713" s="1429">
        <f>IFERROR(__xludf.DUMMYFUNCTION("""COMPUTED_VALUE"""),45519.0)</f>
        <v>45519</v>
      </c>
      <c r="F713" s="1429">
        <f>IFERROR(__xludf.DUMMYFUNCTION("""COMPUTED_VALUE"""),45521.0)</f>
        <v>45521</v>
      </c>
      <c r="G713" s="1164">
        <f>IFERROR(__xludf.DUMMYFUNCTION("""COMPUTED_VALUE"""),2.0)</f>
        <v>2</v>
      </c>
      <c r="H713" s="1430">
        <f>IFERROR(__xludf.DUMMYFUNCTION("""COMPUTED_VALUE"""),145.0)</f>
        <v>145</v>
      </c>
      <c r="I713" s="94"/>
      <c r="J713" s="94"/>
      <c r="K713" s="94">
        <f>IFERROR(__xludf.DUMMYFUNCTION("""COMPUTED_VALUE"""),105.0)</f>
        <v>105</v>
      </c>
      <c r="L713" s="94">
        <f>IFERROR(__xludf.DUMMYFUNCTION("""COMPUTED_VALUE"""),105.0)</f>
        <v>105</v>
      </c>
      <c r="M713" s="94">
        <f>IFERROR(__xludf.DUMMYFUNCTION("""COMPUTED_VALUE"""),0.0)</f>
        <v>0</v>
      </c>
      <c r="N713" s="94"/>
      <c r="O713" s="1430">
        <f>IFERROR(__xludf.DUMMYFUNCTION("""COMPUTED_VALUE"""),0.0)</f>
        <v>0</v>
      </c>
      <c r="P713" s="1431">
        <f>IFERROR(__xludf.DUMMYFUNCTION("""COMPUTED_VALUE"""),2.69)</f>
        <v>2.69</v>
      </c>
      <c r="Q713" s="1432">
        <f>IFERROR(__xludf.DUMMYFUNCTION("""COMPUTED_VALUE"""),390.05)</f>
        <v>390.05</v>
      </c>
    </row>
    <row r="714" ht="15.75" customHeight="1">
      <c r="A714" s="94"/>
      <c r="B714" s="94" t="str">
        <f>IFERROR(__xludf.DUMMYFUNCTION("""COMPUTED_VALUE"""),"DL14-1707")</f>
        <v>DL14-1707</v>
      </c>
      <c r="C714" s="1429" t="str">
        <f>IFERROR(__xludf.DUMMYFUNCTION("""COMPUTED_VALUE"""),"DL")</f>
        <v>DL</v>
      </c>
      <c r="D714" s="1432">
        <f>IFERROR(__xludf.DUMMYFUNCTION("""COMPUTED_VALUE"""),8.0)</f>
        <v>8</v>
      </c>
      <c r="E714" s="1429">
        <f>IFERROR(__xludf.DUMMYFUNCTION("""COMPUTED_VALUE"""),45519.0)</f>
        <v>45519</v>
      </c>
      <c r="F714" s="1429">
        <f>IFERROR(__xludf.DUMMYFUNCTION("""COMPUTED_VALUE"""),45521.0)</f>
        <v>45521</v>
      </c>
      <c r="G714" s="1164">
        <f>IFERROR(__xludf.DUMMYFUNCTION("""COMPUTED_VALUE"""),2.0)</f>
        <v>2</v>
      </c>
      <c r="H714" s="94"/>
      <c r="I714" s="94">
        <f>IFERROR(__xludf.DUMMYFUNCTION("""COMPUTED_VALUE"""),481.0)</f>
        <v>481</v>
      </c>
      <c r="J714" s="94"/>
      <c r="K714" s="94">
        <f>IFERROR(__xludf.DUMMYFUNCTION("""COMPUTED_VALUE"""),95.0)</f>
        <v>95</v>
      </c>
      <c r="L714" s="94">
        <f>IFERROR(__xludf.DUMMYFUNCTION("""COMPUTED_VALUE"""),95.0)</f>
        <v>95</v>
      </c>
      <c r="M714" s="94">
        <f>IFERROR(__xludf.DUMMYFUNCTION("""COMPUTED_VALUE"""),0.0)</f>
        <v>0</v>
      </c>
      <c r="N714" s="94"/>
      <c r="O714" s="1430">
        <f>IFERROR(__xludf.DUMMYFUNCTION("""COMPUTED_VALUE"""),0.0)</f>
        <v>0</v>
      </c>
      <c r="P714" s="1431">
        <f>IFERROR(__xludf.DUMMYFUNCTION("""COMPUTED_VALUE"""),2.69)</f>
        <v>2.69</v>
      </c>
      <c r="Q714" s="1432">
        <f>IFERROR(__xludf.DUMMYFUNCTION("""COMPUTED_VALUE"""),481.0)</f>
        <v>481</v>
      </c>
    </row>
    <row r="715" ht="15.75" customHeight="1">
      <c r="A715" s="94"/>
      <c r="B715" s="94" t="str">
        <f>IFERROR(__xludf.DUMMYFUNCTION("""COMPUTED_VALUE"""),"DL14-1405")</f>
        <v>DL14-1405</v>
      </c>
      <c r="C715" s="1429" t="str">
        <f>IFERROR(__xludf.DUMMYFUNCTION("""COMPUTED_VALUE"""),"DL")</f>
        <v>DL</v>
      </c>
      <c r="D715" s="1432">
        <f>IFERROR(__xludf.DUMMYFUNCTION("""COMPUTED_VALUE"""),8.0)</f>
        <v>8</v>
      </c>
      <c r="E715" s="1429">
        <f>IFERROR(__xludf.DUMMYFUNCTION("""COMPUTED_VALUE"""),45519.0)</f>
        <v>45519</v>
      </c>
      <c r="F715" s="1429">
        <f>IFERROR(__xludf.DUMMYFUNCTION("""COMPUTED_VALUE"""),45525.0)</f>
        <v>45525</v>
      </c>
      <c r="G715" s="1164">
        <f>IFERROR(__xludf.DUMMYFUNCTION("""COMPUTED_VALUE"""),6.0)</f>
        <v>6</v>
      </c>
      <c r="H715" s="94"/>
      <c r="I715" s="94">
        <f>IFERROR(__xludf.DUMMYFUNCTION("""COMPUTED_VALUE"""),2903.0)</f>
        <v>2903</v>
      </c>
      <c r="J715" s="94"/>
      <c r="K715" s="94">
        <f>IFERROR(__xludf.DUMMYFUNCTION("""COMPUTED_VALUE"""),105.0)</f>
        <v>105</v>
      </c>
      <c r="L715" s="94">
        <f>IFERROR(__xludf.DUMMYFUNCTION("""COMPUTED_VALUE"""),105.0)</f>
        <v>105</v>
      </c>
      <c r="M715" s="94">
        <f>IFERROR(__xludf.DUMMYFUNCTION("""COMPUTED_VALUE"""),0.0)</f>
        <v>0</v>
      </c>
      <c r="N715" s="94"/>
      <c r="O715" s="1430">
        <f>IFERROR(__xludf.DUMMYFUNCTION("""COMPUTED_VALUE"""),0.0)</f>
        <v>0</v>
      </c>
      <c r="P715" s="1431">
        <f>IFERROR(__xludf.DUMMYFUNCTION("""COMPUTED_VALUE"""),2.69)</f>
        <v>2.69</v>
      </c>
      <c r="Q715" s="1432">
        <f>IFERROR(__xludf.DUMMYFUNCTION("""COMPUTED_VALUE"""),2903.0)</f>
        <v>2903</v>
      </c>
    </row>
    <row r="716" ht="15.75" customHeight="1">
      <c r="A716" s="94"/>
      <c r="B716" s="94" t="str">
        <f>IFERROR(__xludf.DUMMYFUNCTION("""COMPUTED_VALUE"""),"14-411")</f>
        <v>14-411</v>
      </c>
      <c r="C716" s="1429" t="str">
        <f>IFERROR(__xludf.DUMMYFUNCTION("""COMPUTED_VALUE"""),"DL")</f>
        <v>DL</v>
      </c>
      <c r="D716" s="1432">
        <f>IFERROR(__xludf.DUMMYFUNCTION("""COMPUTED_VALUE"""),8.0)</f>
        <v>8</v>
      </c>
      <c r="E716" s="1429">
        <f>IFERROR(__xludf.DUMMYFUNCTION("""COMPUTED_VALUE"""),45520.0)</f>
        <v>45520</v>
      </c>
      <c r="F716" s="1429">
        <f>IFERROR(__xludf.DUMMYFUNCTION("""COMPUTED_VALUE"""),45523.0)</f>
        <v>45523</v>
      </c>
      <c r="G716" s="1164">
        <f>IFERROR(__xludf.DUMMYFUNCTION("""COMPUTED_VALUE"""),3.0)</f>
        <v>3</v>
      </c>
      <c r="H716" s="1430">
        <f>IFERROR(__xludf.DUMMYFUNCTION("""COMPUTED_VALUE"""),245.0)</f>
        <v>245</v>
      </c>
      <c r="I716" s="94">
        <f>IFERROR(__xludf.DUMMYFUNCTION("""COMPUTED_VALUE"""),0.0)</f>
        <v>0</v>
      </c>
      <c r="J716" s="94"/>
      <c r="K716" s="94">
        <f>IFERROR(__xludf.DUMMYFUNCTION("""COMPUTED_VALUE"""),95.0)</f>
        <v>95</v>
      </c>
      <c r="L716" s="94">
        <f>IFERROR(__xludf.DUMMYFUNCTION("""COMPUTED_VALUE"""),95.0)</f>
        <v>95</v>
      </c>
      <c r="M716" s="94">
        <f>IFERROR(__xludf.DUMMYFUNCTION("""COMPUTED_VALUE"""),0.0)</f>
        <v>0</v>
      </c>
      <c r="N716" s="94"/>
      <c r="O716" s="1430">
        <f>IFERROR(__xludf.DUMMYFUNCTION("""COMPUTED_VALUE"""),0.0)</f>
        <v>0</v>
      </c>
      <c r="P716" s="1431">
        <f>IFERROR(__xludf.DUMMYFUNCTION("""COMPUTED_VALUE"""),2.69)</f>
        <v>2.69</v>
      </c>
      <c r="Q716" s="1432">
        <f>IFERROR(__xludf.DUMMYFUNCTION("""COMPUTED_VALUE"""),659.05)</f>
        <v>659.05</v>
      </c>
    </row>
    <row r="717" ht="15.75" customHeight="1">
      <c r="A717" s="94"/>
      <c r="B717" s="94" t="str">
        <f>IFERROR(__xludf.DUMMYFUNCTION("""COMPUTED_VALUE"""),"CM 1931")</f>
        <v>CM 1931</v>
      </c>
      <c r="C717" s="1429" t="str">
        <f>IFERROR(__xludf.DUMMYFUNCTION("""COMPUTED_VALUE"""),"MAR")</f>
        <v>MAR</v>
      </c>
      <c r="D717" s="1432">
        <f>IFERROR(__xludf.DUMMYFUNCTION("""COMPUTED_VALUE"""),8.0)</f>
        <v>8</v>
      </c>
      <c r="E717" s="1429">
        <f>IFERROR(__xludf.DUMMYFUNCTION("""COMPUTED_VALUE"""),45520.0)</f>
        <v>45520</v>
      </c>
      <c r="F717" s="1429">
        <f>IFERROR(__xludf.DUMMYFUNCTION("""COMPUTED_VALUE"""),45522.0)</f>
        <v>45522</v>
      </c>
      <c r="G717" s="1164">
        <f>IFERROR(__xludf.DUMMYFUNCTION("""COMPUTED_VALUE"""),2.0)</f>
        <v>2</v>
      </c>
      <c r="H717" s="1430">
        <f>IFERROR(__xludf.DUMMYFUNCTION("""COMPUTED_VALUE"""),99.0)</f>
        <v>99</v>
      </c>
      <c r="I717" s="94">
        <f>IFERROR(__xludf.DUMMYFUNCTION("""COMPUTED_VALUE"""),0.0)</f>
        <v>0</v>
      </c>
      <c r="J717" s="94"/>
      <c r="K717" s="94">
        <f>IFERROR(__xludf.DUMMYFUNCTION("""COMPUTED_VALUE"""),60.0)</f>
        <v>60</v>
      </c>
      <c r="L717" s="94">
        <f>IFERROR(__xludf.DUMMYFUNCTION("""COMPUTED_VALUE"""),40.0)</f>
        <v>40</v>
      </c>
      <c r="M717" s="94">
        <f>IFERROR(__xludf.DUMMYFUNCTION("""COMPUTED_VALUE"""),20.0)</f>
        <v>20</v>
      </c>
      <c r="N717" s="94"/>
      <c r="O717" s="1430">
        <f>IFERROR(__xludf.DUMMYFUNCTION("""COMPUTED_VALUE"""),20.0)</f>
        <v>20</v>
      </c>
      <c r="P717" s="1431">
        <f>IFERROR(__xludf.DUMMYFUNCTION("""COMPUTED_VALUE"""),2.69)</f>
        <v>2.69</v>
      </c>
      <c r="Q717" s="1432">
        <f>IFERROR(__xludf.DUMMYFUNCTION("""COMPUTED_VALUE"""),266.31)</f>
        <v>266.31</v>
      </c>
    </row>
    <row r="718" ht="15.75" customHeight="1">
      <c r="A718" s="94"/>
      <c r="B718" s="94" t="str">
        <f>IFERROR(__xludf.DUMMYFUNCTION("""COMPUTED_VALUE"""),"WS A 1312")</f>
        <v>WS A 1312</v>
      </c>
      <c r="C718" s="1429" t="str">
        <f>IFERROR(__xludf.DUMMYFUNCTION("""COMPUTED_VALUE"""),"WS")</f>
        <v>WS</v>
      </c>
      <c r="D718" s="1432">
        <f>IFERROR(__xludf.DUMMYFUNCTION("""COMPUTED_VALUE"""),8.0)</f>
        <v>8</v>
      </c>
      <c r="E718" s="1429">
        <f>IFERROR(__xludf.DUMMYFUNCTION("""COMPUTED_VALUE"""),45520.0)</f>
        <v>45520</v>
      </c>
      <c r="F718" s="1429">
        <f>IFERROR(__xludf.DUMMYFUNCTION("""COMPUTED_VALUE"""),45522.0)</f>
        <v>45522</v>
      </c>
      <c r="G718" s="1164">
        <f>IFERROR(__xludf.DUMMYFUNCTION("""COMPUTED_VALUE"""),2.0)</f>
        <v>2</v>
      </c>
      <c r="H718" s="1430">
        <f>IFERROR(__xludf.DUMMYFUNCTION("""COMPUTED_VALUE"""),112.0)</f>
        <v>112</v>
      </c>
      <c r="I718" s="94"/>
      <c r="J718" s="94"/>
      <c r="K718" s="94">
        <f>IFERROR(__xludf.DUMMYFUNCTION("""COMPUTED_VALUE"""),60.0)</f>
        <v>60</v>
      </c>
      <c r="L718" s="94">
        <f>IFERROR(__xludf.DUMMYFUNCTION("""COMPUTED_VALUE"""),40.0)</f>
        <v>40</v>
      </c>
      <c r="M718" s="94">
        <f>IFERROR(__xludf.DUMMYFUNCTION("""COMPUTED_VALUE"""),20.0)</f>
        <v>20</v>
      </c>
      <c r="N718" s="94"/>
      <c r="O718" s="1430">
        <f>IFERROR(__xludf.DUMMYFUNCTION("""COMPUTED_VALUE"""),20.0)</f>
        <v>20</v>
      </c>
      <c r="P718" s="1431">
        <f>IFERROR(__xludf.DUMMYFUNCTION("""COMPUTED_VALUE"""),2.69)</f>
        <v>2.69</v>
      </c>
      <c r="Q718" s="1432">
        <f>IFERROR(__xludf.DUMMYFUNCTION("""COMPUTED_VALUE"""),301.28)</f>
        <v>301.28</v>
      </c>
    </row>
    <row r="719" ht="15.75" customHeight="1">
      <c r="A719" s="94"/>
      <c r="B719" s="94" t="str">
        <f>IFERROR(__xludf.DUMMYFUNCTION("""COMPUTED_VALUE"""),"WS A907")</f>
        <v>WS A907</v>
      </c>
      <c r="C719" s="1429" t="str">
        <f>IFERROR(__xludf.DUMMYFUNCTION("""COMPUTED_VALUE"""),"WS")</f>
        <v>WS</v>
      </c>
      <c r="D719" s="1432">
        <f>IFERROR(__xludf.DUMMYFUNCTION("""COMPUTED_VALUE"""),8.0)</f>
        <v>8</v>
      </c>
      <c r="E719" s="1429">
        <f>IFERROR(__xludf.DUMMYFUNCTION("""COMPUTED_VALUE"""),45520.0)</f>
        <v>45520</v>
      </c>
      <c r="F719" s="1429">
        <f>IFERROR(__xludf.DUMMYFUNCTION("""COMPUTED_VALUE"""),45524.0)</f>
        <v>45524</v>
      </c>
      <c r="G719" s="1164">
        <f>IFERROR(__xludf.DUMMYFUNCTION("""COMPUTED_VALUE"""),4.0)</f>
        <v>4</v>
      </c>
      <c r="H719" s="1430">
        <f>IFERROR(__xludf.DUMMYFUNCTION("""COMPUTED_VALUE"""),193.5)</f>
        <v>193.5</v>
      </c>
      <c r="I719" s="94"/>
      <c r="J719" s="94"/>
      <c r="K719" s="94">
        <f>IFERROR(__xludf.DUMMYFUNCTION("""COMPUTED_VALUE"""),60.0)</f>
        <v>60</v>
      </c>
      <c r="L719" s="94">
        <f>IFERROR(__xludf.DUMMYFUNCTION("""COMPUTED_VALUE"""),40.0)</f>
        <v>40</v>
      </c>
      <c r="M719" s="94">
        <f>IFERROR(__xludf.DUMMYFUNCTION("""COMPUTED_VALUE"""),20.0)</f>
        <v>20</v>
      </c>
      <c r="N719" s="94"/>
      <c r="O719" s="1430">
        <f>IFERROR(__xludf.DUMMYFUNCTION("""COMPUTED_VALUE"""),20.0)</f>
        <v>20</v>
      </c>
      <c r="P719" s="1431">
        <f>IFERROR(__xludf.DUMMYFUNCTION("""COMPUTED_VALUE"""),2.69)</f>
        <v>2.69</v>
      </c>
      <c r="Q719" s="1432">
        <f>IFERROR(__xludf.DUMMYFUNCTION("""COMPUTED_VALUE"""),520.515)</f>
        <v>520.515</v>
      </c>
    </row>
    <row r="720" ht="15.75" customHeight="1">
      <c r="A720" s="94"/>
      <c r="B720" s="94" t="str">
        <f>IFERROR(__xludf.DUMMYFUNCTION("""COMPUTED_VALUE"""),"WS E1405")</f>
        <v>WS E1405</v>
      </c>
      <c r="C720" s="1429" t="str">
        <f>IFERROR(__xludf.DUMMYFUNCTION("""COMPUTED_VALUE"""),"WS")</f>
        <v>WS</v>
      </c>
      <c r="D720" s="1432">
        <f>IFERROR(__xludf.DUMMYFUNCTION("""COMPUTED_VALUE"""),8.0)</f>
        <v>8</v>
      </c>
      <c r="E720" s="1429">
        <f>IFERROR(__xludf.DUMMYFUNCTION("""COMPUTED_VALUE"""),45520.0)</f>
        <v>45520</v>
      </c>
      <c r="F720" s="1429">
        <f>IFERROR(__xludf.DUMMYFUNCTION("""COMPUTED_VALUE"""),45522.0)</f>
        <v>45522</v>
      </c>
      <c r="G720" s="1164">
        <f>IFERROR(__xludf.DUMMYFUNCTION("""COMPUTED_VALUE"""),2.0)</f>
        <v>2</v>
      </c>
      <c r="H720" s="1430">
        <f>IFERROR(__xludf.DUMMYFUNCTION("""COMPUTED_VALUE"""),113.0)</f>
        <v>113</v>
      </c>
      <c r="I720" s="94"/>
      <c r="J720" s="94"/>
      <c r="K720" s="94">
        <f>IFERROR(__xludf.DUMMYFUNCTION("""COMPUTED_VALUE"""),60.0)</f>
        <v>60</v>
      </c>
      <c r="L720" s="94">
        <f>IFERROR(__xludf.DUMMYFUNCTION("""COMPUTED_VALUE"""),40.0)</f>
        <v>40</v>
      </c>
      <c r="M720" s="94">
        <f>IFERROR(__xludf.DUMMYFUNCTION("""COMPUTED_VALUE"""),20.0)</f>
        <v>20</v>
      </c>
      <c r="N720" s="94"/>
      <c r="O720" s="1430">
        <f>IFERROR(__xludf.DUMMYFUNCTION("""COMPUTED_VALUE"""),20.0)</f>
        <v>20</v>
      </c>
      <c r="P720" s="1431">
        <f>IFERROR(__xludf.DUMMYFUNCTION("""COMPUTED_VALUE"""),2.69)</f>
        <v>2.69</v>
      </c>
      <c r="Q720" s="1432">
        <f>IFERROR(__xludf.DUMMYFUNCTION("""COMPUTED_VALUE"""),303.96999999999997)</f>
        <v>303.97</v>
      </c>
    </row>
    <row r="721" ht="15.75" customHeight="1">
      <c r="A721" s="94"/>
      <c r="B721" s="94" t="str">
        <f>IFERROR(__xludf.DUMMYFUNCTION("""COMPUTED_VALUE"""),"WS A 713")</f>
        <v>WS A 713</v>
      </c>
      <c r="C721" s="1429" t="str">
        <f>IFERROR(__xludf.DUMMYFUNCTION("""COMPUTED_VALUE"""),"WS")</f>
        <v>WS</v>
      </c>
      <c r="D721" s="1432">
        <f>IFERROR(__xludf.DUMMYFUNCTION("""COMPUTED_VALUE"""),8.0)</f>
        <v>8</v>
      </c>
      <c r="E721" s="1429">
        <f>IFERROR(__xludf.DUMMYFUNCTION("""COMPUTED_VALUE"""),45520.0)</f>
        <v>45520</v>
      </c>
      <c r="F721" s="1429">
        <f>IFERROR(__xludf.DUMMYFUNCTION("""COMPUTED_VALUE"""),45522.0)</f>
        <v>45522</v>
      </c>
      <c r="G721" s="1164">
        <f>IFERROR(__xludf.DUMMYFUNCTION("""COMPUTED_VALUE"""),2.0)</f>
        <v>2</v>
      </c>
      <c r="H721" s="1430">
        <f>IFERROR(__xludf.DUMMYFUNCTION("""COMPUTED_VALUE"""),121.0)</f>
        <v>121</v>
      </c>
      <c r="I721" s="94"/>
      <c r="J721" s="94"/>
      <c r="K721" s="94">
        <f>IFERROR(__xludf.DUMMYFUNCTION("""COMPUTED_VALUE"""),60.0)</f>
        <v>60</v>
      </c>
      <c r="L721" s="94">
        <f>IFERROR(__xludf.DUMMYFUNCTION("""COMPUTED_VALUE"""),40.0)</f>
        <v>40</v>
      </c>
      <c r="M721" s="94">
        <f>IFERROR(__xludf.DUMMYFUNCTION("""COMPUTED_VALUE"""),20.0)</f>
        <v>20</v>
      </c>
      <c r="N721" s="94"/>
      <c r="O721" s="1430">
        <f>IFERROR(__xludf.DUMMYFUNCTION("""COMPUTED_VALUE"""),20.0)</f>
        <v>20</v>
      </c>
      <c r="P721" s="1431">
        <f>IFERROR(__xludf.DUMMYFUNCTION("""COMPUTED_VALUE"""),2.69)</f>
        <v>2.69</v>
      </c>
      <c r="Q721" s="1432">
        <f>IFERROR(__xludf.DUMMYFUNCTION("""COMPUTED_VALUE"""),325.49)</f>
        <v>325.49</v>
      </c>
    </row>
    <row r="722" ht="15.75" customHeight="1">
      <c r="A722" s="94"/>
      <c r="B722" s="94" t="str">
        <f>IFERROR(__xludf.DUMMYFUNCTION("""COMPUTED_VALUE"""),"WS В 503")</f>
        <v>WS В 503</v>
      </c>
      <c r="C722" s="1429" t="str">
        <f>IFERROR(__xludf.DUMMYFUNCTION("""COMPUTED_VALUE"""),"WS")</f>
        <v>WS</v>
      </c>
      <c r="D722" s="1432">
        <f>IFERROR(__xludf.DUMMYFUNCTION("""COMPUTED_VALUE"""),8.0)</f>
        <v>8</v>
      </c>
      <c r="E722" s="1429">
        <f>IFERROR(__xludf.DUMMYFUNCTION("""COMPUTED_VALUE"""),45521.0)</f>
        <v>45521</v>
      </c>
      <c r="F722" s="1429">
        <f>IFERROR(__xludf.DUMMYFUNCTION("""COMPUTED_VALUE"""),45524.0)</f>
        <v>45524</v>
      </c>
      <c r="G722" s="1164">
        <f>IFERROR(__xludf.DUMMYFUNCTION("""COMPUTED_VALUE"""),3.0)</f>
        <v>3</v>
      </c>
      <c r="H722" s="94"/>
      <c r="I722" s="94">
        <f>IFERROR(__xludf.DUMMYFUNCTION("""COMPUTED_VALUE"""),947.0)</f>
        <v>947</v>
      </c>
      <c r="J722" s="94"/>
      <c r="K722" s="94">
        <f>IFERROR(__xludf.DUMMYFUNCTION("""COMPUTED_VALUE"""),70.0)</f>
        <v>70</v>
      </c>
      <c r="L722" s="94">
        <f>IFERROR(__xludf.DUMMYFUNCTION("""COMPUTED_VALUE"""),40.0)</f>
        <v>40</v>
      </c>
      <c r="M722" s="94">
        <f>IFERROR(__xludf.DUMMYFUNCTION("""COMPUTED_VALUE"""),30.0)</f>
        <v>30</v>
      </c>
      <c r="N722" s="94"/>
      <c r="O722" s="1430">
        <f>IFERROR(__xludf.DUMMYFUNCTION("""COMPUTED_VALUE"""),30.0)</f>
        <v>30</v>
      </c>
      <c r="P722" s="1431">
        <f>IFERROR(__xludf.DUMMYFUNCTION("""COMPUTED_VALUE"""),2.69)</f>
        <v>2.69</v>
      </c>
      <c r="Q722" s="1432">
        <f>IFERROR(__xludf.DUMMYFUNCTION("""COMPUTED_VALUE"""),947.0)</f>
        <v>947</v>
      </c>
    </row>
    <row r="723" ht="15.75" customHeight="1">
      <c r="A723" s="94"/>
      <c r="B723" s="94" t="str">
        <f>IFERROR(__xludf.DUMMYFUNCTION("""COMPUTED_VALUE"""),"Wyn")</f>
        <v>Wyn</v>
      </c>
      <c r="C723" s="1429" t="str">
        <f>IFERROR(__xludf.DUMMYFUNCTION("""COMPUTED_VALUE"""),"Other")</f>
        <v>Other</v>
      </c>
      <c r="D723" s="1432">
        <f>IFERROR(__xludf.DUMMYFUNCTION("""COMPUTED_VALUE"""),8.0)</f>
        <v>8</v>
      </c>
      <c r="E723" s="1429">
        <f>IFERROR(__xludf.DUMMYFUNCTION("""COMPUTED_VALUE"""),45521.0)</f>
        <v>45521</v>
      </c>
      <c r="F723" s="1429">
        <f>IFERROR(__xludf.DUMMYFUNCTION("""COMPUTED_VALUE"""),45535.0)</f>
        <v>45535</v>
      </c>
      <c r="G723" s="1164">
        <f>IFERROR(__xludf.DUMMYFUNCTION("""COMPUTED_VALUE"""),14.0)</f>
        <v>14</v>
      </c>
      <c r="H723" s="1430">
        <f>IFERROR(__xludf.DUMMYFUNCTION("""COMPUTED_VALUE"""),560.0)</f>
        <v>560</v>
      </c>
      <c r="I723" s="94">
        <f>IFERROR(__xludf.DUMMYFUNCTION("""COMPUTED_VALUE"""),0.0)</f>
        <v>0</v>
      </c>
      <c r="J723" s="94"/>
      <c r="K723" s="94">
        <f>IFERROR(__xludf.DUMMYFUNCTION("""COMPUTED_VALUE"""),70.0)</f>
        <v>70</v>
      </c>
      <c r="L723" s="94">
        <f>IFERROR(__xludf.DUMMYFUNCTION("""COMPUTED_VALUE"""),40.0)</f>
        <v>40</v>
      </c>
      <c r="M723" s="94">
        <f>IFERROR(__xludf.DUMMYFUNCTION("""COMPUTED_VALUE"""),30.0)</f>
        <v>30</v>
      </c>
      <c r="N723" s="94"/>
      <c r="O723" s="1430">
        <f>IFERROR(__xludf.DUMMYFUNCTION("""COMPUTED_VALUE"""),30.0)</f>
        <v>30</v>
      </c>
      <c r="P723" s="1431">
        <f>IFERROR(__xludf.DUMMYFUNCTION("""COMPUTED_VALUE"""),2.69)</f>
        <v>2.69</v>
      </c>
      <c r="Q723" s="1432">
        <f>IFERROR(__xludf.DUMMYFUNCTION("""COMPUTED_VALUE"""),1506.3999999999999)</f>
        <v>1506.4</v>
      </c>
    </row>
    <row r="724" ht="15.75" customHeight="1">
      <c r="A724" s="94"/>
      <c r="B724" s="94" t="str">
        <f>IFERROR(__xludf.DUMMYFUNCTION("""COMPUTED_VALUE"""),"DL 4-09")</f>
        <v>DL 4-09</v>
      </c>
      <c r="C724" s="1429" t="str">
        <f>IFERROR(__xludf.DUMMYFUNCTION("""COMPUTED_VALUE"""),"DL")</f>
        <v>DL</v>
      </c>
      <c r="D724" s="1432">
        <f>IFERROR(__xludf.DUMMYFUNCTION("""COMPUTED_VALUE"""),8.0)</f>
        <v>8</v>
      </c>
      <c r="E724" s="1429">
        <f>IFERROR(__xludf.DUMMYFUNCTION("""COMPUTED_VALUE"""),45521.0)</f>
        <v>45521</v>
      </c>
      <c r="F724" s="1429">
        <f>IFERROR(__xludf.DUMMYFUNCTION("""COMPUTED_VALUE"""),45525.0)</f>
        <v>45525</v>
      </c>
      <c r="G724" s="1164">
        <f>IFERROR(__xludf.DUMMYFUNCTION("""COMPUTED_VALUE"""),4.0)</f>
        <v>4</v>
      </c>
      <c r="H724" s="1430">
        <f>IFERROR(__xludf.DUMMYFUNCTION("""COMPUTED_VALUE"""),490.0)</f>
        <v>490</v>
      </c>
      <c r="I724" s="94"/>
      <c r="J724" s="94"/>
      <c r="K724" s="94">
        <f>IFERROR(__xludf.DUMMYFUNCTION("""COMPUTED_VALUE"""),95.0)</f>
        <v>95</v>
      </c>
      <c r="L724" s="94">
        <f>IFERROR(__xludf.DUMMYFUNCTION("""COMPUTED_VALUE"""),95.0)</f>
        <v>95</v>
      </c>
      <c r="M724" s="94">
        <f>IFERROR(__xludf.DUMMYFUNCTION("""COMPUTED_VALUE"""),0.0)</f>
        <v>0</v>
      </c>
      <c r="N724" s="94"/>
      <c r="O724" s="1430">
        <f>IFERROR(__xludf.DUMMYFUNCTION("""COMPUTED_VALUE"""),0.0)</f>
        <v>0</v>
      </c>
      <c r="P724" s="1431">
        <f>IFERROR(__xludf.DUMMYFUNCTION("""COMPUTED_VALUE"""),2.69)</f>
        <v>2.69</v>
      </c>
      <c r="Q724" s="1432">
        <f>IFERROR(__xludf.DUMMYFUNCTION("""COMPUTED_VALUE"""),1318.1)</f>
        <v>1318.1</v>
      </c>
    </row>
    <row r="725" ht="15.75" customHeight="1">
      <c r="A725" s="94"/>
      <c r="B725" s="94" t="str">
        <f>IFERROR(__xludf.DUMMYFUNCTION("""COMPUTED_VALUE"""),"DL 14-516")</f>
        <v>DL 14-516</v>
      </c>
      <c r="C725" s="1429" t="str">
        <f>IFERROR(__xludf.DUMMYFUNCTION("""COMPUTED_VALUE"""),"DL")</f>
        <v>DL</v>
      </c>
      <c r="D725" s="1432">
        <f>IFERROR(__xludf.DUMMYFUNCTION("""COMPUTED_VALUE"""),8.0)</f>
        <v>8</v>
      </c>
      <c r="E725" s="1429">
        <f>IFERROR(__xludf.DUMMYFUNCTION("""COMPUTED_VALUE"""),45521.0)</f>
        <v>45521</v>
      </c>
      <c r="F725" s="1429">
        <f>IFERROR(__xludf.DUMMYFUNCTION("""COMPUTED_VALUE"""),45524.0)</f>
        <v>45524</v>
      </c>
      <c r="G725" s="1164">
        <f>IFERROR(__xludf.DUMMYFUNCTION("""COMPUTED_VALUE"""),3.0)</f>
        <v>3</v>
      </c>
      <c r="H725" s="1430">
        <f>IFERROR(__xludf.DUMMYFUNCTION("""COMPUTED_VALUE"""),457.22)</f>
        <v>457.22</v>
      </c>
      <c r="I725" s="94"/>
      <c r="J725" s="94"/>
      <c r="K725" s="94">
        <f>IFERROR(__xludf.DUMMYFUNCTION("""COMPUTED_VALUE"""),105.0)</f>
        <v>105</v>
      </c>
      <c r="L725" s="94">
        <f>IFERROR(__xludf.DUMMYFUNCTION("""COMPUTED_VALUE"""),105.0)</f>
        <v>105</v>
      </c>
      <c r="M725" s="94">
        <f>IFERROR(__xludf.DUMMYFUNCTION("""COMPUTED_VALUE"""),0.0)</f>
        <v>0</v>
      </c>
      <c r="N725" s="94"/>
      <c r="O725" s="1430">
        <f>IFERROR(__xludf.DUMMYFUNCTION("""COMPUTED_VALUE"""),0.0)</f>
        <v>0</v>
      </c>
      <c r="P725" s="1431">
        <f>IFERROR(__xludf.DUMMYFUNCTION("""COMPUTED_VALUE"""),2.69)</f>
        <v>2.69</v>
      </c>
      <c r="Q725" s="1432">
        <f>IFERROR(__xludf.DUMMYFUNCTION("""COMPUTED_VALUE"""),1229.9218)</f>
        <v>1229.9218</v>
      </c>
    </row>
    <row r="726" ht="15.75" customHeight="1">
      <c r="A726" s="94"/>
      <c r="B726" s="94" t="str">
        <f>IFERROR(__xludf.DUMMYFUNCTION("""COMPUTED_VALUE"""),"DL14-1707")</f>
        <v>DL14-1707</v>
      </c>
      <c r="C726" s="1429" t="str">
        <f>IFERROR(__xludf.DUMMYFUNCTION("""COMPUTED_VALUE"""),"DL")</f>
        <v>DL</v>
      </c>
      <c r="D726" s="1432">
        <f>IFERROR(__xludf.DUMMYFUNCTION("""COMPUTED_VALUE"""),8.0)</f>
        <v>8</v>
      </c>
      <c r="E726" s="1429">
        <f>IFERROR(__xludf.DUMMYFUNCTION("""COMPUTED_VALUE"""),45521.0)</f>
        <v>45521</v>
      </c>
      <c r="F726" s="1429">
        <f>IFERROR(__xludf.DUMMYFUNCTION("""COMPUTED_VALUE"""),45525.0)</f>
        <v>45525</v>
      </c>
      <c r="G726" s="1164">
        <f>IFERROR(__xludf.DUMMYFUNCTION("""COMPUTED_VALUE"""),4.0)</f>
        <v>4</v>
      </c>
      <c r="H726" s="94"/>
      <c r="I726" s="94">
        <f>IFERROR(__xludf.DUMMYFUNCTION("""COMPUTED_VALUE"""),1787.0)</f>
        <v>1787</v>
      </c>
      <c r="J726" s="94"/>
      <c r="K726" s="94">
        <f>IFERROR(__xludf.DUMMYFUNCTION("""COMPUTED_VALUE"""),95.0)</f>
        <v>95</v>
      </c>
      <c r="L726" s="94">
        <f>IFERROR(__xludf.DUMMYFUNCTION("""COMPUTED_VALUE"""),95.0)</f>
        <v>95</v>
      </c>
      <c r="M726" s="94">
        <f>IFERROR(__xludf.DUMMYFUNCTION("""COMPUTED_VALUE"""),0.0)</f>
        <v>0</v>
      </c>
      <c r="N726" s="94"/>
      <c r="O726" s="1430">
        <f>IFERROR(__xludf.DUMMYFUNCTION("""COMPUTED_VALUE"""),0.0)</f>
        <v>0</v>
      </c>
      <c r="P726" s="1431">
        <f>IFERROR(__xludf.DUMMYFUNCTION("""COMPUTED_VALUE"""),2.69)</f>
        <v>2.69</v>
      </c>
      <c r="Q726" s="1432">
        <f>IFERROR(__xludf.DUMMYFUNCTION("""COMPUTED_VALUE"""),1787.0)</f>
        <v>1787</v>
      </c>
    </row>
    <row r="727" ht="15.75" customHeight="1">
      <c r="A727" s="94"/>
      <c r="B727" s="94" t="str">
        <f>IFERROR(__xludf.DUMMYFUNCTION("""COMPUTED_VALUE"""),"DL14-518")</f>
        <v>DL14-518</v>
      </c>
      <c r="C727" s="1429" t="str">
        <f>IFERROR(__xludf.DUMMYFUNCTION("""COMPUTED_VALUE"""),"DL")</f>
        <v>DL</v>
      </c>
      <c r="D727" s="1432">
        <f>IFERROR(__xludf.DUMMYFUNCTION("""COMPUTED_VALUE"""),8.0)</f>
        <v>8</v>
      </c>
      <c r="E727" s="1429">
        <f>IFERROR(__xludf.DUMMYFUNCTION("""COMPUTED_VALUE"""),45521.0)</f>
        <v>45521</v>
      </c>
      <c r="F727" s="1429">
        <f>IFERROR(__xludf.DUMMYFUNCTION("""COMPUTED_VALUE"""),45525.0)</f>
        <v>45525</v>
      </c>
      <c r="G727" s="1164">
        <f>IFERROR(__xludf.DUMMYFUNCTION("""COMPUTED_VALUE"""),4.0)</f>
        <v>4</v>
      </c>
      <c r="H727" s="94"/>
      <c r="I727" s="94">
        <f>IFERROR(__xludf.DUMMYFUNCTION("""COMPUTED_VALUE"""),1460.0)</f>
        <v>1460</v>
      </c>
      <c r="J727" s="94"/>
      <c r="K727" s="94">
        <f>IFERROR(__xludf.DUMMYFUNCTION("""COMPUTED_VALUE"""),105.0)</f>
        <v>105</v>
      </c>
      <c r="L727" s="94">
        <f>IFERROR(__xludf.DUMMYFUNCTION("""COMPUTED_VALUE"""),105.0)</f>
        <v>105</v>
      </c>
      <c r="M727" s="94">
        <f>IFERROR(__xludf.DUMMYFUNCTION("""COMPUTED_VALUE"""),0.0)</f>
        <v>0</v>
      </c>
      <c r="N727" s="94"/>
      <c r="O727" s="1430">
        <f>IFERROR(__xludf.DUMMYFUNCTION("""COMPUTED_VALUE"""),0.0)</f>
        <v>0</v>
      </c>
      <c r="P727" s="1431">
        <f>IFERROR(__xludf.DUMMYFUNCTION("""COMPUTED_VALUE"""),2.69)</f>
        <v>2.69</v>
      </c>
      <c r="Q727" s="1432">
        <f>IFERROR(__xludf.DUMMYFUNCTION("""COMPUTED_VALUE"""),1460.0)</f>
        <v>1460</v>
      </c>
    </row>
    <row r="728" ht="15.75" customHeight="1">
      <c r="A728" s="94"/>
      <c r="B728" s="94" t="str">
        <f>IFERROR(__xludf.DUMMYFUNCTION("""COMPUTED_VALUE"""),"DL 11-1305")</f>
        <v>DL 11-1305</v>
      </c>
      <c r="C728" s="1429" t="str">
        <f>IFERROR(__xludf.DUMMYFUNCTION("""COMPUTED_VALUE"""),"DL")</f>
        <v>DL</v>
      </c>
      <c r="D728" s="1432">
        <f>IFERROR(__xludf.DUMMYFUNCTION("""COMPUTED_VALUE"""),8.0)</f>
        <v>8</v>
      </c>
      <c r="E728" s="1429">
        <f>IFERROR(__xludf.DUMMYFUNCTION("""COMPUTED_VALUE"""),45521.0)</f>
        <v>45521</v>
      </c>
      <c r="F728" s="1429">
        <f>IFERROR(__xludf.DUMMYFUNCTION("""COMPUTED_VALUE"""),45526.0)</f>
        <v>45526</v>
      </c>
      <c r="G728" s="1164">
        <f>IFERROR(__xludf.DUMMYFUNCTION("""COMPUTED_VALUE"""),5.0)</f>
        <v>5</v>
      </c>
      <c r="H728" s="1430">
        <f>IFERROR(__xludf.DUMMYFUNCTION("""COMPUTED_VALUE"""),722.0)</f>
        <v>722</v>
      </c>
      <c r="I728" s="94">
        <f>IFERROR(__xludf.DUMMYFUNCTION("""COMPUTED_VALUE"""),0.0)</f>
        <v>0</v>
      </c>
      <c r="J728" s="94"/>
      <c r="K728" s="94">
        <f>IFERROR(__xludf.DUMMYFUNCTION("""COMPUTED_VALUE"""),105.0)</f>
        <v>105</v>
      </c>
      <c r="L728" s="94">
        <f>IFERROR(__xludf.DUMMYFUNCTION("""COMPUTED_VALUE"""),105.0)</f>
        <v>105</v>
      </c>
      <c r="M728" s="94">
        <f>IFERROR(__xludf.DUMMYFUNCTION("""COMPUTED_VALUE"""),0.0)</f>
        <v>0</v>
      </c>
      <c r="N728" s="94"/>
      <c r="O728" s="1430">
        <f>IFERROR(__xludf.DUMMYFUNCTION("""COMPUTED_VALUE"""),0.0)</f>
        <v>0</v>
      </c>
      <c r="P728" s="1431">
        <f>IFERROR(__xludf.DUMMYFUNCTION("""COMPUTED_VALUE"""),2.69)</f>
        <v>2.69</v>
      </c>
      <c r="Q728" s="1432">
        <f>IFERROR(__xludf.DUMMYFUNCTION("""COMPUTED_VALUE"""),1942.18)</f>
        <v>1942.18</v>
      </c>
    </row>
    <row r="729" ht="15.75" customHeight="1">
      <c r="A729" s="94"/>
      <c r="B729" s="94" t="str">
        <f>IFERROR(__xludf.DUMMYFUNCTION("""COMPUTED_VALUE"""),"C 4245")</f>
        <v>C 4245</v>
      </c>
      <c r="C729" s="1429" t="str">
        <f>IFERROR(__xludf.DUMMYFUNCTION("""COMPUTED_VALUE"""),"ORBI")</f>
        <v>ORBI</v>
      </c>
      <c r="D729" s="1432">
        <f>IFERROR(__xludf.DUMMYFUNCTION("""COMPUTED_VALUE"""),8.0)</f>
        <v>8</v>
      </c>
      <c r="E729" s="1429">
        <f>IFERROR(__xludf.DUMMYFUNCTION("""COMPUTED_VALUE"""),45521.0)</f>
        <v>45521</v>
      </c>
      <c r="F729" s="1429">
        <f>IFERROR(__xludf.DUMMYFUNCTION("""COMPUTED_VALUE"""),45523.0)</f>
        <v>45523</v>
      </c>
      <c r="G729" s="1164">
        <f>IFERROR(__xludf.DUMMYFUNCTION("""COMPUTED_VALUE"""),2.0)</f>
        <v>2</v>
      </c>
      <c r="H729" s="1430">
        <f>IFERROR(__xludf.DUMMYFUNCTION("""COMPUTED_VALUE"""),110.0)</f>
        <v>110</v>
      </c>
      <c r="I729" s="94"/>
      <c r="J729" s="94"/>
      <c r="K729" s="94">
        <f>IFERROR(__xludf.DUMMYFUNCTION("""COMPUTED_VALUE"""),70.0)</f>
        <v>70</v>
      </c>
      <c r="L729" s="94">
        <f>IFERROR(__xludf.DUMMYFUNCTION("""COMPUTED_VALUE"""),40.0)</f>
        <v>40</v>
      </c>
      <c r="M729" s="94">
        <f>IFERROR(__xludf.DUMMYFUNCTION("""COMPUTED_VALUE"""),30.0)</f>
        <v>30</v>
      </c>
      <c r="N729" s="94"/>
      <c r="O729" s="1430">
        <f>IFERROR(__xludf.DUMMYFUNCTION("""COMPUTED_VALUE"""),30.0)</f>
        <v>30</v>
      </c>
      <c r="P729" s="1431">
        <f>IFERROR(__xludf.DUMMYFUNCTION("""COMPUTED_VALUE"""),2.69)</f>
        <v>2.69</v>
      </c>
      <c r="Q729" s="1432">
        <f>IFERROR(__xludf.DUMMYFUNCTION("""COMPUTED_VALUE"""),295.9)</f>
        <v>295.9</v>
      </c>
    </row>
    <row r="730" ht="15.75" customHeight="1">
      <c r="A730" s="94"/>
      <c r="B730" s="94" t="str">
        <f>IFERROR(__xludf.DUMMYFUNCTION("""COMPUTED_VALUE"""),"WS F 907")</f>
        <v>WS F 907</v>
      </c>
      <c r="C730" s="1429" t="str">
        <f>IFERROR(__xludf.DUMMYFUNCTION("""COMPUTED_VALUE"""),"WS")</f>
        <v>WS</v>
      </c>
      <c r="D730" s="1432">
        <f>IFERROR(__xludf.DUMMYFUNCTION("""COMPUTED_VALUE"""),8.0)</f>
        <v>8</v>
      </c>
      <c r="E730" s="1429">
        <f>IFERROR(__xludf.DUMMYFUNCTION("""COMPUTED_VALUE"""),45522.0)</f>
        <v>45522</v>
      </c>
      <c r="F730" s="1429">
        <f>IFERROR(__xludf.DUMMYFUNCTION("""COMPUTED_VALUE"""),45524.0)</f>
        <v>45524</v>
      </c>
      <c r="G730" s="1164">
        <f>IFERROR(__xludf.DUMMYFUNCTION("""COMPUTED_VALUE"""),2.0)</f>
        <v>2</v>
      </c>
      <c r="H730" s="94"/>
      <c r="I730" s="94">
        <f>IFERROR(__xludf.DUMMYFUNCTION("""COMPUTED_VALUE"""),300.0)</f>
        <v>300</v>
      </c>
      <c r="J730" s="94"/>
      <c r="K730" s="94">
        <f>IFERROR(__xludf.DUMMYFUNCTION("""COMPUTED_VALUE"""),60.0)</f>
        <v>60</v>
      </c>
      <c r="L730" s="94">
        <f>IFERROR(__xludf.DUMMYFUNCTION("""COMPUTED_VALUE"""),40.0)</f>
        <v>40</v>
      </c>
      <c r="M730" s="94">
        <f>IFERROR(__xludf.DUMMYFUNCTION("""COMPUTED_VALUE"""),20.0)</f>
        <v>20</v>
      </c>
      <c r="N730" s="94"/>
      <c r="O730" s="1430">
        <f>IFERROR(__xludf.DUMMYFUNCTION("""COMPUTED_VALUE"""),20.0)</f>
        <v>20</v>
      </c>
      <c r="P730" s="1431">
        <f>IFERROR(__xludf.DUMMYFUNCTION("""COMPUTED_VALUE"""),2.69)</f>
        <v>2.69</v>
      </c>
      <c r="Q730" s="1432">
        <f>IFERROR(__xludf.DUMMYFUNCTION("""COMPUTED_VALUE"""),300.0)</f>
        <v>300</v>
      </c>
    </row>
    <row r="731" ht="15.75" customHeight="1">
      <c r="A731" s="94"/>
      <c r="B731" s="94" t="str">
        <f>IFERROR(__xludf.DUMMYFUNCTION("""COMPUTED_VALUE"""),"С 2756")</f>
        <v>С 2756</v>
      </c>
      <c r="C731" s="1429" t="str">
        <f>IFERROR(__xludf.DUMMYFUNCTION("""COMPUTED_VALUE"""),"ORBI")</f>
        <v>ORBI</v>
      </c>
      <c r="D731" s="1432">
        <f>IFERROR(__xludf.DUMMYFUNCTION("""COMPUTED_VALUE"""),8.0)</f>
        <v>8</v>
      </c>
      <c r="E731" s="1429">
        <f>IFERROR(__xludf.DUMMYFUNCTION("""COMPUTED_VALUE"""),45522.0)</f>
        <v>45522</v>
      </c>
      <c r="F731" s="1429">
        <f>IFERROR(__xludf.DUMMYFUNCTION("""COMPUTED_VALUE"""),45529.0)</f>
        <v>45529</v>
      </c>
      <c r="G731" s="1164">
        <f>IFERROR(__xludf.DUMMYFUNCTION("""COMPUTED_VALUE"""),7.0)</f>
        <v>7</v>
      </c>
      <c r="H731" s="1430">
        <f>IFERROR(__xludf.DUMMYFUNCTION("""COMPUTED_VALUE"""),0.0)</f>
        <v>0</v>
      </c>
      <c r="I731" s="94">
        <f>IFERROR(__xludf.DUMMYFUNCTION("""COMPUTED_VALUE"""),910.0)</f>
        <v>910</v>
      </c>
      <c r="J731" s="94"/>
      <c r="K731" s="94">
        <f>IFERROR(__xludf.DUMMYFUNCTION("""COMPUTED_VALUE"""),50.0)</f>
        <v>50</v>
      </c>
      <c r="L731" s="94">
        <f>IFERROR(__xludf.DUMMYFUNCTION("""COMPUTED_VALUE"""),40.0)</f>
        <v>40</v>
      </c>
      <c r="M731" s="94">
        <f>IFERROR(__xludf.DUMMYFUNCTION("""COMPUTED_VALUE"""),10.0)</f>
        <v>10</v>
      </c>
      <c r="N731" s="94"/>
      <c r="O731" s="1430">
        <f>IFERROR(__xludf.DUMMYFUNCTION("""COMPUTED_VALUE"""),10.0)</f>
        <v>10</v>
      </c>
      <c r="P731" s="1431">
        <f>IFERROR(__xludf.DUMMYFUNCTION("""COMPUTED_VALUE"""),2.69)</f>
        <v>2.69</v>
      </c>
      <c r="Q731" s="1432">
        <f>IFERROR(__xludf.DUMMYFUNCTION("""COMPUTED_VALUE"""),910.0)</f>
        <v>910</v>
      </c>
    </row>
    <row r="732" ht="15.75" customHeight="1">
      <c r="A732" s="94"/>
      <c r="B732" s="94" t="str">
        <f>IFERROR(__xludf.DUMMYFUNCTION("""COMPUTED_VALUE"""),"CM 1604")</f>
        <v>CM 1604</v>
      </c>
      <c r="C732" s="1429" t="str">
        <f>IFERROR(__xludf.DUMMYFUNCTION("""COMPUTED_VALUE"""),"MAR")</f>
        <v>MAR</v>
      </c>
      <c r="D732" s="1432">
        <f>IFERROR(__xludf.DUMMYFUNCTION("""COMPUTED_VALUE"""),8.0)</f>
        <v>8</v>
      </c>
      <c r="E732" s="1429">
        <f>IFERROR(__xludf.DUMMYFUNCTION("""COMPUTED_VALUE"""),45522.0)</f>
        <v>45522</v>
      </c>
      <c r="F732" s="1429">
        <f>IFERROR(__xludf.DUMMYFUNCTION("""COMPUTED_VALUE"""),45529.0)</f>
        <v>45529</v>
      </c>
      <c r="G732" s="1164">
        <f>IFERROR(__xludf.DUMMYFUNCTION("""COMPUTED_VALUE"""),7.0)</f>
        <v>7</v>
      </c>
      <c r="H732" s="1430">
        <f>IFERROR(__xludf.DUMMYFUNCTION("""COMPUTED_VALUE"""),560.0)</f>
        <v>560</v>
      </c>
      <c r="I732" s="94">
        <f>IFERROR(__xludf.DUMMYFUNCTION("""COMPUTED_VALUE"""),0.0)</f>
        <v>0</v>
      </c>
      <c r="J732" s="94"/>
      <c r="K732" s="94">
        <f>IFERROR(__xludf.DUMMYFUNCTION("""COMPUTED_VALUE"""),70.0)</f>
        <v>70</v>
      </c>
      <c r="L732" s="94">
        <f>IFERROR(__xludf.DUMMYFUNCTION("""COMPUTED_VALUE"""),40.0)</f>
        <v>40</v>
      </c>
      <c r="M732" s="94">
        <f>IFERROR(__xludf.DUMMYFUNCTION("""COMPUTED_VALUE"""),30.0)</f>
        <v>30</v>
      </c>
      <c r="N732" s="94"/>
      <c r="O732" s="1430">
        <f>IFERROR(__xludf.DUMMYFUNCTION("""COMPUTED_VALUE"""),30.0)</f>
        <v>30</v>
      </c>
      <c r="P732" s="1431">
        <f>IFERROR(__xludf.DUMMYFUNCTION("""COMPUTED_VALUE"""),2.69)</f>
        <v>2.69</v>
      </c>
      <c r="Q732" s="1432">
        <f>IFERROR(__xludf.DUMMYFUNCTION("""COMPUTED_VALUE"""),1506.3999999999999)</f>
        <v>1506.4</v>
      </c>
    </row>
    <row r="733" ht="15.75" customHeight="1">
      <c r="A733" s="94"/>
      <c r="B733" s="94" t="str">
        <f>IFERROR(__xludf.DUMMYFUNCTION("""COMPUTED_VALUE"""),"CM 1931")</f>
        <v>CM 1931</v>
      </c>
      <c r="C733" s="1429" t="str">
        <f>IFERROR(__xludf.DUMMYFUNCTION("""COMPUTED_VALUE"""),"MAR")</f>
        <v>MAR</v>
      </c>
      <c r="D733" s="1432">
        <f>IFERROR(__xludf.DUMMYFUNCTION("""COMPUTED_VALUE"""),8.0)</f>
        <v>8</v>
      </c>
      <c r="E733" s="1429">
        <f>IFERROR(__xludf.DUMMYFUNCTION("""COMPUTED_VALUE"""),45522.0)</f>
        <v>45522</v>
      </c>
      <c r="F733" s="1429">
        <f>IFERROR(__xludf.DUMMYFUNCTION("""COMPUTED_VALUE"""),45527.0)</f>
        <v>45527</v>
      </c>
      <c r="G733" s="1164">
        <f>IFERROR(__xludf.DUMMYFUNCTION("""COMPUTED_VALUE"""),5.0)</f>
        <v>5</v>
      </c>
      <c r="H733" s="1430">
        <f>IFERROR(__xludf.DUMMYFUNCTION("""COMPUTED_VALUE"""),229.0)</f>
        <v>229</v>
      </c>
      <c r="I733" s="94"/>
      <c r="J733" s="94"/>
      <c r="K733" s="94">
        <f>IFERROR(__xludf.DUMMYFUNCTION("""COMPUTED_VALUE"""),60.0)</f>
        <v>60</v>
      </c>
      <c r="L733" s="94">
        <f>IFERROR(__xludf.DUMMYFUNCTION("""COMPUTED_VALUE"""),40.0)</f>
        <v>40</v>
      </c>
      <c r="M733" s="94">
        <f>IFERROR(__xludf.DUMMYFUNCTION("""COMPUTED_VALUE"""),20.0)</f>
        <v>20</v>
      </c>
      <c r="N733" s="94"/>
      <c r="O733" s="1430">
        <f>IFERROR(__xludf.DUMMYFUNCTION("""COMPUTED_VALUE"""),20.0)</f>
        <v>20</v>
      </c>
      <c r="P733" s="1431">
        <f>IFERROR(__xludf.DUMMYFUNCTION("""COMPUTED_VALUE"""),2.69)</f>
        <v>2.69</v>
      </c>
      <c r="Q733" s="1432">
        <f>IFERROR(__xludf.DUMMYFUNCTION("""COMPUTED_VALUE"""),616.01)</f>
        <v>616.01</v>
      </c>
    </row>
    <row r="734" ht="15.75" customHeight="1">
      <c r="A734" s="94"/>
      <c r="B734" s="94" t="str">
        <f>IFERROR(__xludf.DUMMYFUNCTION("""COMPUTED_VALUE"""),"DL 11-1112")</f>
        <v>DL 11-1112</v>
      </c>
      <c r="C734" s="1429" t="str">
        <f>IFERROR(__xludf.DUMMYFUNCTION("""COMPUTED_VALUE"""),"DL")</f>
        <v>DL</v>
      </c>
      <c r="D734" s="1432">
        <f>IFERROR(__xludf.DUMMYFUNCTION("""COMPUTED_VALUE"""),8.0)</f>
        <v>8</v>
      </c>
      <c r="E734" s="1429">
        <f>IFERROR(__xludf.DUMMYFUNCTION("""COMPUTED_VALUE"""),45522.0)</f>
        <v>45522</v>
      </c>
      <c r="F734" s="1429">
        <f>IFERROR(__xludf.DUMMYFUNCTION("""COMPUTED_VALUE"""),45526.0)</f>
        <v>45526</v>
      </c>
      <c r="G734" s="1164">
        <f>IFERROR(__xludf.DUMMYFUNCTION("""COMPUTED_VALUE"""),4.0)</f>
        <v>4</v>
      </c>
      <c r="H734" s="1430">
        <f>IFERROR(__xludf.DUMMYFUNCTION("""COMPUTED_VALUE"""),462.0)</f>
        <v>462</v>
      </c>
      <c r="I734" s="94">
        <f>IFERROR(__xludf.DUMMYFUNCTION("""COMPUTED_VALUE"""),0.0)</f>
        <v>0</v>
      </c>
      <c r="J734" s="94"/>
      <c r="K734" s="94">
        <f>IFERROR(__xludf.DUMMYFUNCTION("""COMPUTED_VALUE"""),95.0)</f>
        <v>95</v>
      </c>
      <c r="L734" s="94">
        <f>IFERROR(__xludf.DUMMYFUNCTION("""COMPUTED_VALUE"""),95.0)</f>
        <v>95</v>
      </c>
      <c r="M734" s="94">
        <f>IFERROR(__xludf.DUMMYFUNCTION("""COMPUTED_VALUE"""),0.0)</f>
        <v>0</v>
      </c>
      <c r="N734" s="94"/>
      <c r="O734" s="1430">
        <f>IFERROR(__xludf.DUMMYFUNCTION("""COMPUTED_VALUE"""),0.0)</f>
        <v>0</v>
      </c>
      <c r="P734" s="1431">
        <f>IFERROR(__xludf.DUMMYFUNCTION("""COMPUTED_VALUE"""),2.69)</f>
        <v>2.69</v>
      </c>
      <c r="Q734" s="1432">
        <f>IFERROR(__xludf.DUMMYFUNCTION("""COMPUTED_VALUE"""),1242.78)</f>
        <v>1242.78</v>
      </c>
    </row>
    <row r="735" ht="15.75" customHeight="1">
      <c r="A735" s="94"/>
      <c r="B735" s="94" t="str">
        <f>IFERROR(__xludf.DUMMYFUNCTION("""COMPUTED_VALUE"""),"WS В 1510")</f>
        <v>WS В 1510</v>
      </c>
      <c r="C735" s="1429" t="str">
        <f>IFERROR(__xludf.DUMMYFUNCTION("""COMPUTED_VALUE"""),"WS")</f>
        <v>WS</v>
      </c>
      <c r="D735" s="1432">
        <f>IFERROR(__xludf.DUMMYFUNCTION("""COMPUTED_VALUE"""),8.0)</f>
        <v>8</v>
      </c>
      <c r="E735" s="1429">
        <f>IFERROR(__xludf.DUMMYFUNCTION("""COMPUTED_VALUE"""),45522.0)</f>
        <v>45522</v>
      </c>
      <c r="F735" s="1429">
        <f>IFERROR(__xludf.DUMMYFUNCTION("""COMPUTED_VALUE"""),45528.0)</f>
        <v>45528</v>
      </c>
      <c r="G735" s="1164">
        <f>IFERROR(__xludf.DUMMYFUNCTION("""COMPUTED_VALUE"""),6.0)</f>
        <v>6</v>
      </c>
      <c r="H735" s="94"/>
      <c r="I735" s="94">
        <f>IFERROR(__xludf.DUMMYFUNCTION("""COMPUTED_VALUE"""),1408.0)</f>
        <v>1408</v>
      </c>
      <c r="J735" s="94"/>
      <c r="K735" s="94">
        <f>IFERROR(__xludf.DUMMYFUNCTION("""COMPUTED_VALUE"""),60.0)</f>
        <v>60</v>
      </c>
      <c r="L735" s="94">
        <f>IFERROR(__xludf.DUMMYFUNCTION("""COMPUTED_VALUE"""),40.0)</f>
        <v>40</v>
      </c>
      <c r="M735" s="94">
        <f>IFERROR(__xludf.DUMMYFUNCTION("""COMPUTED_VALUE"""),20.0)</f>
        <v>20</v>
      </c>
      <c r="N735" s="94"/>
      <c r="O735" s="1430">
        <f>IFERROR(__xludf.DUMMYFUNCTION("""COMPUTED_VALUE"""),20.0)</f>
        <v>20</v>
      </c>
      <c r="P735" s="1431">
        <f>IFERROR(__xludf.DUMMYFUNCTION("""COMPUTED_VALUE"""),2.69)</f>
        <v>2.69</v>
      </c>
      <c r="Q735" s="1432">
        <f>IFERROR(__xludf.DUMMYFUNCTION("""COMPUTED_VALUE"""),1408.0)</f>
        <v>1408</v>
      </c>
    </row>
    <row r="736" ht="15.75" customHeight="1">
      <c r="A736" s="94" t="str">
        <f>IFERROR(__xludf.DUMMYFUNCTION("""COMPUTED_VALUE"""),"Итого неделя")</f>
        <v>Итого неделя</v>
      </c>
      <c r="B736" s="94" t="str">
        <f>IFERROR(__xludf.DUMMYFUNCTION("""COMPUTED_VALUE"""),"33 неделя")</f>
        <v>33 неделя</v>
      </c>
      <c r="C736" s="94"/>
      <c r="D736" s="94"/>
      <c r="E736" s="94"/>
      <c r="F736" s="94"/>
      <c r="G736" s="1164">
        <f>IFERROR(__xludf.DUMMYFUNCTION("""COMPUTED_VALUE"""),208.0)</f>
        <v>208</v>
      </c>
      <c r="H736" s="1430">
        <f>IFERROR(__xludf.DUMMYFUNCTION("""COMPUTED_VALUE"""),14048.019999999999)</f>
        <v>14048.02</v>
      </c>
      <c r="I736" s="94">
        <f>IFERROR(__xludf.DUMMYFUNCTION("""COMPUTED_VALUE"""),15199.0)</f>
        <v>15199</v>
      </c>
      <c r="J736" s="94">
        <f>IFERROR(__xludf.DUMMYFUNCTION("""COMPUTED_VALUE"""),0.0)</f>
        <v>0</v>
      </c>
      <c r="K736" s="94">
        <f>IFERROR(__xludf.DUMMYFUNCTION("""COMPUTED_VALUE"""),3075.0)</f>
        <v>3075</v>
      </c>
      <c r="L736" s="94">
        <f>IFERROR(__xludf.DUMMYFUNCTION("""COMPUTED_VALUE"""),2455.0)</f>
        <v>2455</v>
      </c>
      <c r="M736" s="94">
        <f>IFERROR(__xludf.DUMMYFUNCTION("""COMPUTED_VALUE"""),620.0)</f>
        <v>620</v>
      </c>
      <c r="N736" s="94">
        <f>IFERROR(__xludf.DUMMYFUNCTION("""COMPUTED_VALUE"""),0.0)</f>
        <v>0</v>
      </c>
      <c r="O736" s="1430">
        <f>IFERROR(__xludf.DUMMYFUNCTION("""COMPUTED_VALUE"""),620.0)</f>
        <v>620</v>
      </c>
      <c r="P736" s="1431">
        <f>IFERROR(__xludf.DUMMYFUNCTION("""COMPUTED_VALUE"""),2.69)</f>
        <v>2.69</v>
      </c>
      <c r="Q736" s="1432">
        <f>IFERROR(__xludf.DUMMYFUNCTION("""COMPUTED_VALUE"""),52988.173800000004)</f>
        <v>52988.1738</v>
      </c>
    </row>
    <row r="737" ht="15.75" customHeight="1">
      <c r="A737" s="94"/>
      <c r="B737" s="94" t="str">
        <f>IFERROR(__xludf.DUMMYFUNCTION("""COMPUTED_VALUE"""),"С 1125")</f>
        <v>С 1125</v>
      </c>
      <c r="C737" s="1429" t="str">
        <f>IFERROR(__xludf.DUMMYFUNCTION("""COMPUTED_VALUE"""),"ORBI")</f>
        <v>ORBI</v>
      </c>
      <c r="D737" s="1432">
        <f>IFERROR(__xludf.DUMMYFUNCTION("""COMPUTED_VALUE"""),8.0)</f>
        <v>8</v>
      </c>
      <c r="E737" s="1429">
        <f>IFERROR(__xludf.DUMMYFUNCTION("""COMPUTED_VALUE"""),45523.0)</f>
        <v>45523</v>
      </c>
      <c r="F737" s="1429">
        <f>IFERROR(__xludf.DUMMYFUNCTION("""COMPUTED_VALUE"""),45525.0)</f>
        <v>45525</v>
      </c>
      <c r="G737" s="1164">
        <f>IFERROR(__xludf.DUMMYFUNCTION("""COMPUTED_VALUE"""),2.0)</f>
        <v>2</v>
      </c>
      <c r="H737" s="1430">
        <f>IFERROR(__xludf.DUMMYFUNCTION("""COMPUTED_VALUE"""),100.0)</f>
        <v>100</v>
      </c>
      <c r="I737" s="94"/>
      <c r="J737" s="94"/>
      <c r="K737" s="94">
        <f>IFERROR(__xludf.DUMMYFUNCTION("""COMPUTED_VALUE"""),60.0)</f>
        <v>60</v>
      </c>
      <c r="L737" s="94">
        <f>IFERROR(__xludf.DUMMYFUNCTION("""COMPUTED_VALUE"""),40.0)</f>
        <v>40</v>
      </c>
      <c r="M737" s="94">
        <f>IFERROR(__xludf.DUMMYFUNCTION("""COMPUTED_VALUE"""),20.0)</f>
        <v>20</v>
      </c>
      <c r="N737" s="94"/>
      <c r="O737" s="1430">
        <f>IFERROR(__xludf.DUMMYFUNCTION("""COMPUTED_VALUE"""),20.0)</f>
        <v>20</v>
      </c>
      <c r="P737" s="1431">
        <f>IFERROR(__xludf.DUMMYFUNCTION("""COMPUTED_VALUE"""),2.69)</f>
        <v>2.69</v>
      </c>
      <c r="Q737" s="1432">
        <f>IFERROR(__xludf.DUMMYFUNCTION("""COMPUTED_VALUE"""),269.0)</f>
        <v>269</v>
      </c>
    </row>
    <row r="738" ht="15.75" customHeight="1">
      <c r="A738" s="94"/>
      <c r="B738" s="94" t="str">
        <f>IFERROR(__xludf.DUMMYFUNCTION("""COMPUTED_VALUE"""),"WS A 1312")</f>
        <v>WS A 1312</v>
      </c>
      <c r="C738" s="1429" t="str">
        <f>IFERROR(__xludf.DUMMYFUNCTION("""COMPUTED_VALUE"""),"WS")</f>
        <v>WS</v>
      </c>
      <c r="D738" s="1432">
        <f>IFERROR(__xludf.DUMMYFUNCTION("""COMPUTED_VALUE"""),8.0)</f>
        <v>8</v>
      </c>
      <c r="E738" s="1429">
        <f>IFERROR(__xludf.DUMMYFUNCTION("""COMPUTED_VALUE"""),45523.0)</f>
        <v>45523</v>
      </c>
      <c r="F738" s="1429">
        <f>IFERROR(__xludf.DUMMYFUNCTION("""COMPUTED_VALUE"""),45530.0)</f>
        <v>45530</v>
      </c>
      <c r="G738" s="1164">
        <f>IFERROR(__xludf.DUMMYFUNCTION("""COMPUTED_VALUE"""),7.0)</f>
        <v>7</v>
      </c>
      <c r="H738" s="94"/>
      <c r="I738" s="94">
        <f>IFERROR(__xludf.DUMMYFUNCTION("""COMPUTED_VALUE"""),1500.0)</f>
        <v>1500</v>
      </c>
      <c r="J738" s="94"/>
      <c r="K738" s="94">
        <f>IFERROR(__xludf.DUMMYFUNCTION("""COMPUTED_VALUE"""),60.0)</f>
        <v>60</v>
      </c>
      <c r="L738" s="94">
        <f>IFERROR(__xludf.DUMMYFUNCTION("""COMPUTED_VALUE"""),40.0)</f>
        <v>40</v>
      </c>
      <c r="M738" s="94">
        <f>IFERROR(__xludf.DUMMYFUNCTION("""COMPUTED_VALUE"""),20.0)</f>
        <v>20</v>
      </c>
      <c r="N738" s="94"/>
      <c r="O738" s="1430">
        <f>IFERROR(__xludf.DUMMYFUNCTION("""COMPUTED_VALUE"""),20.0)</f>
        <v>20</v>
      </c>
      <c r="P738" s="1431">
        <f>IFERROR(__xludf.DUMMYFUNCTION("""COMPUTED_VALUE"""),2.69)</f>
        <v>2.69</v>
      </c>
      <c r="Q738" s="1432">
        <f>IFERROR(__xludf.DUMMYFUNCTION("""COMPUTED_VALUE"""),1500.0)</f>
        <v>1500</v>
      </c>
    </row>
    <row r="739" ht="15.75" customHeight="1">
      <c r="A739" s="94"/>
      <c r="B739" s="94" t="str">
        <f>IFERROR(__xludf.DUMMYFUNCTION("""COMPUTED_VALUE"""),"WS E704")</f>
        <v>WS E704</v>
      </c>
      <c r="C739" s="1429" t="str">
        <f>IFERROR(__xludf.DUMMYFUNCTION("""COMPUTED_VALUE"""),"WS")</f>
        <v>WS</v>
      </c>
      <c r="D739" s="1432">
        <f>IFERROR(__xludf.DUMMYFUNCTION("""COMPUTED_VALUE"""),8.0)</f>
        <v>8</v>
      </c>
      <c r="E739" s="1429">
        <f>IFERROR(__xludf.DUMMYFUNCTION("""COMPUTED_VALUE"""),45523.0)</f>
        <v>45523</v>
      </c>
      <c r="F739" s="1429">
        <f>IFERROR(__xludf.DUMMYFUNCTION("""COMPUTED_VALUE"""),45527.0)</f>
        <v>45527</v>
      </c>
      <c r="G739" s="1164">
        <f>IFERROR(__xludf.DUMMYFUNCTION("""COMPUTED_VALUE"""),4.0)</f>
        <v>4</v>
      </c>
      <c r="H739" s="94"/>
      <c r="I739" s="94">
        <f>IFERROR(__xludf.DUMMYFUNCTION("""COMPUTED_VALUE"""),1015.0)</f>
        <v>1015</v>
      </c>
      <c r="J739" s="94"/>
      <c r="K739" s="94">
        <f>IFERROR(__xludf.DUMMYFUNCTION("""COMPUTED_VALUE"""),60.0)</f>
        <v>60</v>
      </c>
      <c r="L739" s="94">
        <f>IFERROR(__xludf.DUMMYFUNCTION("""COMPUTED_VALUE"""),40.0)</f>
        <v>40</v>
      </c>
      <c r="M739" s="94">
        <f>IFERROR(__xludf.DUMMYFUNCTION("""COMPUTED_VALUE"""),20.0)</f>
        <v>20</v>
      </c>
      <c r="N739" s="94"/>
      <c r="O739" s="1430">
        <f>IFERROR(__xludf.DUMMYFUNCTION("""COMPUTED_VALUE"""),20.0)</f>
        <v>20</v>
      </c>
      <c r="P739" s="1431">
        <f>IFERROR(__xludf.DUMMYFUNCTION("""COMPUTED_VALUE"""),2.69)</f>
        <v>2.69</v>
      </c>
      <c r="Q739" s="1432">
        <f>IFERROR(__xludf.DUMMYFUNCTION("""COMPUTED_VALUE"""),1015.0)</f>
        <v>1015</v>
      </c>
    </row>
    <row r="740" ht="15.75" customHeight="1">
      <c r="A740" s="94"/>
      <c r="B740" s="94" t="str">
        <f>IFERROR(__xludf.DUMMYFUNCTION("""COMPUTED_VALUE"""),"А 4049")</f>
        <v>А 4049</v>
      </c>
      <c r="C740" s="1429" t="str">
        <f>IFERROR(__xludf.DUMMYFUNCTION("""COMPUTED_VALUE"""),"ORBI")</f>
        <v>ORBI</v>
      </c>
      <c r="D740" s="1432">
        <f>IFERROR(__xludf.DUMMYFUNCTION("""COMPUTED_VALUE"""),8.0)</f>
        <v>8</v>
      </c>
      <c r="E740" s="1429">
        <f>IFERROR(__xludf.DUMMYFUNCTION("""COMPUTED_VALUE"""),45523.0)</f>
        <v>45523</v>
      </c>
      <c r="F740" s="1429">
        <f>IFERROR(__xludf.DUMMYFUNCTION("""COMPUTED_VALUE"""),45527.0)</f>
        <v>45527</v>
      </c>
      <c r="G740" s="1164">
        <f>IFERROR(__xludf.DUMMYFUNCTION("""COMPUTED_VALUE"""),4.0)</f>
        <v>4</v>
      </c>
      <c r="H740" s="1430">
        <f>IFERROR(__xludf.DUMMYFUNCTION("""COMPUTED_VALUE"""),175.0)</f>
        <v>175</v>
      </c>
      <c r="I740" s="94">
        <f>IFERROR(__xludf.DUMMYFUNCTION("""COMPUTED_VALUE"""),0.0)</f>
        <v>0</v>
      </c>
      <c r="J740" s="94"/>
      <c r="K740" s="94">
        <f>IFERROR(__xludf.DUMMYFUNCTION("""COMPUTED_VALUE"""),60.0)</f>
        <v>60</v>
      </c>
      <c r="L740" s="94">
        <f>IFERROR(__xludf.DUMMYFUNCTION("""COMPUTED_VALUE"""),40.0)</f>
        <v>40</v>
      </c>
      <c r="M740" s="94">
        <f>IFERROR(__xludf.DUMMYFUNCTION("""COMPUTED_VALUE"""),20.0)</f>
        <v>20</v>
      </c>
      <c r="N740" s="94"/>
      <c r="O740" s="1430">
        <f>IFERROR(__xludf.DUMMYFUNCTION("""COMPUTED_VALUE"""),20.0)</f>
        <v>20</v>
      </c>
      <c r="P740" s="1431">
        <f>IFERROR(__xludf.DUMMYFUNCTION("""COMPUTED_VALUE"""),2.69)</f>
        <v>2.69</v>
      </c>
      <c r="Q740" s="1432">
        <f>IFERROR(__xludf.DUMMYFUNCTION("""COMPUTED_VALUE"""),470.75)</f>
        <v>470.75</v>
      </c>
    </row>
    <row r="741" ht="15.75" customHeight="1">
      <c r="A741" s="94"/>
      <c r="B741" s="94" t="str">
        <f>IFERROR(__xludf.DUMMYFUNCTION("""COMPUTED_VALUE"""),"Int 2905")</f>
        <v>Int 2905</v>
      </c>
      <c r="C741" s="1429" t="str">
        <f>IFERROR(__xludf.DUMMYFUNCTION("""COMPUTED_VALUE"""),"Other")</f>
        <v>Other</v>
      </c>
      <c r="D741" s="1432">
        <f>IFERROR(__xludf.DUMMYFUNCTION("""COMPUTED_VALUE"""),8.0)</f>
        <v>8</v>
      </c>
      <c r="E741" s="1429">
        <f>IFERROR(__xludf.DUMMYFUNCTION("""COMPUTED_VALUE"""),45523.0)</f>
        <v>45523</v>
      </c>
      <c r="F741" s="1429">
        <f>IFERROR(__xludf.DUMMYFUNCTION("""COMPUTED_VALUE"""),45537.0)</f>
        <v>45537</v>
      </c>
      <c r="G741" s="1164">
        <f>IFERROR(__xludf.DUMMYFUNCTION("""COMPUTED_VALUE"""),14.0)</f>
        <v>14</v>
      </c>
      <c r="H741" s="1430">
        <f>IFERROR(__xludf.DUMMYFUNCTION("""COMPUTED_VALUE"""),877.0)</f>
        <v>877</v>
      </c>
      <c r="I741" s="94">
        <f>IFERROR(__xludf.DUMMYFUNCTION("""COMPUTED_VALUE"""),0.0)</f>
        <v>0</v>
      </c>
      <c r="J741" s="94"/>
      <c r="K741" s="94">
        <f>IFERROR(__xludf.DUMMYFUNCTION("""COMPUTED_VALUE"""),60.0)</f>
        <v>60</v>
      </c>
      <c r="L741" s="94">
        <f>IFERROR(__xludf.DUMMYFUNCTION("""COMPUTED_VALUE"""),40.0)</f>
        <v>40</v>
      </c>
      <c r="M741" s="94">
        <f>IFERROR(__xludf.DUMMYFUNCTION("""COMPUTED_VALUE"""),20.0)</f>
        <v>20</v>
      </c>
      <c r="N741" s="94"/>
      <c r="O741" s="1430">
        <f>IFERROR(__xludf.DUMMYFUNCTION("""COMPUTED_VALUE"""),20.0)</f>
        <v>20</v>
      </c>
      <c r="P741" s="1431">
        <f>IFERROR(__xludf.DUMMYFUNCTION("""COMPUTED_VALUE"""),2.69)</f>
        <v>2.69</v>
      </c>
      <c r="Q741" s="1432">
        <f>IFERROR(__xludf.DUMMYFUNCTION("""COMPUTED_VALUE"""),2359.13)</f>
        <v>2359.13</v>
      </c>
    </row>
    <row r="742" ht="15.75" customHeight="1">
      <c r="A742" s="94"/>
      <c r="B742" s="94" t="str">
        <f>IFERROR(__xludf.DUMMYFUNCTION("""COMPUTED_VALUE"""),"WS A 409")</f>
        <v>WS A 409</v>
      </c>
      <c r="C742" s="1429" t="str">
        <f>IFERROR(__xludf.DUMMYFUNCTION("""COMPUTED_VALUE"""),"WS")</f>
        <v>WS</v>
      </c>
      <c r="D742" s="1432">
        <f>IFERROR(__xludf.DUMMYFUNCTION("""COMPUTED_VALUE"""),8.0)</f>
        <v>8</v>
      </c>
      <c r="E742" s="1429">
        <f>IFERROR(__xludf.DUMMYFUNCTION("""COMPUTED_VALUE"""),45524.0)</f>
        <v>45524</v>
      </c>
      <c r="F742" s="1429">
        <f>IFERROR(__xludf.DUMMYFUNCTION("""COMPUTED_VALUE"""),45532.0)</f>
        <v>45532</v>
      </c>
      <c r="G742" s="1164">
        <f>IFERROR(__xludf.DUMMYFUNCTION("""COMPUTED_VALUE"""),8.0)</f>
        <v>8</v>
      </c>
      <c r="H742" s="1430">
        <f>IFERROR(__xludf.DUMMYFUNCTION("""COMPUTED_VALUE"""),443.0)</f>
        <v>443</v>
      </c>
      <c r="I742" s="94">
        <f>IFERROR(__xludf.DUMMYFUNCTION("""COMPUTED_VALUE"""),0.0)</f>
        <v>0</v>
      </c>
      <c r="J742" s="94"/>
      <c r="K742" s="94">
        <f>IFERROR(__xludf.DUMMYFUNCTION("""COMPUTED_VALUE"""),60.0)</f>
        <v>60</v>
      </c>
      <c r="L742" s="94">
        <f>IFERROR(__xludf.DUMMYFUNCTION("""COMPUTED_VALUE"""),40.0)</f>
        <v>40</v>
      </c>
      <c r="M742" s="94">
        <f>IFERROR(__xludf.DUMMYFUNCTION("""COMPUTED_VALUE"""),20.0)</f>
        <v>20</v>
      </c>
      <c r="N742" s="94"/>
      <c r="O742" s="1430">
        <f>IFERROR(__xludf.DUMMYFUNCTION("""COMPUTED_VALUE"""),20.0)</f>
        <v>20</v>
      </c>
      <c r="P742" s="1431">
        <f>IFERROR(__xludf.DUMMYFUNCTION("""COMPUTED_VALUE"""),2.69)</f>
        <v>2.69</v>
      </c>
      <c r="Q742" s="1432">
        <f>IFERROR(__xludf.DUMMYFUNCTION("""COMPUTED_VALUE"""),1191.67)</f>
        <v>1191.67</v>
      </c>
    </row>
    <row r="743" ht="15.75" customHeight="1">
      <c r="A743" s="94"/>
      <c r="B743" s="94" t="str">
        <f>IFERROR(__xludf.DUMMYFUNCTION("""COMPUTED_VALUE"""),"WS A 608")</f>
        <v>WS A 608</v>
      </c>
      <c r="C743" s="1429" t="str">
        <f>IFERROR(__xludf.DUMMYFUNCTION("""COMPUTED_VALUE"""),"WS")</f>
        <v>WS</v>
      </c>
      <c r="D743" s="1432">
        <f>IFERROR(__xludf.DUMMYFUNCTION("""COMPUTED_VALUE"""),8.0)</f>
        <v>8</v>
      </c>
      <c r="E743" s="1429">
        <f>IFERROR(__xludf.DUMMYFUNCTION("""COMPUTED_VALUE"""),45524.0)</f>
        <v>45524</v>
      </c>
      <c r="F743" s="1429">
        <f>IFERROR(__xludf.DUMMYFUNCTION("""COMPUTED_VALUE"""),45531.0)</f>
        <v>45531</v>
      </c>
      <c r="G743" s="1164">
        <f>IFERROR(__xludf.DUMMYFUNCTION("""COMPUTED_VALUE"""),7.0)</f>
        <v>7</v>
      </c>
      <c r="H743" s="1430">
        <f>IFERROR(__xludf.DUMMYFUNCTION("""COMPUTED_VALUE"""),523.0)</f>
        <v>523</v>
      </c>
      <c r="I743" s="94">
        <f>IFERROR(__xludf.DUMMYFUNCTION("""COMPUTED_VALUE"""),0.0)</f>
        <v>0</v>
      </c>
      <c r="J743" s="94"/>
      <c r="K743" s="94">
        <f>IFERROR(__xludf.DUMMYFUNCTION("""COMPUTED_VALUE"""),60.0)</f>
        <v>60</v>
      </c>
      <c r="L743" s="94">
        <f>IFERROR(__xludf.DUMMYFUNCTION("""COMPUTED_VALUE"""),40.0)</f>
        <v>40</v>
      </c>
      <c r="M743" s="94">
        <f>IFERROR(__xludf.DUMMYFUNCTION("""COMPUTED_VALUE"""),20.0)</f>
        <v>20</v>
      </c>
      <c r="N743" s="94"/>
      <c r="O743" s="1430">
        <f>IFERROR(__xludf.DUMMYFUNCTION("""COMPUTED_VALUE"""),20.0)</f>
        <v>20</v>
      </c>
      <c r="P743" s="1431">
        <f>IFERROR(__xludf.DUMMYFUNCTION("""COMPUTED_VALUE"""),2.69)</f>
        <v>2.69</v>
      </c>
      <c r="Q743" s="1432">
        <f>IFERROR(__xludf.DUMMYFUNCTION("""COMPUTED_VALUE"""),1406.87)</f>
        <v>1406.87</v>
      </c>
    </row>
    <row r="744" ht="15.75" customHeight="1">
      <c r="A744" s="94"/>
      <c r="B744" s="94" t="str">
        <f>IFERROR(__xludf.DUMMYFUNCTION("""COMPUTED_VALUE"""),"Шар 2505")</f>
        <v>Шар 2505</v>
      </c>
      <c r="C744" s="1429" t="str">
        <f>IFERROR(__xludf.DUMMYFUNCTION("""COMPUTED_VALUE"""),"Other")</f>
        <v>Other</v>
      </c>
      <c r="D744" s="1432">
        <f>IFERROR(__xludf.DUMMYFUNCTION("""COMPUTED_VALUE"""),8.0)</f>
        <v>8</v>
      </c>
      <c r="E744" s="1429">
        <f>IFERROR(__xludf.DUMMYFUNCTION("""COMPUTED_VALUE"""),45524.0)</f>
        <v>45524</v>
      </c>
      <c r="F744" s="1429">
        <f>IFERROR(__xludf.DUMMYFUNCTION("""COMPUTED_VALUE"""),45531.0)</f>
        <v>45531</v>
      </c>
      <c r="G744" s="1164">
        <f>IFERROR(__xludf.DUMMYFUNCTION("""COMPUTED_VALUE"""),7.0)</f>
        <v>7</v>
      </c>
      <c r="H744" s="1430">
        <f>IFERROR(__xludf.DUMMYFUNCTION("""COMPUTED_VALUE"""),357.0)</f>
        <v>357</v>
      </c>
      <c r="I744" s="94">
        <f>IFERROR(__xludf.DUMMYFUNCTION("""COMPUTED_VALUE"""),0.0)</f>
        <v>0</v>
      </c>
      <c r="J744" s="94"/>
      <c r="K744" s="94">
        <f>IFERROR(__xludf.DUMMYFUNCTION("""COMPUTED_VALUE"""),60.0)</f>
        <v>60</v>
      </c>
      <c r="L744" s="94">
        <f>IFERROR(__xludf.DUMMYFUNCTION("""COMPUTED_VALUE"""),40.0)</f>
        <v>40</v>
      </c>
      <c r="M744" s="94">
        <f>IFERROR(__xludf.DUMMYFUNCTION("""COMPUTED_VALUE"""),20.0)</f>
        <v>20</v>
      </c>
      <c r="N744" s="94"/>
      <c r="O744" s="1430">
        <f>IFERROR(__xludf.DUMMYFUNCTION("""COMPUTED_VALUE"""),20.0)</f>
        <v>20</v>
      </c>
      <c r="P744" s="1431">
        <f>IFERROR(__xludf.DUMMYFUNCTION("""COMPUTED_VALUE"""),2.69)</f>
        <v>2.69</v>
      </c>
      <c r="Q744" s="1432">
        <f>IFERROR(__xludf.DUMMYFUNCTION("""COMPUTED_VALUE"""),960.3299999999999)</f>
        <v>960.33</v>
      </c>
    </row>
    <row r="745" ht="15.75" customHeight="1">
      <c r="A745" s="94"/>
      <c r="B745" s="94" t="str">
        <f>IFERROR(__xludf.DUMMYFUNCTION("""COMPUTED_VALUE"""),"D 1321")</f>
        <v>D 1321</v>
      </c>
      <c r="C745" s="1429" t="str">
        <f>IFERROR(__xludf.DUMMYFUNCTION("""COMPUTED_VALUE"""),"ORBI")</f>
        <v>ORBI</v>
      </c>
      <c r="D745" s="1432">
        <f>IFERROR(__xludf.DUMMYFUNCTION("""COMPUTED_VALUE"""),8.0)</f>
        <v>8</v>
      </c>
      <c r="E745" s="1429">
        <f>IFERROR(__xludf.DUMMYFUNCTION("""COMPUTED_VALUE"""),45524.0)</f>
        <v>45524</v>
      </c>
      <c r="F745" s="1429">
        <f>IFERROR(__xludf.DUMMYFUNCTION("""COMPUTED_VALUE"""),45526.0)</f>
        <v>45526</v>
      </c>
      <c r="G745" s="1164">
        <f>IFERROR(__xludf.DUMMYFUNCTION("""COMPUTED_VALUE"""),2.0)</f>
        <v>2</v>
      </c>
      <c r="H745" s="1430">
        <f>IFERROR(__xludf.DUMMYFUNCTION("""COMPUTED_VALUE"""),132.0)</f>
        <v>132</v>
      </c>
      <c r="I745" s="94">
        <f>IFERROR(__xludf.DUMMYFUNCTION("""COMPUTED_VALUE"""),0.0)</f>
        <v>0</v>
      </c>
      <c r="J745" s="94"/>
      <c r="K745" s="94">
        <f>IFERROR(__xludf.DUMMYFUNCTION("""COMPUTED_VALUE"""),60.0)</f>
        <v>60</v>
      </c>
      <c r="L745" s="94">
        <f>IFERROR(__xludf.DUMMYFUNCTION("""COMPUTED_VALUE"""),40.0)</f>
        <v>40</v>
      </c>
      <c r="M745" s="94">
        <f>IFERROR(__xludf.DUMMYFUNCTION("""COMPUTED_VALUE"""),20.0)</f>
        <v>20</v>
      </c>
      <c r="N745" s="94"/>
      <c r="O745" s="1430">
        <f>IFERROR(__xludf.DUMMYFUNCTION("""COMPUTED_VALUE"""),20.0)</f>
        <v>20</v>
      </c>
      <c r="P745" s="1431">
        <f>IFERROR(__xludf.DUMMYFUNCTION("""COMPUTED_VALUE"""),2.69)</f>
        <v>2.69</v>
      </c>
      <c r="Q745" s="1432">
        <f>IFERROR(__xludf.DUMMYFUNCTION("""COMPUTED_VALUE"""),355.08)</f>
        <v>355.08</v>
      </c>
    </row>
    <row r="746" ht="15.75" customHeight="1">
      <c r="A746" s="94"/>
      <c r="B746" s="94" t="str">
        <f>IFERROR(__xludf.DUMMYFUNCTION("""COMPUTED_VALUE"""),"C 4245")</f>
        <v>C 4245</v>
      </c>
      <c r="C746" s="1429" t="str">
        <f>IFERROR(__xludf.DUMMYFUNCTION("""COMPUTED_VALUE"""),"ORBI")</f>
        <v>ORBI</v>
      </c>
      <c r="D746" s="1432">
        <f>IFERROR(__xludf.DUMMYFUNCTION("""COMPUTED_VALUE"""),8.0)</f>
        <v>8</v>
      </c>
      <c r="E746" s="1429">
        <f>IFERROR(__xludf.DUMMYFUNCTION("""COMPUTED_VALUE"""),45524.0)</f>
        <v>45524</v>
      </c>
      <c r="F746" s="1429">
        <f>IFERROR(__xludf.DUMMYFUNCTION("""COMPUTED_VALUE"""),45527.0)</f>
        <v>45527</v>
      </c>
      <c r="G746" s="1164">
        <f>IFERROR(__xludf.DUMMYFUNCTION("""COMPUTED_VALUE"""),3.0)</f>
        <v>3</v>
      </c>
      <c r="H746" s="1430">
        <f>IFERROR(__xludf.DUMMYFUNCTION("""COMPUTED_VALUE"""),213.0)</f>
        <v>213</v>
      </c>
      <c r="I746" s="94">
        <f>IFERROR(__xludf.DUMMYFUNCTION("""COMPUTED_VALUE"""),0.0)</f>
        <v>0</v>
      </c>
      <c r="J746" s="94"/>
      <c r="K746" s="94">
        <f>IFERROR(__xludf.DUMMYFUNCTION("""COMPUTED_VALUE"""),70.0)</f>
        <v>70</v>
      </c>
      <c r="L746" s="94">
        <f>IFERROR(__xludf.DUMMYFUNCTION("""COMPUTED_VALUE"""),40.0)</f>
        <v>40</v>
      </c>
      <c r="M746" s="94">
        <f>IFERROR(__xludf.DUMMYFUNCTION("""COMPUTED_VALUE"""),30.0)</f>
        <v>30</v>
      </c>
      <c r="N746" s="94"/>
      <c r="O746" s="1430">
        <f>IFERROR(__xludf.DUMMYFUNCTION("""COMPUTED_VALUE"""),30.0)</f>
        <v>30</v>
      </c>
      <c r="P746" s="1431">
        <f>IFERROR(__xludf.DUMMYFUNCTION("""COMPUTED_VALUE"""),2.69)</f>
        <v>2.69</v>
      </c>
      <c r="Q746" s="1432">
        <f>IFERROR(__xludf.DUMMYFUNCTION("""COMPUTED_VALUE"""),572.97)</f>
        <v>572.97</v>
      </c>
    </row>
    <row r="747" ht="15.75" customHeight="1">
      <c r="A747" s="94"/>
      <c r="B747" s="94" t="str">
        <f>IFERROR(__xludf.DUMMYFUNCTION("""COMPUTED_VALUE"""),"14-411")</f>
        <v>14-411</v>
      </c>
      <c r="C747" s="1429" t="str">
        <f>IFERROR(__xludf.DUMMYFUNCTION("""COMPUTED_VALUE"""),"DL")</f>
        <v>DL</v>
      </c>
      <c r="D747" s="1432">
        <f>IFERROR(__xludf.DUMMYFUNCTION("""COMPUTED_VALUE"""),8.0)</f>
        <v>8</v>
      </c>
      <c r="E747" s="1429">
        <f>IFERROR(__xludf.DUMMYFUNCTION("""COMPUTED_VALUE"""),45524.0)</f>
        <v>45524</v>
      </c>
      <c r="F747" s="1429">
        <f>IFERROR(__xludf.DUMMYFUNCTION("""COMPUTED_VALUE"""),45527.0)</f>
        <v>45527</v>
      </c>
      <c r="G747" s="1164">
        <f>IFERROR(__xludf.DUMMYFUNCTION("""COMPUTED_VALUE"""),3.0)</f>
        <v>3</v>
      </c>
      <c r="H747" s="1430">
        <f>IFERROR(__xludf.DUMMYFUNCTION("""COMPUTED_VALUE"""),247.0)</f>
        <v>247</v>
      </c>
      <c r="I747" s="94">
        <f>IFERROR(__xludf.DUMMYFUNCTION("""COMPUTED_VALUE"""),0.0)</f>
        <v>0</v>
      </c>
      <c r="J747" s="94"/>
      <c r="K747" s="94">
        <f>IFERROR(__xludf.DUMMYFUNCTION("""COMPUTED_VALUE"""),95.0)</f>
        <v>95</v>
      </c>
      <c r="L747" s="94">
        <f>IFERROR(__xludf.DUMMYFUNCTION("""COMPUTED_VALUE"""),95.0)</f>
        <v>95</v>
      </c>
      <c r="M747" s="94">
        <f>IFERROR(__xludf.DUMMYFUNCTION("""COMPUTED_VALUE"""),0.0)</f>
        <v>0</v>
      </c>
      <c r="N747" s="94"/>
      <c r="O747" s="1430">
        <f>IFERROR(__xludf.DUMMYFUNCTION("""COMPUTED_VALUE"""),0.0)</f>
        <v>0</v>
      </c>
      <c r="P747" s="1431">
        <f>IFERROR(__xludf.DUMMYFUNCTION("""COMPUTED_VALUE"""),2.69)</f>
        <v>2.69</v>
      </c>
      <c r="Q747" s="1432">
        <f>IFERROR(__xludf.DUMMYFUNCTION("""COMPUTED_VALUE"""),664.43)</f>
        <v>664.43</v>
      </c>
    </row>
    <row r="748" ht="15.75" customHeight="1">
      <c r="A748" s="94"/>
      <c r="B748" s="94" t="str">
        <f>IFERROR(__xludf.DUMMYFUNCTION("""COMPUTED_VALUE"""),"WS F 907")</f>
        <v>WS F 907</v>
      </c>
      <c r="C748" s="1429" t="str">
        <f>IFERROR(__xludf.DUMMYFUNCTION("""COMPUTED_VALUE"""),"WS")</f>
        <v>WS</v>
      </c>
      <c r="D748" s="1432">
        <f>IFERROR(__xludf.DUMMYFUNCTION("""COMPUTED_VALUE"""),8.0)</f>
        <v>8</v>
      </c>
      <c r="E748" s="1429">
        <f>IFERROR(__xludf.DUMMYFUNCTION("""COMPUTED_VALUE"""),45524.0)</f>
        <v>45524</v>
      </c>
      <c r="F748" s="1429">
        <f>IFERROR(__xludf.DUMMYFUNCTION("""COMPUTED_VALUE"""),45533.0)</f>
        <v>45533</v>
      </c>
      <c r="G748" s="1164">
        <f>IFERROR(__xludf.DUMMYFUNCTION("""COMPUTED_VALUE"""),9.0)</f>
        <v>9</v>
      </c>
      <c r="H748" s="94"/>
      <c r="I748" s="94">
        <f>IFERROR(__xludf.DUMMYFUNCTION("""COMPUTED_VALUE"""),1832.0)</f>
        <v>1832</v>
      </c>
      <c r="J748" s="94"/>
      <c r="K748" s="94">
        <f>IFERROR(__xludf.DUMMYFUNCTION("""COMPUTED_VALUE"""),60.0)</f>
        <v>60</v>
      </c>
      <c r="L748" s="94">
        <f>IFERROR(__xludf.DUMMYFUNCTION("""COMPUTED_VALUE"""),40.0)</f>
        <v>40</v>
      </c>
      <c r="M748" s="94">
        <f>IFERROR(__xludf.DUMMYFUNCTION("""COMPUTED_VALUE"""),20.0)</f>
        <v>20</v>
      </c>
      <c r="N748" s="94"/>
      <c r="O748" s="1430">
        <f>IFERROR(__xludf.DUMMYFUNCTION("""COMPUTED_VALUE"""),20.0)</f>
        <v>20</v>
      </c>
      <c r="P748" s="1431">
        <f>IFERROR(__xludf.DUMMYFUNCTION("""COMPUTED_VALUE"""),2.69)</f>
        <v>2.69</v>
      </c>
      <c r="Q748" s="1432">
        <f>IFERROR(__xludf.DUMMYFUNCTION("""COMPUTED_VALUE"""),1832.0)</f>
        <v>1832</v>
      </c>
    </row>
    <row r="749" ht="15.75" customHeight="1">
      <c r="A749" s="94"/>
      <c r="B749" s="94" t="str">
        <f>IFERROR(__xludf.DUMMYFUNCTION("""COMPUTED_VALUE"""),"DL 14-516")</f>
        <v>DL 14-516</v>
      </c>
      <c r="C749" s="1429" t="str">
        <f>IFERROR(__xludf.DUMMYFUNCTION("""COMPUTED_VALUE"""),"DL")</f>
        <v>DL</v>
      </c>
      <c r="D749" s="1432">
        <f>IFERROR(__xludf.DUMMYFUNCTION("""COMPUTED_VALUE"""),8.0)</f>
        <v>8</v>
      </c>
      <c r="E749" s="1429">
        <f>IFERROR(__xludf.DUMMYFUNCTION("""COMPUTED_VALUE"""),45524.0)</f>
        <v>45524</v>
      </c>
      <c r="F749" s="1429">
        <f>IFERROR(__xludf.DUMMYFUNCTION("""COMPUTED_VALUE"""),45527.0)</f>
        <v>45527</v>
      </c>
      <c r="G749" s="1164">
        <f>IFERROR(__xludf.DUMMYFUNCTION("""COMPUTED_VALUE"""),3.0)</f>
        <v>3</v>
      </c>
      <c r="H749" s="1430">
        <f>IFERROR(__xludf.DUMMYFUNCTION("""COMPUTED_VALUE"""),600.0)</f>
        <v>600</v>
      </c>
      <c r="I749" s="94">
        <f>IFERROR(__xludf.DUMMYFUNCTION("""COMPUTED_VALUE"""),0.0)</f>
        <v>0</v>
      </c>
      <c r="J749" s="94"/>
      <c r="K749" s="94">
        <f>IFERROR(__xludf.DUMMYFUNCTION("""COMPUTED_VALUE"""),105.0)</f>
        <v>105</v>
      </c>
      <c r="L749" s="94">
        <f>IFERROR(__xludf.DUMMYFUNCTION("""COMPUTED_VALUE"""),105.0)</f>
        <v>105</v>
      </c>
      <c r="M749" s="94">
        <f>IFERROR(__xludf.DUMMYFUNCTION("""COMPUTED_VALUE"""),0.0)</f>
        <v>0</v>
      </c>
      <c r="N749" s="94"/>
      <c r="O749" s="1430">
        <f>IFERROR(__xludf.DUMMYFUNCTION("""COMPUTED_VALUE"""),0.0)</f>
        <v>0</v>
      </c>
      <c r="P749" s="1431">
        <f>IFERROR(__xludf.DUMMYFUNCTION("""COMPUTED_VALUE"""),2.69)</f>
        <v>2.69</v>
      </c>
      <c r="Q749" s="1432">
        <f>IFERROR(__xludf.DUMMYFUNCTION("""COMPUTED_VALUE"""),1614.0)</f>
        <v>1614</v>
      </c>
    </row>
    <row r="750" ht="15.75" customHeight="1">
      <c r="A750" s="94"/>
      <c r="B750" s="94" t="str">
        <f>IFERROR(__xludf.DUMMYFUNCTION("""COMPUTED_VALUE"""),"WS Е804")</f>
        <v>WS Е804</v>
      </c>
      <c r="C750" s="1429" t="str">
        <f>IFERROR(__xludf.DUMMYFUNCTION("""COMPUTED_VALUE"""),"WS")</f>
        <v>WS</v>
      </c>
      <c r="D750" s="1432">
        <f>IFERROR(__xludf.DUMMYFUNCTION("""COMPUTED_VALUE"""),8.0)</f>
        <v>8</v>
      </c>
      <c r="E750" s="1429">
        <f>IFERROR(__xludf.DUMMYFUNCTION("""COMPUTED_VALUE"""),45524.0)</f>
        <v>45524</v>
      </c>
      <c r="F750" s="1429">
        <f>IFERROR(__xludf.DUMMYFUNCTION("""COMPUTED_VALUE"""),45528.0)</f>
        <v>45528</v>
      </c>
      <c r="G750" s="1164">
        <f>IFERROR(__xludf.DUMMYFUNCTION("""COMPUTED_VALUE"""),4.0)</f>
        <v>4</v>
      </c>
      <c r="H750" s="94"/>
      <c r="I750" s="94">
        <f>IFERROR(__xludf.DUMMYFUNCTION("""COMPUTED_VALUE"""),805.0)</f>
        <v>805</v>
      </c>
      <c r="J750" s="94"/>
      <c r="K750" s="94">
        <f>IFERROR(__xludf.DUMMYFUNCTION("""COMPUTED_VALUE"""),60.0)</f>
        <v>60</v>
      </c>
      <c r="L750" s="94">
        <f>IFERROR(__xludf.DUMMYFUNCTION("""COMPUTED_VALUE"""),40.0)</f>
        <v>40</v>
      </c>
      <c r="M750" s="94">
        <f>IFERROR(__xludf.DUMMYFUNCTION("""COMPUTED_VALUE"""),20.0)</f>
        <v>20</v>
      </c>
      <c r="N750" s="94"/>
      <c r="O750" s="1430">
        <f>IFERROR(__xludf.DUMMYFUNCTION("""COMPUTED_VALUE"""),20.0)</f>
        <v>20</v>
      </c>
      <c r="P750" s="1431">
        <f>IFERROR(__xludf.DUMMYFUNCTION("""COMPUTED_VALUE"""),2.69)</f>
        <v>2.69</v>
      </c>
      <c r="Q750" s="1432">
        <f>IFERROR(__xludf.DUMMYFUNCTION("""COMPUTED_VALUE"""),805.0)</f>
        <v>805</v>
      </c>
    </row>
    <row r="751" ht="15.75" customHeight="1">
      <c r="A751" s="94"/>
      <c r="B751" s="94" t="str">
        <f>IFERROR(__xludf.DUMMYFUNCTION("""COMPUTED_VALUE"""),"WS E1405")</f>
        <v>WS E1405</v>
      </c>
      <c r="C751" s="1429" t="str">
        <f>IFERROR(__xludf.DUMMYFUNCTION("""COMPUTED_VALUE"""),"WS")</f>
        <v>WS</v>
      </c>
      <c r="D751" s="1432">
        <f>IFERROR(__xludf.DUMMYFUNCTION("""COMPUTED_VALUE"""),8.0)</f>
        <v>8</v>
      </c>
      <c r="E751" s="1429">
        <f>IFERROR(__xludf.DUMMYFUNCTION("""COMPUTED_VALUE"""),45524.0)</f>
        <v>45524</v>
      </c>
      <c r="F751" s="1429">
        <f>IFERROR(__xludf.DUMMYFUNCTION("""COMPUTED_VALUE"""),45528.0)</f>
        <v>45528</v>
      </c>
      <c r="G751" s="1164">
        <f>IFERROR(__xludf.DUMMYFUNCTION("""COMPUTED_VALUE"""),4.0)</f>
        <v>4</v>
      </c>
      <c r="H751" s="94"/>
      <c r="I751" s="94">
        <f>IFERROR(__xludf.DUMMYFUNCTION("""COMPUTED_VALUE"""),805.0)</f>
        <v>805</v>
      </c>
      <c r="J751" s="94"/>
      <c r="K751" s="94">
        <f>IFERROR(__xludf.DUMMYFUNCTION("""COMPUTED_VALUE"""),60.0)</f>
        <v>60</v>
      </c>
      <c r="L751" s="94">
        <f>IFERROR(__xludf.DUMMYFUNCTION("""COMPUTED_VALUE"""),40.0)</f>
        <v>40</v>
      </c>
      <c r="M751" s="94">
        <f>IFERROR(__xludf.DUMMYFUNCTION("""COMPUTED_VALUE"""),20.0)</f>
        <v>20</v>
      </c>
      <c r="N751" s="94"/>
      <c r="O751" s="1430">
        <f>IFERROR(__xludf.DUMMYFUNCTION("""COMPUTED_VALUE"""),20.0)</f>
        <v>20</v>
      </c>
      <c r="P751" s="1431">
        <f>IFERROR(__xludf.DUMMYFUNCTION("""COMPUTED_VALUE"""),2.69)</f>
        <v>2.69</v>
      </c>
      <c r="Q751" s="1432">
        <f>IFERROR(__xludf.DUMMYFUNCTION("""COMPUTED_VALUE"""),805.0)</f>
        <v>805</v>
      </c>
    </row>
    <row r="752" ht="15.75" customHeight="1">
      <c r="A752" s="94"/>
      <c r="B752" s="94" t="str">
        <f>IFERROR(__xludf.DUMMYFUNCTION("""COMPUTED_VALUE"""),"С 1125")</f>
        <v>С 1125</v>
      </c>
      <c r="C752" s="1429" t="str">
        <f>IFERROR(__xludf.DUMMYFUNCTION("""COMPUTED_VALUE"""),"ORBI")</f>
        <v>ORBI</v>
      </c>
      <c r="D752" s="1432">
        <f>IFERROR(__xludf.DUMMYFUNCTION("""COMPUTED_VALUE"""),8.0)</f>
        <v>8</v>
      </c>
      <c r="E752" s="1429">
        <f>IFERROR(__xludf.DUMMYFUNCTION("""COMPUTED_VALUE"""),45525.0)</f>
        <v>45525</v>
      </c>
      <c r="F752" s="1429">
        <f>IFERROR(__xludf.DUMMYFUNCTION("""COMPUTED_VALUE"""),45531.0)</f>
        <v>45531</v>
      </c>
      <c r="G752" s="1164">
        <f>IFERROR(__xludf.DUMMYFUNCTION("""COMPUTED_VALUE"""),6.0)</f>
        <v>6</v>
      </c>
      <c r="H752" s="1430">
        <f>IFERROR(__xludf.DUMMYFUNCTION("""COMPUTED_VALUE"""),273.0)</f>
        <v>273</v>
      </c>
      <c r="I752" s="94">
        <f>IFERROR(__xludf.DUMMYFUNCTION("""COMPUTED_VALUE"""),0.0)</f>
        <v>0</v>
      </c>
      <c r="J752" s="94"/>
      <c r="K752" s="94">
        <f>IFERROR(__xludf.DUMMYFUNCTION("""COMPUTED_VALUE"""),60.0)</f>
        <v>60</v>
      </c>
      <c r="L752" s="94">
        <f>IFERROR(__xludf.DUMMYFUNCTION("""COMPUTED_VALUE"""),40.0)</f>
        <v>40</v>
      </c>
      <c r="M752" s="94">
        <f>IFERROR(__xludf.DUMMYFUNCTION("""COMPUTED_VALUE"""),20.0)</f>
        <v>20</v>
      </c>
      <c r="N752" s="94"/>
      <c r="O752" s="1430">
        <f>IFERROR(__xludf.DUMMYFUNCTION("""COMPUTED_VALUE"""),20.0)</f>
        <v>20</v>
      </c>
      <c r="P752" s="1431">
        <f>IFERROR(__xludf.DUMMYFUNCTION("""COMPUTED_VALUE"""),2.69)</f>
        <v>2.69</v>
      </c>
      <c r="Q752" s="1432">
        <f>IFERROR(__xludf.DUMMYFUNCTION("""COMPUTED_VALUE"""),734.37)</f>
        <v>734.37</v>
      </c>
    </row>
    <row r="753" ht="15.75" customHeight="1">
      <c r="A753" s="94"/>
      <c r="B753" s="94" t="str">
        <f>IFERROR(__xludf.DUMMYFUNCTION("""COMPUTED_VALUE"""),"WS А 908")</f>
        <v>WS А 908</v>
      </c>
      <c r="C753" s="1429" t="str">
        <f>IFERROR(__xludf.DUMMYFUNCTION("""COMPUTED_VALUE"""),"WS")</f>
        <v>WS</v>
      </c>
      <c r="D753" s="1432">
        <f>IFERROR(__xludf.DUMMYFUNCTION("""COMPUTED_VALUE"""),8.0)</f>
        <v>8</v>
      </c>
      <c r="E753" s="1429">
        <f>IFERROR(__xludf.DUMMYFUNCTION("""COMPUTED_VALUE"""),45525.0)</f>
        <v>45525</v>
      </c>
      <c r="F753" s="1429">
        <f>IFERROR(__xludf.DUMMYFUNCTION("""COMPUTED_VALUE"""),45532.0)</f>
        <v>45532</v>
      </c>
      <c r="G753" s="1164">
        <f>IFERROR(__xludf.DUMMYFUNCTION("""COMPUTED_VALUE"""),7.0)</f>
        <v>7</v>
      </c>
      <c r="H753" s="94"/>
      <c r="I753" s="94">
        <f>IFERROR(__xludf.DUMMYFUNCTION("""COMPUTED_VALUE"""),1527.0)</f>
        <v>1527</v>
      </c>
      <c r="J753" s="94"/>
      <c r="K753" s="94">
        <f>IFERROR(__xludf.DUMMYFUNCTION("""COMPUTED_VALUE"""),60.0)</f>
        <v>60</v>
      </c>
      <c r="L753" s="94">
        <f>IFERROR(__xludf.DUMMYFUNCTION("""COMPUTED_VALUE"""),40.0)</f>
        <v>40</v>
      </c>
      <c r="M753" s="94">
        <f>IFERROR(__xludf.DUMMYFUNCTION("""COMPUTED_VALUE"""),20.0)</f>
        <v>20</v>
      </c>
      <c r="N753" s="94"/>
      <c r="O753" s="1430">
        <f>IFERROR(__xludf.DUMMYFUNCTION("""COMPUTED_VALUE"""),20.0)</f>
        <v>20</v>
      </c>
      <c r="P753" s="1431">
        <f>IFERROR(__xludf.DUMMYFUNCTION("""COMPUTED_VALUE"""),2.69)</f>
        <v>2.69</v>
      </c>
      <c r="Q753" s="1432">
        <f>IFERROR(__xludf.DUMMYFUNCTION("""COMPUTED_VALUE"""),1527.0)</f>
        <v>1527</v>
      </c>
    </row>
    <row r="754" ht="15.75" customHeight="1">
      <c r="A754" s="94"/>
      <c r="B754" s="94" t="str">
        <f>IFERROR(__xludf.DUMMYFUNCTION("""COMPUTED_VALUE"""),"WS В 212")</f>
        <v>WS В 212</v>
      </c>
      <c r="C754" s="1429" t="str">
        <f>IFERROR(__xludf.DUMMYFUNCTION("""COMPUTED_VALUE"""),"WS")</f>
        <v>WS</v>
      </c>
      <c r="D754" s="1432">
        <f>IFERROR(__xludf.DUMMYFUNCTION("""COMPUTED_VALUE"""),8.0)</f>
        <v>8</v>
      </c>
      <c r="E754" s="1429">
        <f>IFERROR(__xludf.DUMMYFUNCTION("""COMPUTED_VALUE"""),45525.0)</f>
        <v>45525</v>
      </c>
      <c r="F754" s="1429">
        <f>IFERROR(__xludf.DUMMYFUNCTION("""COMPUTED_VALUE"""),45527.0)</f>
        <v>45527</v>
      </c>
      <c r="G754" s="1164">
        <f>IFERROR(__xludf.DUMMYFUNCTION("""COMPUTED_VALUE"""),2.0)</f>
        <v>2</v>
      </c>
      <c r="H754" s="94"/>
      <c r="I754" s="94">
        <f>IFERROR(__xludf.DUMMYFUNCTION("""COMPUTED_VALUE"""),788.0)</f>
        <v>788</v>
      </c>
      <c r="J754" s="94"/>
      <c r="K754" s="94">
        <f>IFERROR(__xludf.DUMMYFUNCTION("""COMPUTED_VALUE"""),70.0)</f>
        <v>70</v>
      </c>
      <c r="L754" s="94">
        <f>IFERROR(__xludf.DUMMYFUNCTION("""COMPUTED_VALUE"""),40.0)</f>
        <v>40</v>
      </c>
      <c r="M754" s="94">
        <f>IFERROR(__xludf.DUMMYFUNCTION("""COMPUTED_VALUE"""),30.0)</f>
        <v>30</v>
      </c>
      <c r="N754" s="94"/>
      <c r="O754" s="1430">
        <f>IFERROR(__xludf.DUMMYFUNCTION("""COMPUTED_VALUE"""),30.0)</f>
        <v>30</v>
      </c>
      <c r="P754" s="1431">
        <f>IFERROR(__xludf.DUMMYFUNCTION("""COMPUTED_VALUE"""),2.69)</f>
        <v>2.69</v>
      </c>
      <c r="Q754" s="1432">
        <f>IFERROR(__xludf.DUMMYFUNCTION("""COMPUTED_VALUE"""),788.0)</f>
        <v>788</v>
      </c>
    </row>
    <row r="755" ht="15.75" customHeight="1">
      <c r="A755" s="94"/>
      <c r="B755" s="94" t="str">
        <f>IFERROR(__xludf.DUMMYFUNCTION("""COMPUTED_VALUE"""),"WS A907")</f>
        <v>WS A907</v>
      </c>
      <c r="C755" s="1429" t="str">
        <f>IFERROR(__xludf.DUMMYFUNCTION("""COMPUTED_VALUE"""),"WS")</f>
        <v>WS</v>
      </c>
      <c r="D755" s="1432">
        <f>IFERROR(__xludf.DUMMYFUNCTION("""COMPUTED_VALUE"""),8.0)</f>
        <v>8</v>
      </c>
      <c r="E755" s="1429">
        <f>IFERROR(__xludf.DUMMYFUNCTION("""COMPUTED_VALUE"""),45525.0)</f>
        <v>45525</v>
      </c>
      <c r="F755" s="1429">
        <f>IFERROR(__xludf.DUMMYFUNCTION("""COMPUTED_VALUE"""),45530.0)</f>
        <v>45530</v>
      </c>
      <c r="G755" s="1164">
        <f>IFERROR(__xludf.DUMMYFUNCTION("""COMPUTED_VALUE"""),5.0)</f>
        <v>5</v>
      </c>
      <c r="H755" s="1430">
        <f>IFERROR(__xludf.DUMMYFUNCTION("""COMPUTED_VALUE"""),315.0)</f>
        <v>315</v>
      </c>
      <c r="I755" s="94">
        <f>IFERROR(__xludf.DUMMYFUNCTION("""COMPUTED_VALUE"""),0.0)</f>
        <v>0</v>
      </c>
      <c r="J755" s="94"/>
      <c r="K755" s="94">
        <f>IFERROR(__xludf.DUMMYFUNCTION("""COMPUTED_VALUE"""),60.0)</f>
        <v>60</v>
      </c>
      <c r="L755" s="94">
        <f>IFERROR(__xludf.DUMMYFUNCTION("""COMPUTED_VALUE"""),40.0)</f>
        <v>40</v>
      </c>
      <c r="M755" s="94">
        <f>IFERROR(__xludf.DUMMYFUNCTION("""COMPUTED_VALUE"""),20.0)</f>
        <v>20</v>
      </c>
      <c r="N755" s="94"/>
      <c r="O755" s="1430">
        <f>IFERROR(__xludf.DUMMYFUNCTION("""COMPUTED_VALUE"""),20.0)</f>
        <v>20</v>
      </c>
      <c r="P755" s="1431">
        <f>IFERROR(__xludf.DUMMYFUNCTION("""COMPUTED_VALUE"""),2.69)</f>
        <v>2.69</v>
      </c>
      <c r="Q755" s="1432">
        <f>IFERROR(__xludf.DUMMYFUNCTION("""COMPUTED_VALUE"""),847.35)</f>
        <v>847.35</v>
      </c>
    </row>
    <row r="756" ht="15.75" customHeight="1">
      <c r="A756" s="94"/>
      <c r="B756" s="94" t="str">
        <f>IFERROR(__xludf.DUMMYFUNCTION("""COMPUTED_VALUE"""),"DL 4-09")</f>
        <v>DL 4-09</v>
      </c>
      <c r="C756" s="1429" t="str">
        <f>IFERROR(__xludf.DUMMYFUNCTION("""COMPUTED_VALUE"""),"DL")</f>
        <v>DL</v>
      </c>
      <c r="D756" s="1432">
        <f>IFERROR(__xludf.DUMMYFUNCTION("""COMPUTED_VALUE"""),8.0)</f>
        <v>8</v>
      </c>
      <c r="E756" s="1429">
        <f>IFERROR(__xludf.DUMMYFUNCTION("""COMPUTED_VALUE"""),45526.0)</f>
        <v>45526</v>
      </c>
      <c r="F756" s="1429">
        <f>IFERROR(__xludf.DUMMYFUNCTION("""COMPUTED_VALUE"""),45531.0)</f>
        <v>45531</v>
      </c>
      <c r="G756" s="1164">
        <f>IFERROR(__xludf.DUMMYFUNCTION("""COMPUTED_VALUE"""),5.0)</f>
        <v>5</v>
      </c>
      <c r="H756" s="1430">
        <f>IFERROR(__xludf.DUMMYFUNCTION("""COMPUTED_VALUE"""),612.0)</f>
        <v>612</v>
      </c>
      <c r="I756" s="94">
        <f>IFERROR(__xludf.DUMMYFUNCTION("""COMPUTED_VALUE"""),0.0)</f>
        <v>0</v>
      </c>
      <c r="J756" s="94"/>
      <c r="K756" s="94">
        <f>IFERROR(__xludf.DUMMYFUNCTION("""COMPUTED_VALUE"""),95.0)</f>
        <v>95</v>
      </c>
      <c r="L756" s="94">
        <f>IFERROR(__xludf.DUMMYFUNCTION("""COMPUTED_VALUE"""),95.0)</f>
        <v>95</v>
      </c>
      <c r="M756" s="94">
        <f>IFERROR(__xludf.DUMMYFUNCTION("""COMPUTED_VALUE"""),0.0)</f>
        <v>0</v>
      </c>
      <c r="N756" s="94"/>
      <c r="O756" s="1430">
        <f>IFERROR(__xludf.DUMMYFUNCTION("""COMPUTED_VALUE"""),0.0)</f>
        <v>0</v>
      </c>
      <c r="P756" s="1431">
        <f>IFERROR(__xludf.DUMMYFUNCTION("""COMPUTED_VALUE"""),2.69)</f>
        <v>2.69</v>
      </c>
      <c r="Q756" s="1432">
        <f>IFERROR(__xludf.DUMMYFUNCTION("""COMPUTED_VALUE"""),1646.28)</f>
        <v>1646.28</v>
      </c>
    </row>
    <row r="757" ht="15.75" customHeight="1">
      <c r="A757" s="94"/>
      <c r="B757" s="94" t="str">
        <f>IFERROR(__xludf.DUMMYFUNCTION("""COMPUTED_VALUE"""),"DL14-518")</f>
        <v>DL14-518</v>
      </c>
      <c r="C757" s="1429" t="str">
        <f>IFERROR(__xludf.DUMMYFUNCTION("""COMPUTED_VALUE"""),"DL")</f>
        <v>DL</v>
      </c>
      <c r="D757" s="1432">
        <f>IFERROR(__xludf.DUMMYFUNCTION("""COMPUTED_VALUE"""),8.0)</f>
        <v>8</v>
      </c>
      <c r="E757" s="1429">
        <f>IFERROR(__xludf.DUMMYFUNCTION("""COMPUTED_VALUE"""),45526.0)</f>
        <v>45526</v>
      </c>
      <c r="F757" s="1429">
        <f>IFERROR(__xludf.DUMMYFUNCTION("""COMPUTED_VALUE"""),45529.0)</f>
        <v>45529</v>
      </c>
      <c r="G757" s="1164">
        <f>IFERROR(__xludf.DUMMYFUNCTION("""COMPUTED_VALUE"""),3.0)</f>
        <v>3</v>
      </c>
      <c r="H757" s="1430">
        <f>IFERROR(__xludf.DUMMYFUNCTION("""COMPUTED_VALUE"""),217.0)</f>
        <v>217</v>
      </c>
      <c r="I757" s="94">
        <f>IFERROR(__xludf.DUMMYFUNCTION("""COMPUTED_VALUE"""),0.0)</f>
        <v>0</v>
      </c>
      <c r="J757" s="94"/>
      <c r="K757" s="94">
        <f>IFERROR(__xludf.DUMMYFUNCTION("""COMPUTED_VALUE"""),95.0)</f>
        <v>95</v>
      </c>
      <c r="L757" s="94">
        <f>IFERROR(__xludf.DUMMYFUNCTION("""COMPUTED_VALUE"""),95.0)</f>
        <v>95</v>
      </c>
      <c r="M757" s="94">
        <f>IFERROR(__xludf.DUMMYFUNCTION("""COMPUTED_VALUE"""),0.0)</f>
        <v>0</v>
      </c>
      <c r="N757" s="94"/>
      <c r="O757" s="1430">
        <f>IFERROR(__xludf.DUMMYFUNCTION("""COMPUTED_VALUE"""),0.0)</f>
        <v>0</v>
      </c>
      <c r="P757" s="1431">
        <f>IFERROR(__xludf.DUMMYFUNCTION("""COMPUTED_VALUE"""),2.69)</f>
        <v>2.69</v>
      </c>
      <c r="Q757" s="1432">
        <f>IFERROR(__xludf.DUMMYFUNCTION("""COMPUTED_VALUE"""),583.73)</f>
        <v>583.73</v>
      </c>
    </row>
    <row r="758" ht="15.75" customHeight="1">
      <c r="A758" s="94"/>
      <c r="B758" s="94" t="str">
        <f>IFERROR(__xludf.DUMMYFUNCTION("""COMPUTED_VALUE"""),"DL14-1707")</f>
        <v>DL14-1707</v>
      </c>
      <c r="C758" s="1429" t="str">
        <f>IFERROR(__xludf.DUMMYFUNCTION("""COMPUTED_VALUE"""),"DL")</f>
        <v>DL</v>
      </c>
      <c r="D758" s="1432">
        <f>IFERROR(__xludf.DUMMYFUNCTION("""COMPUTED_VALUE"""),8.0)</f>
        <v>8</v>
      </c>
      <c r="E758" s="1429">
        <f>IFERROR(__xludf.DUMMYFUNCTION("""COMPUTED_VALUE"""),45526.0)</f>
        <v>45526</v>
      </c>
      <c r="F758" s="1429">
        <f>IFERROR(__xludf.DUMMYFUNCTION("""COMPUTED_VALUE"""),45528.0)</f>
        <v>45528</v>
      </c>
      <c r="G758" s="1164">
        <f>IFERROR(__xludf.DUMMYFUNCTION("""COMPUTED_VALUE"""),2.0)</f>
        <v>2</v>
      </c>
      <c r="H758" s="94"/>
      <c r="I758" s="94">
        <f>IFERROR(__xludf.DUMMYFUNCTION("""COMPUTED_VALUE"""),652.0)</f>
        <v>652</v>
      </c>
      <c r="J758" s="94"/>
      <c r="K758" s="94">
        <f>IFERROR(__xludf.DUMMYFUNCTION("""COMPUTED_VALUE"""),95.0)</f>
        <v>95</v>
      </c>
      <c r="L758" s="94">
        <f>IFERROR(__xludf.DUMMYFUNCTION("""COMPUTED_VALUE"""),95.0)</f>
        <v>95</v>
      </c>
      <c r="M758" s="94">
        <f>IFERROR(__xludf.DUMMYFUNCTION("""COMPUTED_VALUE"""),0.0)</f>
        <v>0</v>
      </c>
      <c r="N758" s="94"/>
      <c r="O758" s="1430">
        <f>IFERROR(__xludf.DUMMYFUNCTION("""COMPUTED_VALUE"""),0.0)</f>
        <v>0</v>
      </c>
      <c r="P758" s="1431">
        <f>IFERROR(__xludf.DUMMYFUNCTION("""COMPUTED_VALUE"""),2.69)</f>
        <v>2.69</v>
      </c>
      <c r="Q758" s="1432">
        <f>IFERROR(__xludf.DUMMYFUNCTION("""COMPUTED_VALUE"""),652.0)</f>
        <v>652</v>
      </c>
    </row>
    <row r="759" ht="15.75" customHeight="1">
      <c r="A759" s="94"/>
      <c r="B759" s="94" t="str">
        <f>IFERROR(__xludf.DUMMYFUNCTION("""COMPUTED_VALUE"""),"BV206")</f>
        <v>BV206</v>
      </c>
      <c r="C759" s="1429" t="str">
        <f>IFERROR(__xludf.DUMMYFUNCTION("""COMPUTED_VALUE"""),"Other")</f>
        <v>Other</v>
      </c>
      <c r="D759" s="1432">
        <f>IFERROR(__xludf.DUMMYFUNCTION("""COMPUTED_VALUE"""),8.0)</f>
        <v>8</v>
      </c>
      <c r="E759" s="1429">
        <f>IFERROR(__xludf.DUMMYFUNCTION("""COMPUTED_VALUE"""),45526.0)</f>
        <v>45526</v>
      </c>
      <c r="F759" s="1429">
        <f>IFERROR(__xludf.DUMMYFUNCTION("""COMPUTED_VALUE"""),45530.0)</f>
        <v>45530</v>
      </c>
      <c r="G759" s="1164">
        <f>IFERROR(__xludf.DUMMYFUNCTION("""COMPUTED_VALUE"""),4.0)</f>
        <v>4</v>
      </c>
      <c r="H759" s="94"/>
      <c r="I759" s="94">
        <f>IFERROR(__xludf.DUMMYFUNCTION("""COMPUTED_VALUE"""),673.0)</f>
        <v>673</v>
      </c>
      <c r="J759" s="94"/>
      <c r="K759" s="94">
        <f>IFERROR(__xludf.DUMMYFUNCTION("""COMPUTED_VALUE"""),60.0)</f>
        <v>60</v>
      </c>
      <c r="L759" s="94">
        <f>IFERROR(__xludf.DUMMYFUNCTION("""COMPUTED_VALUE"""),40.0)</f>
        <v>40</v>
      </c>
      <c r="M759" s="94">
        <f>IFERROR(__xludf.DUMMYFUNCTION("""COMPUTED_VALUE"""),20.0)</f>
        <v>20</v>
      </c>
      <c r="N759" s="94"/>
      <c r="O759" s="1430">
        <f>IFERROR(__xludf.DUMMYFUNCTION("""COMPUTED_VALUE"""),20.0)</f>
        <v>20</v>
      </c>
      <c r="P759" s="1431">
        <f>IFERROR(__xludf.DUMMYFUNCTION("""COMPUTED_VALUE"""),2.69)</f>
        <v>2.69</v>
      </c>
      <c r="Q759" s="1432">
        <f>IFERROR(__xludf.DUMMYFUNCTION("""COMPUTED_VALUE"""),673.0)</f>
        <v>673</v>
      </c>
    </row>
    <row r="760" ht="15.75" customHeight="1">
      <c r="A760" s="94"/>
      <c r="B760" s="94" t="str">
        <f>IFERROR(__xludf.DUMMYFUNCTION("""COMPUTED_VALUE"""),"WS A 713")</f>
        <v>WS A 713</v>
      </c>
      <c r="C760" s="1429" t="str">
        <f>IFERROR(__xludf.DUMMYFUNCTION("""COMPUTED_VALUE"""),"WS")</f>
        <v>WS</v>
      </c>
      <c r="D760" s="1432">
        <f>IFERROR(__xludf.DUMMYFUNCTION("""COMPUTED_VALUE"""),8.0)</f>
        <v>8</v>
      </c>
      <c r="E760" s="1429">
        <f>IFERROR(__xludf.DUMMYFUNCTION("""COMPUTED_VALUE"""),45526.0)</f>
        <v>45526</v>
      </c>
      <c r="F760" s="1429">
        <f>IFERROR(__xludf.DUMMYFUNCTION("""COMPUTED_VALUE"""),45531.0)</f>
        <v>45531</v>
      </c>
      <c r="G760" s="1164">
        <f>IFERROR(__xludf.DUMMYFUNCTION("""COMPUTED_VALUE"""),5.0)</f>
        <v>5</v>
      </c>
      <c r="H760" s="94"/>
      <c r="I760" s="94">
        <f>IFERROR(__xludf.DUMMYFUNCTION("""COMPUTED_VALUE"""),900.0)</f>
        <v>900</v>
      </c>
      <c r="J760" s="94"/>
      <c r="K760" s="94">
        <f>IFERROR(__xludf.DUMMYFUNCTION("""COMPUTED_VALUE"""),60.0)</f>
        <v>60</v>
      </c>
      <c r="L760" s="94">
        <f>IFERROR(__xludf.DUMMYFUNCTION("""COMPUTED_VALUE"""),40.0)</f>
        <v>40</v>
      </c>
      <c r="M760" s="94">
        <f>IFERROR(__xludf.DUMMYFUNCTION("""COMPUTED_VALUE"""),20.0)</f>
        <v>20</v>
      </c>
      <c r="N760" s="94"/>
      <c r="O760" s="1430">
        <f>IFERROR(__xludf.DUMMYFUNCTION("""COMPUTED_VALUE"""),20.0)</f>
        <v>20</v>
      </c>
      <c r="P760" s="1431">
        <f>IFERROR(__xludf.DUMMYFUNCTION("""COMPUTED_VALUE"""),2.69)</f>
        <v>2.69</v>
      </c>
      <c r="Q760" s="1432">
        <f>IFERROR(__xludf.DUMMYFUNCTION("""COMPUTED_VALUE"""),900.0)</f>
        <v>900</v>
      </c>
    </row>
    <row r="761" ht="15.75" customHeight="1">
      <c r="A761" s="94"/>
      <c r="B761" s="94" t="str">
        <f>IFERROR(__xludf.DUMMYFUNCTION("""COMPUTED_VALUE"""),"WS  B 405")</f>
        <v>WS  B 405</v>
      </c>
      <c r="C761" s="1429" t="str">
        <f>IFERROR(__xludf.DUMMYFUNCTION("""COMPUTED_VALUE"""),"WS")</f>
        <v>WS</v>
      </c>
      <c r="D761" s="1432">
        <f>IFERROR(__xludf.DUMMYFUNCTION("""COMPUTED_VALUE"""),8.0)</f>
        <v>8</v>
      </c>
      <c r="E761" s="1429">
        <f>IFERROR(__xludf.DUMMYFUNCTION("""COMPUTED_VALUE"""),45526.0)</f>
        <v>45526</v>
      </c>
      <c r="F761" s="1429">
        <f>IFERROR(__xludf.DUMMYFUNCTION("""COMPUTED_VALUE"""),45530.0)</f>
        <v>45530</v>
      </c>
      <c r="G761" s="1164">
        <f>IFERROR(__xludf.DUMMYFUNCTION("""COMPUTED_VALUE"""),4.0)</f>
        <v>4</v>
      </c>
      <c r="H761" s="94"/>
      <c r="I761" s="94">
        <f>IFERROR(__xludf.DUMMYFUNCTION("""COMPUTED_VALUE"""),892.0)</f>
        <v>892</v>
      </c>
      <c r="J761" s="94"/>
      <c r="K761" s="94">
        <f>IFERROR(__xludf.DUMMYFUNCTION("""COMPUTED_VALUE"""),60.0)</f>
        <v>60</v>
      </c>
      <c r="L761" s="94">
        <f>IFERROR(__xludf.DUMMYFUNCTION("""COMPUTED_VALUE"""),40.0)</f>
        <v>40</v>
      </c>
      <c r="M761" s="94">
        <f>IFERROR(__xludf.DUMMYFUNCTION("""COMPUTED_VALUE"""),20.0)</f>
        <v>20</v>
      </c>
      <c r="N761" s="94"/>
      <c r="O761" s="1430">
        <f>IFERROR(__xludf.DUMMYFUNCTION("""COMPUTED_VALUE"""),20.0)</f>
        <v>20</v>
      </c>
      <c r="P761" s="1431">
        <f>IFERROR(__xludf.DUMMYFUNCTION("""COMPUTED_VALUE"""),2.69)</f>
        <v>2.69</v>
      </c>
      <c r="Q761" s="1432">
        <f>IFERROR(__xludf.DUMMYFUNCTION("""COMPUTED_VALUE"""),892.0)</f>
        <v>892</v>
      </c>
    </row>
    <row r="762" ht="15.75" customHeight="1">
      <c r="A762" s="94"/>
      <c r="B762" s="94" t="str">
        <f>IFERROR(__xludf.DUMMYFUNCTION("""COMPUTED_VALUE"""),"D 1321")</f>
        <v>D 1321</v>
      </c>
      <c r="C762" s="1429" t="str">
        <f>IFERROR(__xludf.DUMMYFUNCTION("""COMPUTED_VALUE"""),"ORBI")</f>
        <v>ORBI</v>
      </c>
      <c r="D762" s="1432">
        <f>IFERROR(__xludf.DUMMYFUNCTION("""COMPUTED_VALUE"""),8.0)</f>
        <v>8</v>
      </c>
      <c r="E762" s="1429">
        <f>IFERROR(__xludf.DUMMYFUNCTION("""COMPUTED_VALUE"""),45526.0)</f>
        <v>45526</v>
      </c>
      <c r="F762" s="1429">
        <f>IFERROR(__xludf.DUMMYFUNCTION("""COMPUTED_VALUE"""),45529.0)</f>
        <v>45529</v>
      </c>
      <c r="G762" s="1164">
        <f>IFERROR(__xludf.DUMMYFUNCTION("""COMPUTED_VALUE"""),3.0)</f>
        <v>3</v>
      </c>
      <c r="H762" s="1430">
        <f>IFERROR(__xludf.DUMMYFUNCTION("""COMPUTED_VALUE"""),165.0)</f>
        <v>165</v>
      </c>
      <c r="I762" s="94">
        <f>IFERROR(__xludf.DUMMYFUNCTION("""COMPUTED_VALUE"""),0.0)</f>
        <v>0</v>
      </c>
      <c r="J762" s="94"/>
      <c r="K762" s="94">
        <f>IFERROR(__xludf.DUMMYFUNCTION("""COMPUTED_VALUE"""),60.0)</f>
        <v>60</v>
      </c>
      <c r="L762" s="94">
        <f>IFERROR(__xludf.DUMMYFUNCTION("""COMPUTED_VALUE"""),40.0)</f>
        <v>40</v>
      </c>
      <c r="M762" s="94">
        <f>IFERROR(__xludf.DUMMYFUNCTION("""COMPUTED_VALUE"""),20.0)</f>
        <v>20</v>
      </c>
      <c r="N762" s="94"/>
      <c r="O762" s="1430">
        <f>IFERROR(__xludf.DUMMYFUNCTION("""COMPUTED_VALUE"""),20.0)</f>
        <v>20</v>
      </c>
      <c r="P762" s="1431">
        <f>IFERROR(__xludf.DUMMYFUNCTION("""COMPUTED_VALUE"""),2.69)</f>
        <v>2.69</v>
      </c>
      <c r="Q762" s="1432">
        <f>IFERROR(__xludf.DUMMYFUNCTION("""COMPUTED_VALUE"""),443.84999999999997)</f>
        <v>443.85</v>
      </c>
    </row>
    <row r="763" ht="15.75" customHeight="1">
      <c r="A763" s="94"/>
      <c r="B763" s="94" t="str">
        <f>IFERROR(__xludf.DUMMYFUNCTION("""COMPUTED_VALUE"""),"Steps 510")</f>
        <v>Steps 510</v>
      </c>
      <c r="C763" s="1429" t="str">
        <f>IFERROR(__xludf.DUMMYFUNCTION("""COMPUTED_VALUE"""),"#N/A")</f>
        <v>#N/A</v>
      </c>
      <c r="D763" s="1432">
        <f>IFERROR(__xludf.DUMMYFUNCTION("""COMPUTED_VALUE"""),8.0)</f>
        <v>8</v>
      </c>
      <c r="E763" s="1429">
        <f>IFERROR(__xludf.DUMMYFUNCTION("""COMPUTED_VALUE"""),45527.0)</f>
        <v>45527</v>
      </c>
      <c r="F763" s="1429">
        <f>IFERROR(__xludf.DUMMYFUNCTION("""COMPUTED_VALUE"""),45533.0)</f>
        <v>45533</v>
      </c>
      <c r="G763" s="1164">
        <f>IFERROR(__xludf.DUMMYFUNCTION("""COMPUTED_VALUE"""),6.0)</f>
        <v>6</v>
      </c>
      <c r="H763" s="94"/>
      <c r="I763" s="94">
        <f>IFERROR(__xludf.DUMMYFUNCTION("""COMPUTED_VALUE"""),896.0)</f>
        <v>896</v>
      </c>
      <c r="J763" s="94"/>
      <c r="K763" s="94">
        <f>IFERROR(__xludf.DUMMYFUNCTION("""COMPUTED_VALUE"""),60.0)</f>
        <v>60</v>
      </c>
      <c r="L763" s="94">
        <f>IFERROR(__xludf.DUMMYFUNCTION("""COMPUTED_VALUE"""),40.0)</f>
        <v>40</v>
      </c>
      <c r="M763" s="94">
        <f>IFERROR(__xludf.DUMMYFUNCTION("""COMPUTED_VALUE"""),20.0)</f>
        <v>20</v>
      </c>
      <c r="N763" s="94"/>
      <c r="O763" s="1430">
        <f>IFERROR(__xludf.DUMMYFUNCTION("""COMPUTED_VALUE"""),20.0)</f>
        <v>20</v>
      </c>
      <c r="P763" s="1431">
        <f>IFERROR(__xludf.DUMMYFUNCTION("""COMPUTED_VALUE"""),2.69)</f>
        <v>2.69</v>
      </c>
      <c r="Q763" s="1432">
        <f>IFERROR(__xludf.DUMMYFUNCTION("""COMPUTED_VALUE"""),896.0)</f>
        <v>896</v>
      </c>
    </row>
    <row r="764" ht="15.75" customHeight="1">
      <c r="A764" s="94"/>
      <c r="B764" s="94" t="str">
        <f>IFERROR(__xludf.DUMMYFUNCTION("""COMPUTED_VALUE"""),"А 4049")</f>
        <v>А 4049</v>
      </c>
      <c r="C764" s="1429" t="str">
        <f>IFERROR(__xludf.DUMMYFUNCTION("""COMPUTED_VALUE"""),"ORBI")</f>
        <v>ORBI</v>
      </c>
      <c r="D764" s="1432">
        <f>IFERROR(__xludf.DUMMYFUNCTION("""COMPUTED_VALUE"""),8.0)</f>
        <v>8</v>
      </c>
      <c r="E764" s="1429">
        <f>IFERROR(__xludf.DUMMYFUNCTION("""COMPUTED_VALUE"""),45527.0)</f>
        <v>45527</v>
      </c>
      <c r="F764" s="1429">
        <f>IFERROR(__xludf.DUMMYFUNCTION("""COMPUTED_VALUE"""),45529.0)</f>
        <v>45529</v>
      </c>
      <c r="G764" s="1164">
        <f>IFERROR(__xludf.DUMMYFUNCTION("""COMPUTED_VALUE"""),2.0)</f>
        <v>2</v>
      </c>
      <c r="H764" s="1430">
        <f>IFERROR(__xludf.DUMMYFUNCTION("""COMPUTED_VALUE"""),110.0)</f>
        <v>110</v>
      </c>
      <c r="I764" s="94">
        <f>IFERROR(__xludf.DUMMYFUNCTION("""COMPUTED_VALUE"""),0.0)</f>
        <v>0</v>
      </c>
      <c r="J764" s="94"/>
      <c r="K764" s="94">
        <f>IFERROR(__xludf.DUMMYFUNCTION("""COMPUTED_VALUE"""),60.0)</f>
        <v>60</v>
      </c>
      <c r="L764" s="94">
        <f>IFERROR(__xludf.DUMMYFUNCTION("""COMPUTED_VALUE"""),40.0)</f>
        <v>40</v>
      </c>
      <c r="M764" s="94">
        <f>IFERROR(__xludf.DUMMYFUNCTION("""COMPUTED_VALUE"""),20.0)</f>
        <v>20</v>
      </c>
      <c r="N764" s="94"/>
      <c r="O764" s="1430">
        <f>IFERROR(__xludf.DUMMYFUNCTION("""COMPUTED_VALUE"""),20.0)</f>
        <v>20</v>
      </c>
      <c r="P764" s="1431">
        <f>IFERROR(__xludf.DUMMYFUNCTION("""COMPUTED_VALUE"""),2.69)</f>
        <v>2.69</v>
      </c>
      <c r="Q764" s="1432">
        <f>IFERROR(__xludf.DUMMYFUNCTION("""COMPUTED_VALUE"""),295.9)</f>
        <v>295.9</v>
      </c>
    </row>
    <row r="765" ht="15.75" customHeight="1">
      <c r="A765" s="94"/>
      <c r="B765" s="94" t="str">
        <f>IFERROR(__xludf.DUMMYFUNCTION("""COMPUTED_VALUE"""),"WS В 212")</f>
        <v>WS В 212</v>
      </c>
      <c r="C765" s="1429" t="str">
        <f>IFERROR(__xludf.DUMMYFUNCTION("""COMPUTED_VALUE"""),"WS")</f>
        <v>WS</v>
      </c>
      <c r="D765" s="1432">
        <f>IFERROR(__xludf.DUMMYFUNCTION("""COMPUTED_VALUE"""),8.0)</f>
        <v>8</v>
      </c>
      <c r="E765" s="1429">
        <f>IFERROR(__xludf.DUMMYFUNCTION("""COMPUTED_VALUE"""),45527.0)</f>
        <v>45527</v>
      </c>
      <c r="F765" s="1429">
        <f>IFERROR(__xludf.DUMMYFUNCTION("""COMPUTED_VALUE"""),45532.0)</f>
        <v>45532</v>
      </c>
      <c r="G765" s="1164">
        <f>IFERROR(__xludf.DUMMYFUNCTION("""COMPUTED_VALUE"""),5.0)</f>
        <v>5</v>
      </c>
      <c r="H765" s="1430">
        <f>IFERROR(__xludf.DUMMYFUNCTION("""COMPUTED_VALUE"""),553.0)</f>
        <v>553</v>
      </c>
      <c r="I765" s="94">
        <f>IFERROR(__xludf.DUMMYFUNCTION("""COMPUTED_VALUE"""),0.0)</f>
        <v>0</v>
      </c>
      <c r="J765" s="94"/>
      <c r="K765" s="94">
        <f>IFERROR(__xludf.DUMMYFUNCTION("""COMPUTED_VALUE"""),70.0)</f>
        <v>70</v>
      </c>
      <c r="L765" s="94">
        <f>IFERROR(__xludf.DUMMYFUNCTION("""COMPUTED_VALUE"""),40.0)</f>
        <v>40</v>
      </c>
      <c r="M765" s="94">
        <f>IFERROR(__xludf.DUMMYFUNCTION("""COMPUTED_VALUE"""),30.0)</f>
        <v>30</v>
      </c>
      <c r="N765" s="94"/>
      <c r="O765" s="1430">
        <f>IFERROR(__xludf.DUMMYFUNCTION("""COMPUTED_VALUE"""),30.0)</f>
        <v>30</v>
      </c>
      <c r="P765" s="1431">
        <f>IFERROR(__xludf.DUMMYFUNCTION("""COMPUTED_VALUE"""),2.69)</f>
        <v>2.69</v>
      </c>
      <c r="Q765" s="1432">
        <f>IFERROR(__xludf.DUMMYFUNCTION("""COMPUTED_VALUE"""),1487.57)</f>
        <v>1487.57</v>
      </c>
    </row>
    <row r="766" ht="15.75" customHeight="1">
      <c r="A766" s="94"/>
      <c r="B766" s="94" t="str">
        <f>IFERROR(__xludf.DUMMYFUNCTION("""COMPUTED_VALUE"""),"WS В 503")</f>
        <v>WS В 503</v>
      </c>
      <c r="C766" s="1429" t="str">
        <f>IFERROR(__xludf.DUMMYFUNCTION("""COMPUTED_VALUE"""),"WS")</f>
        <v>WS</v>
      </c>
      <c r="D766" s="1432">
        <f>IFERROR(__xludf.DUMMYFUNCTION("""COMPUTED_VALUE"""),8.0)</f>
        <v>8</v>
      </c>
      <c r="E766" s="1429">
        <f>IFERROR(__xludf.DUMMYFUNCTION("""COMPUTED_VALUE"""),45527.0)</f>
        <v>45527</v>
      </c>
      <c r="F766" s="1429">
        <f>IFERROR(__xludf.DUMMYFUNCTION("""COMPUTED_VALUE"""),45530.0)</f>
        <v>45530</v>
      </c>
      <c r="G766" s="1164">
        <f>IFERROR(__xludf.DUMMYFUNCTION("""COMPUTED_VALUE"""),3.0)</f>
        <v>3</v>
      </c>
      <c r="H766" s="1430">
        <f>IFERROR(__xludf.DUMMYFUNCTION("""COMPUTED_VALUE"""),270.0)</f>
        <v>270</v>
      </c>
      <c r="I766" s="94">
        <f>IFERROR(__xludf.DUMMYFUNCTION("""COMPUTED_VALUE"""),0.0)</f>
        <v>0</v>
      </c>
      <c r="J766" s="94"/>
      <c r="K766" s="94">
        <f>IFERROR(__xludf.DUMMYFUNCTION("""COMPUTED_VALUE"""),70.0)</f>
        <v>70</v>
      </c>
      <c r="L766" s="94">
        <f>IFERROR(__xludf.DUMMYFUNCTION("""COMPUTED_VALUE"""),40.0)</f>
        <v>40</v>
      </c>
      <c r="M766" s="94">
        <f>IFERROR(__xludf.DUMMYFUNCTION("""COMPUTED_VALUE"""),30.0)</f>
        <v>30</v>
      </c>
      <c r="N766" s="94"/>
      <c r="O766" s="1430">
        <f>IFERROR(__xludf.DUMMYFUNCTION("""COMPUTED_VALUE"""),30.0)</f>
        <v>30</v>
      </c>
      <c r="P766" s="1431">
        <f>IFERROR(__xludf.DUMMYFUNCTION("""COMPUTED_VALUE"""),2.69)</f>
        <v>2.69</v>
      </c>
      <c r="Q766" s="1432">
        <f>IFERROR(__xludf.DUMMYFUNCTION("""COMPUTED_VALUE"""),726.3)</f>
        <v>726.3</v>
      </c>
    </row>
    <row r="767" ht="15.75" customHeight="1">
      <c r="A767" s="94"/>
      <c r="B767" s="94" t="str">
        <f>IFERROR(__xludf.DUMMYFUNCTION("""COMPUTED_VALUE"""),"WS E704")</f>
        <v>WS E704</v>
      </c>
      <c r="C767" s="1429" t="str">
        <f>IFERROR(__xludf.DUMMYFUNCTION("""COMPUTED_VALUE"""),"WS")</f>
        <v>WS</v>
      </c>
      <c r="D767" s="1432">
        <f>IFERROR(__xludf.DUMMYFUNCTION("""COMPUTED_VALUE"""),8.0)</f>
        <v>8</v>
      </c>
      <c r="E767" s="1429">
        <f>IFERROR(__xludf.DUMMYFUNCTION("""COMPUTED_VALUE"""),45527.0)</f>
        <v>45527</v>
      </c>
      <c r="F767" s="1429">
        <f>IFERROR(__xludf.DUMMYFUNCTION("""COMPUTED_VALUE"""),45530.0)</f>
        <v>45530</v>
      </c>
      <c r="G767" s="1164">
        <f>IFERROR(__xludf.DUMMYFUNCTION("""COMPUTED_VALUE"""),3.0)</f>
        <v>3</v>
      </c>
      <c r="H767" s="1430">
        <f>IFERROR(__xludf.DUMMYFUNCTION("""COMPUTED_VALUE"""),195.0)</f>
        <v>195</v>
      </c>
      <c r="I767" s="94">
        <f>IFERROR(__xludf.DUMMYFUNCTION("""COMPUTED_VALUE"""),0.0)</f>
        <v>0</v>
      </c>
      <c r="J767" s="94"/>
      <c r="K767" s="94">
        <f>IFERROR(__xludf.DUMMYFUNCTION("""COMPUTED_VALUE"""),60.0)</f>
        <v>60</v>
      </c>
      <c r="L767" s="94">
        <f>IFERROR(__xludf.DUMMYFUNCTION("""COMPUTED_VALUE"""),40.0)</f>
        <v>40</v>
      </c>
      <c r="M767" s="94">
        <f>IFERROR(__xludf.DUMMYFUNCTION("""COMPUTED_VALUE"""),20.0)</f>
        <v>20</v>
      </c>
      <c r="N767" s="94"/>
      <c r="O767" s="1430">
        <f>IFERROR(__xludf.DUMMYFUNCTION("""COMPUTED_VALUE"""),20.0)</f>
        <v>20</v>
      </c>
      <c r="P767" s="1431">
        <f>IFERROR(__xludf.DUMMYFUNCTION("""COMPUTED_VALUE"""),2.69)</f>
        <v>2.69</v>
      </c>
      <c r="Q767" s="1432">
        <f>IFERROR(__xludf.DUMMYFUNCTION("""COMPUTED_VALUE"""),524.55)</f>
        <v>524.55</v>
      </c>
    </row>
    <row r="768" ht="15.75" customHeight="1">
      <c r="A768" s="94"/>
      <c r="B768" s="94" t="str">
        <f>IFERROR(__xludf.DUMMYFUNCTION("""COMPUTED_VALUE"""),"CM 1931")</f>
        <v>CM 1931</v>
      </c>
      <c r="C768" s="1429" t="str">
        <f>IFERROR(__xludf.DUMMYFUNCTION("""COMPUTED_VALUE"""),"MAR")</f>
        <v>MAR</v>
      </c>
      <c r="D768" s="1432">
        <f>IFERROR(__xludf.DUMMYFUNCTION("""COMPUTED_VALUE"""),8.0)</f>
        <v>8</v>
      </c>
      <c r="E768" s="1429">
        <f>IFERROR(__xludf.DUMMYFUNCTION("""COMPUTED_VALUE"""),45527.0)</f>
        <v>45527</v>
      </c>
      <c r="F768" s="1429">
        <f>IFERROR(__xludf.DUMMYFUNCTION("""COMPUTED_VALUE"""),45529.0)</f>
        <v>45529</v>
      </c>
      <c r="G768" s="1164">
        <f>IFERROR(__xludf.DUMMYFUNCTION("""COMPUTED_VALUE"""),2.0)</f>
        <v>2</v>
      </c>
      <c r="H768" s="1430">
        <f>IFERROR(__xludf.DUMMYFUNCTION("""COMPUTED_VALUE"""),137.0)</f>
        <v>137</v>
      </c>
      <c r="I768" s="94">
        <f>IFERROR(__xludf.DUMMYFUNCTION("""COMPUTED_VALUE"""),0.0)</f>
        <v>0</v>
      </c>
      <c r="J768" s="94"/>
      <c r="K768" s="94">
        <f>IFERROR(__xludf.DUMMYFUNCTION("""COMPUTED_VALUE"""),60.0)</f>
        <v>60</v>
      </c>
      <c r="L768" s="94">
        <f>IFERROR(__xludf.DUMMYFUNCTION("""COMPUTED_VALUE"""),40.0)</f>
        <v>40</v>
      </c>
      <c r="M768" s="94">
        <f>IFERROR(__xludf.DUMMYFUNCTION("""COMPUTED_VALUE"""),20.0)</f>
        <v>20</v>
      </c>
      <c r="N768" s="94"/>
      <c r="O768" s="1430">
        <f>IFERROR(__xludf.DUMMYFUNCTION("""COMPUTED_VALUE"""),20.0)</f>
        <v>20</v>
      </c>
      <c r="P768" s="1431">
        <f>IFERROR(__xludf.DUMMYFUNCTION("""COMPUTED_VALUE"""),2.69)</f>
        <v>2.69</v>
      </c>
      <c r="Q768" s="1432">
        <f>IFERROR(__xludf.DUMMYFUNCTION("""COMPUTED_VALUE"""),368.53)</f>
        <v>368.53</v>
      </c>
    </row>
    <row r="769" ht="15.75" customHeight="1">
      <c r="A769" s="94"/>
      <c r="B769" s="94" t="str">
        <f>IFERROR(__xludf.DUMMYFUNCTION("""COMPUTED_VALUE"""),"DL 14-516")</f>
        <v>DL 14-516</v>
      </c>
      <c r="C769" s="1429" t="str">
        <f>IFERROR(__xludf.DUMMYFUNCTION("""COMPUTED_VALUE"""),"DL")</f>
        <v>DL</v>
      </c>
      <c r="D769" s="1432">
        <f>IFERROR(__xludf.DUMMYFUNCTION("""COMPUTED_VALUE"""),8.0)</f>
        <v>8</v>
      </c>
      <c r="E769" s="1429">
        <f>IFERROR(__xludf.DUMMYFUNCTION("""COMPUTED_VALUE"""),45527.0)</f>
        <v>45527</v>
      </c>
      <c r="F769" s="1429">
        <f>IFERROR(__xludf.DUMMYFUNCTION("""COMPUTED_VALUE"""),45530.0)</f>
        <v>45530</v>
      </c>
      <c r="G769" s="1164">
        <f>IFERROR(__xludf.DUMMYFUNCTION("""COMPUTED_VALUE"""),3.0)</f>
        <v>3</v>
      </c>
      <c r="H769" s="1430">
        <f>IFERROR(__xludf.DUMMYFUNCTION("""COMPUTED_VALUE"""),412.0)</f>
        <v>412</v>
      </c>
      <c r="I769" s="94">
        <f>IFERROR(__xludf.DUMMYFUNCTION("""COMPUTED_VALUE"""),0.0)</f>
        <v>0</v>
      </c>
      <c r="J769" s="94"/>
      <c r="K769" s="94">
        <f>IFERROR(__xludf.DUMMYFUNCTION("""COMPUTED_VALUE"""),105.0)</f>
        <v>105</v>
      </c>
      <c r="L769" s="94">
        <f>IFERROR(__xludf.DUMMYFUNCTION("""COMPUTED_VALUE"""),105.0)</f>
        <v>105</v>
      </c>
      <c r="M769" s="94">
        <f>IFERROR(__xludf.DUMMYFUNCTION("""COMPUTED_VALUE"""),0.0)</f>
        <v>0</v>
      </c>
      <c r="N769" s="94"/>
      <c r="O769" s="1430">
        <f>IFERROR(__xludf.DUMMYFUNCTION("""COMPUTED_VALUE"""),0.0)</f>
        <v>0</v>
      </c>
      <c r="P769" s="1431">
        <f>IFERROR(__xludf.DUMMYFUNCTION("""COMPUTED_VALUE"""),2.69)</f>
        <v>2.69</v>
      </c>
      <c r="Q769" s="1432">
        <f>IFERROR(__xludf.DUMMYFUNCTION("""COMPUTED_VALUE"""),1108.28)</f>
        <v>1108.28</v>
      </c>
    </row>
    <row r="770" ht="15.75" customHeight="1">
      <c r="A770" s="94"/>
      <c r="B770" s="94" t="str">
        <f>IFERROR(__xludf.DUMMYFUNCTION("""COMPUTED_VALUE"""),"14-411")</f>
        <v>14-411</v>
      </c>
      <c r="C770" s="1429" t="str">
        <f>IFERROR(__xludf.DUMMYFUNCTION("""COMPUTED_VALUE"""),"DL")</f>
        <v>DL</v>
      </c>
      <c r="D770" s="1432">
        <f>IFERROR(__xludf.DUMMYFUNCTION("""COMPUTED_VALUE"""),8.0)</f>
        <v>8</v>
      </c>
      <c r="E770" s="1429">
        <f>IFERROR(__xludf.DUMMYFUNCTION("""COMPUTED_VALUE"""),45527.0)</f>
        <v>45527</v>
      </c>
      <c r="F770" s="1429">
        <f>IFERROR(__xludf.DUMMYFUNCTION("""COMPUTED_VALUE"""),45530.0)</f>
        <v>45530</v>
      </c>
      <c r="G770" s="1164">
        <f>IFERROR(__xludf.DUMMYFUNCTION("""COMPUTED_VALUE"""),3.0)</f>
        <v>3</v>
      </c>
      <c r="H770" s="94"/>
      <c r="I770" s="94">
        <f>IFERROR(__xludf.DUMMYFUNCTION("""COMPUTED_VALUE"""),980.0)</f>
        <v>980</v>
      </c>
      <c r="J770" s="94"/>
      <c r="K770" s="94">
        <f>IFERROR(__xludf.DUMMYFUNCTION("""COMPUTED_VALUE"""),95.0)</f>
        <v>95</v>
      </c>
      <c r="L770" s="94">
        <f>IFERROR(__xludf.DUMMYFUNCTION("""COMPUTED_VALUE"""),95.0)</f>
        <v>95</v>
      </c>
      <c r="M770" s="94">
        <f>IFERROR(__xludf.DUMMYFUNCTION("""COMPUTED_VALUE"""),0.0)</f>
        <v>0</v>
      </c>
      <c r="N770" s="94"/>
      <c r="O770" s="1430">
        <f>IFERROR(__xludf.DUMMYFUNCTION("""COMPUTED_VALUE"""),0.0)</f>
        <v>0</v>
      </c>
      <c r="P770" s="1431">
        <f>IFERROR(__xludf.DUMMYFUNCTION("""COMPUTED_VALUE"""),2.69)</f>
        <v>2.69</v>
      </c>
      <c r="Q770" s="1432">
        <f>IFERROR(__xludf.DUMMYFUNCTION("""COMPUTED_VALUE"""),980.0)</f>
        <v>980</v>
      </c>
    </row>
    <row r="771" ht="15.75" customHeight="1">
      <c r="A771" s="94"/>
      <c r="B771" s="94" t="str">
        <f>IFERROR(__xludf.DUMMYFUNCTION("""COMPUTED_VALUE"""),"DL 11-1305")</f>
        <v>DL 11-1305</v>
      </c>
      <c r="C771" s="1429" t="str">
        <f>IFERROR(__xludf.DUMMYFUNCTION("""COMPUTED_VALUE"""),"DL")</f>
        <v>DL</v>
      </c>
      <c r="D771" s="1432">
        <f>IFERROR(__xludf.DUMMYFUNCTION("""COMPUTED_VALUE"""),8.0)</f>
        <v>8</v>
      </c>
      <c r="E771" s="1429">
        <f>IFERROR(__xludf.DUMMYFUNCTION("""COMPUTED_VALUE"""),45527.0)</f>
        <v>45527</v>
      </c>
      <c r="F771" s="1429">
        <f>IFERROR(__xludf.DUMMYFUNCTION("""COMPUTED_VALUE"""),45529.0)</f>
        <v>45529</v>
      </c>
      <c r="G771" s="1164">
        <f>IFERROR(__xludf.DUMMYFUNCTION("""COMPUTED_VALUE"""),2.0)</f>
        <v>2</v>
      </c>
      <c r="H771" s="1430">
        <f>IFERROR(__xludf.DUMMYFUNCTION("""COMPUTED_VALUE"""),300.0)</f>
        <v>300</v>
      </c>
      <c r="I771" s="94">
        <f>IFERROR(__xludf.DUMMYFUNCTION("""COMPUTED_VALUE"""),0.0)</f>
        <v>0</v>
      </c>
      <c r="J771" s="94"/>
      <c r="K771" s="94">
        <f>IFERROR(__xludf.DUMMYFUNCTION("""COMPUTED_VALUE"""),105.0)</f>
        <v>105</v>
      </c>
      <c r="L771" s="94">
        <f>IFERROR(__xludf.DUMMYFUNCTION("""COMPUTED_VALUE"""),105.0)</f>
        <v>105</v>
      </c>
      <c r="M771" s="94">
        <f>IFERROR(__xludf.DUMMYFUNCTION("""COMPUTED_VALUE"""),0.0)</f>
        <v>0</v>
      </c>
      <c r="N771" s="94"/>
      <c r="O771" s="1430">
        <f>IFERROR(__xludf.DUMMYFUNCTION("""COMPUTED_VALUE"""),0.0)</f>
        <v>0</v>
      </c>
      <c r="P771" s="1431">
        <f>IFERROR(__xludf.DUMMYFUNCTION("""COMPUTED_VALUE"""),2.69)</f>
        <v>2.69</v>
      </c>
      <c r="Q771" s="1432">
        <f>IFERROR(__xludf.DUMMYFUNCTION("""COMPUTED_VALUE"""),807.0)</f>
        <v>807</v>
      </c>
    </row>
    <row r="772" ht="15.75" customHeight="1">
      <c r="A772" s="94"/>
      <c r="B772" s="94" t="str">
        <f>IFERROR(__xludf.DUMMYFUNCTION("""COMPUTED_VALUE"""),"DL14-1405")</f>
        <v>DL14-1405</v>
      </c>
      <c r="C772" s="1429" t="str">
        <f>IFERROR(__xludf.DUMMYFUNCTION("""COMPUTED_VALUE"""),"DL")</f>
        <v>DL</v>
      </c>
      <c r="D772" s="1432">
        <f>IFERROR(__xludf.DUMMYFUNCTION("""COMPUTED_VALUE"""),8.0)</f>
        <v>8</v>
      </c>
      <c r="E772" s="1429">
        <f>IFERROR(__xludf.DUMMYFUNCTION("""COMPUTED_VALUE"""),45527.0)</f>
        <v>45527</v>
      </c>
      <c r="F772" s="1429">
        <f>IFERROR(__xludf.DUMMYFUNCTION("""COMPUTED_VALUE"""),45529.0)</f>
        <v>45529</v>
      </c>
      <c r="G772" s="1164">
        <f>IFERROR(__xludf.DUMMYFUNCTION("""COMPUTED_VALUE"""),2.0)</f>
        <v>2</v>
      </c>
      <c r="H772" s="1430">
        <f>IFERROR(__xludf.DUMMYFUNCTION("""COMPUTED_VALUE"""),320.0)</f>
        <v>320</v>
      </c>
      <c r="I772" s="94">
        <f>IFERROR(__xludf.DUMMYFUNCTION("""COMPUTED_VALUE"""),0.0)</f>
        <v>0</v>
      </c>
      <c r="J772" s="94"/>
      <c r="K772" s="94">
        <f>IFERROR(__xludf.DUMMYFUNCTION("""COMPUTED_VALUE"""),105.0)</f>
        <v>105</v>
      </c>
      <c r="L772" s="94">
        <f>IFERROR(__xludf.DUMMYFUNCTION("""COMPUTED_VALUE"""),105.0)</f>
        <v>105</v>
      </c>
      <c r="M772" s="94">
        <f>IFERROR(__xludf.DUMMYFUNCTION("""COMPUTED_VALUE"""),0.0)</f>
        <v>0</v>
      </c>
      <c r="N772" s="94"/>
      <c r="O772" s="1430">
        <f>IFERROR(__xludf.DUMMYFUNCTION("""COMPUTED_VALUE"""),0.0)</f>
        <v>0</v>
      </c>
      <c r="P772" s="1431">
        <f>IFERROR(__xludf.DUMMYFUNCTION("""COMPUTED_VALUE"""),2.69)</f>
        <v>2.69</v>
      </c>
      <c r="Q772" s="1432">
        <f>IFERROR(__xludf.DUMMYFUNCTION("""COMPUTED_VALUE"""),860.8)</f>
        <v>860.8</v>
      </c>
    </row>
    <row r="773" ht="15.75" customHeight="1">
      <c r="A773" s="94"/>
      <c r="B773" s="94" t="str">
        <f>IFERROR(__xludf.DUMMYFUNCTION("""COMPUTED_VALUE"""),"DL 11-1112")</f>
        <v>DL 11-1112</v>
      </c>
      <c r="C773" s="1429" t="str">
        <f>IFERROR(__xludf.DUMMYFUNCTION("""COMPUTED_VALUE"""),"DL")</f>
        <v>DL</v>
      </c>
      <c r="D773" s="1432">
        <f>IFERROR(__xludf.DUMMYFUNCTION("""COMPUTED_VALUE"""),8.0)</f>
        <v>8</v>
      </c>
      <c r="E773" s="1429">
        <f>IFERROR(__xludf.DUMMYFUNCTION("""COMPUTED_VALUE"""),45527.0)</f>
        <v>45527</v>
      </c>
      <c r="F773" s="1429">
        <f>IFERROR(__xludf.DUMMYFUNCTION("""COMPUTED_VALUE"""),45530.0)</f>
        <v>45530</v>
      </c>
      <c r="G773" s="1164">
        <f>IFERROR(__xludf.DUMMYFUNCTION("""COMPUTED_VALUE"""),3.0)</f>
        <v>3</v>
      </c>
      <c r="H773" s="94"/>
      <c r="I773" s="94">
        <f>IFERROR(__xludf.DUMMYFUNCTION("""COMPUTED_VALUE"""),1086.0)</f>
        <v>1086</v>
      </c>
      <c r="J773" s="94"/>
      <c r="K773" s="94">
        <f>IFERROR(__xludf.DUMMYFUNCTION("""COMPUTED_VALUE"""),95.0)</f>
        <v>95</v>
      </c>
      <c r="L773" s="94">
        <f>IFERROR(__xludf.DUMMYFUNCTION("""COMPUTED_VALUE"""),95.0)</f>
        <v>95</v>
      </c>
      <c r="M773" s="94">
        <f>IFERROR(__xludf.DUMMYFUNCTION("""COMPUTED_VALUE"""),0.0)</f>
        <v>0</v>
      </c>
      <c r="N773" s="94"/>
      <c r="O773" s="1430">
        <f>IFERROR(__xludf.DUMMYFUNCTION("""COMPUTED_VALUE"""),0.0)</f>
        <v>0</v>
      </c>
      <c r="P773" s="1431">
        <f>IFERROR(__xludf.DUMMYFUNCTION("""COMPUTED_VALUE"""),2.69)</f>
        <v>2.69</v>
      </c>
      <c r="Q773" s="1432">
        <f>IFERROR(__xludf.DUMMYFUNCTION("""COMPUTED_VALUE"""),1086.0)</f>
        <v>1086</v>
      </c>
    </row>
    <row r="774" ht="15.75" customHeight="1">
      <c r="A774" s="94"/>
      <c r="B774" s="94" t="str">
        <f>IFERROR(__xludf.DUMMYFUNCTION("""COMPUTED_VALUE"""),"Шартава 16")</f>
        <v>Шартава 16</v>
      </c>
      <c r="C774" s="1429" t="str">
        <f>IFERROR(__xludf.DUMMYFUNCTION("""COMPUTED_VALUE"""),"Other")</f>
        <v>Other</v>
      </c>
      <c r="D774" s="1432">
        <f>IFERROR(__xludf.DUMMYFUNCTION("""COMPUTED_VALUE"""),8.0)</f>
        <v>8</v>
      </c>
      <c r="E774" s="1429">
        <f>IFERROR(__xludf.DUMMYFUNCTION("""COMPUTED_VALUE"""),45528.0)</f>
        <v>45528</v>
      </c>
      <c r="F774" s="1429">
        <f>IFERROR(__xludf.DUMMYFUNCTION("""COMPUTED_VALUE"""),45539.0)</f>
        <v>45539</v>
      </c>
      <c r="G774" s="1164">
        <f>IFERROR(__xludf.DUMMYFUNCTION("""COMPUTED_VALUE"""),11.0)</f>
        <v>11</v>
      </c>
      <c r="H774" s="94"/>
      <c r="I774" s="94">
        <f>IFERROR(__xludf.DUMMYFUNCTION("""COMPUTED_VALUE"""),1526.0)</f>
        <v>1526</v>
      </c>
      <c r="J774" s="94"/>
      <c r="K774" s="94">
        <f>IFERROR(__xludf.DUMMYFUNCTION("""COMPUTED_VALUE"""),60.0)</f>
        <v>60</v>
      </c>
      <c r="L774" s="94">
        <f>IFERROR(__xludf.DUMMYFUNCTION("""COMPUTED_VALUE"""),40.0)</f>
        <v>40</v>
      </c>
      <c r="M774" s="94">
        <f>IFERROR(__xludf.DUMMYFUNCTION("""COMPUTED_VALUE"""),20.0)</f>
        <v>20</v>
      </c>
      <c r="N774" s="94"/>
      <c r="O774" s="1430">
        <f>IFERROR(__xludf.DUMMYFUNCTION("""COMPUTED_VALUE"""),20.0)</f>
        <v>20</v>
      </c>
      <c r="P774" s="1431">
        <f>IFERROR(__xludf.DUMMYFUNCTION("""COMPUTED_VALUE"""),2.69)</f>
        <v>2.69</v>
      </c>
      <c r="Q774" s="1432">
        <f>IFERROR(__xludf.DUMMYFUNCTION("""COMPUTED_VALUE"""),1526.0)</f>
        <v>1526</v>
      </c>
    </row>
    <row r="775" ht="15.75" customHeight="1">
      <c r="A775" s="94"/>
      <c r="B775" s="94" t="str">
        <f>IFERROR(__xludf.DUMMYFUNCTION("""COMPUTED_VALUE"""),"WS В 1510")</f>
        <v>WS В 1510</v>
      </c>
      <c r="C775" s="1429" t="str">
        <f>IFERROR(__xludf.DUMMYFUNCTION("""COMPUTED_VALUE"""),"WS")</f>
        <v>WS</v>
      </c>
      <c r="D775" s="1432">
        <f>IFERROR(__xludf.DUMMYFUNCTION("""COMPUTED_VALUE"""),8.0)</f>
        <v>8</v>
      </c>
      <c r="E775" s="1429">
        <f>IFERROR(__xludf.DUMMYFUNCTION("""COMPUTED_VALUE"""),45528.0)</f>
        <v>45528</v>
      </c>
      <c r="F775" s="1429">
        <f>IFERROR(__xludf.DUMMYFUNCTION("""COMPUTED_VALUE"""),45535.0)</f>
        <v>45535</v>
      </c>
      <c r="G775" s="1164">
        <f>IFERROR(__xludf.DUMMYFUNCTION("""COMPUTED_VALUE"""),7.0)</f>
        <v>7</v>
      </c>
      <c r="H775" s="1430">
        <f>IFERROR(__xludf.DUMMYFUNCTION("""COMPUTED_VALUE"""),407.0)</f>
        <v>407</v>
      </c>
      <c r="I775" s="94">
        <f>IFERROR(__xludf.DUMMYFUNCTION("""COMPUTED_VALUE"""),0.0)</f>
        <v>0</v>
      </c>
      <c r="J775" s="94"/>
      <c r="K775" s="94">
        <f>IFERROR(__xludf.DUMMYFUNCTION("""COMPUTED_VALUE"""),60.0)</f>
        <v>60</v>
      </c>
      <c r="L775" s="94">
        <f>IFERROR(__xludf.DUMMYFUNCTION("""COMPUTED_VALUE"""),40.0)</f>
        <v>40</v>
      </c>
      <c r="M775" s="94">
        <f>IFERROR(__xludf.DUMMYFUNCTION("""COMPUTED_VALUE"""),20.0)</f>
        <v>20</v>
      </c>
      <c r="N775" s="94"/>
      <c r="O775" s="1430">
        <f>IFERROR(__xludf.DUMMYFUNCTION("""COMPUTED_VALUE"""),20.0)</f>
        <v>20</v>
      </c>
      <c r="P775" s="1431">
        <f>IFERROR(__xludf.DUMMYFUNCTION("""COMPUTED_VALUE"""),2.69)</f>
        <v>2.69</v>
      </c>
      <c r="Q775" s="1432">
        <f>IFERROR(__xludf.DUMMYFUNCTION("""COMPUTED_VALUE"""),1094.83)</f>
        <v>1094.83</v>
      </c>
    </row>
    <row r="776" ht="15.75" customHeight="1">
      <c r="A776" s="94"/>
      <c r="B776" s="94" t="str">
        <f>IFERROR(__xludf.DUMMYFUNCTION("""COMPUTED_VALUE"""),"CM 1604")</f>
        <v>CM 1604</v>
      </c>
      <c r="C776" s="1429" t="str">
        <f>IFERROR(__xludf.DUMMYFUNCTION("""COMPUTED_VALUE"""),"MAR")</f>
        <v>MAR</v>
      </c>
      <c r="D776" s="1432">
        <f>IFERROR(__xludf.DUMMYFUNCTION("""COMPUTED_VALUE"""),8.0)</f>
        <v>8</v>
      </c>
      <c r="E776" s="1429">
        <f>IFERROR(__xludf.DUMMYFUNCTION("""COMPUTED_VALUE"""),45529.0)</f>
        <v>45529</v>
      </c>
      <c r="F776" s="1429">
        <f>IFERROR(__xludf.DUMMYFUNCTION("""COMPUTED_VALUE"""),45531.0)</f>
        <v>45531</v>
      </c>
      <c r="G776" s="1164">
        <f>IFERROR(__xludf.DUMMYFUNCTION("""COMPUTED_VALUE"""),2.0)</f>
        <v>2</v>
      </c>
      <c r="H776" s="1430">
        <f>IFERROR(__xludf.DUMMYFUNCTION("""COMPUTED_VALUE"""),184.0)</f>
        <v>184</v>
      </c>
      <c r="I776" s="94">
        <f>IFERROR(__xludf.DUMMYFUNCTION("""COMPUTED_VALUE"""),0.0)</f>
        <v>0</v>
      </c>
      <c r="J776" s="94"/>
      <c r="K776" s="94">
        <f>IFERROR(__xludf.DUMMYFUNCTION("""COMPUTED_VALUE"""),70.0)</f>
        <v>70</v>
      </c>
      <c r="L776" s="94">
        <f>IFERROR(__xludf.DUMMYFUNCTION("""COMPUTED_VALUE"""),40.0)</f>
        <v>40</v>
      </c>
      <c r="M776" s="94">
        <f>IFERROR(__xludf.DUMMYFUNCTION("""COMPUTED_VALUE"""),30.0)</f>
        <v>30</v>
      </c>
      <c r="N776" s="94"/>
      <c r="O776" s="1430">
        <f>IFERROR(__xludf.DUMMYFUNCTION("""COMPUTED_VALUE"""),30.0)</f>
        <v>30</v>
      </c>
      <c r="P776" s="1431">
        <f>IFERROR(__xludf.DUMMYFUNCTION("""COMPUTED_VALUE"""),2.69)</f>
        <v>2.69</v>
      </c>
      <c r="Q776" s="1432">
        <f>IFERROR(__xludf.DUMMYFUNCTION("""COMPUTED_VALUE"""),494.96)</f>
        <v>494.96</v>
      </c>
    </row>
    <row r="777" ht="15.75" customHeight="1">
      <c r="A777" s="94"/>
      <c r="B777" s="94" t="str">
        <f>IFERROR(__xludf.DUMMYFUNCTION("""COMPUTED_VALUE"""),"DL14-518")</f>
        <v>DL14-518</v>
      </c>
      <c r="C777" s="1429" t="str">
        <f>IFERROR(__xludf.DUMMYFUNCTION("""COMPUTED_VALUE"""),"DL")</f>
        <v>DL</v>
      </c>
      <c r="D777" s="1432">
        <f>IFERROR(__xludf.DUMMYFUNCTION("""COMPUTED_VALUE"""),8.0)</f>
        <v>8</v>
      </c>
      <c r="E777" s="1429">
        <f>IFERROR(__xludf.DUMMYFUNCTION("""COMPUTED_VALUE"""),45529.0)</f>
        <v>45529</v>
      </c>
      <c r="F777" s="1429">
        <f>IFERROR(__xludf.DUMMYFUNCTION("""COMPUTED_VALUE"""),45532.0)</f>
        <v>45532</v>
      </c>
      <c r="G777" s="1164">
        <f>IFERROR(__xludf.DUMMYFUNCTION("""COMPUTED_VALUE"""),3.0)</f>
        <v>3</v>
      </c>
      <c r="H777" s="94"/>
      <c r="I777" s="94">
        <f>IFERROR(__xludf.DUMMYFUNCTION("""COMPUTED_VALUE"""),982.0)</f>
        <v>982</v>
      </c>
      <c r="J777" s="94"/>
      <c r="K777" s="94">
        <f>IFERROR(__xludf.DUMMYFUNCTION("""COMPUTED_VALUE"""),95.0)</f>
        <v>95</v>
      </c>
      <c r="L777" s="94">
        <f>IFERROR(__xludf.DUMMYFUNCTION("""COMPUTED_VALUE"""),95.0)</f>
        <v>95</v>
      </c>
      <c r="M777" s="94">
        <f>IFERROR(__xludf.DUMMYFUNCTION("""COMPUTED_VALUE"""),0.0)</f>
        <v>0</v>
      </c>
      <c r="N777" s="94"/>
      <c r="O777" s="1430">
        <f>IFERROR(__xludf.DUMMYFUNCTION("""COMPUTED_VALUE"""),0.0)</f>
        <v>0</v>
      </c>
      <c r="P777" s="1431">
        <f>IFERROR(__xludf.DUMMYFUNCTION("""COMPUTED_VALUE"""),2.69)</f>
        <v>2.69</v>
      </c>
      <c r="Q777" s="1432">
        <f>IFERROR(__xludf.DUMMYFUNCTION("""COMPUTED_VALUE"""),982.0)</f>
        <v>982</v>
      </c>
    </row>
    <row r="778" ht="15.75" customHeight="1">
      <c r="A778" s="94"/>
      <c r="B778" s="94" t="str">
        <f>IFERROR(__xludf.DUMMYFUNCTION("""COMPUTED_VALUE"""),"DL14-1405")</f>
        <v>DL14-1405</v>
      </c>
      <c r="C778" s="1429" t="str">
        <f>IFERROR(__xludf.DUMMYFUNCTION("""COMPUTED_VALUE"""),"DL")</f>
        <v>DL</v>
      </c>
      <c r="D778" s="1432">
        <f>IFERROR(__xludf.DUMMYFUNCTION("""COMPUTED_VALUE"""),8.0)</f>
        <v>8</v>
      </c>
      <c r="E778" s="1429">
        <f>IFERROR(__xludf.DUMMYFUNCTION("""COMPUTED_VALUE"""),45529.0)</f>
        <v>45529</v>
      </c>
      <c r="F778" s="1429">
        <f>IFERROR(__xludf.DUMMYFUNCTION("""COMPUTED_VALUE"""),45533.0)</f>
        <v>45533</v>
      </c>
      <c r="G778" s="1164">
        <f>IFERROR(__xludf.DUMMYFUNCTION("""COMPUTED_VALUE"""),4.0)</f>
        <v>4</v>
      </c>
      <c r="H778" s="1430">
        <f>IFERROR(__xludf.DUMMYFUNCTION("""COMPUTED_VALUE"""),486.0)</f>
        <v>486</v>
      </c>
      <c r="I778" s="94">
        <f>IFERROR(__xludf.DUMMYFUNCTION("""COMPUTED_VALUE"""),0.0)</f>
        <v>0</v>
      </c>
      <c r="J778" s="94"/>
      <c r="K778" s="94">
        <f>IFERROR(__xludf.DUMMYFUNCTION("""COMPUTED_VALUE"""),105.0)</f>
        <v>105</v>
      </c>
      <c r="L778" s="94">
        <f>IFERROR(__xludf.DUMMYFUNCTION("""COMPUTED_VALUE"""),105.0)</f>
        <v>105</v>
      </c>
      <c r="M778" s="94">
        <f>IFERROR(__xludf.DUMMYFUNCTION("""COMPUTED_VALUE"""),0.0)</f>
        <v>0</v>
      </c>
      <c r="N778" s="94"/>
      <c r="O778" s="1430">
        <f>IFERROR(__xludf.DUMMYFUNCTION("""COMPUTED_VALUE"""),0.0)</f>
        <v>0</v>
      </c>
      <c r="P778" s="1431">
        <f>IFERROR(__xludf.DUMMYFUNCTION("""COMPUTED_VALUE"""),2.69)</f>
        <v>2.69</v>
      </c>
      <c r="Q778" s="1432">
        <f>IFERROR(__xludf.DUMMYFUNCTION("""COMPUTED_VALUE"""),1307.34)</f>
        <v>1307.34</v>
      </c>
    </row>
    <row r="779" ht="15.75" customHeight="1">
      <c r="A779" s="94"/>
      <c r="B779" s="94" t="str">
        <f>IFERROR(__xludf.DUMMYFUNCTION("""COMPUTED_VALUE"""),"DL 11-1305")</f>
        <v>DL 11-1305</v>
      </c>
      <c r="C779" s="1429" t="str">
        <f>IFERROR(__xludf.DUMMYFUNCTION("""COMPUTED_VALUE"""),"DL")</f>
        <v>DL</v>
      </c>
      <c r="D779" s="1432">
        <f>IFERROR(__xludf.DUMMYFUNCTION("""COMPUTED_VALUE"""),8.0)</f>
        <v>8</v>
      </c>
      <c r="E779" s="1429">
        <f>IFERROR(__xludf.DUMMYFUNCTION("""COMPUTED_VALUE"""),45529.0)</f>
        <v>45529</v>
      </c>
      <c r="F779" s="1429">
        <f>IFERROR(__xludf.DUMMYFUNCTION("""COMPUTED_VALUE"""),45536.0)</f>
        <v>45536</v>
      </c>
      <c r="G779" s="1164">
        <f>IFERROR(__xludf.DUMMYFUNCTION("""COMPUTED_VALUE"""),7.0)</f>
        <v>7</v>
      </c>
      <c r="H779" s="94"/>
      <c r="I779" s="94">
        <f>IFERROR(__xludf.DUMMYFUNCTION("""COMPUTED_VALUE"""),2077.0)</f>
        <v>2077</v>
      </c>
      <c r="J779" s="94"/>
      <c r="K779" s="94">
        <f>IFERROR(__xludf.DUMMYFUNCTION("""COMPUTED_VALUE"""),105.0)</f>
        <v>105</v>
      </c>
      <c r="L779" s="94">
        <f>IFERROR(__xludf.DUMMYFUNCTION("""COMPUTED_VALUE"""),105.0)</f>
        <v>105</v>
      </c>
      <c r="M779" s="94">
        <f>IFERROR(__xludf.DUMMYFUNCTION("""COMPUTED_VALUE"""),0.0)</f>
        <v>0</v>
      </c>
      <c r="N779" s="94"/>
      <c r="O779" s="1430">
        <f>IFERROR(__xludf.DUMMYFUNCTION("""COMPUTED_VALUE"""),0.0)</f>
        <v>0</v>
      </c>
      <c r="P779" s="1431">
        <f>IFERROR(__xludf.DUMMYFUNCTION("""COMPUTED_VALUE"""),2.69)</f>
        <v>2.69</v>
      </c>
      <c r="Q779" s="1432">
        <f>IFERROR(__xludf.DUMMYFUNCTION("""COMPUTED_VALUE"""),2077.0)</f>
        <v>2077</v>
      </c>
    </row>
    <row r="780" ht="15.75" customHeight="1">
      <c r="A780" s="94"/>
      <c r="B780" s="94" t="str">
        <f>IFERROR(__xludf.DUMMYFUNCTION("""COMPUTED_VALUE"""),"D 1321")</f>
        <v>D 1321</v>
      </c>
      <c r="C780" s="1429" t="str">
        <f>IFERROR(__xludf.DUMMYFUNCTION("""COMPUTED_VALUE"""),"ORBI")</f>
        <v>ORBI</v>
      </c>
      <c r="D780" s="1432">
        <f>IFERROR(__xludf.DUMMYFUNCTION("""COMPUTED_VALUE"""),8.0)</f>
        <v>8</v>
      </c>
      <c r="E780" s="1429">
        <f>IFERROR(__xludf.DUMMYFUNCTION("""COMPUTED_VALUE"""),45529.0)</f>
        <v>45529</v>
      </c>
      <c r="F780" s="1429">
        <f>IFERROR(__xludf.DUMMYFUNCTION("""COMPUTED_VALUE"""),45531.0)</f>
        <v>45531</v>
      </c>
      <c r="G780" s="1164">
        <f>IFERROR(__xludf.DUMMYFUNCTION("""COMPUTED_VALUE"""),2.0)</f>
        <v>2</v>
      </c>
      <c r="H780" s="1430">
        <f>IFERROR(__xludf.DUMMYFUNCTION("""COMPUTED_VALUE"""),91.0)</f>
        <v>91</v>
      </c>
      <c r="I780" s="94">
        <f>IFERROR(__xludf.DUMMYFUNCTION("""COMPUTED_VALUE"""),0.0)</f>
        <v>0</v>
      </c>
      <c r="J780" s="94"/>
      <c r="K780" s="94">
        <f>IFERROR(__xludf.DUMMYFUNCTION("""COMPUTED_VALUE"""),60.0)</f>
        <v>60</v>
      </c>
      <c r="L780" s="94">
        <f>IFERROR(__xludf.DUMMYFUNCTION("""COMPUTED_VALUE"""),40.0)</f>
        <v>40</v>
      </c>
      <c r="M780" s="94">
        <f>IFERROR(__xludf.DUMMYFUNCTION("""COMPUTED_VALUE"""),20.0)</f>
        <v>20</v>
      </c>
      <c r="N780" s="94"/>
      <c r="O780" s="1430">
        <f>IFERROR(__xludf.DUMMYFUNCTION("""COMPUTED_VALUE"""),20.0)</f>
        <v>20</v>
      </c>
      <c r="P780" s="1431">
        <f>IFERROR(__xludf.DUMMYFUNCTION("""COMPUTED_VALUE"""),2.69)</f>
        <v>2.69</v>
      </c>
      <c r="Q780" s="1432">
        <f>IFERROR(__xludf.DUMMYFUNCTION("""COMPUTED_VALUE"""),244.79)</f>
        <v>244.79</v>
      </c>
    </row>
    <row r="781" ht="15.75" customHeight="1">
      <c r="A781" s="94" t="str">
        <f>IFERROR(__xludf.DUMMYFUNCTION("""COMPUTED_VALUE"""),"Итого неделя")</f>
        <v>Итого неделя</v>
      </c>
      <c r="B781" s="94" t="str">
        <f>IFERROR(__xludf.DUMMYFUNCTION("""COMPUTED_VALUE"""),"34 неделя")</f>
        <v>34 неделя</v>
      </c>
      <c r="C781" s="94"/>
      <c r="D781" s="94"/>
      <c r="E781" s="94"/>
      <c r="F781" s="94"/>
      <c r="G781" s="1164">
        <f>IFERROR(__xludf.DUMMYFUNCTION("""COMPUTED_VALUE"""),197.0)</f>
        <v>197</v>
      </c>
      <c r="H781" s="1430">
        <f>IFERROR(__xludf.DUMMYFUNCTION("""COMPUTED_VALUE"""),8714.0)</f>
        <v>8714</v>
      </c>
      <c r="I781" s="94">
        <f>IFERROR(__xludf.DUMMYFUNCTION("""COMPUTED_VALUE"""),18936.0)</f>
        <v>18936</v>
      </c>
      <c r="J781" s="94">
        <f>IFERROR(__xludf.DUMMYFUNCTION("""COMPUTED_VALUE"""),0.0)</f>
        <v>0</v>
      </c>
      <c r="K781" s="94">
        <f>IFERROR(__xludf.DUMMYFUNCTION("""COMPUTED_VALUE"""),3205.0)</f>
        <v>3205</v>
      </c>
      <c r="L781" s="94">
        <f>IFERROR(__xludf.DUMMYFUNCTION("""COMPUTED_VALUE"""),2535.0)</f>
        <v>2535</v>
      </c>
      <c r="M781" s="94">
        <f>IFERROR(__xludf.DUMMYFUNCTION("""COMPUTED_VALUE"""),670.0)</f>
        <v>670</v>
      </c>
      <c r="N781" s="94">
        <f>IFERROR(__xludf.DUMMYFUNCTION("""COMPUTED_VALUE"""),0.0)</f>
        <v>0</v>
      </c>
      <c r="O781" s="1430">
        <f>IFERROR(__xludf.DUMMYFUNCTION("""COMPUTED_VALUE"""),670.0)</f>
        <v>670</v>
      </c>
      <c r="P781" s="94"/>
      <c r="Q781" s="1432">
        <f>IFERROR(__xludf.DUMMYFUNCTION("""COMPUTED_VALUE"""),42376.65999999999)</f>
        <v>42376.66</v>
      </c>
    </row>
    <row r="782" ht="15.75" customHeight="1">
      <c r="A782" s="94"/>
      <c r="B782" s="94" t="str">
        <f>IFERROR(__xludf.DUMMYFUNCTION("""COMPUTED_VALUE"""),"DL14-1707")</f>
        <v>DL14-1707</v>
      </c>
      <c r="C782" s="1429" t="str">
        <f>IFERROR(__xludf.DUMMYFUNCTION("""COMPUTED_VALUE"""),"DL")</f>
        <v>DL</v>
      </c>
      <c r="D782" s="1432">
        <f>IFERROR(__xludf.DUMMYFUNCTION("""COMPUTED_VALUE"""),8.0)</f>
        <v>8</v>
      </c>
      <c r="E782" s="1429">
        <f>IFERROR(__xludf.DUMMYFUNCTION("""COMPUTED_VALUE"""),45530.0)</f>
        <v>45530</v>
      </c>
      <c r="F782" s="1429">
        <f>IFERROR(__xludf.DUMMYFUNCTION("""COMPUTED_VALUE"""),45532.0)</f>
        <v>45532</v>
      </c>
      <c r="G782" s="1164">
        <f>IFERROR(__xludf.DUMMYFUNCTION("""COMPUTED_VALUE"""),2.0)</f>
        <v>2</v>
      </c>
      <c r="H782" s="1430">
        <f>IFERROR(__xludf.DUMMYFUNCTION("""COMPUTED_VALUE"""),205.0)</f>
        <v>205</v>
      </c>
      <c r="I782" s="94"/>
      <c r="J782" s="94"/>
      <c r="K782" s="94">
        <f>IFERROR(__xludf.DUMMYFUNCTION("""COMPUTED_VALUE"""),105.0)</f>
        <v>105</v>
      </c>
      <c r="L782" s="94">
        <f>IFERROR(__xludf.DUMMYFUNCTION("""COMPUTED_VALUE"""),105.0)</f>
        <v>105</v>
      </c>
      <c r="M782" s="94">
        <f>IFERROR(__xludf.DUMMYFUNCTION("""COMPUTED_VALUE"""),0.0)</f>
        <v>0</v>
      </c>
      <c r="N782" s="94"/>
      <c r="O782" s="1430">
        <f>IFERROR(__xludf.DUMMYFUNCTION("""COMPUTED_VALUE"""),0.0)</f>
        <v>0</v>
      </c>
      <c r="P782" s="1431">
        <f>IFERROR(__xludf.DUMMYFUNCTION("""COMPUTED_VALUE"""),2.69)</f>
        <v>2.69</v>
      </c>
      <c r="Q782" s="1432">
        <f>IFERROR(__xludf.DUMMYFUNCTION("""COMPUTED_VALUE"""),551.45)</f>
        <v>551.45</v>
      </c>
    </row>
    <row r="783" ht="15.75" customHeight="1">
      <c r="A783" s="94"/>
      <c r="B783" s="94" t="str">
        <f>IFERROR(__xludf.DUMMYFUNCTION("""COMPUTED_VALUE"""),"DL 11-1112")</f>
        <v>DL 11-1112</v>
      </c>
      <c r="C783" s="1429" t="str">
        <f>IFERROR(__xludf.DUMMYFUNCTION("""COMPUTED_VALUE"""),"DL")</f>
        <v>DL</v>
      </c>
      <c r="D783" s="1432">
        <f>IFERROR(__xludf.DUMMYFUNCTION("""COMPUTED_VALUE"""),8.0)</f>
        <v>8</v>
      </c>
      <c r="E783" s="1429">
        <f>IFERROR(__xludf.DUMMYFUNCTION("""COMPUTED_VALUE"""),45530.0)</f>
        <v>45530</v>
      </c>
      <c r="F783" s="1429">
        <f>IFERROR(__xludf.DUMMYFUNCTION("""COMPUTED_VALUE"""),45534.0)</f>
        <v>45534</v>
      </c>
      <c r="G783" s="1164">
        <f>IFERROR(__xludf.DUMMYFUNCTION("""COMPUTED_VALUE"""),4.0)</f>
        <v>4</v>
      </c>
      <c r="H783" s="1430">
        <f>IFERROR(__xludf.DUMMYFUNCTION("""COMPUTED_VALUE"""),480.0)</f>
        <v>480</v>
      </c>
      <c r="I783" s="94"/>
      <c r="J783" s="94"/>
      <c r="K783" s="94">
        <f>IFERROR(__xludf.DUMMYFUNCTION("""COMPUTED_VALUE"""),105.0)</f>
        <v>105</v>
      </c>
      <c r="L783" s="94">
        <f>IFERROR(__xludf.DUMMYFUNCTION("""COMPUTED_VALUE"""),105.0)</f>
        <v>105</v>
      </c>
      <c r="M783" s="94">
        <f>IFERROR(__xludf.DUMMYFUNCTION("""COMPUTED_VALUE"""),0.0)</f>
        <v>0</v>
      </c>
      <c r="N783" s="94"/>
      <c r="O783" s="1430">
        <f>IFERROR(__xludf.DUMMYFUNCTION("""COMPUTED_VALUE"""),0.0)</f>
        <v>0</v>
      </c>
      <c r="P783" s="1431">
        <f>IFERROR(__xludf.DUMMYFUNCTION("""COMPUTED_VALUE"""),2.69)</f>
        <v>2.69</v>
      </c>
      <c r="Q783" s="1432">
        <f>IFERROR(__xludf.DUMMYFUNCTION("""COMPUTED_VALUE"""),1291.2)</f>
        <v>1291.2</v>
      </c>
    </row>
    <row r="784" ht="15.75" customHeight="1">
      <c r="A784" s="94"/>
      <c r="B784" s="94" t="str">
        <f>IFERROR(__xludf.DUMMYFUNCTION("""COMPUTED_VALUE"""),"DL 14-516")</f>
        <v>DL 14-516</v>
      </c>
      <c r="C784" s="1429" t="str">
        <f>IFERROR(__xludf.DUMMYFUNCTION("""COMPUTED_VALUE"""),"DL")</f>
        <v>DL</v>
      </c>
      <c r="D784" s="1432">
        <f>IFERROR(__xludf.DUMMYFUNCTION("""COMPUTED_VALUE"""),8.0)</f>
        <v>8</v>
      </c>
      <c r="E784" s="1429">
        <f>IFERROR(__xludf.DUMMYFUNCTION("""COMPUTED_VALUE"""),45530.0)</f>
        <v>45530</v>
      </c>
      <c r="F784" s="1429">
        <f>IFERROR(__xludf.DUMMYFUNCTION("""COMPUTED_VALUE"""),45533.0)</f>
        <v>45533</v>
      </c>
      <c r="G784" s="1164">
        <f>IFERROR(__xludf.DUMMYFUNCTION("""COMPUTED_VALUE"""),3.0)</f>
        <v>3</v>
      </c>
      <c r="H784" s="1430">
        <f>IFERROR(__xludf.DUMMYFUNCTION("""COMPUTED_VALUE"""),450.0)</f>
        <v>450</v>
      </c>
      <c r="I784" s="94"/>
      <c r="J784" s="94"/>
      <c r="K784" s="94">
        <f>IFERROR(__xludf.DUMMYFUNCTION("""COMPUTED_VALUE"""),105.0)</f>
        <v>105</v>
      </c>
      <c r="L784" s="94">
        <f>IFERROR(__xludf.DUMMYFUNCTION("""COMPUTED_VALUE"""),105.0)</f>
        <v>105</v>
      </c>
      <c r="M784" s="94">
        <f>IFERROR(__xludf.DUMMYFUNCTION("""COMPUTED_VALUE"""),0.0)</f>
        <v>0</v>
      </c>
      <c r="N784" s="94"/>
      <c r="O784" s="1430">
        <f>IFERROR(__xludf.DUMMYFUNCTION("""COMPUTED_VALUE"""),0.0)</f>
        <v>0</v>
      </c>
      <c r="P784" s="1431">
        <f>IFERROR(__xludf.DUMMYFUNCTION("""COMPUTED_VALUE"""),2.69)</f>
        <v>2.69</v>
      </c>
      <c r="Q784" s="1432">
        <f>IFERROR(__xludf.DUMMYFUNCTION("""COMPUTED_VALUE"""),1210.5)</f>
        <v>1210.5</v>
      </c>
    </row>
    <row r="785" ht="15.75" customHeight="1">
      <c r="A785" s="94"/>
      <c r="B785" s="94" t="str">
        <f>IFERROR(__xludf.DUMMYFUNCTION("""COMPUTED_VALUE"""),"CM 1606")</f>
        <v>CM 1606</v>
      </c>
      <c r="C785" s="1429" t="str">
        <f>IFERROR(__xludf.DUMMYFUNCTION("""COMPUTED_VALUE"""),"MAR")</f>
        <v>MAR</v>
      </c>
      <c r="D785" s="1432">
        <f>IFERROR(__xludf.DUMMYFUNCTION("""COMPUTED_VALUE"""),8.0)</f>
        <v>8</v>
      </c>
      <c r="E785" s="1429">
        <f>IFERROR(__xludf.DUMMYFUNCTION("""COMPUTED_VALUE"""),45530.0)</f>
        <v>45530</v>
      </c>
      <c r="F785" s="1429">
        <f>IFERROR(__xludf.DUMMYFUNCTION("""COMPUTED_VALUE"""),45535.0)</f>
        <v>45535</v>
      </c>
      <c r="G785" s="1164">
        <f>IFERROR(__xludf.DUMMYFUNCTION("""COMPUTED_VALUE"""),5.0)</f>
        <v>5</v>
      </c>
      <c r="H785" s="1430">
        <f>IFERROR(__xludf.DUMMYFUNCTION("""COMPUTED_VALUE"""),257.0)</f>
        <v>257</v>
      </c>
      <c r="I785" s="94"/>
      <c r="J785" s="94"/>
      <c r="K785" s="94">
        <f>IFERROR(__xludf.DUMMYFUNCTION("""COMPUTED_VALUE"""),60.0)</f>
        <v>60</v>
      </c>
      <c r="L785" s="94">
        <f>IFERROR(__xludf.DUMMYFUNCTION("""COMPUTED_VALUE"""),40.0)</f>
        <v>40</v>
      </c>
      <c r="M785" s="94">
        <f>IFERROR(__xludf.DUMMYFUNCTION("""COMPUTED_VALUE"""),20.0)</f>
        <v>20</v>
      </c>
      <c r="N785" s="94"/>
      <c r="O785" s="1430">
        <f>IFERROR(__xludf.DUMMYFUNCTION("""COMPUTED_VALUE"""),20.0)</f>
        <v>20</v>
      </c>
      <c r="P785" s="1431">
        <f>IFERROR(__xludf.DUMMYFUNCTION("""COMPUTED_VALUE"""),2.69)</f>
        <v>2.69</v>
      </c>
      <c r="Q785" s="1432">
        <f>IFERROR(__xludf.DUMMYFUNCTION("""COMPUTED_VALUE"""),691.33)</f>
        <v>691.33</v>
      </c>
    </row>
    <row r="786" ht="15.75" customHeight="1">
      <c r="A786" s="94"/>
      <c r="B786" s="94" t="str">
        <f>IFERROR(__xludf.DUMMYFUNCTION("""COMPUTED_VALUE"""),"WS E 1202")</f>
        <v>WS E 1202</v>
      </c>
      <c r="C786" s="1429" t="str">
        <f>IFERROR(__xludf.DUMMYFUNCTION("""COMPUTED_VALUE"""),"WS")</f>
        <v>WS</v>
      </c>
      <c r="D786" s="1432">
        <f>IFERROR(__xludf.DUMMYFUNCTION("""COMPUTED_VALUE"""),8.0)</f>
        <v>8</v>
      </c>
      <c r="E786" s="1429">
        <f>IFERROR(__xludf.DUMMYFUNCTION("""COMPUTED_VALUE"""),45530.0)</f>
        <v>45530</v>
      </c>
      <c r="F786" s="1429">
        <f>IFERROR(__xludf.DUMMYFUNCTION("""COMPUTED_VALUE"""),45532.0)</f>
        <v>45532</v>
      </c>
      <c r="G786" s="1164">
        <f>IFERROR(__xludf.DUMMYFUNCTION("""COMPUTED_VALUE"""),2.0)</f>
        <v>2</v>
      </c>
      <c r="H786" s="1430">
        <f>IFERROR(__xludf.DUMMYFUNCTION("""COMPUTED_VALUE"""),155.0)</f>
        <v>155</v>
      </c>
      <c r="I786" s="94"/>
      <c r="J786" s="94"/>
      <c r="K786" s="94">
        <f>IFERROR(__xludf.DUMMYFUNCTION("""COMPUTED_VALUE"""),70.0)</f>
        <v>70</v>
      </c>
      <c r="L786" s="94">
        <f>IFERROR(__xludf.DUMMYFUNCTION("""COMPUTED_VALUE"""),40.0)</f>
        <v>40</v>
      </c>
      <c r="M786" s="94">
        <f>IFERROR(__xludf.DUMMYFUNCTION("""COMPUTED_VALUE"""),30.0)</f>
        <v>30</v>
      </c>
      <c r="N786" s="94"/>
      <c r="O786" s="1430">
        <f>IFERROR(__xludf.DUMMYFUNCTION("""COMPUTED_VALUE"""),30.0)</f>
        <v>30</v>
      </c>
      <c r="P786" s="1431">
        <f>IFERROR(__xludf.DUMMYFUNCTION("""COMPUTED_VALUE"""),2.69)</f>
        <v>2.69</v>
      </c>
      <c r="Q786" s="1432">
        <f>IFERROR(__xludf.DUMMYFUNCTION("""COMPUTED_VALUE"""),416.95)</f>
        <v>416.95</v>
      </c>
    </row>
    <row r="787" ht="15.75" customHeight="1">
      <c r="A787" s="94"/>
      <c r="B787" s="94" t="str">
        <f>IFERROR(__xludf.DUMMYFUNCTION("""COMPUTED_VALUE"""),"WS  B 405")</f>
        <v>WS  B 405</v>
      </c>
      <c r="C787" s="1429" t="str">
        <f>IFERROR(__xludf.DUMMYFUNCTION("""COMPUTED_VALUE"""),"WS")</f>
        <v>WS</v>
      </c>
      <c r="D787" s="1432">
        <f>IFERROR(__xludf.DUMMYFUNCTION("""COMPUTED_VALUE"""),8.0)</f>
        <v>8</v>
      </c>
      <c r="E787" s="1429">
        <f>IFERROR(__xludf.DUMMYFUNCTION("""COMPUTED_VALUE"""),45530.0)</f>
        <v>45530</v>
      </c>
      <c r="F787" s="1429">
        <f>IFERROR(__xludf.DUMMYFUNCTION("""COMPUTED_VALUE"""),45540.0)</f>
        <v>45540</v>
      </c>
      <c r="G787" s="1164">
        <f>IFERROR(__xludf.DUMMYFUNCTION("""COMPUTED_VALUE"""),10.0)</f>
        <v>10</v>
      </c>
      <c r="H787" s="94"/>
      <c r="I787" s="94">
        <f>IFERROR(__xludf.DUMMYFUNCTION("""COMPUTED_VALUE"""),1895.0)</f>
        <v>1895</v>
      </c>
      <c r="J787" s="94"/>
      <c r="K787" s="94">
        <f>IFERROR(__xludf.DUMMYFUNCTION("""COMPUTED_VALUE"""),60.0)</f>
        <v>60</v>
      </c>
      <c r="L787" s="94">
        <f>IFERROR(__xludf.DUMMYFUNCTION("""COMPUTED_VALUE"""),40.0)</f>
        <v>40</v>
      </c>
      <c r="M787" s="94">
        <f>IFERROR(__xludf.DUMMYFUNCTION("""COMPUTED_VALUE"""),20.0)</f>
        <v>20</v>
      </c>
      <c r="N787" s="94"/>
      <c r="O787" s="1430">
        <f>IFERROR(__xludf.DUMMYFUNCTION("""COMPUTED_VALUE"""),20.0)</f>
        <v>20</v>
      </c>
      <c r="P787" s="1431">
        <f>IFERROR(__xludf.DUMMYFUNCTION("""COMPUTED_VALUE"""),2.69)</f>
        <v>2.69</v>
      </c>
      <c r="Q787" s="1432">
        <f>IFERROR(__xludf.DUMMYFUNCTION("""COMPUTED_VALUE"""),1895.0)</f>
        <v>1895</v>
      </c>
    </row>
    <row r="788" ht="15.75" customHeight="1">
      <c r="A788" s="94"/>
      <c r="B788" s="94" t="str">
        <f>IFERROR(__xludf.DUMMYFUNCTION("""COMPUTED_VALUE"""),"WS A907")</f>
        <v>WS A907</v>
      </c>
      <c r="C788" s="1429" t="str">
        <f>IFERROR(__xludf.DUMMYFUNCTION("""COMPUTED_VALUE"""),"WS")</f>
        <v>WS</v>
      </c>
      <c r="D788" s="1432">
        <f>IFERROR(__xludf.DUMMYFUNCTION("""COMPUTED_VALUE"""),8.0)</f>
        <v>8</v>
      </c>
      <c r="E788" s="1429">
        <f>IFERROR(__xludf.DUMMYFUNCTION("""COMPUTED_VALUE"""),45530.0)</f>
        <v>45530</v>
      </c>
      <c r="F788" s="1429">
        <f>IFERROR(__xludf.DUMMYFUNCTION("""COMPUTED_VALUE"""),45564.0)</f>
        <v>45564</v>
      </c>
      <c r="G788" s="1164">
        <f>IFERROR(__xludf.DUMMYFUNCTION("""COMPUTED_VALUE"""),34.0)</f>
        <v>34</v>
      </c>
      <c r="H788" s="1430">
        <f>IFERROR(__xludf.DUMMYFUNCTION("""COMPUTED_VALUE"""),158.0)</f>
        <v>158</v>
      </c>
      <c r="I788" s="94">
        <f>IFERROR(__xludf.DUMMYFUNCTION("""COMPUTED_VALUE"""),0.0)</f>
        <v>0</v>
      </c>
      <c r="J788" s="94"/>
      <c r="K788" s="94">
        <f>IFERROR(__xludf.DUMMYFUNCTION("""COMPUTED_VALUE"""),60.0)</f>
        <v>60</v>
      </c>
      <c r="L788" s="94">
        <f>IFERROR(__xludf.DUMMYFUNCTION("""COMPUTED_VALUE"""),40.0)</f>
        <v>40</v>
      </c>
      <c r="M788" s="94">
        <f>IFERROR(__xludf.DUMMYFUNCTION("""COMPUTED_VALUE"""),20.0)</f>
        <v>20</v>
      </c>
      <c r="N788" s="94"/>
      <c r="O788" s="1430">
        <f>IFERROR(__xludf.DUMMYFUNCTION("""COMPUTED_VALUE"""),20.0)</f>
        <v>20</v>
      </c>
      <c r="P788" s="1431">
        <f>IFERROR(__xludf.DUMMYFUNCTION("""COMPUTED_VALUE"""),2.69)</f>
        <v>2.69</v>
      </c>
      <c r="Q788" s="1432">
        <f>IFERROR(__xludf.DUMMYFUNCTION("""COMPUTED_VALUE"""),425.02)</f>
        <v>425.02</v>
      </c>
    </row>
    <row r="789" ht="15.75" customHeight="1">
      <c r="A789" s="94"/>
      <c r="B789" s="94" t="str">
        <f>IFERROR(__xludf.DUMMYFUNCTION("""COMPUTED_VALUE"""),"DL 14-1214")</f>
        <v>DL 14-1214</v>
      </c>
      <c r="C789" s="1429" t="str">
        <f>IFERROR(__xludf.DUMMYFUNCTION("""COMPUTED_VALUE"""),"DL")</f>
        <v>DL</v>
      </c>
      <c r="D789" s="1432">
        <f>IFERROR(__xludf.DUMMYFUNCTION("""COMPUTED_VALUE"""),8.0)</f>
        <v>8</v>
      </c>
      <c r="E789" s="1429">
        <f>IFERROR(__xludf.DUMMYFUNCTION("""COMPUTED_VALUE"""),45530.0)</f>
        <v>45530</v>
      </c>
      <c r="F789" s="1429">
        <f>IFERROR(__xludf.DUMMYFUNCTION("""COMPUTED_VALUE"""),45535.0)</f>
        <v>45535</v>
      </c>
      <c r="G789" s="1164">
        <f>IFERROR(__xludf.DUMMYFUNCTION("""COMPUTED_VALUE"""),5.0)</f>
        <v>5</v>
      </c>
      <c r="H789" s="94"/>
      <c r="I789" s="94">
        <f>IFERROR(__xludf.DUMMYFUNCTION("""COMPUTED_VALUE"""),1800.0)</f>
        <v>1800</v>
      </c>
      <c r="J789" s="94"/>
      <c r="K789" s="94">
        <f>IFERROR(__xludf.DUMMYFUNCTION("""COMPUTED_VALUE"""),95.0)</f>
        <v>95</v>
      </c>
      <c r="L789" s="94">
        <f>IFERROR(__xludf.DUMMYFUNCTION("""COMPUTED_VALUE"""),95.0)</f>
        <v>95</v>
      </c>
      <c r="M789" s="94">
        <f>IFERROR(__xludf.DUMMYFUNCTION("""COMPUTED_VALUE"""),0.0)</f>
        <v>0</v>
      </c>
      <c r="N789" s="94"/>
      <c r="O789" s="1430">
        <f>IFERROR(__xludf.DUMMYFUNCTION("""COMPUTED_VALUE"""),0.0)</f>
        <v>0</v>
      </c>
      <c r="P789" s="1431">
        <f>IFERROR(__xludf.DUMMYFUNCTION("""COMPUTED_VALUE"""),2.69)</f>
        <v>2.69</v>
      </c>
      <c r="Q789" s="1432">
        <f>IFERROR(__xludf.DUMMYFUNCTION("""COMPUTED_VALUE"""),1800.0)</f>
        <v>1800</v>
      </c>
    </row>
    <row r="790" ht="15.75" customHeight="1">
      <c r="A790" s="94"/>
      <c r="B790" s="94" t="str">
        <f>IFERROR(__xludf.DUMMYFUNCTION("""COMPUTED_VALUE"""),"BV206")</f>
        <v>BV206</v>
      </c>
      <c r="C790" s="1429" t="str">
        <f>IFERROR(__xludf.DUMMYFUNCTION("""COMPUTED_VALUE"""),"Other")</f>
        <v>Other</v>
      </c>
      <c r="D790" s="1432">
        <f>IFERROR(__xludf.DUMMYFUNCTION("""COMPUTED_VALUE"""),8.0)</f>
        <v>8</v>
      </c>
      <c r="E790" s="1429">
        <f>IFERROR(__xludf.DUMMYFUNCTION("""COMPUTED_VALUE"""),45530.0)</f>
        <v>45530</v>
      </c>
      <c r="F790" s="1429">
        <f>IFERROR(__xludf.DUMMYFUNCTION("""COMPUTED_VALUE"""),45533.0)</f>
        <v>45533</v>
      </c>
      <c r="G790" s="1164">
        <f>IFERROR(__xludf.DUMMYFUNCTION("""COMPUTED_VALUE"""),3.0)</f>
        <v>3</v>
      </c>
      <c r="H790" s="1430">
        <f>IFERROR(__xludf.DUMMYFUNCTION("""COMPUTED_VALUE"""),293.0)</f>
        <v>293</v>
      </c>
      <c r="I790" s="94">
        <f>IFERROR(__xludf.DUMMYFUNCTION("""COMPUTED_VALUE"""),0.0)</f>
        <v>0</v>
      </c>
      <c r="J790" s="94"/>
      <c r="K790" s="94">
        <f>IFERROR(__xludf.DUMMYFUNCTION("""COMPUTED_VALUE"""),105.0)</f>
        <v>105</v>
      </c>
      <c r="L790" s="94">
        <f>IFERROR(__xludf.DUMMYFUNCTION("""COMPUTED_VALUE"""),40.0)</f>
        <v>40</v>
      </c>
      <c r="M790" s="94">
        <f>IFERROR(__xludf.DUMMYFUNCTION("""COMPUTED_VALUE"""),65.0)</f>
        <v>65</v>
      </c>
      <c r="N790" s="94"/>
      <c r="O790" s="1430">
        <f>IFERROR(__xludf.DUMMYFUNCTION("""COMPUTED_VALUE"""),65.0)</f>
        <v>65</v>
      </c>
      <c r="P790" s="1431">
        <f>IFERROR(__xludf.DUMMYFUNCTION("""COMPUTED_VALUE"""),2.69)</f>
        <v>2.69</v>
      </c>
      <c r="Q790" s="1432">
        <f>IFERROR(__xludf.DUMMYFUNCTION("""COMPUTED_VALUE"""),788.17)</f>
        <v>788.17</v>
      </c>
    </row>
    <row r="791" ht="15.75" customHeight="1">
      <c r="A791" s="94"/>
      <c r="B791" s="94" t="str">
        <f>IFERROR(__xludf.DUMMYFUNCTION("""COMPUTED_VALUE"""),"С 1443")</f>
        <v>С 1443</v>
      </c>
      <c r="C791" s="1429" t="str">
        <f>IFERROR(__xludf.DUMMYFUNCTION("""COMPUTED_VALUE"""),"ORBI")</f>
        <v>ORBI</v>
      </c>
      <c r="D791" s="1432">
        <f>IFERROR(__xludf.DUMMYFUNCTION("""COMPUTED_VALUE"""),8.0)</f>
        <v>8</v>
      </c>
      <c r="E791" s="1429">
        <f>IFERROR(__xludf.DUMMYFUNCTION("""COMPUTED_VALUE"""),45530.0)</f>
        <v>45530</v>
      </c>
      <c r="F791" s="1429">
        <f>IFERROR(__xludf.DUMMYFUNCTION("""COMPUTED_VALUE"""),45532.0)</f>
        <v>45532</v>
      </c>
      <c r="G791" s="1164">
        <f>IFERROR(__xludf.DUMMYFUNCTION("""COMPUTED_VALUE"""),2.0)</f>
        <v>2</v>
      </c>
      <c r="H791" s="1430">
        <f>IFERROR(__xludf.DUMMYFUNCTION("""COMPUTED_VALUE"""),152.0)</f>
        <v>152</v>
      </c>
      <c r="I791" s="94">
        <f>IFERROR(__xludf.DUMMYFUNCTION("""COMPUTED_VALUE"""),0.0)</f>
        <v>0</v>
      </c>
      <c r="J791" s="94"/>
      <c r="K791" s="94">
        <f>IFERROR(__xludf.DUMMYFUNCTION("""COMPUTED_VALUE"""),70.0)</f>
        <v>70</v>
      </c>
      <c r="L791" s="94">
        <f>IFERROR(__xludf.DUMMYFUNCTION("""COMPUTED_VALUE"""),50.0)</f>
        <v>50</v>
      </c>
      <c r="M791" s="94">
        <f>IFERROR(__xludf.DUMMYFUNCTION("""COMPUTED_VALUE"""),20.0)</f>
        <v>20</v>
      </c>
      <c r="N791" s="94"/>
      <c r="O791" s="1430">
        <f>IFERROR(__xludf.DUMMYFUNCTION("""COMPUTED_VALUE"""),20.0)</f>
        <v>20</v>
      </c>
      <c r="P791" s="1431">
        <f>IFERROR(__xludf.DUMMYFUNCTION("""COMPUTED_VALUE"""),2.69)</f>
        <v>2.69</v>
      </c>
      <c r="Q791" s="1432">
        <f>IFERROR(__xludf.DUMMYFUNCTION("""COMPUTED_VALUE"""),408.88)</f>
        <v>408.88</v>
      </c>
    </row>
    <row r="792" ht="15.75" customHeight="1">
      <c r="A792" s="94"/>
      <c r="B792" s="94" t="str">
        <f>IFERROR(__xludf.DUMMYFUNCTION("""COMPUTED_VALUE"""),"DL 4-09")</f>
        <v>DL 4-09</v>
      </c>
      <c r="C792" s="1429" t="str">
        <f>IFERROR(__xludf.DUMMYFUNCTION("""COMPUTED_VALUE"""),"DL")</f>
        <v>DL</v>
      </c>
      <c r="D792" s="1432">
        <f>IFERROR(__xludf.DUMMYFUNCTION("""COMPUTED_VALUE"""),8.0)</f>
        <v>8</v>
      </c>
      <c r="E792" s="1429">
        <f>IFERROR(__xludf.DUMMYFUNCTION("""COMPUTED_VALUE"""),45531.0)</f>
        <v>45531</v>
      </c>
      <c r="F792" s="1429">
        <f>IFERROR(__xludf.DUMMYFUNCTION("""COMPUTED_VALUE"""),45535.0)</f>
        <v>45535</v>
      </c>
      <c r="G792" s="1164">
        <f>IFERROR(__xludf.DUMMYFUNCTION("""COMPUTED_VALUE"""),4.0)</f>
        <v>4</v>
      </c>
      <c r="H792" s="1430">
        <f>IFERROR(__xludf.DUMMYFUNCTION("""COMPUTED_VALUE"""),490.0)</f>
        <v>490</v>
      </c>
      <c r="I792" s="94">
        <f>IFERROR(__xludf.DUMMYFUNCTION("""COMPUTED_VALUE"""),0.0)</f>
        <v>0</v>
      </c>
      <c r="J792" s="94"/>
      <c r="K792" s="94">
        <f>IFERROR(__xludf.DUMMYFUNCTION("""COMPUTED_VALUE"""),105.0)</f>
        <v>105</v>
      </c>
      <c r="L792" s="94">
        <f>IFERROR(__xludf.DUMMYFUNCTION("""COMPUTED_VALUE"""),105.0)</f>
        <v>105</v>
      </c>
      <c r="M792" s="94">
        <f>IFERROR(__xludf.DUMMYFUNCTION("""COMPUTED_VALUE"""),0.0)</f>
        <v>0</v>
      </c>
      <c r="N792" s="94"/>
      <c r="O792" s="1430">
        <f>IFERROR(__xludf.DUMMYFUNCTION("""COMPUTED_VALUE"""),0.0)</f>
        <v>0</v>
      </c>
      <c r="P792" s="1431">
        <f>IFERROR(__xludf.DUMMYFUNCTION("""COMPUTED_VALUE"""),2.69)</f>
        <v>2.69</v>
      </c>
      <c r="Q792" s="1432">
        <f>IFERROR(__xludf.DUMMYFUNCTION("""COMPUTED_VALUE"""),1318.1)</f>
        <v>1318.1</v>
      </c>
    </row>
    <row r="793" ht="15.75" customHeight="1">
      <c r="A793" s="94"/>
      <c r="B793" s="94" t="str">
        <f>IFERROR(__xludf.DUMMYFUNCTION("""COMPUTED_VALUE"""),"CM 1604")</f>
        <v>CM 1604</v>
      </c>
      <c r="C793" s="1429" t="str">
        <f>IFERROR(__xludf.DUMMYFUNCTION("""COMPUTED_VALUE"""),"MAR")</f>
        <v>MAR</v>
      </c>
      <c r="D793" s="1432">
        <f>IFERROR(__xludf.DUMMYFUNCTION("""COMPUTED_VALUE"""),8.0)</f>
        <v>8</v>
      </c>
      <c r="E793" s="1429">
        <f>IFERROR(__xludf.DUMMYFUNCTION("""COMPUTED_VALUE"""),45531.0)</f>
        <v>45531</v>
      </c>
      <c r="F793" s="1429">
        <f>IFERROR(__xludf.DUMMYFUNCTION("""COMPUTED_VALUE"""),45537.0)</f>
        <v>45537</v>
      </c>
      <c r="G793" s="1164">
        <f>IFERROR(__xludf.DUMMYFUNCTION("""COMPUTED_VALUE"""),6.0)</f>
        <v>6</v>
      </c>
      <c r="H793" s="1430">
        <f>IFERROR(__xludf.DUMMYFUNCTION("""COMPUTED_VALUE"""),470.0)</f>
        <v>470</v>
      </c>
      <c r="I793" s="94">
        <f>IFERROR(__xludf.DUMMYFUNCTION("""COMPUTED_VALUE"""),0.0)</f>
        <v>0</v>
      </c>
      <c r="J793" s="94"/>
      <c r="K793" s="94">
        <f>IFERROR(__xludf.DUMMYFUNCTION("""COMPUTED_VALUE"""),70.0)</f>
        <v>70</v>
      </c>
      <c r="L793" s="94">
        <f>IFERROR(__xludf.DUMMYFUNCTION("""COMPUTED_VALUE"""),40.0)</f>
        <v>40</v>
      </c>
      <c r="M793" s="94">
        <f>IFERROR(__xludf.DUMMYFUNCTION("""COMPUTED_VALUE"""),30.0)</f>
        <v>30</v>
      </c>
      <c r="N793" s="94"/>
      <c r="O793" s="1430">
        <f>IFERROR(__xludf.DUMMYFUNCTION("""COMPUTED_VALUE"""),30.0)</f>
        <v>30</v>
      </c>
      <c r="P793" s="1431">
        <f>IFERROR(__xludf.DUMMYFUNCTION("""COMPUTED_VALUE"""),2.69)</f>
        <v>2.69</v>
      </c>
      <c r="Q793" s="1432">
        <f>IFERROR(__xludf.DUMMYFUNCTION("""COMPUTED_VALUE"""),1264.3)</f>
        <v>1264.3</v>
      </c>
    </row>
    <row r="794" ht="15.75" customHeight="1">
      <c r="A794" s="94"/>
      <c r="B794" s="94" t="str">
        <f>IFERROR(__xludf.DUMMYFUNCTION("""COMPUTED_VALUE"""),"WS A 1312")</f>
        <v>WS A 1312</v>
      </c>
      <c r="C794" s="1429" t="str">
        <f>IFERROR(__xludf.DUMMYFUNCTION("""COMPUTED_VALUE"""),"WS")</f>
        <v>WS</v>
      </c>
      <c r="D794" s="1432">
        <f>IFERROR(__xludf.DUMMYFUNCTION("""COMPUTED_VALUE"""),8.0)</f>
        <v>8</v>
      </c>
      <c r="E794" s="1429">
        <f>IFERROR(__xludf.DUMMYFUNCTION("""COMPUTED_VALUE"""),45531.0)</f>
        <v>45531</v>
      </c>
      <c r="F794" s="1429">
        <f>IFERROR(__xludf.DUMMYFUNCTION("""COMPUTED_VALUE"""),45535.0)</f>
        <v>45535</v>
      </c>
      <c r="G794" s="1164">
        <f>IFERROR(__xludf.DUMMYFUNCTION("""COMPUTED_VALUE"""),4.0)</f>
        <v>4</v>
      </c>
      <c r="H794" s="1430">
        <f>IFERROR(__xludf.DUMMYFUNCTION("""COMPUTED_VALUE"""),198.0)</f>
        <v>198</v>
      </c>
      <c r="I794" s="94">
        <f>IFERROR(__xludf.DUMMYFUNCTION("""COMPUTED_VALUE"""),0.0)</f>
        <v>0</v>
      </c>
      <c r="J794" s="94"/>
      <c r="K794" s="94">
        <f>IFERROR(__xludf.DUMMYFUNCTION("""COMPUTED_VALUE"""),60.0)</f>
        <v>60</v>
      </c>
      <c r="L794" s="94">
        <f>IFERROR(__xludf.DUMMYFUNCTION("""COMPUTED_VALUE"""),40.0)</f>
        <v>40</v>
      </c>
      <c r="M794" s="94">
        <f>IFERROR(__xludf.DUMMYFUNCTION("""COMPUTED_VALUE"""),20.0)</f>
        <v>20</v>
      </c>
      <c r="N794" s="94"/>
      <c r="O794" s="1430">
        <f>IFERROR(__xludf.DUMMYFUNCTION("""COMPUTED_VALUE"""),20.0)</f>
        <v>20</v>
      </c>
      <c r="P794" s="1431">
        <f>IFERROR(__xludf.DUMMYFUNCTION("""COMPUTED_VALUE"""),2.69)</f>
        <v>2.69</v>
      </c>
      <c r="Q794" s="1432">
        <f>IFERROR(__xludf.DUMMYFUNCTION("""COMPUTED_VALUE"""),532.62)</f>
        <v>532.62</v>
      </c>
    </row>
    <row r="795" ht="15.75" customHeight="1">
      <c r="A795" s="94"/>
      <c r="B795" s="94" t="str">
        <f>IFERROR(__xludf.DUMMYFUNCTION("""COMPUTED_VALUE"""),"Шар 2505")</f>
        <v>Шар 2505</v>
      </c>
      <c r="C795" s="1429" t="str">
        <f>IFERROR(__xludf.DUMMYFUNCTION("""COMPUTED_VALUE"""),"Other")</f>
        <v>Other</v>
      </c>
      <c r="D795" s="1432">
        <f>IFERROR(__xludf.DUMMYFUNCTION("""COMPUTED_VALUE"""),8.0)</f>
        <v>8</v>
      </c>
      <c r="E795" s="1429">
        <f>IFERROR(__xludf.DUMMYFUNCTION("""COMPUTED_VALUE"""),45531.0)</f>
        <v>45531</v>
      </c>
      <c r="F795" s="1429">
        <f>IFERROR(__xludf.DUMMYFUNCTION("""COMPUTED_VALUE"""),45534.0)</f>
        <v>45534</v>
      </c>
      <c r="G795" s="1164">
        <f>IFERROR(__xludf.DUMMYFUNCTION("""COMPUTED_VALUE"""),3.0)</f>
        <v>3</v>
      </c>
      <c r="H795" s="1430">
        <f>IFERROR(__xludf.DUMMYFUNCTION("""COMPUTED_VALUE"""),135.0)</f>
        <v>135</v>
      </c>
      <c r="I795" s="94">
        <f>IFERROR(__xludf.DUMMYFUNCTION("""COMPUTED_VALUE"""),0.0)</f>
        <v>0</v>
      </c>
      <c r="J795" s="94"/>
      <c r="K795" s="94">
        <f>IFERROR(__xludf.DUMMYFUNCTION("""COMPUTED_VALUE"""),60.0)</f>
        <v>60</v>
      </c>
      <c r="L795" s="94">
        <f>IFERROR(__xludf.DUMMYFUNCTION("""COMPUTED_VALUE"""),40.0)</f>
        <v>40</v>
      </c>
      <c r="M795" s="94">
        <f>IFERROR(__xludf.DUMMYFUNCTION("""COMPUTED_VALUE"""),20.0)</f>
        <v>20</v>
      </c>
      <c r="N795" s="94"/>
      <c r="O795" s="1430">
        <f>IFERROR(__xludf.DUMMYFUNCTION("""COMPUTED_VALUE"""),20.0)</f>
        <v>20</v>
      </c>
      <c r="P795" s="1431">
        <f>IFERROR(__xludf.DUMMYFUNCTION("""COMPUTED_VALUE"""),2.69)</f>
        <v>2.69</v>
      </c>
      <c r="Q795" s="1432">
        <f>IFERROR(__xludf.DUMMYFUNCTION("""COMPUTED_VALUE"""),363.15)</f>
        <v>363.15</v>
      </c>
    </row>
    <row r="796" ht="15.75" customHeight="1">
      <c r="A796" s="94"/>
      <c r="B796" s="94" t="str">
        <f>IFERROR(__xludf.DUMMYFUNCTION("""COMPUTED_VALUE"""),"С 1125")</f>
        <v>С 1125</v>
      </c>
      <c r="C796" s="1429" t="str">
        <f>IFERROR(__xludf.DUMMYFUNCTION("""COMPUTED_VALUE"""),"ORBI")</f>
        <v>ORBI</v>
      </c>
      <c r="D796" s="1432">
        <f>IFERROR(__xludf.DUMMYFUNCTION("""COMPUTED_VALUE"""),8.0)</f>
        <v>8</v>
      </c>
      <c r="E796" s="1429">
        <f>IFERROR(__xludf.DUMMYFUNCTION("""COMPUTED_VALUE"""),45531.0)</f>
        <v>45531</v>
      </c>
      <c r="F796" s="1429">
        <f>IFERROR(__xludf.DUMMYFUNCTION("""COMPUTED_VALUE"""),45537.0)</f>
        <v>45537</v>
      </c>
      <c r="G796" s="1164">
        <f>IFERROR(__xludf.DUMMYFUNCTION("""COMPUTED_VALUE"""),6.0)</f>
        <v>6</v>
      </c>
      <c r="H796" s="94"/>
      <c r="I796" s="94">
        <f>IFERROR(__xludf.DUMMYFUNCTION("""COMPUTED_VALUE"""),510.0)</f>
        <v>510</v>
      </c>
      <c r="J796" s="94"/>
      <c r="K796" s="94">
        <f>IFERROR(__xludf.DUMMYFUNCTION("""COMPUTED_VALUE"""),60.0)</f>
        <v>60</v>
      </c>
      <c r="L796" s="94">
        <f>IFERROR(__xludf.DUMMYFUNCTION("""COMPUTED_VALUE"""),50.0)</f>
        <v>50</v>
      </c>
      <c r="M796" s="94">
        <f>IFERROR(__xludf.DUMMYFUNCTION("""COMPUTED_VALUE"""),10.0)</f>
        <v>10</v>
      </c>
      <c r="N796" s="94"/>
      <c r="O796" s="1430">
        <f>IFERROR(__xludf.DUMMYFUNCTION("""COMPUTED_VALUE"""),10.0)</f>
        <v>10</v>
      </c>
      <c r="P796" s="1431">
        <f>IFERROR(__xludf.DUMMYFUNCTION("""COMPUTED_VALUE"""),2.69)</f>
        <v>2.69</v>
      </c>
      <c r="Q796" s="1432">
        <f>IFERROR(__xludf.DUMMYFUNCTION("""COMPUTED_VALUE"""),510.0)</f>
        <v>510</v>
      </c>
    </row>
    <row r="797" ht="15.75" customHeight="1">
      <c r="A797" s="94"/>
      <c r="B797" s="94" t="str">
        <f>IFERROR(__xludf.DUMMYFUNCTION("""COMPUTED_VALUE"""),"CM 1931")</f>
        <v>CM 1931</v>
      </c>
      <c r="C797" s="1429" t="str">
        <f>IFERROR(__xludf.DUMMYFUNCTION("""COMPUTED_VALUE"""),"MAR")</f>
        <v>MAR</v>
      </c>
      <c r="D797" s="1432">
        <f>IFERROR(__xludf.DUMMYFUNCTION("""COMPUTED_VALUE"""),8.0)</f>
        <v>8</v>
      </c>
      <c r="E797" s="1429">
        <f>IFERROR(__xludf.DUMMYFUNCTION("""COMPUTED_VALUE"""),45532.0)</f>
        <v>45532</v>
      </c>
      <c r="F797" s="1429">
        <f>IFERROR(__xludf.DUMMYFUNCTION("""COMPUTED_VALUE"""),45536.0)</f>
        <v>45536</v>
      </c>
      <c r="G797" s="1164">
        <f>IFERROR(__xludf.DUMMYFUNCTION("""COMPUTED_VALUE"""),4.0)</f>
        <v>4</v>
      </c>
      <c r="H797" s="1430">
        <f>IFERROR(__xludf.DUMMYFUNCTION("""COMPUTED_VALUE"""),210.0)</f>
        <v>210</v>
      </c>
      <c r="I797" s="94">
        <f>IFERROR(__xludf.DUMMYFUNCTION("""COMPUTED_VALUE"""),0.0)</f>
        <v>0</v>
      </c>
      <c r="J797" s="94"/>
      <c r="K797" s="94">
        <f>IFERROR(__xludf.DUMMYFUNCTION("""COMPUTED_VALUE"""),60.0)</f>
        <v>60</v>
      </c>
      <c r="L797" s="94">
        <f>IFERROR(__xludf.DUMMYFUNCTION("""COMPUTED_VALUE"""),40.0)</f>
        <v>40</v>
      </c>
      <c r="M797" s="94">
        <f>IFERROR(__xludf.DUMMYFUNCTION("""COMPUTED_VALUE"""),20.0)</f>
        <v>20</v>
      </c>
      <c r="N797" s="94"/>
      <c r="O797" s="1430">
        <f>IFERROR(__xludf.DUMMYFUNCTION("""COMPUTED_VALUE"""),20.0)</f>
        <v>20</v>
      </c>
      <c r="P797" s="1431">
        <f>IFERROR(__xludf.DUMMYFUNCTION("""COMPUTED_VALUE"""),2.69)</f>
        <v>2.69</v>
      </c>
      <c r="Q797" s="1432">
        <f>IFERROR(__xludf.DUMMYFUNCTION("""COMPUTED_VALUE"""),564.9)</f>
        <v>564.9</v>
      </c>
    </row>
    <row r="798" ht="15.75" customHeight="1">
      <c r="A798" s="94"/>
      <c r="B798" s="94" t="str">
        <f>IFERROR(__xludf.DUMMYFUNCTION("""COMPUTED_VALUE"""),"C 4245")</f>
        <v>C 4245</v>
      </c>
      <c r="C798" s="1429" t="str">
        <f>IFERROR(__xludf.DUMMYFUNCTION("""COMPUTED_VALUE"""),"ORBI")</f>
        <v>ORBI</v>
      </c>
      <c r="D798" s="1432">
        <f>IFERROR(__xludf.DUMMYFUNCTION("""COMPUTED_VALUE"""),8.0)</f>
        <v>8</v>
      </c>
      <c r="E798" s="1429">
        <f>IFERROR(__xludf.DUMMYFUNCTION("""COMPUTED_VALUE"""),45532.0)</f>
        <v>45532</v>
      </c>
      <c r="F798" s="1429">
        <f>IFERROR(__xludf.DUMMYFUNCTION("""COMPUTED_VALUE"""),45537.0)</f>
        <v>45537</v>
      </c>
      <c r="G798" s="1164">
        <f>IFERROR(__xludf.DUMMYFUNCTION("""COMPUTED_VALUE"""),5.0)</f>
        <v>5</v>
      </c>
      <c r="H798" s="1430">
        <f>IFERROR(__xludf.DUMMYFUNCTION("""COMPUTED_VALUE"""),270.0)</f>
        <v>270</v>
      </c>
      <c r="I798" s="94">
        <f>IFERROR(__xludf.DUMMYFUNCTION("""COMPUTED_VALUE"""),0.0)</f>
        <v>0</v>
      </c>
      <c r="J798" s="94"/>
      <c r="K798" s="94">
        <f>IFERROR(__xludf.DUMMYFUNCTION("""COMPUTED_VALUE"""),60.0)</f>
        <v>60</v>
      </c>
      <c r="L798" s="94">
        <f>IFERROR(__xludf.DUMMYFUNCTION("""COMPUTED_VALUE"""),50.0)</f>
        <v>50</v>
      </c>
      <c r="M798" s="94">
        <f>IFERROR(__xludf.DUMMYFUNCTION("""COMPUTED_VALUE"""),10.0)</f>
        <v>10</v>
      </c>
      <c r="N798" s="94"/>
      <c r="O798" s="1430">
        <f>IFERROR(__xludf.DUMMYFUNCTION("""COMPUTED_VALUE"""),10.0)</f>
        <v>10</v>
      </c>
      <c r="P798" s="1431">
        <f>IFERROR(__xludf.DUMMYFUNCTION("""COMPUTED_VALUE"""),2.69)</f>
        <v>2.69</v>
      </c>
      <c r="Q798" s="1432">
        <f>IFERROR(__xludf.DUMMYFUNCTION("""COMPUTED_VALUE"""),726.3)</f>
        <v>726.3</v>
      </c>
    </row>
    <row r="799" ht="15.75" customHeight="1">
      <c r="A799" s="94"/>
      <c r="B799" s="94" t="str">
        <f>IFERROR(__xludf.DUMMYFUNCTION("""COMPUTED_VALUE"""),"D 1321")</f>
        <v>D 1321</v>
      </c>
      <c r="C799" s="1429" t="str">
        <f>IFERROR(__xludf.DUMMYFUNCTION("""COMPUTED_VALUE"""),"ORBI")</f>
        <v>ORBI</v>
      </c>
      <c r="D799" s="1432">
        <f>IFERROR(__xludf.DUMMYFUNCTION("""COMPUTED_VALUE"""),8.0)</f>
        <v>8</v>
      </c>
      <c r="E799" s="1429">
        <f>IFERROR(__xludf.DUMMYFUNCTION("""COMPUTED_VALUE"""),45532.0)</f>
        <v>45532</v>
      </c>
      <c r="F799" s="1436">
        <f>IFERROR(__xludf.DUMMYFUNCTION("""COMPUTED_VALUE"""),45536.0)</f>
        <v>45536</v>
      </c>
      <c r="G799" s="1164">
        <f>IFERROR(__xludf.DUMMYFUNCTION("""COMPUTED_VALUE"""),4.0)</f>
        <v>4</v>
      </c>
      <c r="H799" s="1430">
        <f>IFERROR(__xludf.DUMMYFUNCTION("""COMPUTED_VALUE"""),153.33333333333334)</f>
        <v>153.3333333</v>
      </c>
      <c r="I799" s="94">
        <f>IFERROR(__xludf.DUMMYFUNCTION("""COMPUTED_VALUE"""),0.0)</f>
        <v>0</v>
      </c>
      <c r="J799" s="94"/>
      <c r="K799" s="94">
        <f>IFERROR(__xludf.DUMMYFUNCTION("""COMPUTED_VALUE"""),60.0)</f>
        <v>60</v>
      </c>
      <c r="L799" s="94">
        <f>IFERROR(__xludf.DUMMYFUNCTION("""COMPUTED_VALUE"""),50.0)</f>
        <v>50</v>
      </c>
      <c r="M799" s="94">
        <f>IFERROR(__xludf.DUMMYFUNCTION("""COMPUTED_VALUE"""),10.0)</f>
        <v>10</v>
      </c>
      <c r="N799" s="94"/>
      <c r="O799" s="1430">
        <f>IFERROR(__xludf.DUMMYFUNCTION("""COMPUTED_VALUE"""),10.0)</f>
        <v>10</v>
      </c>
      <c r="P799" s="1431">
        <f>IFERROR(__xludf.DUMMYFUNCTION("""COMPUTED_VALUE"""),2.69)</f>
        <v>2.69</v>
      </c>
      <c r="Q799" s="1432">
        <f>IFERROR(__xludf.DUMMYFUNCTION("""COMPUTED_VALUE"""),412.4666666666667)</f>
        <v>412.4666667</v>
      </c>
    </row>
    <row r="800" ht="15.75" customHeight="1">
      <c r="A800" s="94"/>
      <c r="B800" s="94" t="str">
        <f>IFERROR(__xludf.DUMMYFUNCTION("""COMPUTED_VALUE"""),"WS A 608")</f>
        <v>WS A 608</v>
      </c>
      <c r="C800" s="1429" t="str">
        <f>IFERROR(__xludf.DUMMYFUNCTION("""COMPUTED_VALUE"""),"WS")</f>
        <v>WS</v>
      </c>
      <c r="D800" s="1432">
        <f>IFERROR(__xludf.DUMMYFUNCTION("""COMPUTED_VALUE"""),8.0)</f>
        <v>8</v>
      </c>
      <c r="E800" s="1429">
        <f>IFERROR(__xludf.DUMMYFUNCTION("""COMPUTED_VALUE"""),45532.0)</f>
        <v>45532</v>
      </c>
      <c r="F800" s="1429">
        <f>IFERROR(__xludf.DUMMYFUNCTION("""COMPUTED_VALUE"""),45537.0)</f>
        <v>45537</v>
      </c>
      <c r="G800" s="1164">
        <f>IFERROR(__xludf.DUMMYFUNCTION("""COMPUTED_VALUE"""),5.0)</f>
        <v>5</v>
      </c>
      <c r="H800" s="1430">
        <f>IFERROR(__xludf.DUMMYFUNCTION("""COMPUTED_VALUE"""),380.0)</f>
        <v>380</v>
      </c>
      <c r="I800" s="94">
        <f>IFERROR(__xludf.DUMMYFUNCTION("""COMPUTED_VALUE"""),0.0)</f>
        <v>0</v>
      </c>
      <c r="J800" s="94"/>
      <c r="K800" s="94">
        <f>IFERROR(__xludf.DUMMYFUNCTION("""COMPUTED_VALUE"""),60.0)</f>
        <v>60</v>
      </c>
      <c r="L800" s="94">
        <f>IFERROR(__xludf.DUMMYFUNCTION("""COMPUTED_VALUE"""),40.0)</f>
        <v>40</v>
      </c>
      <c r="M800" s="94">
        <f>IFERROR(__xludf.DUMMYFUNCTION("""COMPUTED_VALUE"""),20.0)</f>
        <v>20</v>
      </c>
      <c r="N800" s="94"/>
      <c r="O800" s="1430">
        <f>IFERROR(__xludf.DUMMYFUNCTION("""COMPUTED_VALUE"""),20.0)</f>
        <v>20</v>
      </c>
      <c r="P800" s="1431">
        <f>IFERROR(__xludf.DUMMYFUNCTION("""COMPUTED_VALUE"""),2.69)</f>
        <v>2.69</v>
      </c>
      <c r="Q800" s="1432">
        <f>IFERROR(__xludf.DUMMYFUNCTION("""COMPUTED_VALUE"""),1022.1999999999999)</f>
        <v>1022.2</v>
      </c>
    </row>
    <row r="801" ht="15.75" customHeight="1">
      <c r="A801" s="94"/>
      <c r="B801" s="94" t="str">
        <f>IFERROR(__xludf.DUMMYFUNCTION("""COMPUTED_VALUE"""),"WS В 212")</f>
        <v>WS В 212</v>
      </c>
      <c r="C801" s="1429" t="str">
        <f>IFERROR(__xludf.DUMMYFUNCTION("""COMPUTED_VALUE"""),"WS")</f>
        <v>WS</v>
      </c>
      <c r="D801" s="1432">
        <f>IFERROR(__xludf.DUMMYFUNCTION("""COMPUTED_VALUE"""),8.0)</f>
        <v>8</v>
      </c>
      <c r="E801" s="1429">
        <f>IFERROR(__xludf.DUMMYFUNCTION("""COMPUTED_VALUE"""),45532.0)</f>
        <v>45532</v>
      </c>
      <c r="F801" s="1429">
        <f>IFERROR(__xludf.DUMMYFUNCTION("""COMPUTED_VALUE"""),45535.0)</f>
        <v>45535</v>
      </c>
      <c r="G801" s="1164">
        <f>IFERROR(__xludf.DUMMYFUNCTION("""COMPUTED_VALUE"""),3.0)</f>
        <v>3</v>
      </c>
      <c r="H801" s="94"/>
      <c r="I801" s="94">
        <f>IFERROR(__xludf.DUMMYFUNCTION("""COMPUTED_VALUE"""),875.0)</f>
        <v>875</v>
      </c>
      <c r="J801" s="94"/>
      <c r="K801" s="94">
        <f>IFERROR(__xludf.DUMMYFUNCTION("""COMPUTED_VALUE"""),70.0)</f>
        <v>70</v>
      </c>
      <c r="L801" s="94">
        <f>IFERROR(__xludf.DUMMYFUNCTION("""COMPUTED_VALUE"""),40.0)</f>
        <v>40</v>
      </c>
      <c r="M801" s="94">
        <f>IFERROR(__xludf.DUMMYFUNCTION("""COMPUTED_VALUE"""),30.0)</f>
        <v>30</v>
      </c>
      <c r="N801" s="94"/>
      <c r="O801" s="1430">
        <f>IFERROR(__xludf.DUMMYFUNCTION("""COMPUTED_VALUE"""),30.0)</f>
        <v>30</v>
      </c>
      <c r="P801" s="1431">
        <f>IFERROR(__xludf.DUMMYFUNCTION("""COMPUTED_VALUE"""),2.69)</f>
        <v>2.69</v>
      </c>
      <c r="Q801" s="1432">
        <f>IFERROR(__xludf.DUMMYFUNCTION("""COMPUTED_VALUE"""),875.0)</f>
        <v>875</v>
      </c>
    </row>
    <row r="802" ht="15.75" customHeight="1">
      <c r="A802" s="94"/>
      <c r="B802" s="94" t="str">
        <f>IFERROR(__xludf.DUMMYFUNCTION("""COMPUTED_VALUE"""),"WS А 908")</f>
        <v>WS А 908</v>
      </c>
      <c r="C802" s="1429" t="str">
        <f>IFERROR(__xludf.DUMMYFUNCTION("""COMPUTED_VALUE"""),"WS")</f>
        <v>WS</v>
      </c>
      <c r="D802" s="1432">
        <f>IFERROR(__xludf.DUMMYFUNCTION("""COMPUTED_VALUE"""),8.0)</f>
        <v>8</v>
      </c>
      <c r="E802" s="1429">
        <f>IFERROR(__xludf.DUMMYFUNCTION("""COMPUTED_VALUE"""),45532.0)</f>
        <v>45532</v>
      </c>
      <c r="F802" s="1429">
        <f>IFERROR(__xludf.DUMMYFUNCTION("""COMPUTED_VALUE"""),45534.0)</f>
        <v>45534</v>
      </c>
      <c r="G802" s="1164">
        <f>IFERROR(__xludf.DUMMYFUNCTION("""COMPUTED_VALUE"""),2.0)</f>
        <v>2</v>
      </c>
      <c r="H802" s="94"/>
      <c r="I802" s="94">
        <f>IFERROR(__xludf.DUMMYFUNCTION("""COMPUTED_VALUE"""),405.0)</f>
        <v>405</v>
      </c>
      <c r="J802" s="94"/>
      <c r="K802" s="94">
        <f>IFERROR(__xludf.DUMMYFUNCTION("""COMPUTED_VALUE"""),60.0)</f>
        <v>60</v>
      </c>
      <c r="L802" s="94">
        <f>IFERROR(__xludf.DUMMYFUNCTION("""COMPUTED_VALUE"""),40.0)</f>
        <v>40</v>
      </c>
      <c r="M802" s="94">
        <f>IFERROR(__xludf.DUMMYFUNCTION("""COMPUTED_VALUE"""),20.0)</f>
        <v>20</v>
      </c>
      <c r="N802" s="94"/>
      <c r="O802" s="1430">
        <f>IFERROR(__xludf.DUMMYFUNCTION("""COMPUTED_VALUE"""),20.0)</f>
        <v>20</v>
      </c>
      <c r="P802" s="1431">
        <f>IFERROR(__xludf.DUMMYFUNCTION("""COMPUTED_VALUE"""),2.69)</f>
        <v>2.69</v>
      </c>
      <c r="Q802" s="1432">
        <f>IFERROR(__xludf.DUMMYFUNCTION("""COMPUTED_VALUE"""),405.0)</f>
        <v>405</v>
      </c>
    </row>
    <row r="803" ht="15.75" customHeight="1">
      <c r="A803" s="94"/>
      <c r="B803" s="94" t="str">
        <f>IFERROR(__xludf.DUMMYFUNCTION("""COMPUTED_VALUE"""),"WS A 713")</f>
        <v>WS A 713</v>
      </c>
      <c r="C803" s="1429" t="str">
        <f>IFERROR(__xludf.DUMMYFUNCTION("""COMPUTED_VALUE"""),"WS")</f>
        <v>WS</v>
      </c>
      <c r="D803" s="1432">
        <f>IFERROR(__xludf.DUMMYFUNCTION("""COMPUTED_VALUE"""),8.0)</f>
        <v>8</v>
      </c>
      <c r="E803" s="1429">
        <f>IFERROR(__xludf.DUMMYFUNCTION("""COMPUTED_VALUE"""),45532.0)</f>
        <v>45532</v>
      </c>
      <c r="F803" s="1429">
        <f>IFERROR(__xludf.DUMMYFUNCTION("""COMPUTED_VALUE"""),45534.0)</f>
        <v>45534</v>
      </c>
      <c r="G803" s="1164">
        <f>IFERROR(__xludf.DUMMYFUNCTION("""COMPUTED_VALUE"""),2.0)</f>
        <v>2</v>
      </c>
      <c r="H803" s="1430">
        <f>IFERROR(__xludf.DUMMYFUNCTION("""COMPUTED_VALUE"""),100.0)</f>
        <v>100</v>
      </c>
      <c r="I803" s="94">
        <f>IFERROR(__xludf.DUMMYFUNCTION("""COMPUTED_VALUE"""),0.0)</f>
        <v>0</v>
      </c>
      <c r="J803" s="94"/>
      <c r="K803" s="94">
        <f>IFERROR(__xludf.DUMMYFUNCTION("""COMPUTED_VALUE"""),60.0)</f>
        <v>60</v>
      </c>
      <c r="L803" s="94">
        <f>IFERROR(__xludf.DUMMYFUNCTION("""COMPUTED_VALUE"""),40.0)</f>
        <v>40</v>
      </c>
      <c r="M803" s="94">
        <f>IFERROR(__xludf.DUMMYFUNCTION("""COMPUTED_VALUE"""),20.0)</f>
        <v>20</v>
      </c>
      <c r="N803" s="94"/>
      <c r="O803" s="1430">
        <f>IFERROR(__xludf.DUMMYFUNCTION("""COMPUTED_VALUE"""),20.0)</f>
        <v>20</v>
      </c>
      <c r="P803" s="1431">
        <f>IFERROR(__xludf.DUMMYFUNCTION("""COMPUTED_VALUE"""),2.69)</f>
        <v>2.69</v>
      </c>
      <c r="Q803" s="1432">
        <f>IFERROR(__xludf.DUMMYFUNCTION("""COMPUTED_VALUE"""),269.0)</f>
        <v>269</v>
      </c>
    </row>
    <row r="804" ht="15.75" customHeight="1">
      <c r="A804" s="94"/>
      <c r="B804" s="94" t="str">
        <f>IFERROR(__xludf.DUMMYFUNCTION("""COMPUTED_VALUE"""),"С 2756")</f>
        <v>С 2756</v>
      </c>
      <c r="C804" s="1429" t="str">
        <f>IFERROR(__xludf.DUMMYFUNCTION("""COMPUTED_VALUE"""),"ORBI")</f>
        <v>ORBI</v>
      </c>
      <c r="D804" s="1432">
        <f>IFERROR(__xludf.DUMMYFUNCTION("""COMPUTED_VALUE"""),8.0)</f>
        <v>8</v>
      </c>
      <c r="E804" s="1429">
        <f>IFERROR(__xludf.DUMMYFUNCTION("""COMPUTED_VALUE"""),45532.0)</f>
        <v>45532</v>
      </c>
      <c r="F804" s="1429">
        <f>IFERROR(__xludf.DUMMYFUNCTION("""COMPUTED_VALUE"""),45535.0)</f>
        <v>45535</v>
      </c>
      <c r="G804" s="1164">
        <f>IFERROR(__xludf.DUMMYFUNCTION("""COMPUTED_VALUE"""),3.0)</f>
        <v>3</v>
      </c>
      <c r="H804" s="94"/>
      <c r="I804" s="94">
        <f>IFERROR(__xludf.DUMMYFUNCTION("""COMPUTED_VALUE"""),250.0)</f>
        <v>250</v>
      </c>
      <c r="J804" s="94"/>
      <c r="K804" s="94">
        <f>IFERROR(__xludf.DUMMYFUNCTION("""COMPUTED_VALUE"""),60.0)</f>
        <v>60</v>
      </c>
      <c r="L804" s="94">
        <f>IFERROR(__xludf.DUMMYFUNCTION("""COMPUTED_VALUE"""),50.0)</f>
        <v>50</v>
      </c>
      <c r="M804" s="94">
        <f>IFERROR(__xludf.DUMMYFUNCTION("""COMPUTED_VALUE"""),10.0)</f>
        <v>10</v>
      </c>
      <c r="N804" s="94"/>
      <c r="O804" s="1430">
        <f>IFERROR(__xludf.DUMMYFUNCTION("""COMPUTED_VALUE"""),10.0)</f>
        <v>10</v>
      </c>
      <c r="P804" s="1431">
        <f>IFERROR(__xludf.DUMMYFUNCTION("""COMPUTED_VALUE"""),2.69)</f>
        <v>2.69</v>
      </c>
      <c r="Q804" s="1432">
        <f>IFERROR(__xludf.DUMMYFUNCTION("""COMPUTED_VALUE"""),250.0)</f>
        <v>250</v>
      </c>
    </row>
    <row r="805" ht="15.75" customHeight="1">
      <c r="A805" s="94"/>
      <c r="B805" s="94" t="str">
        <f>IFERROR(__xludf.DUMMYFUNCTION("""COMPUTED_VALUE"""),"DL14-1405")</f>
        <v>DL14-1405</v>
      </c>
      <c r="C805" s="1429" t="str">
        <f>IFERROR(__xludf.DUMMYFUNCTION("""COMPUTED_VALUE"""),"DL")</f>
        <v>DL</v>
      </c>
      <c r="D805" s="1432">
        <f>IFERROR(__xludf.DUMMYFUNCTION("""COMPUTED_VALUE"""),8.0)</f>
        <v>8</v>
      </c>
      <c r="E805" s="1429">
        <f>IFERROR(__xludf.DUMMYFUNCTION("""COMPUTED_VALUE"""),45533.0)</f>
        <v>45533</v>
      </c>
      <c r="F805" s="1429">
        <f>IFERROR(__xludf.DUMMYFUNCTION("""COMPUTED_VALUE"""),45535.0)</f>
        <v>45535</v>
      </c>
      <c r="G805" s="1164">
        <f>IFERROR(__xludf.DUMMYFUNCTION("""COMPUTED_VALUE"""),2.0)</f>
        <v>2</v>
      </c>
      <c r="H805" s="1430">
        <f>IFERROR(__xludf.DUMMYFUNCTION("""COMPUTED_VALUE"""),280.0)</f>
        <v>280</v>
      </c>
      <c r="I805" s="94">
        <f>IFERROR(__xludf.DUMMYFUNCTION("""COMPUTED_VALUE"""),0.0)</f>
        <v>0</v>
      </c>
      <c r="J805" s="94"/>
      <c r="K805" s="94">
        <f>IFERROR(__xludf.DUMMYFUNCTION("""COMPUTED_VALUE"""),105.0)</f>
        <v>105</v>
      </c>
      <c r="L805" s="94">
        <f>IFERROR(__xludf.DUMMYFUNCTION("""COMPUTED_VALUE"""),105.0)</f>
        <v>105</v>
      </c>
      <c r="M805" s="94">
        <f>IFERROR(__xludf.DUMMYFUNCTION("""COMPUTED_VALUE"""),0.0)</f>
        <v>0</v>
      </c>
      <c r="N805" s="94"/>
      <c r="O805" s="1430">
        <f>IFERROR(__xludf.DUMMYFUNCTION("""COMPUTED_VALUE"""),0.0)</f>
        <v>0</v>
      </c>
      <c r="P805" s="1431">
        <f>IFERROR(__xludf.DUMMYFUNCTION("""COMPUTED_VALUE"""),2.69)</f>
        <v>2.69</v>
      </c>
      <c r="Q805" s="1432">
        <f>IFERROR(__xludf.DUMMYFUNCTION("""COMPUTED_VALUE"""),753.1999999999999)</f>
        <v>753.2</v>
      </c>
    </row>
    <row r="806" ht="15.75" customHeight="1">
      <c r="A806" s="94"/>
      <c r="B806" s="94" t="str">
        <f>IFERROR(__xludf.DUMMYFUNCTION("""COMPUTED_VALUE"""),"DL 14-516")</f>
        <v>DL 14-516</v>
      </c>
      <c r="C806" s="1429" t="str">
        <f>IFERROR(__xludf.DUMMYFUNCTION("""COMPUTED_VALUE"""),"DL")</f>
        <v>DL</v>
      </c>
      <c r="D806" s="1432">
        <f>IFERROR(__xludf.DUMMYFUNCTION("""COMPUTED_VALUE"""),8.0)</f>
        <v>8</v>
      </c>
      <c r="E806" s="1429">
        <f>IFERROR(__xludf.DUMMYFUNCTION("""COMPUTED_VALUE"""),45533.0)</f>
        <v>45533</v>
      </c>
      <c r="F806" s="1429">
        <f>IFERROR(__xludf.DUMMYFUNCTION("""COMPUTED_VALUE"""),45541.0)</f>
        <v>45541</v>
      </c>
      <c r="G806" s="1164">
        <f>IFERROR(__xludf.DUMMYFUNCTION("""COMPUTED_VALUE"""),8.0)</f>
        <v>8</v>
      </c>
      <c r="H806" s="94"/>
      <c r="I806" s="94">
        <f>IFERROR(__xludf.DUMMYFUNCTION("""COMPUTED_VALUE"""),4880.0)</f>
        <v>4880</v>
      </c>
      <c r="J806" s="94"/>
      <c r="K806" s="94">
        <f>IFERROR(__xludf.DUMMYFUNCTION("""COMPUTED_VALUE"""),105.0)</f>
        <v>105</v>
      </c>
      <c r="L806" s="94">
        <f>IFERROR(__xludf.DUMMYFUNCTION("""COMPUTED_VALUE"""),105.0)</f>
        <v>105</v>
      </c>
      <c r="M806" s="94">
        <f>IFERROR(__xludf.DUMMYFUNCTION("""COMPUTED_VALUE"""),0.0)</f>
        <v>0</v>
      </c>
      <c r="N806" s="94"/>
      <c r="O806" s="1430">
        <f>IFERROR(__xludf.DUMMYFUNCTION("""COMPUTED_VALUE"""),0.0)</f>
        <v>0</v>
      </c>
      <c r="P806" s="1431">
        <f>IFERROR(__xludf.DUMMYFUNCTION("""COMPUTED_VALUE"""),2.69)</f>
        <v>2.69</v>
      </c>
      <c r="Q806" s="1432">
        <f>IFERROR(__xludf.DUMMYFUNCTION("""COMPUTED_VALUE"""),4880.0)</f>
        <v>4880</v>
      </c>
    </row>
    <row r="807" ht="15.75" customHeight="1">
      <c r="A807" s="94"/>
      <c r="B807" s="94" t="str">
        <f>IFERROR(__xludf.DUMMYFUNCTION("""COMPUTED_VALUE"""),"А 4049")</f>
        <v>А 4049</v>
      </c>
      <c r="C807" s="1429" t="str">
        <f>IFERROR(__xludf.DUMMYFUNCTION("""COMPUTED_VALUE"""),"ORBI")</f>
        <v>ORBI</v>
      </c>
      <c r="D807" s="1432">
        <f>IFERROR(__xludf.DUMMYFUNCTION("""COMPUTED_VALUE"""),8.0)</f>
        <v>8</v>
      </c>
      <c r="E807" s="1429">
        <f>IFERROR(__xludf.DUMMYFUNCTION("""COMPUTED_VALUE"""),45533.0)</f>
        <v>45533</v>
      </c>
      <c r="F807" s="1429">
        <f>IFERROR(__xludf.DUMMYFUNCTION("""COMPUTED_VALUE"""),45542.0)</f>
        <v>45542</v>
      </c>
      <c r="G807" s="1164">
        <f>IFERROR(__xludf.DUMMYFUNCTION("""COMPUTED_VALUE"""),9.0)</f>
        <v>9</v>
      </c>
      <c r="H807" s="1430">
        <f>IFERROR(__xludf.DUMMYFUNCTION("""COMPUTED_VALUE"""),336.0)</f>
        <v>336</v>
      </c>
      <c r="I807" s="94">
        <f>IFERROR(__xludf.DUMMYFUNCTION("""COMPUTED_VALUE"""),0.0)</f>
        <v>0</v>
      </c>
      <c r="J807" s="94"/>
      <c r="K807" s="94">
        <f>IFERROR(__xludf.DUMMYFUNCTION("""COMPUTED_VALUE"""),60.0)</f>
        <v>60</v>
      </c>
      <c r="L807" s="94">
        <f>IFERROR(__xludf.DUMMYFUNCTION("""COMPUTED_VALUE"""),50.0)</f>
        <v>50</v>
      </c>
      <c r="M807" s="94">
        <f>IFERROR(__xludf.DUMMYFUNCTION("""COMPUTED_VALUE"""),10.0)</f>
        <v>10</v>
      </c>
      <c r="N807" s="94"/>
      <c r="O807" s="1430">
        <f>IFERROR(__xludf.DUMMYFUNCTION("""COMPUTED_VALUE"""),10.0)</f>
        <v>10</v>
      </c>
      <c r="P807" s="1431">
        <f>IFERROR(__xludf.DUMMYFUNCTION("""COMPUTED_VALUE"""),2.69)</f>
        <v>2.69</v>
      </c>
      <c r="Q807" s="1432">
        <f>IFERROR(__xludf.DUMMYFUNCTION("""COMPUTED_VALUE"""),903.84)</f>
        <v>903.84</v>
      </c>
    </row>
    <row r="808" ht="15.75" customHeight="1">
      <c r="A808" s="94"/>
      <c r="B808" s="94" t="str">
        <f>IFERROR(__xludf.DUMMYFUNCTION("""COMPUTED_VALUE"""),"WS E1405")</f>
        <v>WS E1405</v>
      </c>
      <c r="C808" s="1429" t="str">
        <f>IFERROR(__xludf.DUMMYFUNCTION("""COMPUTED_VALUE"""),"WS")</f>
        <v>WS</v>
      </c>
      <c r="D808" s="1432">
        <f>IFERROR(__xludf.DUMMYFUNCTION("""COMPUTED_VALUE"""),8.0)</f>
        <v>8</v>
      </c>
      <c r="E808" s="1429">
        <f>IFERROR(__xludf.DUMMYFUNCTION("""COMPUTED_VALUE"""),45533.0)</f>
        <v>45533</v>
      </c>
      <c r="F808" s="1429">
        <f>IFERROR(__xludf.DUMMYFUNCTION("""COMPUTED_VALUE"""),45536.0)</f>
        <v>45536</v>
      </c>
      <c r="G808" s="1164">
        <f>IFERROR(__xludf.DUMMYFUNCTION("""COMPUTED_VALUE"""),3.0)</f>
        <v>3</v>
      </c>
      <c r="H808" s="1430">
        <f>IFERROR(__xludf.DUMMYFUNCTION("""COMPUTED_VALUE"""),115.0)</f>
        <v>115</v>
      </c>
      <c r="I808" s="94">
        <f>IFERROR(__xludf.DUMMYFUNCTION("""COMPUTED_VALUE"""),0.0)</f>
        <v>0</v>
      </c>
      <c r="J808" s="94"/>
      <c r="K808" s="94">
        <f>IFERROR(__xludf.DUMMYFUNCTION("""COMPUTED_VALUE"""),60.0)</f>
        <v>60</v>
      </c>
      <c r="L808" s="94">
        <f>IFERROR(__xludf.DUMMYFUNCTION("""COMPUTED_VALUE"""),40.0)</f>
        <v>40</v>
      </c>
      <c r="M808" s="94">
        <f>IFERROR(__xludf.DUMMYFUNCTION("""COMPUTED_VALUE"""),20.0)</f>
        <v>20</v>
      </c>
      <c r="N808" s="94"/>
      <c r="O808" s="1430">
        <f>IFERROR(__xludf.DUMMYFUNCTION("""COMPUTED_VALUE"""),20.0)</f>
        <v>20</v>
      </c>
      <c r="P808" s="1431">
        <f>IFERROR(__xludf.DUMMYFUNCTION("""COMPUTED_VALUE"""),2.69)</f>
        <v>2.69</v>
      </c>
      <c r="Q808" s="1432">
        <f>IFERROR(__xludf.DUMMYFUNCTION("""COMPUTED_VALUE"""),309.34999999999997)</f>
        <v>309.35</v>
      </c>
    </row>
    <row r="809" ht="15.75" customHeight="1">
      <c r="A809" s="94"/>
      <c r="B809" s="94" t="str">
        <f>IFERROR(__xludf.DUMMYFUNCTION("""COMPUTED_VALUE"""),"DL14-518")</f>
        <v>DL14-518</v>
      </c>
      <c r="C809" s="1429" t="str">
        <f>IFERROR(__xludf.DUMMYFUNCTION("""COMPUTED_VALUE"""),"DL")</f>
        <v>DL</v>
      </c>
      <c r="D809" s="1432">
        <f>IFERROR(__xludf.DUMMYFUNCTION("""COMPUTED_VALUE"""),8.0)</f>
        <v>8</v>
      </c>
      <c r="E809" s="1429">
        <f>IFERROR(__xludf.DUMMYFUNCTION("""COMPUTED_VALUE"""),45533.0)</f>
        <v>45533</v>
      </c>
      <c r="F809" s="1429">
        <f>IFERROR(__xludf.DUMMYFUNCTION("""COMPUTED_VALUE"""),45537.0)</f>
        <v>45537</v>
      </c>
      <c r="G809" s="1164">
        <f>IFERROR(__xludf.DUMMYFUNCTION("""COMPUTED_VALUE"""),4.0)</f>
        <v>4</v>
      </c>
      <c r="H809" s="1430">
        <f>IFERROR(__xludf.DUMMYFUNCTION("""COMPUTED_VALUE"""),350.0)</f>
        <v>350</v>
      </c>
      <c r="I809" s="94">
        <f>IFERROR(__xludf.DUMMYFUNCTION("""COMPUTED_VALUE"""),0.0)</f>
        <v>0</v>
      </c>
      <c r="J809" s="94"/>
      <c r="K809" s="94">
        <f>IFERROR(__xludf.DUMMYFUNCTION("""COMPUTED_VALUE"""),105.0)</f>
        <v>105</v>
      </c>
      <c r="L809" s="94">
        <f>IFERROR(__xludf.DUMMYFUNCTION("""COMPUTED_VALUE"""),105.0)</f>
        <v>105</v>
      </c>
      <c r="M809" s="94">
        <f>IFERROR(__xludf.DUMMYFUNCTION("""COMPUTED_VALUE"""),0.0)</f>
        <v>0</v>
      </c>
      <c r="N809" s="94"/>
      <c r="O809" s="1430">
        <f>IFERROR(__xludf.DUMMYFUNCTION("""COMPUTED_VALUE"""),0.0)</f>
        <v>0</v>
      </c>
      <c r="P809" s="1431">
        <f>IFERROR(__xludf.DUMMYFUNCTION("""COMPUTED_VALUE"""),2.69)</f>
        <v>2.69</v>
      </c>
      <c r="Q809" s="1432">
        <f>IFERROR(__xludf.DUMMYFUNCTION("""COMPUTED_VALUE"""),941.5)</f>
        <v>941.5</v>
      </c>
    </row>
    <row r="810" ht="15.75" customHeight="1">
      <c r="A810" s="94"/>
      <c r="B810" s="94" t="str">
        <f>IFERROR(__xludf.DUMMYFUNCTION("""COMPUTED_VALUE"""),"14-411")</f>
        <v>14-411</v>
      </c>
      <c r="C810" s="1429" t="str">
        <f>IFERROR(__xludf.DUMMYFUNCTION("""COMPUTED_VALUE"""),"DL")</f>
        <v>DL</v>
      </c>
      <c r="D810" s="1432">
        <f>IFERROR(__xludf.DUMMYFUNCTION("""COMPUTED_VALUE"""),8.0)</f>
        <v>8</v>
      </c>
      <c r="E810" s="1429">
        <f>IFERROR(__xludf.DUMMYFUNCTION("""COMPUTED_VALUE"""),45533.0)</f>
        <v>45533</v>
      </c>
      <c r="F810" s="1429">
        <f>IFERROR(__xludf.DUMMYFUNCTION("""COMPUTED_VALUE"""),45536.0)</f>
        <v>45536</v>
      </c>
      <c r="G810" s="1164">
        <f>IFERROR(__xludf.DUMMYFUNCTION("""COMPUTED_VALUE"""),3.0)</f>
        <v>3</v>
      </c>
      <c r="H810" s="94"/>
      <c r="I810" s="94">
        <f>IFERROR(__xludf.DUMMYFUNCTION("""COMPUTED_VALUE"""),700.0)</f>
        <v>700</v>
      </c>
      <c r="J810" s="94"/>
      <c r="K810" s="94">
        <f>IFERROR(__xludf.DUMMYFUNCTION("""COMPUTED_VALUE"""),95.0)</f>
        <v>95</v>
      </c>
      <c r="L810" s="94">
        <f>IFERROR(__xludf.DUMMYFUNCTION("""COMPUTED_VALUE"""),95.0)</f>
        <v>95</v>
      </c>
      <c r="M810" s="94">
        <f>IFERROR(__xludf.DUMMYFUNCTION("""COMPUTED_VALUE"""),0.0)</f>
        <v>0</v>
      </c>
      <c r="N810" s="94"/>
      <c r="O810" s="1430">
        <f>IFERROR(__xludf.DUMMYFUNCTION("""COMPUTED_VALUE"""),0.0)</f>
        <v>0</v>
      </c>
      <c r="P810" s="1431">
        <f>IFERROR(__xludf.DUMMYFUNCTION("""COMPUTED_VALUE"""),2.69)</f>
        <v>2.69</v>
      </c>
      <c r="Q810" s="1432">
        <f>IFERROR(__xludf.DUMMYFUNCTION("""COMPUTED_VALUE"""),700.0)</f>
        <v>700</v>
      </c>
    </row>
    <row r="811" ht="15.75" customHeight="1">
      <c r="A811" s="94"/>
      <c r="B811" s="94" t="str">
        <f>IFERROR(__xludf.DUMMYFUNCTION("""COMPUTED_VALUE"""),"WS Е804")</f>
        <v>WS Е804</v>
      </c>
      <c r="C811" s="1429" t="str">
        <f>IFERROR(__xludf.DUMMYFUNCTION("""COMPUTED_VALUE"""),"WS")</f>
        <v>WS</v>
      </c>
      <c r="D811" s="1432">
        <f>IFERROR(__xludf.DUMMYFUNCTION("""COMPUTED_VALUE"""),8.0)</f>
        <v>8</v>
      </c>
      <c r="E811" s="1429">
        <f>IFERROR(__xludf.DUMMYFUNCTION("""COMPUTED_VALUE"""),45534.0)</f>
        <v>45534</v>
      </c>
      <c r="F811" s="1429">
        <f>IFERROR(__xludf.DUMMYFUNCTION("""COMPUTED_VALUE"""),45539.0)</f>
        <v>45539</v>
      </c>
      <c r="G811" s="1164">
        <f>IFERROR(__xludf.DUMMYFUNCTION("""COMPUTED_VALUE"""),5.0)</f>
        <v>5</v>
      </c>
      <c r="H811" s="1430">
        <f>IFERROR(__xludf.DUMMYFUNCTION("""COMPUTED_VALUE"""),273.0)</f>
        <v>273</v>
      </c>
      <c r="I811" s="94">
        <f>IFERROR(__xludf.DUMMYFUNCTION("""COMPUTED_VALUE"""),0.0)</f>
        <v>0</v>
      </c>
      <c r="J811" s="94"/>
      <c r="K811" s="94">
        <f>IFERROR(__xludf.DUMMYFUNCTION("""COMPUTED_VALUE"""),60.0)</f>
        <v>60</v>
      </c>
      <c r="L811" s="94">
        <f>IFERROR(__xludf.DUMMYFUNCTION("""COMPUTED_VALUE"""),40.0)</f>
        <v>40</v>
      </c>
      <c r="M811" s="94">
        <f>IFERROR(__xludf.DUMMYFUNCTION("""COMPUTED_VALUE"""),20.0)</f>
        <v>20</v>
      </c>
      <c r="N811" s="94"/>
      <c r="O811" s="1430">
        <f>IFERROR(__xludf.DUMMYFUNCTION("""COMPUTED_VALUE"""),20.0)</f>
        <v>20</v>
      </c>
      <c r="P811" s="1431">
        <f>IFERROR(__xludf.DUMMYFUNCTION("""COMPUTED_VALUE"""),2.69)</f>
        <v>2.69</v>
      </c>
      <c r="Q811" s="1432">
        <f>IFERROR(__xludf.DUMMYFUNCTION("""COMPUTED_VALUE"""),734.37)</f>
        <v>734.37</v>
      </c>
    </row>
    <row r="812" ht="15.75" customHeight="1">
      <c r="A812" s="94"/>
      <c r="B812" s="94" t="str">
        <f>IFERROR(__xludf.DUMMYFUNCTION("""COMPUTED_VALUE"""),"WS E704")</f>
        <v>WS E704</v>
      </c>
      <c r="C812" s="1429" t="str">
        <f>IFERROR(__xludf.DUMMYFUNCTION("""COMPUTED_VALUE"""),"WS")</f>
        <v>WS</v>
      </c>
      <c r="D812" s="1432">
        <f>IFERROR(__xludf.DUMMYFUNCTION("""COMPUTED_VALUE"""),8.0)</f>
        <v>8</v>
      </c>
      <c r="E812" s="1429">
        <f>IFERROR(__xludf.DUMMYFUNCTION("""COMPUTED_VALUE"""),45534.0)</f>
        <v>45534</v>
      </c>
      <c r="F812" s="1429">
        <f>IFERROR(__xludf.DUMMYFUNCTION("""COMPUTED_VALUE"""),45541.0)</f>
        <v>45541</v>
      </c>
      <c r="G812" s="1164">
        <f>IFERROR(__xludf.DUMMYFUNCTION("""COMPUTED_VALUE"""),7.0)</f>
        <v>7</v>
      </c>
      <c r="H812" s="94"/>
      <c r="I812" s="94">
        <f>IFERROR(__xludf.DUMMYFUNCTION("""COMPUTED_VALUE"""),1443.0)</f>
        <v>1443</v>
      </c>
      <c r="J812" s="94"/>
      <c r="K812" s="94">
        <f>IFERROR(__xludf.DUMMYFUNCTION("""COMPUTED_VALUE"""),60.0)</f>
        <v>60</v>
      </c>
      <c r="L812" s="94">
        <f>IFERROR(__xludf.DUMMYFUNCTION("""COMPUTED_VALUE"""),40.0)</f>
        <v>40</v>
      </c>
      <c r="M812" s="94">
        <f>IFERROR(__xludf.DUMMYFUNCTION("""COMPUTED_VALUE"""),20.0)</f>
        <v>20</v>
      </c>
      <c r="N812" s="94"/>
      <c r="O812" s="1430">
        <f>IFERROR(__xludf.DUMMYFUNCTION("""COMPUTED_VALUE"""),20.0)</f>
        <v>20</v>
      </c>
      <c r="P812" s="1431">
        <f>IFERROR(__xludf.DUMMYFUNCTION("""COMPUTED_VALUE"""),2.69)</f>
        <v>2.69</v>
      </c>
      <c r="Q812" s="1432">
        <f>IFERROR(__xludf.DUMMYFUNCTION("""COMPUTED_VALUE"""),1443.0)</f>
        <v>1443</v>
      </c>
    </row>
    <row r="813" ht="15.75" customHeight="1">
      <c r="A813" s="94"/>
      <c r="B813" s="94" t="str">
        <f>IFERROR(__xludf.DUMMYFUNCTION("""COMPUTED_VALUE"""),"WS E 1202")</f>
        <v>WS E 1202</v>
      </c>
      <c r="C813" s="1429" t="str">
        <f>IFERROR(__xludf.DUMMYFUNCTION("""COMPUTED_VALUE"""),"WS")</f>
        <v>WS</v>
      </c>
      <c r="D813" s="1432">
        <f>IFERROR(__xludf.DUMMYFUNCTION("""COMPUTED_VALUE"""),8.0)</f>
        <v>8</v>
      </c>
      <c r="E813" s="1429">
        <f>IFERROR(__xludf.DUMMYFUNCTION("""COMPUTED_VALUE"""),45534.0)</f>
        <v>45534</v>
      </c>
      <c r="F813" s="1429">
        <f>IFERROR(__xludf.DUMMYFUNCTION("""COMPUTED_VALUE"""),45541.0)</f>
        <v>45541</v>
      </c>
      <c r="G813" s="1164">
        <f>IFERROR(__xludf.DUMMYFUNCTION("""COMPUTED_VALUE"""),7.0)</f>
        <v>7</v>
      </c>
      <c r="H813" s="1430">
        <f>IFERROR(__xludf.DUMMYFUNCTION("""COMPUTED_VALUE"""),670.0)</f>
        <v>670</v>
      </c>
      <c r="I813" s="94">
        <f>IFERROR(__xludf.DUMMYFUNCTION("""COMPUTED_VALUE"""),0.0)</f>
        <v>0</v>
      </c>
      <c r="J813" s="94"/>
      <c r="K813" s="94">
        <f>IFERROR(__xludf.DUMMYFUNCTION("""COMPUTED_VALUE"""),70.0)</f>
        <v>70</v>
      </c>
      <c r="L813" s="94">
        <f>IFERROR(__xludf.DUMMYFUNCTION("""COMPUTED_VALUE"""),40.0)</f>
        <v>40</v>
      </c>
      <c r="M813" s="94">
        <f>IFERROR(__xludf.DUMMYFUNCTION("""COMPUTED_VALUE"""),30.0)</f>
        <v>30</v>
      </c>
      <c r="N813" s="94"/>
      <c r="O813" s="1430">
        <f>IFERROR(__xludf.DUMMYFUNCTION("""COMPUTED_VALUE"""),30.0)</f>
        <v>30</v>
      </c>
      <c r="P813" s="1431">
        <f>IFERROR(__xludf.DUMMYFUNCTION("""COMPUTED_VALUE"""),2.69)</f>
        <v>2.69</v>
      </c>
      <c r="Q813" s="1432">
        <f>IFERROR(__xludf.DUMMYFUNCTION("""COMPUTED_VALUE"""),1802.3)</f>
        <v>1802.3</v>
      </c>
    </row>
    <row r="814" ht="15.75" customHeight="1">
      <c r="A814" s="94"/>
      <c r="B814" s="94" t="str">
        <f>IFERROR(__xludf.DUMMYFUNCTION("""COMPUTED_VALUE"""),"WS A907")</f>
        <v>WS A907</v>
      </c>
      <c r="C814" s="1429" t="str">
        <f>IFERROR(__xludf.DUMMYFUNCTION("""COMPUTED_VALUE"""),"WS")</f>
        <v>WS</v>
      </c>
      <c r="D814" s="1432">
        <f>IFERROR(__xludf.DUMMYFUNCTION("""COMPUTED_VALUE"""),8.0)</f>
        <v>8</v>
      </c>
      <c r="E814" s="1429">
        <f>IFERROR(__xludf.DUMMYFUNCTION("""COMPUTED_VALUE"""),45534.0)</f>
        <v>45534</v>
      </c>
      <c r="F814" s="1429">
        <f>IFERROR(__xludf.DUMMYFUNCTION("""COMPUTED_VALUE"""),45537.0)</f>
        <v>45537</v>
      </c>
      <c r="G814" s="1164">
        <f>IFERROR(__xludf.DUMMYFUNCTION("""COMPUTED_VALUE"""),3.0)</f>
        <v>3</v>
      </c>
      <c r="H814" s="1430">
        <f>IFERROR(__xludf.DUMMYFUNCTION("""COMPUTED_VALUE"""),215.0)</f>
        <v>215</v>
      </c>
      <c r="I814" s="94">
        <f>IFERROR(__xludf.DUMMYFUNCTION("""COMPUTED_VALUE"""),0.0)</f>
        <v>0</v>
      </c>
      <c r="J814" s="94"/>
      <c r="K814" s="94">
        <f>IFERROR(__xludf.DUMMYFUNCTION("""COMPUTED_VALUE"""),60.0)</f>
        <v>60</v>
      </c>
      <c r="L814" s="94">
        <f>IFERROR(__xludf.DUMMYFUNCTION("""COMPUTED_VALUE"""),40.0)</f>
        <v>40</v>
      </c>
      <c r="M814" s="94">
        <f>IFERROR(__xludf.DUMMYFUNCTION("""COMPUTED_VALUE"""),20.0)</f>
        <v>20</v>
      </c>
      <c r="N814" s="94"/>
      <c r="O814" s="1430">
        <f>IFERROR(__xludf.DUMMYFUNCTION("""COMPUTED_VALUE"""),20.0)</f>
        <v>20</v>
      </c>
      <c r="P814" s="1431">
        <f>IFERROR(__xludf.DUMMYFUNCTION("""COMPUTED_VALUE"""),2.69)</f>
        <v>2.69</v>
      </c>
      <c r="Q814" s="1432">
        <f>IFERROR(__xludf.DUMMYFUNCTION("""COMPUTED_VALUE"""),578.35)</f>
        <v>578.35</v>
      </c>
    </row>
    <row r="815" ht="15.75" customHeight="1">
      <c r="A815" s="94"/>
      <c r="B815" s="94" t="str">
        <f>IFERROR(__xludf.DUMMYFUNCTION("""COMPUTED_VALUE"""),"WS А 908")</f>
        <v>WS А 908</v>
      </c>
      <c r="C815" s="1429" t="str">
        <f>IFERROR(__xludf.DUMMYFUNCTION("""COMPUTED_VALUE"""),"WS")</f>
        <v>WS</v>
      </c>
      <c r="D815" s="1432">
        <f>IFERROR(__xludf.DUMMYFUNCTION("""COMPUTED_VALUE"""),8.0)</f>
        <v>8</v>
      </c>
      <c r="E815" s="1429">
        <f>IFERROR(__xludf.DUMMYFUNCTION("""COMPUTED_VALUE"""),45534.0)</f>
        <v>45534</v>
      </c>
      <c r="F815" s="1429">
        <f>IFERROR(__xludf.DUMMYFUNCTION("""COMPUTED_VALUE"""),45536.0)</f>
        <v>45536</v>
      </c>
      <c r="G815" s="1164">
        <f>IFERROR(__xludf.DUMMYFUNCTION("""COMPUTED_VALUE"""),2.0)</f>
        <v>2</v>
      </c>
      <c r="H815" s="94"/>
      <c r="I815" s="94">
        <f>IFERROR(__xludf.DUMMYFUNCTION("""COMPUTED_VALUE"""),415.0)</f>
        <v>415</v>
      </c>
      <c r="J815" s="94"/>
      <c r="K815" s="94">
        <f>IFERROR(__xludf.DUMMYFUNCTION("""COMPUTED_VALUE"""),60.0)</f>
        <v>60</v>
      </c>
      <c r="L815" s="94">
        <f>IFERROR(__xludf.DUMMYFUNCTION("""COMPUTED_VALUE"""),40.0)</f>
        <v>40</v>
      </c>
      <c r="M815" s="94">
        <f>IFERROR(__xludf.DUMMYFUNCTION("""COMPUTED_VALUE"""),20.0)</f>
        <v>20</v>
      </c>
      <c r="N815" s="94"/>
      <c r="O815" s="1430">
        <f>IFERROR(__xludf.DUMMYFUNCTION("""COMPUTED_VALUE"""),20.0)</f>
        <v>20</v>
      </c>
      <c r="P815" s="1431">
        <f>IFERROR(__xludf.DUMMYFUNCTION("""COMPUTED_VALUE"""),2.69)</f>
        <v>2.69</v>
      </c>
      <c r="Q815" s="1432">
        <f>IFERROR(__xludf.DUMMYFUNCTION("""COMPUTED_VALUE"""),415.0)</f>
        <v>415</v>
      </c>
    </row>
    <row r="816" ht="15.75" customHeight="1">
      <c r="A816" s="94"/>
      <c r="B816" s="94" t="str">
        <f>IFERROR(__xludf.DUMMYFUNCTION("""COMPUTED_VALUE"""),"WS F 907")</f>
        <v>WS F 907</v>
      </c>
      <c r="C816" s="1429" t="str">
        <f>IFERROR(__xludf.DUMMYFUNCTION("""COMPUTED_VALUE"""),"WS")</f>
        <v>WS</v>
      </c>
      <c r="D816" s="1432">
        <f>IFERROR(__xludf.DUMMYFUNCTION("""COMPUTED_VALUE"""),8.0)</f>
        <v>8</v>
      </c>
      <c r="E816" s="1429">
        <f>IFERROR(__xludf.DUMMYFUNCTION("""COMPUTED_VALUE"""),45534.0)</f>
        <v>45534</v>
      </c>
      <c r="F816" s="1429">
        <f>IFERROR(__xludf.DUMMYFUNCTION("""COMPUTED_VALUE"""),45536.0)</f>
        <v>45536</v>
      </c>
      <c r="G816" s="1164">
        <f>IFERROR(__xludf.DUMMYFUNCTION("""COMPUTED_VALUE"""),2.0)</f>
        <v>2</v>
      </c>
      <c r="H816" s="94"/>
      <c r="I816" s="94">
        <f>IFERROR(__xludf.DUMMYFUNCTION("""COMPUTED_VALUE"""),415.0)</f>
        <v>415</v>
      </c>
      <c r="J816" s="94"/>
      <c r="K816" s="94">
        <f>IFERROR(__xludf.DUMMYFUNCTION("""COMPUTED_VALUE"""),60.0)</f>
        <v>60</v>
      </c>
      <c r="L816" s="94">
        <f>IFERROR(__xludf.DUMMYFUNCTION("""COMPUTED_VALUE"""),40.0)</f>
        <v>40</v>
      </c>
      <c r="M816" s="94">
        <f>IFERROR(__xludf.DUMMYFUNCTION("""COMPUTED_VALUE"""),20.0)</f>
        <v>20</v>
      </c>
      <c r="N816" s="94"/>
      <c r="O816" s="1430">
        <f>IFERROR(__xludf.DUMMYFUNCTION("""COMPUTED_VALUE"""),20.0)</f>
        <v>20</v>
      </c>
      <c r="P816" s="1431">
        <f>IFERROR(__xludf.DUMMYFUNCTION("""COMPUTED_VALUE"""),2.69)</f>
        <v>2.69</v>
      </c>
      <c r="Q816" s="1432">
        <f>IFERROR(__xludf.DUMMYFUNCTION("""COMPUTED_VALUE"""),415.0)</f>
        <v>415</v>
      </c>
    </row>
    <row r="817" ht="15.75" customHeight="1">
      <c r="A817" s="94"/>
      <c r="B817" s="94" t="str">
        <f>IFERROR(__xludf.DUMMYFUNCTION("""COMPUTED_VALUE"""),"Steps 510")</f>
        <v>Steps 510</v>
      </c>
      <c r="C817" s="1429" t="str">
        <f>IFERROR(__xludf.DUMMYFUNCTION("""COMPUTED_VALUE"""),"#N/A")</f>
        <v>#N/A</v>
      </c>
      <c r="D817" s="1432">
        <f>IFERROR(__xludf.DUMMYFUNCTION("""COMPUTED_VALUE"""),8.0)</f>
        <v>8</v>
      </c>
      <c r="E817" s="1429">
        <f>IFERROR(__xludf.DUMMYFUNCTION("""COMPUTED_VALUE"""),45534.0)</f>
        <v>45534</v>
      </c>
      <c r="F817" s="1429">
        <f>IFERROR(__xludf.DUMMYFUNCTION("""COMPUTED_VALUE"""),45537.0)</f>
        <v>45537</v>
      </c>
      <c r="G817" s="1164">
        <f>IFERROR(__xludf.DUMMYFUNCTION("""COMPUTED_VALUE"""),3.0)</f>
        <v>3</v>
      </c>
      <c r="H817" s="1430">
        <f>IFERROR(__xludf.DUMMYFUNCTION("""COMPUTED_VALUE"""),114.0)</f>
        <v>114</v>
      </c>
      <c r="I817" s="94">
        <f>IFERROR(__xludf.DUMMYFUNCTION("""COMPUTED_VALUE"""),0.0)</f>
        <v>0</v>
      </c>
      <c r="J817" s="94"/>
      <c r="K817" s="94">
        <f>IFERROR(__xludf.DUMMYFUNCTION("""COMPUTED_VALUE"""),60.0)</f>
        <v>60</v>
      </c>
      <c r="L817" s="94">
        <f>IFERROR(__xludf.DUMMYFUNCTION("""COMPUTED_VALUE"""),40.0)</f>
        <v>40</v>
      </c>
      <c r="M817" s="94">
        <f>IFERROR(__xludf.DUMMYFUNCTION("""COMPUTED_VALUE"""),20.0)</f>
        <v>20</v>
      </c>
      <c r="N817" s="94"/>
      <c r="O817" s="1430">
        <f>IFERROR(__xludf.DUMMYFUNCTION("""COMPUTED_VALUE"""),20.0)</f>
        <v>20</v>
      </c>
      <c r="P817" s="1431">
        <f>IFERROR(__xludf.DUMMYFUNCTION("""COMPUTED_VALUE"""),2.69)</f>
        <v>2.69</v>
      </c>
      <c r="Q817" s="1432">
        <f>IFERROR(__xludf.DUMMYFUNCTION("""COMPUTED_VALUE"""),306.65999999999997)</f>
        <v>306.66</v>
      </c>
    </row>
    <row r="818" ht="15.75" customHeight="1">
      <c r="A818" s="94"/>
      <c r="B818" s="94" t="str">
        <f>IFERROR(__xludf.DUMMYFUNCTION("""COMPUTED_VALUE"""),"WS A 713")</f>
        <v>WS A 713</v>
      </c>
      <c r="C818" s="1429" t="str">
        <f>IFERROR(__xludf.DUMMYFUNCTION("""COMPUTED_VALUE"""),"WS")</f>
        <v>WS</v>
      </c>
      <c r="D818" s="1432">
        <f>IFERROR(__xludf.DUMMYFUNCTION("""COMPUTED_VALUE"""),8.0)</f>
        <v>8</v>
      </c>
      <c r="E818" s="1429">
        <f>IFERROR(__xludf.DUMMYFUNCTION("""COMPUTED_VALUE"""),45534.0)</f>
        <v>45534</v>
      </c>
      <c r="F818" s="1429">
        <f>IFERROR(__xludf.DUMMYFUNCTION("""COMPUTED_VALUE"""),45540.0)</f>
        <v>45540</v>
      </c>
      <c r="G818" s="1164">
        <f>IFERROR(__xludf.DUMMYFUNCTION("""COMPUTED_VALUE"""),6.0)</f>
        <v>6</v>
      </c>
      <c r="H818" s="1430">
        <f>IFERROR(__xludf.DUMMYFUNCTION("""COMPUTED_VALUE"""),230.0)</f>
        <v>230</v>
      </c>
      <c r="I818" s="94">
        <f>IFERROR(__xludf.DUMMYFUNCTION("""COMPUTED_VALUE"""),0.0)</f>
        <v>0</v>
      </c>
      <c r="J818" s="94"/>
      <c r="K818" s="94">
        <f>IFERROR(__xludf.DUMMYFUNCTION("""COMPUTED_VALUE"""),60.0)</f>
        <v>60</v>
      </c>
      <c r="L818" s="94">
        <f>IFERROR(__xludf.DUMMYFUNCTION("""COMPUTED_VALUE"""),40.0)</f>
        <v>40</v>
      </c>
      <c r="M818" s="94">
        <f>IFERROR(__xludf.DUMMYFUNCTION("""COMPUTED_VALUE"""),20.0)</f>
        <v>20</v>
      </c>
      <c r="N818" s="94"/>
      <c r="O818" s="1430">
        <f>IFERROR(__xludf.DUMMYFUNCTION("""COMPUTED_VALUE"""),20.0)</f>
        <v>20</v>
      </c>
      <c r="P818" s="1431">
        <f>IFERROR(__xludf.DUMMYFUNCTION("""COMPUTED_VALUE"""),2.69)</f>
        <v>2.69</v>
      </c>
      <c r="Q818" s="1432">
        <f>IFERROR(__xludf.DUMMYFUNCTION("""COMPUTED_VALUE"""),618.6999999999999)</f>
        <v>618.7</v>
      </c>
    </row>
    <row r="819" ht="15.75" customHeight="1">
      <c r="A819" s="94"/>
      <c r="B819" s="94" t="str">
        <f>IFERROR(__xludf.DUMMYFUNCTION("""COMPUTED_VALUE"""),"BV206")</f>
        <v>BV206</v>
      </c>
      <c r="C819" s="1429" t="str">
        <f>IFERROR(__xludf.DUMMYFUNCTION("""COMPUTED_VALUE"""),"Other")</f>
        <v>Other</v>
      </c>
      <c r="D819" s="1432">
        <f>IFERROR(__xludf.DUMMYFUNCTION("""COMPUTED_VALUE"""),8.0)</f>
        <v>8</v>
      </c>
      <c r="E819" s="1429">
        <f>IFERROR(__xludf.DUMMYFUNCTION("""COMPUTED_VALUE"""),45535.0)</f>
        <v>45535</v>
      </c>
      <c r="F819" s="1429">
        <f>IFERROR(__xludf.DUMMYFUNCTION("""COMPUTED_VALUE"""),45543.0)</f>
        <v>45543</v>
      </c>
      <c r="G819" s="1164">
        <f>IFERROR(__xludf.DUMMYFUNCTION("""COMPUTED_VALUE"""),8.0)</f>
        <v>8</v>
      </c>
      <c r="H819" s="1430">
        <f>IFERROR(__xludf.DUMMYFUNCTION("""COMPUTED_VALUE"""),516.0)</f>
        <v>516</v>
      </c>
      <c r="I819" s="94">
        <f>IFERROR(__xludf.DUMMYFUNCTION("""COMPUTED_VALUE"""),0.0)</f>
        <v>0</v>
      </c>
      <c r="J819" s="94"/>
      <c r="K819" s="94">
        <f>IFERROR(__xludf.DUMMYFUNCTION("""COMPUTED_VALUE"""),60.0)</f>
        <v>60</v>
      </c>
      <c r="L819" s="94">
        <f>IFERROR(__xludf.DUMMYFUNCTION("""COMPUTED_VALUE"""),40.0)</f>
        <v>40</v>
      </c>
      <c r="M819" s="94">
        <f>IFERROR(__xludf.DUMMYFUNCTION("""COMPUTED_VALUE"""),20.0)</f>
        <v>20</v>
      </c>
      <c r="N819" s="94"/>
      <c r="O819" s="1430">
        <f>IFERROR(__xludf.DUMMYFUNCTION("""COMPUTED_VALUE"""),20.0)</f>
        <v>20</v>
      </c>
      <c r="P819" s="1431">
        <f>IFERROR(__xludf.DUMMYFUNCTION("""COMPUTED_VALUE"""),2.69)</f>
        <v>2.69</v>
      </c>
      <c r="Q819" s="1432">
        <f>IFERROR(__xludf.DUMMYFUNCTION("""COMPUTED_VALUE"""),1388.04)</f>
        <v>1388.04</v>
      </c>
    </row>
    <row r="820" ht="15.75" customHeight="1">
      <c r="A820" s="94"/>
      <c r="B820" s="94" t="str">
        <f>IFERROR(__xludf.DUMMYFUNCTION("""COMPUTED_VALUE"""),"WS A 1312")</f>
        <v>WS A 1312</v>
      </c>
      <c r="C820" s="1429" t="str">
        <f>IFERROR(__xludf.DUMMYFUNCTION("""COMPUTED_VALUE"""),"WS")</f>
        <v>WS</v>
      </c>
      <c r="D820" s="1432">
        <f>IFERROR(__xludf.DUMMYFUNCTION("""COMPUTED_VALUE"""),8.0)</f>
        <v>8</v>
      </c>
      <c r="E820" s="1429">
        <f>IFERROR(__xludf.DUMMYFUNCTION("""COMPUTED_VALUE"""),45535.0)</f>
        <v>45535</v>
      </c>
      <c r="F820" s="1429">
        <f>IFERROR(__xludf.DUMMYFUNCTION("""COMPUTED_VALUE"""),45543.0)</f>
        <v>45543</v>
      </c>
      <c r="G820" s="1164">
        <f>IFERROR(__xludf.DUMMYFUNCTION("""COMPUTED_VALUE"""),8.0)</f>
        <v>8</v>
      </c>
      <c r="H820" s="1430">
        <f>IFERROR(__xludf.DUMMYFUNCTION("""COMPUTED_VALUE"""),505.0)</f>
        <v>505</v>
      </c>
      <c r="I820" s="94">
        <f>IFERROR(__xludf.DUMMYFUNCTION("""COMPUTED_VALUE"""),0.0)</f>
        <v>0</v>
      </c>
      <c r="J820" s="94"/>
      <c r="K820" s="94">
        <f>IFERROR(__xludf.DUMMYFUNCTION("""COMPUTED_VALUE"""),60.0)</f>
        <v>60</v>
      </c>
      <c r="L820" s="94">
        <f>IFERROR(__xludf.DUMMYFUNCTION("""COMPUTED_VALUE"""),40.0)</f>
        <v>40</v>
      </c>
      <c r="M820" s="94">
        <f>IFERROR(__xludf.DUMMYFUNCTION("""COMPUTED_VALUE"""),20.0)</f>
        <v>20</v>
      </c>
      <c r="N820" s="94"/>
      <c r="O820" s="1430">
        <f>IFERROR(__xludf.DUMMYFUNCTION("""COMPUTED_VALUE"""),20.0)</f>
        <v>20</v>
      </c>
      <c r="P820" s="1431">
        <f>IFERROR(__xludf.DUMMYFUNCTION("""COMPUTED_VALUE"""),2.69)</f>
        <v>2.69</v>
      </c>
      <c r="Q820" s="1432">
        <f>IFERROR(__xludf.DUMMYFUNCTION("""COMPUTED_VALUE"""),1358.45)</f>
        <v>1358.45</v>
      </c>
    </row>
    <row r="821" ht="15.75" customHeight="1">
      <c r="A821" s="94"/>
      <c r="B821" s="94" t="str">
        <f>IFERROR(__xludf.DUMMYFUNCTION("""COMPUTED_VALUE"""),"DL 4-09")</f>
        <v>DL 4-09</v>
      </c>
      <c r="C821" s="1429" t="str">
        <f>IFERROR(__xludf.DUMMYFUNCTION("""COMPUTED_VALUE"""),"DL")</f>
        <v>DL</v>
      </c>
      <c r="D821" s="1432">
        <f>IFERROR(__xludf.DUMMYFUNCTION("""COMPUTED_VALUE"""),8.0)</f>
        <v>8</v>
      </c>
      <c r="E821" s="1429">
        <f>IFERROR(__xludf.DUMMYFUNCTION("""COMPUTED_VALUE"""),45535.0)</f>
        <v>45535</v>
      </c>
      <c r="F821" s="1429">
        <f>IFERROR(__xludf.DUMMYFUNCTION("""COMPUTED_VALUE"""),45538.0)</f>
        <v>45538</v>
      </c>
      <c r="G821" s="1164">
        <f>IFERROR(__xludf.DUMMYFUNCTION("""COMPUTED_VALUE"""),3.0)</f>
        <v>3</v>
      </c>
      <c r="H821" s="94"/>
      <c r="I821" s="94">
        <f>IFERROR(__xludf.DUMMYFUNCTION("""COMPUTED_VALUE"""),917.0)</f>
        <v>917</v>
      </c>
      <c r="J821" s="94"/>
      <c r="K821" s="94">
        <f>IFERROR(__xludf.DUMMYFUNCTION("""COMPUTED_VALUE"""),95.0)</f>
        <v>95</v>
      </c>
      <c r="L821" s="94">
        <f>IFERROR(__xludf.DUMMYFUNCTION("""COMPUTED_VALUE"""),95.0)</f>
        <v>95</v>
      </c>
      <c r="M821" s="94">
        <f>IFERROR(__xludf.DUMMYFUNCTION("""COMPUTED_VALUE"""),0.0)</f>
        <v>0</v>
      </c>
      <c r="N821" s="94"/>
      <c r="O821" s="1430">
        <f>IFERROR(__xludf.DUMMYFUNCTION("""COMPUTED_VALUE"""),0.0)</f>
        <v>0</v>
      </c>
      <c r="P821" s="1431">
        <f>IFERROR(__xludf.DUMMYFUNCTION("""COMPUTED_VALUE"""),2.69)</f>
        <v>2.69</v>
      </c>
      <c r="Q821" s="1432">
        <f>IFERROR(__xludf.DUMMYFUNCTION("""COMPUTED_VALUE"""),917.0)</f>
        <v>917</v>
      </c>
    </row>
    <row r="822" ht="15.75" customHeight="1">
      <c r="A822" s="94"/>
      <c r="B822" s="94" t="str">
        <f>IFERROR(__xludf.DUMMYFUNCTION("""COMPUTED_VALUE"""),"DL 14-1214")</f>
        <v>DL 14-1214</v>
      </c>
      <c r="C822" s="1429" t="str">
        <f>IFERROR(__xludf.DUMMYFUNCTION("""COMPUTED_VALUE"""),"DL")</f>
        <v>DL</v>
      </c>
      <c r="D822" s="1432">
        <f>IFERROR(__xludf.DUMMYFUNCTION("""COMPUTED_VALUE"""),8.0)</f>
        <v>8</v>
      </c>
      <c r="E822" s="1429">
        <f>IFERROR(__xludf.DUMMYFUNCTION("""COMPUTED_VALUE"""),45535.0)</f>
        <v>45535</v>
      </c>
      <c r="F822" s="1429">
        <f>IFERROR(__xludf.DUMMYFUNCTION("""COMPUTED_VALUE"""),45537.0)</f>
        <v>45537</v>
      </c>
      <c r="G822" s="1164">
        <f>IFERROR(__xludf.DUMMYFUNCTION("""COMPUTED_VALUE"""),2.0)</f>
        <v>2</v>
      </c>
      <c r="H822" s="1430">
        <f>IFERROR(__xludf.DUMMYFUNCTION("""COMPUTED_VALUE"""),150.0)</f>
        <v>150</v>
      </c>
      <c r="I822" s="94">
        <f>IFERROR(__xludf.DUMMYFUNCTION("""COMPUTED_VALUE"""),0.0)</f>
        <v>0</v>
      </c>
      <c r="J822" s="94"/>
      <c r="K822" s="94">
        <f>IFERROR(__xludf.DUMMYFUNCTION("""COMPUTED_VALUE"""),95.0)</f>
        <v>95</v>
      </c>
      <c r="L822" s="94">
        <f>IFERROR(__xludf.DUMMYFUNCTION("""COMPUTED_VALUE"""),95.0)</f>
        <v>95</v>
      </c>
      <c r="M822" s="94">
        <f>IFERROR(__xludf.DUMMYFUNCTION("""COMPUTED_VALUE"""),0.0)</f>
        <v>0</v>
      </c>
      <c r="N822" s="94"/>
      <c r="O822" s="1430">
        <f>IFERROR(__xludf.DUMMYFUNCTION("""COMPUTED_VALUE"""),0.0)</f>
        <v>0</v>
      </c>
      <c r="P822" s="1431">
        <f>IFERROR(__xludf.DUMMYFUNCTION("""COMPUTED_VALUE"""),2.69)</f>
        <v>2.69</v>
      </c>
      <c r="Q822" s="1432">
        <f>IFERROR(__xludf.DUMMYFUNCTION("""COMPUTED_VALUE"""),403.5)</f>
        <v>403.5</v>
      </c>
    </row>
    <row r="823" ht="15.75" customHeight="1">
      <c r="A823" s="94"/>
      <c r="B823" s="94" t="str">
        <f>IFERROR(__xludf.DUMMYFUNCTION("""COMPUTED_VALUE"""),"DL14-1707")</f>
        <v>DL14-1707</v>
      </c>
      <c r="C823" s="1429" t="str">
        <f>IFERROR(__xludf.DUMMYFUNCTION("""COMPUTED_VALUE"""),"DL")</f>
        <v>DL</v>
      </c>
      <c r="D823" s="1432">
        <f>IFERROR(__xludf.DUMMYFUNCTION("""COMPUTED_VALUE"""),8.0)</f>
        <v>8</v>
      </c>
      <c r="E823" s="1429">
        <f>IFERROR(__xludf.DUMMYFUNCTION("""COMPUTED_VALUE"""),45535.0)</f>
        <v>45535</v>
      </c>
      <c r="F823" s="1429">
        <f>IFERROR(__xludf.DUMMYFUNCTION("""COMPUTED_VALUE"""),45538.0)</f>
        <v>45538</v>
      </c>
      <c r="G823" s="1164">
        <f>IFERROR(__xludf.DUMMYFUNCTION("""COMPUTED_VALUE"""),3.0)</f>
        <v>3</v>
      </c>
      <c r="H823" s="1430">
        <f>IFERROR(__xludf.DUMMYFUNCTION("""COMPUTED_VALUE"""),212.0)</f>
        <v>212</v>
      </c>
      <c r="I823" s="94">
        <f>IFERROR(__xludf.DUMMYFUNCTION("""COMPUTED_VALUE"""),0.0)</f>
        <v>0</v>
      </c>
      <c r="J823" s="94"/>
      <c r="K823" s="94">
        <f>IFERROR(__xludf.DUMMYFUNCTION("""COMPUTED_VALUE"""),95.0)</f>
        <v>95</v>
      </c>
      <c r="L823" s="94">
        <f>IFERROR(__xludf.DUMMYFUNCTION("""COMPUTED_VALUE"""),95.0)</f>
        <v>95</v>
      </c>
      <c r="M823" s="94">
        <f>IFERROR(__xludf.DUMMYFUNCTION("""COMPUTED_VALUE"""),0.0)</f>
        <v>0</v>
      </c>
      <c r="N823" s="94"/>
      <c r="O823" s="1430">
        <f>IFERROR(__xludf.DUMMYFUNCTION("""COMPUTED_VALUE"""),0.0)</f>
        <v>0</v>
      </c>
      <c r="P823" s="1431">
        <f>IFERROR(__xludf.DUMMYFUNCTION("""COMPUTED_VALUE"""),2.69)</f>
        <v>2.69</v>
      </c>
      <c r="Q823" s="1432">
        <f>IFERROR(__xludf.DUMMYFUNCTION("""COMPUTED_VALUE"""),570.28)</f>
        <v>570.28</v>
      </c>
    </row>
    <row r="824" ht="15.75" customHeight="1">
      <c r="A824" s="94"/>
      <c r="B824" s="94" t="str">
        <f>IFERROR(__xludf.DUMMYFUNCTION("""COMPUTED_VALUE"""),"DL 11-1112")</f>
        <v>DL 11-1112</v>
      </c>
      <c r="C824" s="1429" t="str">
        <f>IFERROR(__xludf.DUMMYFUNCTION("""COMPUTED_VALUE"""),"DL")</f>
        <v>DL</v>
      </c>
      <c r="D824" s="1432">
        <f>IFERROR(__xludf.DUMMYFUNCTION("""COMPUTED_VALUE"""),8.0)</f>
        <v>8</v>
      </c>
      <c r="E824" s="1429">
        <f>IFERROR(__xludf.DUMMYFUNCTION("""COMPUTED_VALUE"""),45535.0)</f>
        <v>45535</v>
      </c>
      <c r="F824" s="1429">
        <f>IFERROR(__xludf.DUMMYFUNCTION("""COMPUTED_VALUE"""),45542.0)</f>
        <v>45542</v>
      </c>
      <c r="G824" s="1164">
        <f>IFERROR(__xludf.DUMMYFUNCTION("""COMPUTED_VALUE"""),7.0)</f>
        <v>7</v>
      </c>
      <c r="H824" s="94"/>
      <c r="I824" s="94">
        <f>IFERROR(__xludf.DUMMYFUNCTION("""COMPUTED_VALUE"""),2536.0)</f>
        <v>2536</v>
      </c>
      <c r="J824" s="94"/>
      <c r="K824" s="94">
        <f>IFERROR(__xludf.DUMMYFUNCTION("""COMPUTED_VALUE"""),95.0)</f>
        <v>95</v>
      </c>
      <c r="L824" s="94">
        <f>IFERROR(__xludf.DUMMYFUNCTION("""COMPUTED_VALUE"""),95.0)</f>
        <v>95</v>
      </c>
      <c r="M824" s="94">
        <f>IFERROR(__xludf.DUMMYFUNCTION("""COMPUTED_VALUE"""),0.0)</f>
        <v>0</v>
      </c>
      <c r="N824" s="94"/>
      <c r="O824" s="1430">
        <f>IFERROR(__xludf.DUMMYFUNCTION("""COMPUTED_VALUE"""),0.0)</f>
        <v>0</v>
      </c>
      <c r="P824" s="1431">
        <f>IFERROR(__xludf.DUMMYFUNCTION("""COMPUTED_VALUE"""),2.69)</f>
        <v>2.69</v>
      </c>
      <c r="Q824" s="1432">
        <f>IFERROR(__xludf.DUMMYFUNCTION("""COMPUTED_VALUE"""),2536.0)</f>
        <v>2536</v>
      </c>
    </row>
    <row r="825" ht="15.75" customHeight="1">
      <c r="A825" s="94"/>
      <c r="B825" s="94" t="str">
        <f>IFERROR(__xludf.DUMMYFUNCTION("""COMPUTED_VALUE"""),"DL14-1405")</f>
        <v>DL14-1405</v>
      </c>
      <c r="C825" s="1429" t="str">
        <f>IFERROR(__xludf.DUMMYFUNCTION("""COMPUTED_VALUE"""),"DL")</f>
        <v>DL</v>
      </c>
      <c r="D825" s="1432">
        <f>IFERROR(__xludf.DUMMYFUNCTION("""COMPUTED_VALUE"""),8.0)</f>
        <v>8</v>
      </c>
      <c r="E825" s="1429">
        <f>IFERROR(__xludf.DUMMYFUNCTION("""COMPUTED_VALUE"""),45535.0)</f>
        <v>45535</v>
      </c>
      <c r="F825" s="1429">
        <f>IFERROR(__xludf.DUMMYFUNCTION("""COMPUTED_VALUE"""),45542.0)</f>
        <v>45542</v>
      </c>
      <c r="G825" s="1164">
        <f>IFERROR(__xludf.DUMMYFUNCTION("""COMPUTED_VALUE"""),7.0)</f>
        <v>7</v>
      </c>
      <c r="H825" s="94"/>
      <c r="I825" s="94">
        <f>IFERROR(__xludf.DUMMYFUNCTION("""COMPUTED_VALUE"""),2925.0)</f>
        <v>2925</v>
      </c>
      <c r="J825" s="94"/>
      <c r="K825" s="94">
        <f>IFERROR(__xludf.DUMMYFUNCTION("""COMPUTED_VALUE"""),105.0)</f>
        <v>105</v>
      </c>
      <c r="L825" s="94">
        <f>IFERROR(__xludf.DUMMYFUNCTION("""COMPUTED_VALUE"""),105.0)</f>
        <v>105</v>
      </c>
      <c r="M825" s="94">
        <f>IFERROR(__xludf.DUMMYFUNCTION("""COMPUTED_VALUE"""),0.0)</f>
        <v>0</v>
      </c>
      <c r="N825" s="94"/>
      <c r="O825" s="1430">
        <f>IFERROR(__xludf.DUMMYFUNCTION("""COMPUTED_VALUE"""),0.0)</f>
        <v>0</v>
      </c>
      <c r="P825" s="1431">
        <f>IFERROR(__xludf.DUMMYFUNCTION("""COMPUTED_VALUE"""),2.69)</f>
        <v>2.69</v>
      </c>
      <c r="Q825" s="1432">
        <f>IFERROR(__xludf.DUMMYFUNCTION("""COMPUTED_VALUE"""),2925.0)</f>
        <v>2925</v>
      </c>
    </row>
    <row r="826" ht="15.75" customHeight="1">
      <c r="A826" s="94"/>
      <c r="B826" s="94" t="str">
        <f>IFERROR(__xludf.DUMMYFUNCTION("""COMPUTED_VALUE"""),"Шар 2505")</f>
        <v>Шар 2505</v>
      </c>
      <c r="C826" s="1429" t="str">
        <f>IFERROR(__xludf.DUMMYFUNCTION("""COMPUTED_VALUE"""),"Other")</f>
        <v>Other</v>
      </c>
      <c r="D826" s="1432">
        <f>IFERROR(__xludf.DUMMYFUNCTION("""COMPUTED_VALUE"""),8.0)</f>
        <v>8</v>
      </c>
      <c r="E826" s="1429">
        <f>IFERROR(__xludf.DUMMYFUNCTION("""COMPUTED_VALUE"""),45535.0)</f>
        <v>45535</v>
      </c>
      <c r="F826" s="1429">
        <f>IFERROR(__xludf.DUMMYFUNCTION("""COMPUTED_VALUE"""),45542.0)</f>
        <v>45542</v>
      </c>
      <c r="G826" s="1164">
        <f>IFERROR(__xludf.DUMMYFUNCTION("""COMPUTED_VALUE"""),7.0)</f>
        <v>7</v>
      </c>
      <c r="H826" s="1430">
        <f>IFERROR(__xludf.DUMMYFUNCTION("""COMPUTED_VALUE"""),343.0)</f>
        <v>343</v>
      </c>
      <c r="I826" s="94">
        <f>IFERROR(__xludf.DUMMYFUNCTION("""COMPUTED_VALUE"""),0.0)</f>
        <v>0</v>
      </c>
      <c r="J826" s="94"/>
      <c r="K826" s="94">
        <f>IFERROR(__xludf.DUMMYFUNCTION("""COMPUTED_VALUE"""),60.0)</f>
        <v>60</v>
      </c>
      <c r="L826" s="94">
        <f>IFERROR(__xludf.DUMMYFUNCTION("""COMPUTED_VALUE"""),40.0)</f>
        <v>40</v>
      </c>
      <c r="M826" s="94">
        <f>IFERROR(__xludf.DUMMYFUNCTION("""COMPUTED_VALUE"""),20.0)</f>
        <v>20</v>
      </c>
      <c r="N826" s="94"/>
      <c r="O826" s="1430">
        <f>IFERROR(__xludf.DUMMYFUNCTION("""COMPUTED_VALUE"""),20.0)</f>
        <v>20</v>
      </c>
      <c r="P826" s="1431">
        <f>IFERROR(__xludf.DUMMYFUNCTION("""COMPUTED_VALUE"""),2.69)</f>
        <v>2.69</v>
      </c>
      <c r="Q826" s="1432">
        <f>IFERROR(__xludf.DUMMYFUNCTION("""COMPUTED_VALUE"""),922.67)</f>
        <v>922.67</v>
      </c>
    </row>
    <row r="827" ht="15.75" customHeight="1">
      <c r="A827" s="94"/>
      <c r="B827" s="94" t="str">
        <f>IFERROR(__xludf.DUMMYFUNCTION("""COMPUTED_VALUE"""),"Горизонт 2705")</f>
        <v>Горизонт 2705</v>
      </c>
      <c r="C827" s="1429" t="str">
        <f>IFERROR(__xludf.DUMMYFUNCTION("""COMPUTED_VALUE"""),"Other")</f>
        <v>Other</v>
      </c>
      <c r="D827" s="1432">
        <f>IFERROR(__xludf.DUMMYFUNCTION("""COMPUTED_VALUE"""),9.0)</f>
        <v>9</v>
      </c>
      <c r="E827" s="1429">
        <f>IFERROR(__xludf.DUMMYFUNCTION("""COMPUTED_VALUE"""),45536.0)</f>
        <v>45536</v>
      </c>
      <c r="F827" s="1429">
        <f>IFERROR(__xludf.DUMMYFUNCTION("""COMPUTED_VALUE"""),45537.0)</f>
        <v>45537</v>
      </c>
      <c r="G827" s="1164">
        <f>IFERROR(__xludf.DUMMYFUNCTION("""COMPUTED_VALUE"""),1.0)</f>
        <v>1</v>
      </c>
      <c r="H827" s="1430">
        <f>IFERROR(__xludf.DUMMYFUNCTION("""COMPUTED_VALUE"""),12.0)</f>
        <v>12</v>
      </c>
      <c r="I827" s="94">
        <f>IFERROR(__xludf.DUMMYFUNCTION("""COMPUTED_VALUE"""),0.0)</f>
        <v>0</v>
      </c>
      <c r="J827" s="94"/>
      <c r="K827" s="94">
        <f>IFERROR(__xludf.DUMMYFUNCTION("""COMPUTED_VALUE"""),60.0)</f>
        <v>60</v>
      </c>
      <c r="L827" s="94">
        <f>IFERROR(__xludf.DUMMYFUNCTION("""COMPUTED_VALUE"""),40.0)</f>
        <v>40</v>
      </c>
      <c r="M827" s="94">
        <f>IFERROR(__xludf.DUMMYFUNCTION("""COMPUTED_VALUE"""),20.0)</f>
        <v>20</v>
      </c>
      <c r="N827" s="94"/>
      <c r="O827" s="1430">
        <f>IFERROR(__xludf.DUMMYFUNCTION("""COMPUTED_VALUE"""),20.0)</f>
        <v>20</v>
      </c>
      <c r="P827" s="1431">
        <f>IFERROR(__xludf.DUMMYFUNCTION("""COMPUTED_VALUE"""),2.69)</f>
        <v>2.69</v>
      </c>
      <c r="Q827" s="1432">
        <f>IFERROR(__xludf.DUMMYFUNCTION("""COMPUTED_VALUE"""),32.28)</f>
        <v>32.28</v>
      </c>
    </row>
    <row r="828" ht="15.75" customHeight="1">
      <c r="A828" s="94"/>
      <c r="B828" s="94" t="str">
        <f>IFERROR(__xludf.DUMMYFUNCTION("""COMPUTED_VALUE"""),"CM 1606")</f>
        <v>CM 1606</v>
      </c>
      <c r="C828" s="1429" t="str">
        <f>IFERROR(__xludf.DUMMYFUNCTION("""COMPUTED_VALUE"""),"MAR")</f>
        <v>MAR</v>
      </c>
      <c r="D828" s="1432">
        <f>IFERROR(__xludf.DUMMYFUNCTION("""COMPUTED_VALUE"""),9.0)</f>
        <v>9</v>
      </c>
      <c r="E828" s="1429">
        <f>IFERROR(__xludf.DUMMYFUNCTION("""COMPUTED_VALUE"""),45536.0)</f>
        <v>45536</v>
      </c>
      <c r="F828" s="1429">
        <f>IFERROR(__xludf.DUMMYFUNCTION("""COMPUTED_VALUE"""),45539.0)</f>
        <v>45539</v>
      </c>
      <c r="G828" s="1164">
        <f>IFERROR(__xludf.DUMMYFUNCTION("""COMPUTED_VALUE"""),3.0)</f>
        <v>3</v>
      </c>
      <c r="H828" s="1430">
        <f>IFERROR(__xludf.DUMMYFUNCTION("""COMPUTED_VALUE"""),142.0)</f>
        <v>142</v>
      </c>
      <c r="I828" s="94">
        <f>IFERROR(__xludf.DUMMYFUNCTION("""COMPUTED_VALUE"""),0.0)</f>
        <v>0</v>
      </c>
      <c r="J828" s="94"/>
      <c r="K828" s="94">
        <f>IFERROR(__xludf.DUMMYFUNCTION("""COMPUTED_VALUE"""),60.0)</f>
        <v>60</v>
      </c>
      <c r="L828" s="94">
        <f>IFERROR(__xludf.DUMMYFUNCTION("""COMPUTED_VALUE"""),40.0)</f>
        <v>40</v>
      </c>
      <c r="M828" s="94">
        <f>IFERROR(__xludf.DUMMYFUNCTION("""COMPUTED_VALUE"""),20.0)</f>
        <v>20</v>
      </c>
      <c r="N828" s="94"/>
      <c r="O828" s="1430">
        <f>IFERROR(__xludf.DUMMYFUNCTION("""COMPUTED_VALUE"""),20.0)</f>
        <v>20</v>
      </c>
      <c r="P828" s="1431">
        <f>IFERROR(__xludf.DUMMYFUNCTION("""COMPUTED_VALUE"""),2.69)</f>
        <v>2.69</v>
      </c>
      <c r="Q828" s="1432">
        <f>IFERROR(__xludf.DUMMYFUNCTION("""COMPUTED_VALUE"""),381.98)</f>
        <v>381.98</v>
      </c>
    </row>
    <row r="829" ht="15.75" customHeight="1">
      <c r="A829" s="94"/>
      <c r="B829" s="94" t="str">
        <f>IFERROR(__xludf.DUMMYFUNCTION("""COMPUTED_VALUE"""),"WS В 212")</f>
        <v>WS В 212</v>
      </c>
      <c r="C829" s="1429" t="str">
        <f>IFERROR(__xludf.DUMMYFUNCTION("""COMPUTED_VALUE"""),"WS")</f>
        <v>WS</v>
      </c>
      <c r="D829" s="1432">
        <f>IFERROR(__xludf.DUMMYFUNCTION("""COMPUTED_VALUE"""),9.0)</f>
        <v>9</v>
      </c>
      <c r="E829" s="1429">
        <f>IFERROR(__xludf.DUMMYFUNCTION("""COMPUTED_VALUE"""),45536.0)</f>
        <v>45536</v>
      </c>
      <c r="F829" s="1429">
        <f>IFERROR(__xludf.DUMMYFUNCTION("""COMPUTED_VALUE"""),45540.0)</f>
        <v>45540</v>
      </c>
      <c r="G829" s="1164">
        <f>IFERROR(__xludf.DUMMYFUNCTION("""COMPUTED_VALUE"""),4.0)</f>
        <v>4</v>
      </c>
      <c r="H829" s="1430">
        <f>IFERROR(__xludf.DUMMYFUNCTION("""COMPUTED_VALUE"""),441.0)</f>
        <v>441</v>
      </c>
      <c r="I829" s="94">
        <f>IFERROR(__xludf.DUMMYFUNCTION("""COMPUTED_VALUE"""),0.0)</f>
        <v>0</v>
      </c>
      <c r="J829" s="94"/>
      <c r="K829" s="94">
        <f>IFERROR(__xludf.DUMMYFUNCTION("""COMPUTED_VALUE"""),70.0)</f>
        <v>70</v>
      </c>
      <c r="L829" s="94">
        <f>IFERROR(__xludf.DUMMYFUNCTION("""COMPUTED_VALUE"""),40.0)</f>
        <v>40</v>
      </c>
      <c r="M829" s="94">
        <f>IFERROR(__xludf.DUMMYFUNCTION("""COMPUTED_VALUE"""),30.0)</f>
        <v>30</v>
      </c>
      <c r="N829" s="94"/>
      <c r="O829" s="1430">
        <f>IFERROR(__xludf.DUMMYFUNCTION("""COMPUTED_VALUE"""),30.0)</f>
        <v>30</v>
      </c>
      <c r="P829" s="1431">
        <f>IFERROR(__xludf.DUMMYFUNCTION("""COMPUTED_VALUE"""),2.69)</f>
        <v>2.69</v>
      </c>
      <c r="Q829" s="1432">
        <f>IFERROR(__xludf.DUMMYFUNCTION("""COMPUTED_VALUE"""),1186.29)</f>
        <v>1186.29</v>
      </c>
    </row>
    <row r="830" ht="15.75" customHeight="1">
      <c r="A830" s="94"/>
      <c r="B830" s="94" t="str">
        <f>IFERROR(__xludf.DUMMYFUNCTION("""COMPUTED_VALUE"""),"DL 14-702")</f>
        <v>DL 14-702</v>
      </c>
      <c r="C830" s="1429" t="str">
        <f>IFERROR(__xludf.DUMMYFUNCTION("""COMPUTED_VALUE"""),"DL")</f>
        <v>DL</v>
      </c>
      <c r="D830" s="1432">
        <f>IFERROR(__xludf.DUMMYFUNCTION("""COMPUTED_VALUE"""),9.0)</f>
        <v>9</v>
      </c>
      <c r="E830" s="1429">
        <f>IFERROR(__xludf.DUMMYFUNCTION("""COMPUTED_VALUE"""),45536.0)</f>
        <v>45536</v>
      </c>
      <c r="F830" s="1429">
        <f>IFERROR(__xludf.DUMMYFUNCTION("""COMPUTED_VALUE"""),45538.0)</f>
        <v>45538</v>
      </c>
      <c r="G830" s="1164">
        <f>IFERROR(__xludf.DUMMYFUNCTION("""COMPUTED_VALUE"""),2.0)</f>
        <v>2</v>
      </c>
      <c r="H830" s="94"/>
      <c r="I830" s="94">
        <f>IFERROR(__xludf.DUMMYFUNCTION("""COMPUTED_VALUE"""),724.0)</f>
        <v>724</v>
      </c>
      <c r="J830" s="94"/>
      <c r="K830" s="94">
        <f>IFERROR(__xludf.DUMMYFUNCTION("""COMPUTED_VALUE"""),105.0)</f>
        <v>105</v>
      </c>
      <c r="L830" s="94">
        <f>IFERROR(__xludf.DUMMYFUNCTION("""COMPUTED_VALUE"""),105.0)</f>
        <v>105</v>
      </c>
      <c r="M830" s="94">
        <f>IFERROR(__xludf.DUMMYFUNCTION("""COMPUTED_VALUE"""),0.0)</f>
        <v>0</v>
      </c>
      <c r="N830" s="94"/>
      <c r="O830" s="1430">
        <f>IFERROR(__xludf.DUMMYFUNCTION("""COMPUTED_VALUE"""),0.0)</f>
        <v>0</v>
      </c>
      <c r="P830" s="1431">
        <f>IFERROR(__xludf.DUMMYFUNCTION("""COMPUTED_VALUE"""),2.69)</f>
        <v>2.69</v>
      </c>
      <c r="Q830" s="1432">
        <f>IFERROR(__xludf.DUMMYFUNCTION("""COMPUTED_VALUE"""),724.0)</f>
        <v>724</v>
      </c>
    </row>
    <row r="831" ht="15.75" customHeight="1">
      <c r="A831" s="94" t="str">
        <f>IFERROR(__xludf.DUMMYFUNCTION("""COMPUTED_VALUE"""),"Итого неделя")</f>
        <v>Итого неделя</v>
      </c>
      <c r="B831" s="94" t="str">
        <f>IFERROR(__xludf.DUMMYFUNCTION("""COMPUTED_VALUE"""),"35 неделя")</f>
        <v>35 неделя</v>
      </c>
      <c r="C831" s="94"/>
      <c r="D831" s="94"/>
      <c r="E831" s="94"/>
      <c r="F831" s="94"/>
      <c r="G831" s="1164">
        <f>IFERROR(__xludf.DUMMYFUNCTION("""COMPUTED_VALUE"""),240.0)</f>
        <v>240</v>
      </c>
      <c r="H831" s="1430">
        <f>IFERROR(__xludf.DUMMYFUNCTION("""COMPUTED_VALUE"""),9460.333333333334)</f>
        <v>9460.333333</v>
      </c>
      <c r="I831" s="94">
        <f>IFERROR(__xludf.DUMMYFUNCTION("""COMPUTED_VALUE"""),20690.0)</f>
        <v>20690</v>
      </c>
      <c r="J831" s="94">
        <f>IFERROR(__xludf.DUMMYFUNCTION("""COMPUTED_VALUE"""),0.0)</f>
        <v>0</v>
      </c>
      <c r="K831" s="94">
        <f>IFERROR(__xludf.DUMMYFUNCTION("""COMPUTED_VALUE"""),3660.0)</f>
        <v>3660</v>
      </c>
      <c r="L831" s="94">
        <f>IFERROR(__xludf.DUMMYFUNCTION("""COMPUTED_VALUE"""),2935.0)</f>
        <v>2935</v>
      </c>
      <c r="M831" s="94">
        <f>IFERROR(__xludf.DUMMYFUNCTION("""COMPUTED_VALUE"""),725.0)</f>
        <v>725</v>
      </c>
      <c r="N831" s="94">
        <f>IFERROR(__xludf.DUMMYFUNCTION("""COMPUTED_VALUE"""),0.0)</f>
        <v>0</v>
      </c>
      <c r="O831" s="1430">
        <f>IFERROR(__xludf.DUMMYFUNCTION("""COMPUTED_VALUE"""),725.0)</f>
        <v>725</v>
      </c>
      <c r="P831" s="94"/>
      <c r="Q831" s="1432">
        <f>IFERROR(__xludf.DUMMYFUNCTION("""COMPUTED_VALUE"""),46138.29666666666)</f>
        <v>46138.29667</v>
      </c>
    </row>
    <row r="832" ht="15.75" customHeight="1">
      <c r="A832" s="94"/>
      <c r="B832" s="94" t="str">
        <f>IFERROR(__xludf.DUMMYFUNCTION("""COMPUTED_VALUE"""),"D 1321")</f>
        <v>D 1321</v>
      </c>
      <c r="C832" s="1429" t="str">
        <f>IFERROR(__xludf.DUMMYFUNCTION("""COMPUTED_VALUE"""),"ORBI")</f>
        <v>ORBI</v>
      </c>
      <c r="D832" s="1432">
        <f>IFERROR(__xludf.DUMMYFUNCTION("""COMPUTED_VALUE"""),9.0)</f>
        <v>9</v>
      </c>
      <c r="E832" s="1429">
        <f>IFERROR(__xludf.DUMMYFUNCTION("""COMPUTED_VALUE"""),45537.0)</f>
        <v>45537</v>
      </c>
      <c r="F832" s="1429">
        <f>IFERROR(__xludf.DUMMYFUNCTION("""COMPUTED_VALUE"""),45546.0)</f>
        <v>45546</v>
      </c>
      <c r="G832" s="1164">
        <f>IFERROR(__xludf.DUMMYFUNCTION("""COMPUTED_VALUE"""),9.0)</f>
        <v>9</v>
      </c>
      <c r="H832" s="1430">
        <f>IFERROR(__xludf.DUMMYFUNCTION("""COMPUTED_VALUE"""),327.0)</f>
        <v>327</v>
      </c>
      <c r="I832" s="94"/>
      <c r="J832" s="94"/>
      <c r="K832" s="94">
        <f>IFERROR(__xludf.DUMMYFUNCTION("""COMPUTED_VALUE"""),50.0)</f>
        <v>50</v>
      </c>
      <c r="L832" s="94">
        <f>IFERROR(__xludf.DUMMYFUNCTION("""COMPUTED_VALUE"""),40.0)</f>
        <v>40</v>
      </c>
      <c r="M832" s="94">
        <f>IFERROR(__xludf.DUMMYFUNCTION("""COMPUTED_VALUE"""),10.0)</f>
        <v>10</v>
      </c>
      <c r="N832" s="94"/>
      <c r="O832" s="1430">
        <f>IFERROR(__xludf.DUMMYFUNCTION("""COMPUTED_VALUE"""),10.0)</f>
        <v>10</v>
      </c>
      <c r="P832" s="1431">
        <f>IFERROR(__xludf.DUMMYFUNCTION("""COMPUTED_VALUE"""),2.69)</f>
        <v>2.69</v>
      </c>
      <c r="Q832" s="1432">
        <f>IFERROR(__xludf.DUMMYFUNCTION("""COMPUTED_VALUE"""),879.63)</f>
        <v>879.63</v>
      </c>
    </row>
    <row r="833" ht="15.75" customHeight="1">
      <c r="A833" s="94"/>
      <c r="B833" s="94" t="str">
        <f>IFERROR(__xludf.DUMMYFUNCTION("""COMPUTED_VALUE"""),"WS A 409")</f>
        <v>WS A 409</v>
      </c>
      <c r="C833" s="1429" t="str">
        <f>IFERROR(__xludf.DUMMYFUNCTION("""COMPUTED_VALUE"""),"WS")</f>
        <v>WS</v>
      </c>
      <c r="D833" s="1432">
        <f>IFERROR(__xludf.DUMMYFUNCTION("""COMPUTED_VALUE"""),9.0)</f>
        <v>9</v>
      </c>
      <c r="E833" s="1429">
        <f>IFERROR(__xludf.DUMMYFUNCTION("""COMPUTED_VALUE"""),45537.0)</f>
        <v>45537</v>
      </c>
      <c r="F833" s="1429">
        <f>IFERROR(__xludf.DUMMYFUNCTION("""COMPUTED_VALUE"""),45541.0)</f>
        <v>45541</v>
      </c>
      <c r="G833" s="1164">
        <f>IFERROR(__xludf.DUMMYFUNCTION("""COMPUTED_VALUE"""),4.0)</f>
        <v>4</v>
      </c>
      <c r="H833" s="1430">
        <f>IFERROR(__xludf.DUMMYFUNCTION("""COMPUTED_VALUE"""),200.0)</f>
        <v>200</v>
      </c>
      <c r="I833" s="94"/>
      <c r="J833" s="94"/>
      <c r="K833" s="94">
        <f>IFERROR(__xludf.DUMMYFUNCTION("""COMPUTED_VALUE"""),60.0)</f>
        <v>60</v>
      </c>
      <c r="L833" s="94">
        <f>IFERROR(__xludf.DUMMYFUNCTION("""COMPUTED_VALUE"""),40.0)</f>
        <v>40</v>
      </c>
      <c r="M833" s="94">
        <f>IFERROR(__xludf.DUMMYFUNCTION("""COMPUTED_VALUE"""),20.0)</f>
        <v>20</v>
      </c>
      <c r="N833" s="94"/>
      <c r="O833" s="1430">
        <f>IFERROR(__xludf.DUMMYFUNCTION("""COMPUTED_VALUE"""),20.0)</f>
        <v>20</v>
      </c>
      <c r="P833" s="1431">
        <f>IFERROR(__xludf.DUMMYFUNCTION("""COMPUTED_VALUE"""),2.69)</f>
        <v>2.69</v>
      </c>
      <c r="Q833" s="1432">
        <f>IFERROR(__xludf.DUMMYFUNCTION("""COMPUTED_VALUE"""),538.0)</f>
        <v>538</v>
      </c>
    </row>
    <row r="834" ht="15.75" customHeight="1">
      <c r="A834" s="94"/>
      <c r="B834" s="94" t="str">
        <f>IFERROR(__xludf.DUMMYFUNCTION("""COMPUTED_VALUE"""),"WS F 907")</f>
        <v>WS F 907</v>
      </c>
      <c r="C834" s="1429" t="str">
        <f>IFERROR(__xludf.DUMMYFUNCTION("""COMPUTED_VALUE"""),"WS")</f>
        <v>WS</v>
      </c>
      <c r="D834" s="1432">
        <f>IFERROR(__xludf.DUMMYFUNCTION("""COMPUTED_VALUE"""),9.0)</f>
        <v>9</v>
      </c>
      <c r="E834" s="1429">
        <f>IFERROR(__xludf.DUMMYFUNCTION("""COMPUTED_VALUE"""),45537.0)</f>
        <v>45537</v>
      </c>
      <c r="F834" s="1429">
        <f>IFERROR(__xludf.DUMMYFUNCTION("""COMPUTED_VALUE"""),45544.0)</f>
        <v>45544</v>
      </c>
      <c r="G834" s="1164">
        <f>IFERROR(__xludf.DUMMYFUNCTION("""COMPUTED_VALUE"""),7.0)</f>
        <v>7</v>
      </c>
      <c r="H834" s="94"/>
      <c r="I834" s="94">
        <f>IFERROR(__xludf.DUMMYFUNCTION("""COMPUTED_VALUE"""),1044.0)</f>
        <v>1044</v>
      </c>
      <c r="J834" s="94"/>
      <c r="K834" s="94">
        <f>IFERROR(__xludf.DUMMYFUNCTION("""COMPUTED_VALUE"""),60.0)</f>
        <v>60</v>
      </c>
      <c r="L834" s="94">
        <f>IFERROR(__xludf.DUMMYFUNCTION("""COMPUTED_VALUE"""),40.0)</f>
        <v>40</v>
      </c>
      <c r="M834" s="94">
        <f>IFERROR(__xludf.DUMMYFUNCTION("""COMPUTED_VALUE"""),20.0)</f>
        <v>20</v>
      </c>
      <c r="N834" s="94"/>
      <c r="O834" s="1430">
        <f>IFERROR(__xludf.DUMMYFUNCTION("""COMPUTED_VALUE"""),20.0)</f>
        <v>20</v>
      </c>
      <c r="P834" s="1431">
        <f>IFERROR(__xludf.DUMMYFUNCTION("""COMPUTED_VALUE"""),2.69)</f>
        <v>2.69</v>
      </c>
      <c r="Q834" s="1432">
        <f>IFERROR(__xludf.DUMMYFUNCTION("""COMPUTED_VALUE"""),1044.0)</f>
        <v>1044</v>
      </c>
    </row>
    <row r="835" ht="15.75" customHeight="1">
      <c r="A835" s="94"/>
      <c r="B835" s="94" t="str">
        <f>IFERROR(__xludf.DUMMYFUNCTION("""COMPUTED_VALUE"""),"WS E1405")</f>
        <v>WS E1405</v>
      </c>
      <c r="C835" s="1429" t="str">
        <f>IFERROR(__xludf.DUMMYFUNCTION("""COMPUTED_VALUE"""),"WS")</f>
        <v>WS</v>
      </c>
      <c r="D835" s="1432">
        <f>IFERROR(__xludf.DUMMYFUNCTION("""COMPUTED_VALUE"""),9.0)</f>
        <v>9</v>
      </c>
      <c r="E835" s="1429">
        <f>IFERROR(__xludf.DUMMYFUNCTION("""COMPUTED_VALUE"""),45537.0)</f>
        <v>45537</v>
      </c>
      <c r="F835" s="1429">
        <f>IFERROR(__xludf.DUMMYFUNCTION("""COMPUTED_VALUE"""),45540.0)</f>
        <v>45540</v>
      </c>
      <c r="G835" s="1164">
        <f>IFERROR(__xludf.DUMMYFUNCTION("""COMPUTED_VALUE"""),3.0)</f>
        <v>3</v>
      </c>
      <c r="H835" s="1430">
        <f>IFERROR(__xludf.DUMMYFUNCTION("""COMPUTED_VALUE"""),155.0)</f>
        <v>155</v>
      </c>
      <c r="I835" s="94">
        <f>IFERROR(__xludf.DUMMYFUNCTION("""COMPUTED_VALUE"""),0.0)</f>
        <v>0</v>
      </c>
      <c r="J835" s="94"/>
      <c r="K835" s="94">
        <f>IFERROR(__xludf.DUMMYFUNCTION("""COMPUTED_VALUE"""),60.0)</f>
        <v>60</v>
      </c>
      <c r="L835" s="94">
        <f>IFERROR(__xludf.DUMMYFUNCTION("""COMPUTED_VALUE"""),40.0)</f>
        <v>40</v>
      </c>
      <c r="M835" s="94">
        <f>IFERROR(__xludf.DUMMYFUNCTION("""COMPUTED_VALUE"""),20.0)</f>
        <v>20</v>
      </c>
      <c r="N835" s="94"/>
      <c r="O835" s="1430">
        <f>IFERROR(__xludf.DUMMYFUNCTION("""COMPUTED_VALUE"""),20.0)</f>
        <v>20</v>
      </c>
      <c r="P835" s="1431">
        <f>IFERROR(__xludf.DUMMYFUNCTION("""COMPUTED_VALUE"""),2.69)</f>
        <v>2.69</v>
      </c>
      <c r="Q835" s="1432">
        <f>IFERROR(__xludf.DUMMYFUNCTION("""COMPUTED_VALUE"""),416.95)</f>
        <v>416.95</v>
      </c>
    </row>
    <row r="836" ht="15.75" customHeight="1">
      <c r="A836" s="94"/>
      <c r="B836" s="94" t="str">
        <f>IFERROR(__xludf.DUMMYFUNCTION("""COMPUTED_VALUE"""),"Вилла Ева")</f>
        <v>Вилла Ева</v>
      </c>
      <c r="C836" s="1429" t="str">
        <f>IFERROR(__xludf.DUMMYFUNCTION("""COMPUTED_VALUE"""),"Other")</f>
        <v>Other</v>
      </c>
      <c r="D836" s="1432">
        <f>IFERROR(__xludf.DUMMYFUNCTION("""COMPUTED_VALUE"""),9.0)</f>
        <v>9</v>
      </c>
      <c r="E836" s="1429">
        <f>IFERROR(__xludf.DUMMYFUNCTION("""COMPUTED_VALUE"""),45537.0)</f>
        <v>45537</v>
      </c>
      <c r="F836" s="1429">
        <f>IFERROR(__xludf.DUMMYFUNCTION("""COMPUTED_VALUE"""),45542.0)</f>
        <v>45542</v>
      </c>
      <c r="G836" s="1164">
        <f>IFERROR(__xludf.DUMMYFUNCTION("""COMPUTED_VALUE"""),5.0)</f>
        <v>5</v>
      </c>
      <c r="H836" s="1430">
        <f>IFERROR(__xludf.DUMMYFUNCTION("""COMPUTED_VALUE"""),41.0)</f>
        <v>41</v>
      </c>
      <c r="I836" s="94">
        <f>IFERROR(__xludf.DUMMYFUNCTION("""COMPUTED_VALUE"""),0.0)</f>
        <v>0</v>
      </c>
      <c r="J836" s="94"/>
      <c r="K836" s="94"/>
      <c r="L836" s="94"/>
      <c r="M836" s="94">
        <f>IFERROR(__xludf.DUMMYFUNCTION("""COMPUTED_VALUE"""),0.0)</f>
        <v>0</v>
      </c>
      <c r="N836" s="94"/>
      <c r="O836" s="1430">
        <f>IFERROR(__xludf.DUMMYFUNCTION("""COMPUTED_VALUE"""),0.0)</f>
        <v>0</v>
      </c>
      <c r="P836" s="1431">
        <f>IFERROR(__xludf.DUMMYFUNCTION("""COMPUTED_VALUE"""),2.69)</f>
        <v>2.69</v>
      </c>
      <c r="Q836" s="1432">
        <f>IFERROR(__xludf.DUMMYFUNCTION("""COMPUTED_VALUE"""),110.28999999999999)</f>
        <v>110.29</v>
      </c>
    </row>
    <row r="837" ht="15.75" customHeight="1">
      <c r="A837" s="94"/>
      <c r="B837" s="94" t="str">
        <f>IFERROR(__xludf.DUMMYFUNCTION("""COMPUTED_VALUE"""),"WS A907")</f>
        <v>WS A907</v>
      </c>
      <c r="C837" s="1429" t="str">
        <f>IFERROR(__xludf.DUMMYFUNCTION("""COMPUTED_VALUE"""),"WS")</f>
        <v>WS</v>
      </c>
      <c r="D837" s="1432">
        <f>IFERROR(__xludf.DUMMYFUNCTION("""COMPUTED_VALUE"""),9.0)</f>
        <v>9</v>
      </c>
      <c r="E837" s="1429">
        <f>IFERROR(__xludf.DUMMYFUNCTION("""COMPUTED_VALUE"""),45537.0)</f>
        <v>45537</v>
      </c>
      <c r="F837" s="1429">
        <f>IFERROR(__xludf.DUMMYFUNCTION("""COMPUTED_VALUE"""),45539.0)</f>
        <v>45539</v>
      </c>
      <c r="G837" s="1164">
        <f>IFERROR(__xludf.DUMMYFUNCTION("""COMPUTED_VALUE"""),2.0)</f>
        <v>2</v>
      </c>
      <c r="H837" s="1430">
        <f>IFERROR(__xludf.DUMMYFUNCTION("""COMPUTED_VALUE"""),165.0)</f>
        <v>165</v>
      </c>
      <c r="I837" s="94">
        <f>IFERROR(__xludf.DUMMYFUNCTION("""COMPUTED_VALUE"""),0.0)</f>
        <v>0</v>
      </c>
      <c r="J837" s="94"/>
      <c r="K837" s="94">
        <f>IFERROR(__xludf.DUMMYFUNCTION("""COMPUTED_VALUE"""),60.0)</f>
        <v>60</v>
      </c>
      <c r="L837" s="94">
        <f>IFERROR(__xludf.DUMMYFUNCTION("""COMPUTED_VALUE"""),40.0)</f>
        <v>40</v>
      </c>
      <c r="M837" s="94">
        <f>IFERROR(__xludf.DUMMYFUNCTION("""COMPUTED_VALUE"""),20.0)</f>
        <v>20</v>
      </c>
      <c r="N837" s="94"/>
      <c r="O837" s="1430">
        <f>IFERROR(__xludf.DUMMYFUNCTION("""COMPUTED_VALUE"""),20.0)</f>
        <v>20</v>
      </c>
      <c r="P837" s="1431">
        <f>IFERROR(__xludf.DUMMYFUNCTION("""COMPUTED_VALUE"""),2.69)</f>
        <v>2.69</v>
      </c>
      <c r="Q837" s="1432">
        <f>IFERROR(__xludf.DUMMYFUNCTION("""COMPUTED_VALUE"""),443.84999999999997)</f>
        <v>443.85</v>
      </c>
    </row>
    <row r="838" ht="15.75" customHeight="1">
      <c r="A838" s="94"/>
      <c r="B838" s="94" t="str">
        <f>IFERROR(__xludf.DUMMYFUNCTION("""COMPUTED_VALUE"""),"Wyn")</f>
        <v>Wyn</v>
      </c>
      <c r="C838" s="1429" t="str">
        <f>IFERROR(__xludf.DUMMYFUNCTION("""COMPUTED_VALUE"""),"Other")</f>
        <v>Other</v>
      </c>
      <c r="D838" s="1432">
        <f>IFERROR(__xludf.DUMMYFUNCTION("""COMPUTED_VALUE"""),9.0)</f>
        <v>9</v>
      </c>
      <c r="E838" s="1429">
        <f>IFERROR(__xludf.DUMMYFUNCTION("""COMPUTED_VALUE"""),45537.0)</f>
        <v>45537</v>
      </c>
      <c r="F838" s="1429">
        <f>IFERROR(__xludf.DUMMYFUNCTION("""COMPUTED_VALUE"""),45542.0)</f>
        <v>45542</v>
      </c>
      <c r="G838" s="1164">
        <f>IFERROR(__xludf.DUMMYFUNCTION("""COMPUTED_VALUE"""),5.0)</f>
        <v>5</v>
      </c>
      <c r="H838" s="1430">
        <f>IFERROR(__xludf.DUMMYFUNCTION("""COMPUTED_VALUE"""),234.0)</f>
        <v>234</v>
      </c>
      <c r="I838" s="94">
        <f>IFERROR(__xludf.DUMMYFUNCTION("""COMPUTED_VALUE"""),0.0)</f>
        <v>0</v>
      </c>
      <c r="J838" s="94"/>
      <c r="K838" s="94">
        <f>IFERROR(__xludf.DUMMYFUNCTION("""COMPUTED_VALUE"""),70.0)</f>
        <v>70</v>
      </c>
      <c r="L838" s="94">
        <f>IFERROR(__xludf.DUMMYFUNCTION("""COMPUTED_VALUE"""),40.0)</f>
        <v>40</v>
      </c>
      <c r="M838" s="94">
        <f>IFERROR(__xludf.DUMMYFUNCTION("""COMPUTED_VALUE"""),30.0)</f>
        <v>30</v>
      </c>
      <c r="N838" s="94"/>
      <c r="O838" s="1430">
        <f>IFERROR(__xludf.DUMMYFUNCTION("""COMPUTED_VALUE"""),30.0)</f>
        <v>30</v>
      </c>
      <c r="P838" s="1431">
        <f>IFERROR(__xludf.DUMMYFUNCTION("""COMPUTED_VALUE"""),2.69)</f>
        <v>2.69</v>
      </c>
      <c r="Q838" s="1432">
        <f>IFERROR(__xludf.DUMMYFUNCTION("""COMPUTED_VALUE"""),629.46)</f>
        <v>629.46</v>
      </c>
    </row>
    <row r="839" ht="15.75" customHeight="1">
      <c r="A839" s="94"/>
      <c r="B839" s="94" t="str">
        <f>IFERROR(__xludf.DUMMYFUNCTION("""COMPUTED_VALUE"""),"DL 11-1305")</f>
        <v>DL 11-1305</v>
      </c>
      <c r="C839" s="1429" t="str">
        <f>IFERROR(__xludf.DUMMYFUNCTION("""COMPUTED_VALUE"""),"DL")</f>
        <v>DL</v>
      </c>
      <c r="D839" s="1432">
        <f>IFERROR(__xludf.DUMMYFUNCTION("""COMPUTED_VALUE"""),9.0)</f>
        <v>9</v>
      </c>
      <c r="E839" s="1429">
        <f>IFERROR(__xludf.DUMMYFUNCTION("""COMPUTED_VALUE"""),45537.0)</f>
        <v>45537</v>
      </c>
      <c r="F839" s="1429">
        <f>IFERROR(__xludf.DUMMYFUNCTION("""COMPUTED_VALUE"""),45538.0)</f>
        <v>45538</v>
      </c>
      <c r="G839" s="1164">
        <f>IFERROR(__xludf.DUMMYFUNCTION("""COMPUTED_VALUE"""),1.0)</f>
        <v>1</v>
      </c>
      <c r="H839" s="1430">
        <f>IFERROR(__xludf.DUMMYFUNCTION("""COMPUTED_VALUE"""),150.0)</f>
        <v>150</v>
      </c>
      <c r="I839" s="94">
        <f>IFERROR(__xludf.DUMMYFUNCTION("""COMPUTED_VALUE"""),0.0)</f>
        <v>0</v>
      </c>
      <c r="J839" s="94"/>
      <c r="K839" s="94">
        <f>IFERROR(__xludf.DUMMYFUNCTION("""COMPUTED_VALUE"""),105.0)</f>
        <v>105</v>
      </c>
      <c r="L839" s="94">
        <f>IFERROR(__xludf.DUMMYFUNCTION("""COMPUTED_VALUE"""),105.0)</f>
        <v>105</v>
      </c>
      <c r="M839" s="94">
        <f>IFERROR(__xludf.DUMMYFUNCTION("""COMPUTED_VALUE"""),0.0)</f>
        <v>0</v>
      </c>
      <c r="N839" s="94"/>
      <c r="O839" s="1430">
        <f>IFERROR(__xludf.DUMMYFUNCTION("""COMPUTED_VALUE"""),0.0)</f>
        <v>0</v>
      </c>
      <c r="P839" s="1431">
        <f>IFERROR(__xludf.DUMMYFUNCTION("""COMPUTED_VALUE"""),2.69)</f>
        <v>2.69</v>
      </c>
      <c r="Q839" s="1432">
        <f>IFERROR(__xludf.DUMMYFUNCTION("""COMPUTED_VALUE"""),403.5)</f>
        <v>403.5</v>
      </c>
    </row>
    <row r="840" ht="15.75" customHeight="1">
      <c r="A840" s="94"/>
      <c r="B840" s="94" t="str">
        <f>IFERROR(__xludf.DUMMYFUNCTION("""COMPUTED_VALUE"""),"DL14-518")</f>
        <v>DL14-518</v>
      </c>
      <c r="C840" s="1429" t="str">
        <f>IFERROR(__xludf.DUMMYFUNCTION("""COMPUTED_VALUE"""),"DL")</f>
        <v>DL</v>
      </c>
      <c r="D840" s="1432">
        <f>IFERROR(__xludf.DUMMYFUNCTION("""COMPUTED_VALUE"""),9.0)</f>
        <v>9</v>
      </c>
      <c r="E840" s="1429">
        <f>IFERROR(__xludf.DUMMYFUNCTION("""COMPUTED_VALUE"""),45537.0)</f>
        <v>45537</v>
      </c>
      <c r="F840" s="1429">
        <f>IFERROR(__xludf.DUMMYFUNCTION("""COMPUTED_VALUE"""),45538.0)</f>
        <v>45538</v>
      </c>
      <c r="G840" s="1164">
        <f>IFERROR(__xludf.DUMMYFUNCTION("""COMPUTED_VALUE"""),1.0)</f>
        <v>1</v>
      </c>
      <c r="H840" s="1430">
        <f>IFERROR(__xludf.DUMMYFUNCTION("""COMPUTED_VALUE"""),100.0)</f>
        <v>100</v>
      </c>
      <c r="I840" s="94">
        <f>IFERROR(__xludf.DUMMYFUNCTION("""COMPUTED_VALUE"""),0.0)</f>
        <v>0</v>
      </c>
      <c r="J840" s="94"/>
      <c r="K840" s="94">
        <f>IFERROR(__xludf.DUMMYFUNCTION("""COMPUTED_VALUE"""),95.0)</f>
        <v>95</v>
      </c>
      <c r="L840" s="94">
        <f>IFERROR(__xludf.DUMMYFUNCTION("""COMPUTED_VALUE"""),95.0)</f>
        <v>95</v>
      </c>
      <c r="M840" s="94">
        <f>IFERROR(__xludf.DUMMYFUNCTION("""COMPUTED_VALUE"""),0.0)</f>
        <v>0</v>
      </c>
      <c r="N840" s="94"/>
      <c r="O840" s="1430">
        <f>IFERROR(__xludf.DUMMYFUNCTION("""COMPUTED_VALUE"""),0.0)</f>
        <v>0</v>
      </c>
      <c r="P840" s="1431">
        <f>IFERROR(__xludf.DUMMYFUNCTION("""COMPUTED_VALUE"""),2.69)</f>
        <v>2.69</v>
      </c>
      <c r="Q840" s="1432">
        <f>IFERROR(__xludf.DUMMYFUNCTION("""COMPUTED_VALUE"""),269.0)</f>
        <v>269</v>
      </c>
    </row>
    <row r="841" ht="15.75" customHeight="1">
      <c r="A841" s="94"/>
      <c r="B841" s="94" t="str">
        <f>IFERROR(__xludf.DUMMYFUNCTION("""COMPUTED_VALUE"""),"DL14-1707")</f>
        <v>DL14-1707</v>
      </c>
      <c r="C841" s="1429" t="str">
        <f>IFERROR(__xludf.DUMMYFUNCTION("""COMPUTED_VALUE"""),"DL")</f>
        <v>DL</v>
      </c>
      <c r="D841" s="1432">
        <f>IFERROR(__xludf.DUMMYFUNCTION("""COMPUTED_VALUE"""),9.0)</f>
        <v>9</v>
      </c>
      <c r="E841" s="1429">
        <f>IFERROR(__xludf.DUMMYFUNCTION("""COMPUTED_VALUE"""),45538.0)</f>
        <v>45538</v>
      </c>
      <c r="F841" s="1429">
        <f>IFERROR(__xludf.DUMMYFUNCTION("""COMPUTED_VALUE"""),45542.0)</f>
        <v>45542</v>
      </c>
      <c r="G841" s="1164">
        <f>IFERROR(__xludf.DUMMYFUNCTION("""COMPUTED_VALUE"""),4.0)</f>
        <v>4</v>
      </c>
      <c r="H841" s="1430">
        <f>IFERROR(__xludf.DUMMYFUNCTION("""COMPUTED_VALUE"""),288.0)</f>
        <v>288</v>
      </c>
      <c r="I841" s="94">
        <f>IFERROR(__xludf.DUMMYFUNCTION("""COMPUTED_VALUE"""),0.0)</f>
        <v>0</v>
      </c>
      <c r="J841" s="94"/>
      <c r="K841" s="94">
        <f>IFERROR(__xludf.DUMMYFUNCTION("""COMPUTED_VALUE"""),95.0)</f>
        <v>95</v>
      </c>
      <c r="L841" s="94">
        <f>IFERROR(__xludf.DUMMYFUNCTION("""COMPUTED_VALUE"""),95.0)</f>
        <v>95</v>
      </c>
      <c r="M841" s="94">
        <f>IFERROR(__xludf.DUMMYFUNCTION("""COMPUTED_VALUE"""),0.0)</f>
        <v>0</v>
      </c>
      <c r="N841" s="94"/>
      <c r="O841" s="1430">
        <f>IFERROR(__xludf.DUMMYFUNCTION("""COMPUTED_VALUE"""),0.0)</f>
        <v>0</v>
      </c>
      <c r="P841" s="1431">
        <f>IFERROR(__xludf.DUMMYFUNCTION("""COMPUTED_VALUE"""),2.69)</f>
        <v>2.69</v>
      </c>
      <c r="Q841" s="1432">
        <f>IFERROR(__xludf.DUMMYFUNCTION("""COMPUTED_VALUE"""),774.72)</f>
        <v>774.72</v>
      </c>
    </row>
    <row r="842" ht="15.75" customHeight="1">
      <c r="A842" s="94"/>
      <c r="B842" s="94" t="str">
        <f>IFERROR(__xludf.DUMMYFUNCTION("""COMPUTED_VALUE"""),"DL 14-702")</f>
        <v>DL 14-702</v>
      </c>
      <c r="C842" s="1429" t="str">
        <f>IFERROR(__xludf.DUMMYFUNCTION("""COMPUTED_VALUE"""),"DL")</f>
        <v>DL</v>
      </c>
      <c r="D842" s="1432">
        <f>IFERROR(__xludf.DUMMYFUNCTION("""COMPUTED_VALUE"""),9.0)</f>
        <v>9</v>
      </c>
      <c r="E842" s="1429">
        <f>IFERROR(__xludf.DUMMYFUNCTION("""COMPUTED_VALUE"""),45538.0)</f>
        <v>45538</v>
      </c>
      <c r="F842" s="1429">
        <f>IFERROR(__xludf.DUMMYFUNCTION("""COMPUTED_VALUE"""),45542.0)</f>
        <v>45542</v>
      </c>
      <c r="G842" s="1164">
        <f>IFERROR(__xludf.DUMMYFUNCTION("""COMPUTED_VALUE"""),4.0)</f>
        <v>4</v>
      </c>
      <c r="H842" s="1430">
        <f>IFERROR(__xludf.DUMMYFUNCTION("""COMPUTED_VALUE"""),485.0)</f>
        <v>485</v>
      </c>
      <c r="I842" s="94">
        <f>IFERROR(__xludf.DUMMYFUNCTION("""COMPUTED_VALUE"""),0.0)</f>
        <v>0</v>
      </c>
      <c r="J842" s="94"/>
      <c r="K842" s="94">
        <f>IFERROR(__xludf.DUMMYFUNCTION("""COMPUTED_VALUE"""),105.0)</f>
        <v>105</v>
      </c>
      <c r="L842" s="94">
        <f>IFERROR(__xludf.DUMMYFUNCTION("""COMPUTED_VALUE"""),105.0)</f>
        <v>105</v>
      </c>
      <c r="M842" s="94">
        <f>IFERROR(__xludf.DUMMYFUNCTION("""COMPUTED_VALUE"""),0.0)</f>
        <v>0</v>
      </c>
      <c r="N842" s="94"/>
      <c r="O842" s="1430">
        <f>IFERROR(__xludf.DUMMYFUNCTION("""COMPUTED_VALUE"""),0.0)</f>
        <v>0</v>
      </c>
      <c r="P842" s="1431">
        <f>IFERROR(__xludf.DUMMYFUNCTION("""COMPUTED_VALUE"""),2.69)</f>
        <v>2.69</v>
      </c>
      <c r="Q842" s="1432">
        <f>IFERROR(__xludf.DUMMYFUNCTION("""COMPUTED_VALUE"""),1304.6499999999999)</f>
        <v>1304.65</v>
      </c>
    </row>
    <row r="843" ht="15.75" customHeight="1">
      <c r="A843" s="94"/>
      <c r="B843" s="94" t="str">
        <f>IFERROR(__xludf.DUMMYFUNCTION("""COMPUTED_VALUE"""),"C 4245")</f>
        <v>C 4245</v>
      </c>
      <c r="C843" s="1429" t="str">
        <f>IFERROR(__xludf.DUMMYFUNCTION("""COMPUTED_VALUE"""),"ORBI")</f>
        <v>ORBI</v>
      </c>
      <c r="D843" s="1432">
        <f>IFERROR(__xludf.DUMMYFUNCTION("""COMPUTED_VALUE"""),9.0)</f>
        <v>9</v>
      </c>
      <c r="E843" s="1429">
        <f>IFERROR(__xludf.DUMMYFUNCTION("""COMPUTED_VALUE"""),45538.0)</f>
        <v>45538</v>
      </c>
      <c r="F843" s="1429">
        <f>IFERROR(__xludf.DUMMYFUNCTION("""COMPUTED_VALUE"""),45543.0)</f>
        <v>45543</v>
      </c>
      <c r="G843" s="1164">
        <f>IFERROR(__xludf.DUMMYFUNCTION("""COMPUTED_VALUE"""),5.0)</f>
        <v>5</v>
      </c>
      <c r="H843" s="1430">
        <f>IFERROR(__xludf.DUMMYFUNCTION("""COMPUTED_VALUE"""),255.0)</f>
        <v>255</v>
      </c>
      <c r="I843" s="94">
        <f>IFERROR(__xludf.DUMMYFUNCTION("""COMPUTED_VALUE"""),0.0)</f>
        <v>0</v>
      </c>
      <c r="J843" s="94"/>
      <c r="K843" s="94">
        <f>IFERROR(__xludf.DUMMYFUNCTION("""COMPUTED_VALUE"""),70.0)</f>
        <v>70</v>
      </c>
      <c r="L843" s="94">
        <f>IFERROR(__xludf.DUMMYFUNCTION("""COMPUTED_VALUE"""),40.0)</f>
        <v>40</v>
      </c>
      <c r="M843" s="94">
        <f>IFERROR(__xludf.DUMMYFUNCTION("""COMPUTED_VALUE"""),30.0)</f>
        <v>30</v>
      </c>
      <c r="N843" s="94"/>
      <c r="O843" s="1430">
        <f>IFERROR(__xludf.DUMMYFUNCTION("""COMPUTED_VALUE"""),30.0)</f>
        <v>30</v>
      </c>
      <c r="P843" s="1431">
        <f>IFERROR(__xludf.DUMMYFUNCTION("""COMPUTED_VALUE"""),2.69)</f>
        <v>2.69</v>
      </c>
      <c r="Q843" s="1432">
        <f>IFERROR(__xludf.DUMMYFUNCTION("""COMPUTED_VALUE"""),685.9499999999999)</f>
        <v>685.95</v>
      </c>
    </row>
    <row r="844" ht="15.75" customHeight="1">
      <c r="A844" s="94"/>
      <c r="B844" s="94" t="str">
        <f>IFERROR(__xludf.DUMMYFUNCTION("""COMPUTED_VALUE"""),"С 1443")</f>
        <v>С 1443</v>
      </c>
      <c r="C844" s="1429" t="str">
        <f>IFERROR(__xludf.DUMMYFUNCTION("""COMPUTED_VALUE"""),"ORBI")</f>
        <v>ORBI</v>
      </c>
      <c r="D844" s="1432">
        <f>IFERROR(__xludf.DUMMYFUNCTION("""COMPUTED_VALUE"""),9.0)</f>
        <v>9</v>
      </c>
      <c r="E844" s="1429">
        <f>IFERROR(__xludf.DUMMYFUNCTION("""COMPUTED_VALUE"""),45538.0)</f>
        <v>45538</v>
      </c>
      <c r="F844" s="1429">
        <f>IFERROR(__xludf.DUMMYFUNCTION("""COMPUTED_VALUE"""),45548.0)</f>
        <v>45548</v>
      </c>
      <c r="G844" s="1164">
        <f>IFERROR(__xludf.DUMMYFUNCTION("""COMPUTED_VALUE"""),10.0)</f>
        <v>10</v>
      </c>
      <c r="H844" s="94"/>
      <c r="I844" s="94">
        <f>IFERROR(__xludf.DUMMYFUNCTION("""COMPUTED_VALUE"""),1310.0)</f>
        <v>1310</v>
      </c>
      <c r="J844" s="94"/>
      <c r="K844" s="94">
        <f>IFERROR(__xludf.DUMMYFUNCTION("""COMPUTED_VALUE"""),70.0)</f>
        <v>70</v>
      </c>
      <c r="L844" s="94">
        <f>IFERROR(__xludf.DUMMYFUNCTION("""COMPUTED_VALUE"""),40.0)</f>
        <v>40</v>
      </c>
      <c r="M844" s="94">
        <f>IFERROR(__xludf.DUMMYFUNCTION("""COMPUTED_VALUE"""),30.0)</f>
        <v>30</v>
      </c>
      <c r="N844" s="94"/>
      <c r="O844" s="1430">
        <f>IFERROR(__xludf.DUMMYFUNCTION("""COMPUTED_VALUE"""),30.0)</f>
        <v>30</v>
      </c>
      <c r="P844" s="1431">
        <f>IFERROR(__xludf.DUMMYFUNCTION("""COMPUTED_VALUE"""),2.69)</f>
        <v>2.69</v>
      </c>
      <c r="Q844" s="1432">
        <f>IFERROR(__xludf.DUMMYFUNCTION("""COMPUTED_VALUE"""),1310.0)</f>
        <v>1310</v>
      </c>
    </row>
    <row r="845" ht="15.75" customHeight="1">
      <c r="A845" s="94"/>
      <c r="B845" s="94" t="str">
        <f>IFERROR(__xludf.DUMMYFUNCTION("""COMPUTED_VALUE"""),"CM 1604")</f>
        <v>CM 1604</v>
      </c>
      <c r="C845" s="1429" t="str">
        <f>IFERROR(__xludf.DUMMYFUNCTION("""COMPUTED_VALUE"""),"MAR")</f>
        <v>MAR</v>
      </c>
      <c r="D845" s="1432">
        <f>IFERROR(__xludf.DUMMYFUNCTION("""COMPUTED_VALUE"""),9.0)</f>
        <v>9</v>
      </c>
      <c r="E845" s="1429">
        <f>IFERROR(__xludf.DUMMYFUNCTION("""COMPUTED_VALUE"""),45538.0)</f>
        <v>45538</v>
      </c>
      <c r="F845" s="1429">
        <f>IFERROR(__xludf.DUMMYFUNCTION("""COMPUTED_VALUE"""),45541.0)</f>
        <v>45541</v>
      </c>
      <c r="G845" s="1164">
        <f>IFERROR(__xludf.DUMMYFUNCTION("""COMPUTED_VALUE"""),3.0)</f>
        <v>3</v>
      </c>
      <c r="H845" s="1430">
        <f>IFERROR(__xludf.DUMMYFUNCTION("""COMPUTED_VALUE"""),183.0)</f>
        <v>183</v>
      </c>
      <c r="I845" s="94">
        <f>IFERROR(__xludf.DUMMYFUNCTION("""COMPUTED_VALUE"""),0.0)</f>
        <v>0</v>
      </c>
      <c r="J845" s="94"/>
      <c r="K845" s="94">
        <f>IFERROR(__xludf.DUMMYFUNCTION("""COMPUTED_VALUE"""),70.0)</f>
        <v>70</v>
      </c>
      <c r="L845" s="94">
        <f>IFERROR(__xludf.DUMMYFUNCTION("""COMPUTED_VALUE"""),40.0)</f>
        <v>40</v>
      </c>
      <c r="M845" s="94">
        <f>IFERROR(__xludf.DUMMYFUNCTION("""COMPUTED_VALUE"""),30.0)</f>
        <v>30</v>
      </c>
      <c r="N845" s="94"/>
      <c r="O845" s="1430">
        <f>IFERROR(__xludf.DUMMYFUNCTION("""COMPUTED_VALUE"""),30.0)</f>
        <v>30</v>
      </c>
      <c r="P845" s="1431">
        <f>IFERROR(__xludf.DUMMYFUNCTION("""COMPUTED_VALUE"""),2.69)</f>
        <v>2.69</v>
      </c>
      <c r="Q845" s="1432">
        <f>IFERROR(__xludf.DUMMYFUNCTION("""COMPUTED_VALUE"""),492.27)</f>
        <v>492.27</v>
      </c>
    </row>
    <row r="846" ht="15.75" customHeight="1">
      <c r="A846" s="94"/>
      <c r="B846" s="94" t="str">
        <f>IFERROR(__xludf.DUMMYFUNCTION("""COMPUTED_VALUE"""),"WS Е804")</f>
        <v>WS Е804</v>
      </c>
      <c r="C846" s="1429" t="str">
        <f>IFERROR(__xludf.DUMMYFUNCTION("""COMPUTED_VALUE"""),"WS")</f>
        <v>WS</v>
      </c>
      <c r="D846" s="1432">
        <f>IFERROR(__xludf.DUMMYFUNCTION("""COMPUTED_VALUE"""),9.0)</f>
        <v>9</v>
      </c>
      <c r="E846" s="1429">
        <f>IFERROR(__xludf.DUMMYFUNCTION("""COMPUTED_VALUE"""),45539.0)</f>
        <v>45539</v>
      </c>
      <c r="F846" s="1429">
        <f>IFERROR(__xludf.DUMMYFUNCTION("""COMPUTED_VALUE"""),45542.0)</f>
        <v>45542</v>
      </c>
      <c r="G846" s="1164">
        <f>IFERROR(__xludf.DUMMYFUNCTION("""COMPUTED_VALUE"""),3.0)</f>
        <v>3</v>
      </c>
      <c r="H846" s="1430">
        <f>IFERROR(__xludf.DUMMYFUNCTION("""COMPUTED_VALUE"""),150.0)</f>
        <v>150</v>
      </c>
      <c r="I846" s="94">
        <f>IFERROR(__xludf.DUMMYFUNCTION("""COMPUTED_VALUE"""),0.0)</f>
        <v>0</v>
      </c>
      <c r="J846" s="94"/>
      <c r="K846" s="94">
        <f>IFERROR(__xludf.DUMMYFUNCTION("""COMPUTED_VALUE"""),60.0)</f>
        <v>60</v>
      </c>
      <c r="L846" s="94">
        <f>IFERROR(__xludf.DUMMYFUNCTION("""COMPUTED_VALUE"""),40.0)</f>
        <v>40</v>
      </c>
      <c r="M846" s="94">
        <f>IFERROR(__xludf.DUMMYFUNCTION("""COMPUTED_VALUE"""),20.0)</f>
        <v>20</v>
      </c>
      <c r="N846" s="94"/>
      <c r="O846" s="1430">
        <f>IFERROR(__xludf.DUMMYFUNCTION("""COMPUTED_VALUE"""),20.0)</f>
        <v>20</v>
      </c>
      <c r="P846" s="1431">
        <f>IFERROR(__xludf.DUMMYFUNCTION("""COMPUTED_VALUE"""),2.69)</f>
        <v>2.69</v>
      </c>
      <c r="Q846" s="1432">
        <f>IFERROR(__xludf.DUMMYFUNCTION("""COMPUTED_VALUE"""),403.5)</f>
        <v>403.5</v>
      </c>
    </row>
    <row r="847" ht="15.75" customHeight="1">
      <c r="A847" s="94"/>
      <c r="B847" s="94" t="str">
        <f>IFERROR(__xludf.DUMMYFUNCTION("""COMPUTED_VALUE"""),"CM 1931")</f>
        <v>CM 1931</v>
      </c>
      <c r="C847" s="1429" t="str">
        <f>IFERROR(__xludf.DUMMYFUNCTION("""COMPUTED_VALUE"""),"MAR")</f>
        <v>MAR</v>
      </c>
      <c r="D847" s="1432">
        <f>IFERROR(__xludf.DUMMYFUNCTION("""COMPUTED_VALUE"""),9.0)</f>
        <v>9</v>
      </c>
      <c r="E847" s="1429">
        <f>IFERROR(__xludf.DUMMYFUNCTION("""COMPUTED_VALUE"""),45539.0)</f>
        <v>45539</v>
      </c>
      <c r="F847" s="1429">
        <f>IFERROR(__xludf.DUMMYFUNCTION("""COMPUTED_VALUE"""),45541.0)</f>
        <v>45541</v>
      </c>
      <c r="G847" s="1164">
        <f>IFERROR(__xludf.DUMMYFUNCTION("""COMPUTED_VALUE"""),2.0)</f>
        <v>2</v>
      </c>
      <c r="H847" s="1430">
        <f>IFERROR(__xludf.DUMMYFUNCTION("""COMPUTED_VALUE"""),109.0)</f>
        <v>109</v>
      </c>
      <c r="I847" s="94">
        <f>IFERROR(__xludf.DUMMYFUNCTION("""COMPUTED_VALUE"""),0.0)</f>
        <v>0</v>
      </c>
      <c r="J847" s="94"/>
      <c r="K847" s="94">
        <f>IFERROR(__xludf.DUMMYFUNCTION("""COMPUTED_VALUE"""),60.0)</f>
        <v>60</v>
      </c>
      <c r="L847" s="94">
        <f>IFERROR(__xludf.DUMMYFUNCTION("""COMPUTED_VALUE"""),40.0)</f>
        <v>40</v>
      </c>
      <c r="M847" s="94">
        <f>IFERROR(__xludf.DUMMYFUNCTION("""COMPUTED_VALUE"""),20.0)</f>
        <v>20</v>
      </c>
      <c r="N847" s="94"/>
      <c r="O847" s="1430">
        <f>IFERROR(__xludf.DUMMYFUNCTION("""COMPUTED_VALUE"""),20.0)</f>
        <v>20</v>
      </c>
      <c r="P847" s="1431">
        <f>IFERROR(__xludf.DUMMYFUNCTION("""COMPUTED_VALUE"""),2.69)</f>
        <v>2.69</v>
      </c>
      <c r="Q847" s="1432">
        <f>IFERROR(__xludf.DUMMYFUNCTION("""COMPUTED_VALUE"""),293.21)</f>
        <v>293.21</v>
      </c>
    </row>
    <row r="848" ht="15.75" customHeight="1">
      <c r="A848" s="94"/>
      <c r="B848" s="94" t="str">
        <f>IFERROR(__xludf.DUMMYFUNCTION("""COMPUTED_VALUE"""),"С 2756")</f>
        <v>С 2756</v>
      </c>
      <c r="C848" s="1429" t="str">
        <f>IFERROR(__xludf.DUMMYFUNCTION("""COMPUTED_VALUE"""),"ORBI")</f>
        <v>ORBI</v>
      </c>
      <c r="D848" s="1432">
        <f>IFERROR(__xludf.DUMMYFUNCTION("""COMPUTED_VALUE"""),9.0)</f>
        <v>9</v>
      </c>
      <c r="E848" s="1429">
        <f>IFERROR(__xludf.DUMMYFUNCTION("""COMPUTED_VALUE"""),45539.0)</f>
        <v>45539</v>
      </c>
      <c r="F848" s="1429">
        <f>IFERROR(__xludf.DUMMYFUNCTION("""COMPUTED_VALUE"""),45569.0)</f>
        <v>45569</v>
      </c>
      <c r="G848" s="1164">
        <f>IFERROR(__xludf.DUMMYFUNCTION("""COMPUTED_VALUE"""),30.0)</f>
        <v>30</v>
      </c>
      <c r="H848" s="1430">
        <f>IFERROR(__xludf.DUMMYFUNCTION("""COMPUTED_VALUE"""),480.0)</f>
        <v>480</v>
      </c>
      <c r="I848" s="94">
        <f>IFERROR(__xludf.DUMMYFUNCTION("""COMPUTED_VALUE"""),0.0)</f>
        <v>0</v>
      </c>
      <c r="J848" s="94"/>
      <c r="K848" s="94">
        <f>IFERROR(__xludf.DUMMYFUNCTION("""COMPUTED_VALUE"""),50.0)</f>
        <v>50</v>
      </c>
      <c r="L848" s="94">
        <f>IFERROR(__xludf.DUMMYFUNCTION("""COMPUTED_VALUE"""),40.0)</f>
        <v>40</v>
      </c>
      <c r="M848" s="94">
        <f>IFERROR(__xludf.DUMMYFUNCTION("""COMPUTED_VALUE"""),10.0)</f>
        <v>10</v>
      </c>
      <c r="N848" s="94"/>
      <c r="O848" s="1430">
        <f>IFERROR(__xludf.DUMMYFUNCTION("""COMPUTED_VALUE"""),10.0)</f>
        <v>10</v>
      </c>
      <c r="P848" s="1431">
        <f>IFERROR(__xludf.DUMMYFUNCTION("""COMPUTED_VALUE"""),2.69)</f>
        <v>2.69</v>
      </c>
      <c r="Q848" s="1432">
        <f>IFERROR(__xludf.DUMMYFUNCTION("""COMPUTED_VALUE"""),1291.2)</f>
        <v>1291.2</v>
      </c>
    </row>
    <row r="849" ht="15.75" customHeight="1">
      <c r="A849" s="94"/>
      <c r="B849" s="94" t="str">
        <f>IFERROR(__xludf.DUMMYFUNCTION("""COMPUTED_VALUE"""),"WS В 1510")</f>
        <v>WS В 1510</v>
      </c>
      <c r="C849" s="1429" t="str">
        <f>IFERROR(__xludf.DUMMYFUNCTION("""COMPUTED_VALUE"""),"WS")</f>
        <v>WS</v>
      </c>
      <c r="D849" s="1432">
        <f>IFERROR(__xludf.DUMMYFUNCTION("""COMPUTED_VALUE"""),9.0)</f>
        <v>9</v>
      </c>
      <c r="E849" s="1429">
        <f>IFERROR(__xludf.DUMMYFUNCTION("""COMPUTED_VALUE"""),45539.0)</f>
        <v>45539</v>
      </c>
      <c r="F849" s="1429">
        <f>IFERROR(__xludf.DUMMYFUNCTION("""COMPUTED_VALUE"""),45557.0)</f>
        <v>45557</v>
      </c>
      <c r="G849" s="1164">
        <f>IFERROR(__xludf.DUMMYFUNCTION("""COMPUTED_VALUE"""),18.0)</f>
        <v>18</v>
      </c>
      <c r="H849" s="1430">
        <f>IFERROR(__xludf.DUMMYFUNCTION("""COMPUTED_VALUE"""),842.0)</f>
        <v>842</v>
      </c>
      <c r="I849" s="94">
        <f>IFERROR(__xludf.DUMMYFUNCTION("""COMPUTED_VALUE"""),0.0)</f>
        <v>0</v>
      </c>
      <c r="J849" s="94"/>
      <c r="K849" s="94">
        <f>IFERROR(__xludf.DUMMYFUNCTION("""COMPUTED_VALUE"""),60.0)</f>
        <v>60</v>
      </c>
      <c r="L849" s="94">
        <f>IFERROR(__xludf.DUMMYFUNCTION("""COMPUTED_VALUE"""),40.0)</f>
        <v>40</v>
      </c>
      <c r="M849" s="94">
        <f>IFERROR(__xludf.DUMMYFUNCTION("""COMPUTED_VALUE"""),20.0)</f>
        <v>20</v>
      </c>
      <c r="N849" s="94"/>
      <c r="O849" s="1430">
        <f>IFERROR(__xludf.DUMMYFUNCTION("""COMPUTED_VALUE"""),20.0)</f>
        <v>20</v>
      </c>
      <c r="P849" s="1431">
        <f>IFERROR(__xludf.DUMMYFUNCTION("""COMPUTED_VALUE"""),2.69)</f>
        <v>2.69</v>
      </c>
      <c r="Q849" s="1432">
        <f>IFERROR(__xludf.DUMMYFUNCTION("""COMPUTED_VALUE"""),2264.98)</f>
        <v>2264.98</v>
      </c>
    </row>
    <row r="850" ht="15.75" customHeight="1">
      <c r="A850" s="94"/>
      <c r="B850" s="94" t="str">
        <f>IFERROR(__xludf.DUMMYFUNCTION("""COMPUTED_VALUE"""),"С 1125")</f>
        <v>С 1125</v>
      </c>
      <c r="C850" s="1429" t="str">
        <f>IFERROR(__xludf.DUMMYFUNCTION("""COMPUTED_VALUE"""),"ORBI")</f>
        <v>ORBI</v>
      </c>
      <c r="D850" s="1432">
        <f>IFERROR(__xludf.DUMMYFUNCTION("""COMPUTED_VALUE"""),9.0)</f>
        <v>9</v>
      </c>
      <c r="E850" s="1429">
        <f>IFERROR(__xludf.DUMMYFUNCTION("""COMPUTED_VALUE"""),45539.0)</f>
        <v>45539</v>
      </c>
      <c r="F850" s="1429">
        <f>IFERROR(__xludf.DUMMYFUNCTION("""COMPUTED_VALUE"""),45569.0)</f>
        <v>45569</v>
      </c>
      <c r="G850" s="1164">
        <f>IFERROR(__xludf.DUMMYFUNCTION("""COMPUTED_VALUE"""),30.0)</f>
        <v>30</v>
      </c>
      <c r="H850" s="1430">
        <f>IFERROR(__xludf.DUMMYFUNCTION("""COMPUTED_VALUE"""),508.0)</f>
        <v>508</v>
      </c>
      <c r="I850" s="94">
        <f>IFERROR(__xludf.DUMMYFUNCTION("""COMPUTED_VALUE"""),0.0)</f>
        <v>0</v>
      </c>
      <c r="J850" s="94"/>
      <c r="K850" s="94">
        <f>IFERROR(__xludf.DUMMYFUNCTION("""COMPUTED_VALUE"""),50.0)</f>
        <v>50</v>
      </c>
      <c r="L850" s="94">
        <f>IFERROR(__xludf.DUMMYFUNCTION("""COMPUTED_VALUE"""),40.0)</f>
        <v>40</v>
      </c>
      <c r="M850" s="94">
        <f>IFERROR(__xludf.DUMMYFUNCTION("""COMPUTED_VALUE"""),10.0)</f>
        <v>10</v>
      </c>
      <c r="N850" s="94"/>
      <c r="O850" s="1430">
        <f>IFERROR(__xludf.DUMMYFUNCTION("""COMPUTED_VALUE"""),10.0)</f>
        <v>10</v>
      </c>
      <c r="P850" s="1431">
        <f>IFERROR(__xludf.DUMMYFUNCTION("""COMPUTED_VALUE"""),2.69)</f>
        <v>2.69</v>
      </c>
      <c r="Q850" s="1432">
        <f>IFERROR(__xludf.DUMMYFUNCTION("""COMPUTED_VALUE"""),1366.52)</f>
        <v>1366.52</v>
      </c>
    </row>
    <row r="851" ht="15.75" customHeight="1">
      <c r="A851" s="94"/>
      <c r="B851" s="94" t="str">
        <f>IFERROR(__xludf.DUMMYFUNCTION("""COMPUTED_VALUE"""),"CM 1606")</f>
        <v>CM 1606</v>
      </c>
      <c r="C851" s="1429" t="str">
        <f>IFERROR(__xludf.DUMMYFUNCTION("""COMPUTED_VALUE"""),"MAR")</f>
        <v>MAR</v>
      </c>
      <c r="D851" s="1432">
        <f>IFERROR(__xludf.DUMMYFUNCTION("""COMPUTED_VALUE"""),9.0)</f>
        <v>9</v>
      </c>
      <c r="E851" s="1429">
        <f>IFERROR(__xludf.DUMMYFUNCTION("""COMPUTED_VALUE"""),45540.0)</f>
        <v>45540</v>
      </c>
      <c r="F851" s="1429">
        <f>IFERROR(__xludf.DUMMYFUNCTION("""COMPUTED_VALUE"""),45545.0)</f>
        <v>45545</v>
      </c>
      <c r="G851" s="1164">
        <f>IFERROR(__xludf.DUMMYFUNCTION("""COMPUTED_VALUE"""),5.0)</f>
        <v>5</v>
      </c>
      <c r="H851" s="1430">
        <f>IFERROR(__xludf.DUMMYFUNCTION("""COMPUTED_VALUE"""),278.0)</f>
        <v>278</v>
      </c>
      <c r="I851" s="94">
        <f>IFERROR(__xludf.DUMMYFUNCTION("""COMPUTED_VALUE"""),0.0)</f>
        <v>0</v>
      </c>
      <c r="J851" s="94"/>
      <c r="K851" s="94">
        <f>IFERROR(__xludf.DUMMYFUNCTION("""COMPUTED_VALUE"""),60.0)</f>
        <v>60</v>
      </c>
      <c r="L851" s="94">
        <f>IFERROR(__xludf.DUMMYFUNCTION("""COMPUTED_VALUE"""),40.0)</f>
        <v>40</v>
      </c>
      <c r="M851" s="94">
        <f>IFERROR(__xludf.DUMMYFUNCTION("""COMPUTED_VALUE"""),20.0)</f>
        <v>20</v>
      </c>
      <c r="N851" s="94"/>
      <c r="O851" s="1430">
        <f>IFERROR(__xludf.DUMMYFUNCTION("""COMPUTED_VALUE"""),20.0)</f>
        <v>20</v>
      </c>
      <c r="P851" s="1431">
        <f>IFERROR(__xludf.DUMMYFUNCTION("""COMPUTED_VALUE"""),2.69)</f>
        <v>2.69</v>
      </c>
      <c r="Q851" s="1432">
        <f>IFERROR(__xludf.DUMMYFUNCTION("""COMPUTED_VALUE"""),747.8199999999999)</f>
        <v>747.82</v>
      </c>
    </row>
    <row r="852" ht="15.75" customHeight="1">
      <c r="A852" s="94"/>
      <c r="B852" s="94" t="str">
        <f>IFERROR(__xludf.DUMMYFUNCTION("""COMPUTED_VALUE"""),"DL14-518")</f>
        <v>DL14-518</v>
      </c>
      <c r="C852" s="1429" t="str">
        <f>IFERROR(__xludf.DUMMYFUNCTION("""COMPUTED_VALUE"""),"DL")</f>
        <v>DL</v>
      </c>
      <c r="D852" s="1432">
        <f>IFERROR(__xludf.DUMMYFUNCTION("""COMPUTED_VALUE"""),9.0)</f>
        <v>9</v>
      </c>
      <c r="E852" s="1429">
        <f>IFERROR(__xludf.DUMMYFUNCTION("""COMPUTED_VALUE"""),45540.0)</f>
        <v>45540</v>
      </c>
      <c r="F852" s="1429">
        <f>IFERROR(__xludf.DUMMYFUNCTION("""COMPUTED_VALUE"""),45546.0)</f>
        <v>45546</v>
      </c>
      <c r="G852" s="1164">
        <f>IFERROR(__xludf.DUMMYFUNCTION("""COMPUTED_VALUE"""),6.0)</f>
        <v>6</v>
      </c>
      <c r="H852" s="1430">
        <f>IFERROR(__xludf.DUMMYFUNCTION("""COMPUTED_VALUE"""),450.0)</f>
        <v>450</v>
      </c>
      <c r="I852" s="94">
        <f>IFERROR(__xludf.DUMMYFUNCTION("""COMPUTED_VALUE"""),0.0)</f>
        <v>0</v>
      </c>
      <c r="J852" s="94"/>
      <c r="K852" s="94">
        <f>IFERROR(__xludf.DUMMYFUNCTION("""COMPUTED_VALUE"""),95.0)</f>
        <v>95</v>
      </c>
      <c r="L852" s="94">
        <f>IFERROR(__xludf.DUMMYFUNCTION("""COMPUTED_VALUE"""),95.0)</f>
        <v>95</v>
      </c>
      <c r="M852" s="94">
        <f>IFERROR(__xludf.DUMMYFUNCTION("""COMPUTED_VALUE"""),0.0)</f>
        <v>0</v>
      </c>
      <c r="N852" s="94"/>
      <c r="O852" s="1430">
        <f>IFERROR(__xludf.DUMMYFUNCTION("""COMPUTED_VALUE"""),0.0)</f>
        <v>0</v>
      </c>
      <c r="P852" s="1431">
        <f>IFERROR(__xludf.DUMMYFUNCTION("""COMPUTED_VALUE"""),2.69)</f>
        <v>2.69</v>
      </c>
      <c r="Q852" s="1432">
        <f>IFERROR(__xludf.DUMMYFUNCTION("""COMPUTED_VALUE"""),1210.5)</f>
        <v>1210.5</v>
      </c>
    </row>
    <row r="853" ht="15.75" customHeight="1">
      <c r="A853" s="94"/>
      <c r="B853" s="94" t="str">
        <f>IFERROR(__xludf.DUMMYFUNCTION("""COMPUTED_VALUE"""),"DL 11-1305")</f>
        <v>DL 11-1305</v>
      </c>
      <c r="C853" s="1429" t="str">
        <f>IFERROR(__xludf.DUMMYFUNCTION("""COMPUTED_VALUE"""),"DL")</f>
        <v>DL</v>
      </c>
      <c r="D853" s="1432">
        <f>IFERROR(__xludf.DUMMYFUNCTION("""COMPUTED_VALUE"""),9.0)</f>
        <v>9</v>
      </c>
      <c r="E853" s="1429">
        <f>IFERROR(__xludf.DUMMYFUNCTION("""COMPUTED_VALUE"""),45540.0)</f>
        <v>45540</v>
      </c>
      <c r="F853" s="1429">
        <f>IFERROR(__xludf.DUMMYFUNCTION("""COMPUTED_VALUE"""),45543.0)</f>
        <v>45543</v>
      </c>
      <c r="G853" s="1164">
        <f>IFERROR(__xludf.DUMMYFUNCTION("""COMPUTED_VALUE"""),3.0)</f>
        <v>3</v>
      </c>
      <c r="H853" s="1430">
        <f>IFERROR(__xludf.DUMMYFUNCTION("""COMPUTED_VALUE"""),360.0)</f>
        <v>360</v>
      </c>
      <c r="I853" s="94">
        <f>IFERROR(__xludf.DUMMYFUNCTION("""COMPUTED_VALUE"""),0.0)</f>
        <v>0</v>
      </c>
      <c r="J853" s="94"/>
      <c r="K853" s="94">
        <f>IFERROR(__xludf.DUMMYFUNCTION("""COMPUTED_VALUE"""),105.0)</f>
        <v>105</v>
      </c>
      <c r="L853" s="94">
        <f>IFERROR(__xludf.DUMMYFUNCTION("""COMPUTED_VALUE"""),105.0)</f>
        <v>105</v>
      </c>
      <c r="M853" s="94">
        <f>IFERROR(__xludf.DUMMYFUNCTION("""COMPUTED_VALUE"""),0.0)</f>
        <v>0</v>
      </c>
      <c r="N853" s="94"/>
      <c r="O853" s="1430">
        <f>IFERROR(__xludf.DUMMYFUNCTION("""COMPUTED_VALUE"""),0.0)</f>
        <v>0</v>
      </c>
      <c r="P853" s="1431">
        <f>IFERROR(__xludf.DUMMYFUNCTION("""COMPUTED_VALUE"""),2.69)</f>
        <v>2.69</v>
      </c>
      <c r="Q853" s="1432">
        <f>IFERROR(__xludf.DUMMYFUNCTION("""COMPUTED_VALUE"""),968.4)</f>
        <v>968.4</v>
      </c>
    </row>
    <row r="854" ht="15.75" customHeight="1">
      <c r="A854" s="94"/>
      <c r="B854" s="94" t="str">
        <f>IFERROR(__xludf.DUMMYFUNCTION("""COMPUTED_VALUE"""),"WS В 503")</f>
        <v>WS В 503</v>
      </c>
      <c r="C854" s="1429" t="str">
        <f>IFERROR(__xludf.DUMMYFUNCTION("""COMPUTED_VALUE"""),"WS")</f>
        <v>WS</v>
      </c>
      <c r="D854" s="1432">
        <f>IFERROR(__xludf.DUMMYFUNCTION("""COMPUTED_VALUE"""),9.0)</f>
        <v>9</v>
      </c>
      <c r="E854" s="1429">
        <f>IFERROR(__xludf.DUMMYFUNCTION("""COMPUTED_VALUE"""),45540.0)</f>
        <v>45540</v>
      </c>
      <c r="F854" s="1429">
        <f>IFERROR(__xludf.DUMMYFUNCTION("""COMPUTED_VALUE"""),45543.0)</f>
        <v>45543</v>
      </c>
      <c r="G854" s="1164">
        <f>IFERROR(__xludf.DUMMYFUNCTION("""COMPUTED_VALUE"""),3.0)</f>
        <v>3</v>
      </c>
      <c r="H854" s="94"/>
      <c r="I854" s="94">
        <f>IFERROR(__xludf.DUMMYFUNCTION("""COMPUTED_VALUE"""),620.0)</f>
        <v>620</v>
      </c>
      <c r="J854" s="94"/>
      <c r="K854" s="94">
        <f>IFERROR(__xludf.DUMMYFUNCTION("""COMPUTED_VALUE"""),70.0)</f>
        <v>70</v>
      </c>
      <c r="L854" s="94">
        <f>IFERROR(__xludf.DUMMYFUNCTION("""COMPUTED_VALUE"""),40.0)</f>
        <v>40</v>
      </c>
      <c r="M854" s="94">
        <f>IFERROR(__xludf.DUMMYFUNCTION("""COMPUTED_VALUE"""),30.0)</f>
        <v>30</v>
      </c>
      <c r="N854" s="94"/>
      <c r="O854" s="1430">
        <f>IFERROR(__xludf.DUMMYFUNCTION("""COMPUTED_VALUE"""),30.0)</f>
        <v>30</v>
      </c>
      <c r="P854" s="1431">
        <f>IFERROR(__xludf.DUMMYFUNCTION("""COMPUTED_VALUE"""),2.69)</f>
        <v>2.69</v>
      </c>
      <c r="Q854" s="1432">
        <f>IFERROR(__xludf.DUMMYFUNCTION("""COMPUTED_VALUE"""),620.0)</f>
        <v>620</v>
      </c>
    </row>
    <row r="855" ht="15.75" customHeight="1">
      <c r="A855" s="94"/>
      <c r="B855" s="94" t="str">
        <f>IFERROR(__xludf.DUMMYFUNCTION("""COMPUTED_VALUE"""),"WS  B 405")</f>
        <v>WS  B 405</v>
      </c>
      <c r="C855" s="1429" t="str">
        <f>IFERROR(__xludf.DUMMYFUNCTION("""COMPUTED_VALUE"""),"WS")</f>
        <v>WS</v>
      </c>
      <c r="D855" s="1432">
        <f>IFERROR(__xludf.DUMMYFUNCTION("""COMPUTED_VALUE"""),9.0)</f>
        <v>9</v>
      </c>
      <c r="E855" s="1429">
        <f>IFERROR(__xludf.DUMMYFUNCTION("""COMPUTED_VALUE"""),45541.0)</f>
        <v>45541</v>
      </c>
      <c r="F855" s="1429">
        <f>IFERROR(__xludf.DUMMYFUNCTION("""COMPUTED_VALUE"""),45543.0)</f>
        <v>45543</v>
      </c>
      <c r="G855" s="1164">
        <f>IFERROR(__xludf.DUMMYFUNCTION("""COMPUTED_VALUE"""),2.0)</f>
        <v>2</v>
      </c>
      <c r="H855" s="1430">
        <f>IFERROR(__xludf.DUMMYFUNCTION("""COMPUTED_VALUE"""),137.0)</f>
        <v>137</v>
      </c>
      <c r="I855" s="94">
        <f>IFERROR(__xludf.DUMMYFUNCTION("""COMPUTED_VALUE"""),0.0)</f>
        <v>0</v>
      </c>
      <c r="J855" s="94"/>
      <c r="K855" s="94">
        <f>IFERROR(__xludf.DUMMYFUNCTION("""COMPUTED_VALUE"""),60.0)</f>
        <v>60</v>
      </c>
      <c r="L855" s="94">
        <f>IFERROR(__xludf.DUMMYFUNCTION("""COMPUTED_VALUE"""),40.0)</f>
        <v>40</v>
      </c>
      <c r="M855" s="94">
        <f>IFERROR(__xludf.DUMMYFUNCTION("""COMPUTED_VALUE"""),20.0)</f>
        <v>20</v>
      </c>
      <c r="N855" s="94"/>
      <c r="O855" s="1430">
        <f>IFERROR(__xludf.DUMMYFUNCTION("""COMPUTED_VALUE"""),20.0)</f>
        <v>20</v>
      </c>
      <c r="P855" s="1431">
        <f>IFERROR(__xludf.DUMMYFUNCTION("""COMPUTED_VALUE"""),2.69)</f>
        <v>2.69</v>
      </c>
      <c r="Q855" s="1432">
        <f>IFERROR(__xludf.DUMMYFUNCTION("""COMPUTED_VALUE"""),368.53)</f>
        <v>368.53</v>
      </c>
    </row>
    <row r="856" ht="15.75" customHeight="1">
      <c r="A856" s="94"/>
      <c r="B856" s="94" t="str">
        <f>IFERROR(__xludf.DUMMYFUNCTION("""COMPUTED_VALUE"""),"WS E704")</f>
        <v>WS E704</v>
      </c>
      <c r="C856" s="1429" t="str">
        <f>IFERROR(__xludf.DUMMYFUNCTION("""COMPUTED_VALUE"""),"WS")</f>
        <v>WS</v>
      </c>
      <c r="D856" s="1432">
        <f>IFERROR(__xludf.DUMMYFUNCTION("""COMPUTED_VALUE"""),9.0)</f>
        <v>9</v>
      </c>
      <c r="E856" s="1429">
        <f>IFERROR(__xludf.DUMMYFUNCTION("""COMPUTED_VALUE"""),45541.0)</f>
        <v>45541</v>
      </c>
      <c r="F856" s="1429">
        <f>IFERROR(__xludf.DUMMYFUNCTION("""COMPUTED_VALUE"""),45546.0)</f>
        <v>45546</v>
      </c>
      <c r="G856" s="1164">
        <f>IFERROR(__xludf.DUMMYFUNCTION("""COMPUTED_VALUE"""),5.0)</f>
        <v>5</v>
      </c>
      <c r="H856" s="94"/>
      <c r="I856" s="94">
        <f>IFERROR(__xludf.DUMMYFUNCTION("""COMPUTED_VALUE"""),920.0)</f>
        <v>920</v>
      </c>
      <c r="J856" s="94"/>
      <c r="K856" s="94">
        <f>IFERROR(__xludf.DUMMYFUNCTION("""COMPUTED_VALUE"""),60.0)</f>
        <v>60</v>
      </c>
      <c r="L856" s="94">
        <f>IFERROR(__xludf.DUMMYFUNCTION("""COMPUTED_VALUE"""),40.0)</f>
        <v>40</v>
      </c>
      <c r="M856" s="94">
        <f>IFERROR(__xludf.DUMMYFUNCTION("""COMPUTED_VALUE"""),20.0)</f>
        <v>20</v>
      </c>
      <c r="N856" s="94"/>
      <c r="O856" s="1430">
        <f>IFERROR(__xludf.DUMMYFUNCTION("""COMPUTED_VALUE"""),20.0)</f>
        <v>20</v>
      </c>
      <c r="P856" s="1431">
        <f>IFERROR(__xludf.DUMMYFUNCTION("""COMPUTED_VALUE"""),2.69)</f>
        <v>2.69</v>
      </c>
      <c r="Q856" s="1432">
        <f>IFERROR(__xludf.DUMMYFUNCTION("""COMPUTED_VALUE"""),920.0)</f>
        <v>920</v>
      </c>
    </row>
    <row r="857" ht="15.75" customHeight="1">
      <c r="A857" s="94"/>
      <c r="B857" s="94" t="str">
        <f>IFERROR(__xludf.DUMMYFUNCTION("""COMPUTED_VALUE"""),"WS В 212")</f>
        <v>WS В 212</v>
      </c>
      <c r="C857" s="1429" t="str">
        <f>IFERROR(__xludf.DUMMYFUNCTION("""COMPUTED_VALUE"""),"WS")</f>
        <v>WS</v>
      </c>
      <c r="D857" s="1432">
        <f>IFERROR(__xludf.DUMMYFUNCTION("""COMPUTED_VALUE"""),9.0)</f>
        <v>9</v>
      </c>
      <c r="E857" s="1429">
        <f>IFERROR(__xludf.DUMMYFUNCTION("""COMPUTED_VALUE"""),45541.0)</f>
        <v>45541</v>
      </c>
      <c r="F857" s="1429">
        <f>IFERROR(__xludf.DUMMYFUNCTION("""COMPUTED_VALUE"""),45552.0)</f>
        <v>45552</v>
      </c>
      <c r="G857" s="1164">
        <f>IFERROR(__xludf.DUMMYFUNCTION("""COMPUTED_VALUE"""),11.0)</f>
        <v>11</v>
      </c>
      <c r="H857" s="1430">
        <f>IFERROR(__xludf.DUMMYFUNCTION("""COMPUTED_VALUE"""),1120.0)</f>
        <v>1120</v>
      </c>
      <c r="I857" s="94">
        <f>IFERROR(__xludf.DUMMYFUNCTION("""COMPUTED_VALUE"""),0.0)</f>
        <v>0</v>
      </c>
      <c r="J857" s="94"/>
      <c r="K857" s="94">
        <f>IFERROR(__xludf.DUMMYFUNCTION("""COMPUTED_VALUE"""),70.0)</f>
        <v>70</v>
      </c>
      <c r="L857" s="94">
        <f>IFERROR(__xludf.DUMMYFUNCTION("""COMPUTED_VALUE"""),40.0)</f>
        <v>40</v>
      </c>
      <c r="M857" s="94">
        <f>IFERROR(__xludf.DUMMYFUNCTION("""COMPUTED_VALUE"""),30.0)</f>
        <v>30</v>
      </c>
      <c r="N857" s="94"/>
      <c r="O857" s="1430">
        <f>IFERROR(__xludf.DUMMYFUNCTION("""COMPUTED_VALUE"""),30.0)</f>
        <v>30</v>
      </c>
      <c r="P857" s="1431">
        <f>IFERROR(__xludf.DUMMYFUNCTION("""COMPUTED_VALUE"""),2.69)</f>
        <v>2.69</v>
      </c>
      <c r="Q857" s="1432">
        <f>IFERROR(__xludf.DUMMYFUNCTION("""COMPUTED_VALUE"""),3012.7999999999997)</f>
        <v>3012.8</v>
      </c>
    </row>
    <row r="858" ht="15.75" customHeight="1">
      <c r="A858" s="94"/>
      <c r="B858" s="94" t="str">
        <f>IFERROR(__xludf.DUMMYFUNCTION("""COMPUTED_VALUE"""),"Steps 510")</f>
        <v>Steps 510</v>
      </c>
      <c r="C858" s="1429" t="str">
        <f>IFERROR(__xludf.DUMMYFUNCTION("""COMPUTED_VALUE"""),"#N/A")</f>
        <v>#N/A</v>
      </c>
      <c r="D858" s="1432">
        <f>IFERROR(__xludf.DUMMYFUNCTION("""COMPUTED_VALUE"""),9.0)</f>
        <v>9</v>
      </c>
      <c r="E858" s="1429">
        <f>IFERROR(__xludf.DUMMYFUNCTION("""COMPUTED_VALUE"""),45541.0)</f>
        <v>45541</v>
      </c>
      <c r="F858" s="1429">
        <f>IFERROR(__xludf.DUMMYFUNCTION("""COMPUTED_VALUE"""),45544.0)</f>
        <v>45544</v>
      </c>
      <c r="G858" s="1164">
        <f>IFERROR(__xludf.DUMMYFUNCTION("""COMPUTED_VALUE"""),3.0)</f>
        <v>3</v>
      </c>
      <c r="H858" s="94"/>
      <c r="I858" s="94">
        <f>IFERROR(__xludf.DUMMYFUNCTION("""COMPUTED_VALUE"""),281.0)</f>
        <v>281</v>
      </c>
      <c r="J858" s="94"/>
      <c r="K858" s="94">
        <f>IFERROR(__xludf.DUMMYFUNCTION("""COMPUTED_VALUE"""),70.0)</f>
        <v>70</v>
      </c>
      <c r="L858" s="94">
        <f>IFERROR(__xludf.DUMMYFUNCTION("""COMPUTED_VALUE"""),40.0)</f>
        <v>40</v>
      </c>
      <c r="M858" s="94">
        <f>IFERROR(__xludf.DUMMYFUNCTION("""COMPUTED_VALUE"""),30.0)</f>
        <v>30</v>
      </c>
      <c r="N858" s="94"/>
      <c r="O858" s="1430">
        <f>IFERROR(__xludf.DUMMYFUNCTION("""COMPUTED_VALUE"""),30.0)</f>
        <v>30</v>
      </c>
      <c r="P858" s="1431">
        <f>IFERROR(__xludf.DUMMYFUNCTION("""COMPUTED_VALUE"""),2.69)</f>
        <v>2.69</v>
      </c>
      <c r="Q858" s="1432">
        <f>IFERROR(__xludf.DUMMYFUNCTION("""COMPUTED_VALUE"""),281.0)</f>
        <v>281</v>
      </c>
    </row>
    <row r="859" ht="15.75" customHeight="1">
      <c r="A859" s="94"/>
      <c r="B859" s="94" t="str">
        <f>IFERROR(__xludf.DUMMYFUNCTION("""COMPUTED_VALUE"""),"Int 2905")</f>
        <v>Int 2905</v>
      </c>
      <c r="C859" s="1429" t="str">
        <f>IFERROR(__xludf.DUMMYFUNCTION("""COMPUTED_VALUE"""),"Other")</f>
        <v>Other</v>
      </c>
      <c r="D859" s="1432">
        <f>IFERROR(__xludf.DUMMYFUNCTION("""COMPUTED_VALUE"""),9.0)</f>
        <v>9</v>
      </c>
      <c r="E859" s="1429">
        <f>IFERROR(__xludf.DUMMYFUNCTION("""COMPUTED_VALUE"""),45541.0)</f>
        <v>45541</v>
      </c>
      <c r="F859" s="1429">
        <f>IFERROR(__xludf.DUMMYFUNCTION("""COMPUTED_VALUE"""),45543.0)</f>
        <v>45543</v>
      </c>
      <c r="G859" s="1164">
        <f>IFERROR(__xludf.DUMMYFUNCTION("""COMPUTED_VALUE"""),2.0)</f>
        <v>2</v>
      </c>
      <c r="H859" s="1430">
        <f>IFERROR(__xludf.DUMMYFUNCTION("""COMPUTED_VALUE"""),101.0)</f>
        <v>101</v>
      </c>
      <c r="I859" s="94">
        <f>IFERROR(__xludf.DUMMYFUNCTION("""COMPUTED_VALUE"""),0.0)</f>
        <v>0</v>
      </c>
      <c r="J859" s="94"/>
      <c r="K859" s="94">
        <f>IFERROR(__xludf.DUMMYFUNCTION("""COMPUTED_VALUE"""),60.0)</f>
        <v>60</v>
      </c>
      <c r="L859" s="94">
        <f>IFERROR(__xludf.DUMMYFUNCTION("""COMPUTED_VALUE"""),40.0)</f>
        <v>40</v>
      </c>
      <c r="M859" s="94">
        <f>IFERROR(__xludf.DUMMYFUNCTION("""COMPUTED_VALUE"""),20.0)</f>
        <v>20</v>
      </c>
      <c r="N859" s="94"/>
      <c r="O859" s="1430">
        <f>IFERROR(__xludf.DUMMYFUNCTION("""COMPUTED_VALUE"""),20.0)</f>
        <v>20</v>
      </c>
      <c r="P859" s="1431">
        <f>IFERROR(__xludf.DUMMYFUNCTION("""COMPUTED_VALUE"""),2.69)</f>
        <v>2.69</v>
      </c>
      <c r="Q859" s="1432">
        <f>IFERROR(__xludf.DUMMYFUNCTION("""COMPUTED_VALUE"""),271.69)</f>
        <v>271.69</v>
      </c>
    </row>
    <row r="860" ht="15.75" customHeight="1">
      <c r="A860" s="94"/>
      <c r="B860" s="94" t="str">
        <f>IFERROR(__xludf.DUMMYFUNCTION("""COMPUTED_VALUE"""),"WS A907")</f>
        <v>WS A907</v>
      </c>
      <c r="C860" s="1429" t="str">
        <f>IFERROR(__xludf.DUMMYFUNCTION("""COMPUTED_VALUE"""),"WS")</f>
        <v>WS</v>
      </c>
      <c r="D860" s="1432">
        <f>IFERROR(__xludf.DUMMYFUNCTION("""COMPUTED_VALUE"""),9.0)</f>
        <v>9</v>
      </c>
      <c r="E860" s="1429">
        <f>IFERROR(__xludf.DUMMYFUNCTION("""COMPUTED_VALUE"""),45541.0)</f>
        <v>45541</v>
      </c>
      <c r="F860" s="1429">
        <f>IFERROR(__xludf.DUMMYFUNCTION("""COMPUTED_VALUE"""),45545.0)</f>
        <v>45545</v>
      </c>
      <c r="G860" s="1164">
        <f>IFERROR(__xludf.DUMMYFUNCTION("""COMPUTED_VALUE"""),4.0)</f>
        <v>4</v>
      </c>
      <c r="H860" s="1430">
        <f>IFERROR(__xludf.DUMMYFUNCTION("""COMPUTED_VALUE"""),180.0)</f>
        <v>180</v>
      </c>
      <c r="I860" s="94">
        <f>IFERROR(__xludf.DUMMYFUNCTION("""COMPUTED_VALUE"""),0.0)</f>
        <v>0</v>
      </c>
      <c r="J860" s="94"/>
      <c r="K860" s="94">
        <f>IFERROR(__xludf.DUMMYFUNCTION("""COMPUTED_VALUE"""),60.0)</f>
        <v>60</v>
      </c>
      <c r="L860" s="94">
        <f>IFERROR(__xludf.DUMMYFUNCTION("""COMPUTED_VALUE"""),40.0)</f>
        <v>40</v>
      </c>
      <c r="M860" s="94">
        <f>IFERROR(__xludf.DUMMYFUNCTION("""COMPUTED_VALUE"""),20.0)</f>
        <v>20</v>
      </c>
      <c r="N860" s="94"/>
      <c r="O860" s="1430">
        <f>IFERROR(__xludf.DUMMYFUNCTION("""COMPUTED_VALUE"""),20.0)</f>
        <v>20</v>
      </c>
      <c r="P860" s="1431">
        <f>IFERROR(__xludf.DUMMYFUNCTION("""COMPUTED_VALUE"""),2.69)</f>
        <v>2.69</v>
      </c>
      <c r="Q860" s="1432">
        <f>IFERROR(__xludf.DUMMYFUNCTION("""COMPUTED_VALUE"""),484.2)</f>
        <v>484.2</v>
      </c>
    </row>
    <row r="861" ht="15.75" customHeight="1">
      <c r="A861" s="94"/>
      <c r="B861" s="94" t="str">
        <f>IFERROR(__xludf.DUMMYFUNCTION("""COMPUTED_VALUE"""),"DL 14-516")</f>
        <v>DL 14-516</v>
      </c>
      <c r="C861" s="1429" t="str">
        <f>IFERROR(__xludf.DUMMYFUNCTION("""COMPUTED_VALUE"""),"DL")</f>
        <v>DL</v>
      </c>
      <c r="D861" s="1432">
        <f>IFERROR(__xludf.DUMMYFUNCTION("""COMPUTED_VALUE"""),9.0)</f>
        <v>9</v>
      </c>
      <c r="E861" s="1429">
        <f>IFERROR(__xludf.DUMMYFUNCTION("""COMPUTED_VALUE"""),45541.0)</f>
        <v>45541</v>
      </c>
      <c r="F861" s="1429">
        <f>IFERROR(__xludf.DUMMYFUNCTION("""COMPUTED_VALUE"""),45543.0)</f>
        <v>45543</v>
      </c>
      <c r="G861" s="1164">
        <f>IFERROR(__xludf.DUMMYFUNCTION("""COMPUTED_VALUE"""),2.0)</f>
        <v>2</v>
      </c>
      <c r="H861" s="1430">
        <f>IFERROR(__xludf.DUMMYFUNCTION("""COMPUTED_VALUE"""),200.0)</f>
        <v>200</v>
      </c>
      <c r="I861" s="94">
        <f>IFERROR(__xludf.DUMMYFUNCTION("""COMPUTED_VALUE"""),100.0)</f>
        <v>100</v>
      </c>
      <c r="J861" s="94"/>
      <c r="K861" s="94">
        <f>IFERROR(__xludf.DUMMYFUNCTION("""COMPUTED_VALUE"""),105.0)</f>
        <v>105</v>
      </c>
      <c r="L861" s="94">
        <f>IFERROR(__xludf.DUMMYFUNCTION("""COMPUTED_VALUE"""),105.0)</f>
        <v>105</v>
      </c>
      <c r="M861" s="94">
        <f>IFERROR(__xludf.DUMMYFUNCTION("""COMPUTED_VALUE"""),0.0)</f>
        <v>0</v>
      </c>
      <c r="N861" s="94"/>
      <c r="O861" s="1430">
        <f>IFERROR(__xludf.DUMMYFUNCTION("""COMPUTED_VALUE"""),0.0)</f>
        <v>0</v>
      </c>
      <c r="P861" s="1431">
        <f>IFERROR(__xludf.DUMMYFUNCTION("""COMPUTED_VALUE"""),2.69)</f>
        <v>2.69</v>
      </c>
      <c r="Q861" s="1432">
        <f>IFERROR(__xludf.DUMMYFUNCTION("""COMPUTED_VALUE"""),638.0)</f>
        <v>638</v>
      </c>
    </row>
    <row r="862" ht="15.75" customHeight="1">
      <c r="A862" s="94"/>
      <c r="B862" s="94" t="str">
        <f>IFERROR(__xludf.DUMMYFUNCTION("""COMPUTED_VALUE"""),"DL14-1405")</f>
        <v>DL14-1405</v>
      </c>
      <c r="C862" s="1429" t="str">
        <f>IFERROR(__xludf.DUMMYFUNCTION("""COMPUTED_VALUE"""),"DL")</f>
        <v>DL</v>
      </c>
      <c r="D862" s="1432">
        <f>IFERROR(__xludf.DUMMYFUNCTION("""COMPUTED_VALUE"""),9.0)</f>
        <v>9</v>
      </c>
      <c r="E862" s="1429">
        <f>IFERROR(__xludf.DUMMYFUNCTION("""COMPUTED_VALUE"""),45542.0)</f>
        <v>45542</v>
      </c>
      <c r="F862" s="1429">
        <f>IFERROR(__xludf.DUMMYFUNCTION("""COMPUTED_VALUE"""),45549.0)</f>
        <v>45549</v>
      </c>
      <c r="G862" s="1164">
        <f>IFERROR(__xludf.DUMMYFUNCTION("""COMPUTED_VALUE"""),7.0)</f>
        <v>7</v>
      </c>
      <c r="H862" s="94"/>
      <c r="I862" s="94">
        <f>IFERROR(__xludf.DUMMYFUNCTION("""COMPUTED_VALUE"""),2090.0)</f>
        <v>2090</v>
      </c>
      <c r="J862" s="94"/>
      <c r="K862" s="94">
        <f>IFERROR(__xludf.DUMMYFUNCTION("""COMPUTED_VALUE"""),105.0)</f>
        <v>105</v>
      </c>
      <c r="L862" s="94">
        <f>IFERROR(__xludf.DUMMYFUNCTION("""COMPUTED_VALUE"""),105.0)</f>
        <v>105</v>
      </c>
      <c r="M862" s="94">
        <f>IFERROR(__xludf.DUMMYFUNCTION("""COMPUTED_VALUE"""),0.0)</f>
        <v>0</v>
      </c>
      <c r="N862" s="94"/>
      <c r="O862" s="1430">
        <f>IFERROR(__xludf.DUMMYFUNCTION("""COMPUTED_VALUE"""),0.0)</f>
        <v>0</v>
      </c>
      <c r="P862" s="1431">
        <f>IFERROR(__xludf.DUMMYFUNCTION("""COMPUTED_VALUE"""),2.69)</f>
        <v>2.69</v>
      </c>
      <c r="Q862" s="1432">
        <f>IFERROR(__xludf.DUMMYFUNCTION("""COMPUTED_VALUE"""),2090.0)</f>
        <v>2090</v>
      </c>
    </row>
    <row r="863" ht="15.75" customHeight="1">
      <c r="A863" s="94"/>
      <c r="B863" s="94" t="str">
        <f>IFERROR(__xludf.DUMMYFUNCTION("""COMPUTED_VALUE"""),"CM 1604")</f>
        <v>CM 1604</v>
      </c>
      <c r="C863" s="1429" t="str">
        <f>IFERROR(__xludf.DUMMYFUNCTION("""COMPUTED_VALUE"""),"MAR")</f>
        <v>MAR</v>
      </c>
      <c r="D863" s="1432">
        <f>IFERROR(__xludf.DUMMYFUNCTION("""COMPUTED_VALUE"""),9.0)</f>
        <v>9</v>
      </c>
      <c r="E863" s="1429">
        <f>IFERROR(__xludf.DUMMYFUNCTION("""COMPUTED_VALUE"""),45542.0)</f>
        <v>45542</v>
      </c>
      <c r="F863" s="1429">
        <f>IFERROR(__xludf.DUMMYFUNCTION("""COMPUTED_VALUE"""),45547.0)</f>
        <v>45547</v>
      </c>
      <c r="G863" s="1164">
        <f>IFERROR(__xludf.DUMMYFUNCTION("""COMPUTED_VALUE"""),5.0)</f>
        <v>5</v>
      </c>
      <c r="H863" s="1430">
        <f>IFERROR(__xludf.DUMMYFUNCTION("""COMPUTED_VALUE"""),340.0)</f>
        <v>340</v>
      </c>
      <c r="I863" s="94">
        <f>IFERROR(__xludf.DUMMYFUNCTION("""COMPUTED_VALUE"""),0.0)</f>
        <v>0</v>
      </c>
      <c r="J863" s="94"/>
      <c r="K863" s="94">
        <f>IFERROR(__xludf.DUMMYFUNCTION("""COMPUTED_VALUE"""),70.0)</f>
        <v>70</v>
      </c>
      <c r="L863" s="94">
        <f>IFERROR(__xludf.DUMMYFUNCTION("""COMPUTED_VALUE"""),40.0)</f>
        <v>40</v>
      </c>
      <c r="M863" s="94">
        <f>IFERROR(__xludf.DUMMYFUNCTION("""COMPUTED_VALUE"""),30.0)</f>
        <v>30</v>
      </c>
      <c r="N863" s="94"/>
      <c r="O863" s="1430">
        <f>IFERROR(__xludf.DUMMYFUNCTION("""COMPUTED_VALUE"""),30.0)</f>
        <v>30</v>
      </c>
      <c r="P863" s="1431">
        <f>IFERROR(__xludf.DUMMYFUNCTION("""COMPUTED_VALUE"""),2.69)</f>
        <v>2.69</v>
      </c>
      <c r="Q863" s="1432">
        <f>IFERROR(__xludf.DUMMYFUNCTION("""COMPUTED_VALUE"""),914.6)</f>
        <v>914.6</v>
      </c>
    </row>
    <row r="864" ht="15.75" customHeight="1">
      <c r="A864" s="94"/>
      <c r="B864" s="94" t="str">
        <f>IFERROR(__xludf.DUMMYFUNCTION("""COMPUTED_VALUE"""),"CM 1931")</f>
        <v>CM 1931</v>
      </c>
      <c r="C864" s="1429" t="str">
        <f>IFERROR(__xludf.DUMMYFUNCTION("""COMPUTED_VALUE"""),"MAR")</f>
        <v>MAR</v>
      </c>
      <c r="D864" s="1432">
        <f>IFERROR(__xludf.DUMMYFUNCTION("""COMPUTED_VALUE"""),9.0)</f>
        <v>9</v>
      </c>
      <c r="E864" s="1429">
        <f>IFERROR(__xludf.DUMMYFUNCTION("""COMPUTED_VALUE"""),45542.0)</f>
        <v>45542</v>
      </c>
      <c r="F864" s="1429">
        <f>IFERROR(__xludf.DUMMYFUNCTION("""COMPUTED_VALUE"""),45545.0)</f>
        <v>45545</v>
      </c>
      <c r="G864" s="1164">
        <f>IFERROR(__xludf.DUMMYFUNCTION("""COMPUTED_VALUE"""),3.0)</f>
        <v>3</v>
      </c>
      <c r="H864" s="1430">
        <f>IFERROR(__xludf.DUMMYFUNCTION("""COMPUTED_VALUE"""),130.0)</f>
        <v>130</v>
      </c>
      <c r="I864" s="94">
        <f>IFERROR(__xludf.DUMMYFUNCTION("""COMPUTED_VALUE"""),0.0)</f>
        <v>0</v>
      </c>
      <c r="J864" s="94"/>
      <c r="K864" s="94">
        <f>IFERROR(__xludf.DUMMYFUNCTION("""COMPUTED_VALUE"""),60.0)</f>
        <v>60</v>
      </c>
      <c r="L864" s="94">
        <f>IFERROR(__xludf.DUMMYFUNCTION("""COMPUTED_VALUE"""),40.0)</f>
        <v>40</v>
      </c>
      <c r="M864" s="94">
        <f>IFERROR(__xludf.DUMMYFUNCTION("""COMPUTED_VALUE"""),20.0)</f>
        <v>20</v>
      </c>
      <c r="N864" s="94"/>
      <c r="O864" s="1430">
        <f>IFERROR(__xludf.DUMMYFUNCTION("""COMPUTED_VALUE"""),20.0)</f>
        <v>20</v>
      </c>
      <c r="P864" s="1431">
        <f>IFERROR(__xludf.DUMMYFUNCTION("""COMPUTED_VALUE"""),2.69)</f>
        <v>2.69</v>
      </c>
      <c r="Q864" s="1432">
        <f>IFERROR(__xludf.DUMMYFUNCTION("""COMPUTED_VALUE"""),349.7)</f>
        <v>349.7</v>
      </c>
    </row>
    <row r="865" ht="15.75" customHeight="1">
      <c r="A865" s="94"/>
      <c r="B865" s="94" t="str">
        <f>IFERROR(__xludf.DUMMYFUNCTION("""COMPUTED_VALUE"""),"WS A 409")</f>
        <v>WS A 409</v>
      </c>
      <c r="C865" s="1429" t="str">
        <f>IFERROR(__xludf.DUMMYFUNCTION("""COMPUTED_VALUE"""),"WS")</f>
        <v>WS</v>
      </c>
      <c r="D865" s="1432">
        <f>IFERROR(__xludf.DUMMYFUNCTION("""COMPUTED_VALUE"""),9.0)</f>
        <v>9</v>
      </c>
      <c r="E865" s="1429">
        <f>IFERROR(__xludf.DUMMYFUNCTION("""COMPUTED_VALUE"""),45542.0)</f>
        <v>45542</v>
      </c>
      <c r="F865" s="1429">
        <f>IFERROR(__xludf.DUMMYFUNCTION("""COMPUTED_VALUE"""),45544.0)</f>
        <v>45544</v>
      </c>
      <c r="G865" s="1164">
        <f>IFERROR(__xludf.DUMMYFUNCTION("""COMPUTED_VALUE"""),2.0)</f>
        <v>2</v>
      </c>
      <c r="H865" s="1430">
        <f>IFERROR(__xludf.DUMMYFUNCTION("""COMPUTED_VALUE"""),90.0)</f>
        <v>90</v>
      </c>
      <c r="I865" s="94">
        <f>IFERROR(__xludf.DUMMYFUNCTION("""COMPUTED_VALUE"""),0.0)</f>
        <v>0</v>
      </c>
      <c r="J865" s="94"/>
      <c r="K865" s="94">
        <f>IFERROR(__xludf.DUMMYFUNCTION("""COMPUTED_VALUE"""),60.0)</f>
        <v>60</v>
      </c>
      <c r="L865" s="94">
        <f>IFERROR(__xludf.DUMMYFUNCTION("""COMPUTED_VALUE"""),40.0)</f>
        <v>40</v>
      </c>
      <c r="M865" s="94">
        <f>IFERROR(__xludf.DUMMYFUNCTION("""COMPUTED_VALUE"""),20.0)</f>
        <v>20</v>
      </c>
      <c r="N865" s="94"/>
      <c r="O865" s="1430">
        <f>IFERROR(__xludf.DUMMYFUNCTION("""COMPUTED_VALUE"""),20.0)</f>
        <v>20</v>
      </c>
      <c r="P865" s="1431">
        <f>IFERROR(__xludf.DUMMYFUNCTION("""COMPUTED_VALUE"""),2.69)</f>
        <v>2.69</v>
      </c>
      <c r="Q865" s="1432">
        <f>IFERROR(__xludf.DUMMYFUNCTION("""COMPUTED_VALUE"""),242.1)</f>
        <v>242.1</v>
      </c>
    </row>
    <row r="866" ht="15.75" customHeight="1">
      <c r="A866" s="94"/>
      <c r="B866" s="94" t="str">
        <f>IFERROR(__xludf.DUMMYFUNCTION("""COMPUTED_VALUE"""),"WS E 1202")</f>
        <v>WS E 1202</v>
      </c>
      <c r="C866" s="1429" t="str">
        <f>IFERROR(__xludf.DUMMYFUNCTION("""COMPUTED_VALUE"""),"WS")</f>
        <v>WS</v>
      </c>
      <c r="D866" s="1432">
        <f>IFERROR(__xludf.DUMMYFUNCTION("""COMPUTED_VALUE"""),9.0)</f>
        <v>9</v>
      </c>
      <c r="E866" s="1429">
        <f>IFERROR(__xludf.DUMMYFUNCTION("""COMPUTED_VALUE"""),45542.0)</f>
        <v>45542</v>
      </c>
      <c r="F866" s="1429">
        <f>IFERROR(__xludf.DUMMYFUNCTION("""COMPUTED_VALUE"""),45546.0)</f>
        <v>45546</v>
      </c>
      <c r="G866" s="1164">
        <f>IFERROR(__xludf.DUMMYFUNCTION("""COMPUTED_VALUE"""),4.0)</f>
        <v>4</v>
      </c>
      <c r="H866" s="1430">
        <f>IFERROR(__xludf.DUMMYFUNCTION("""COMPUTED_VALUE"""),243.0)</f>
        <v>243</v>
      </c>
      <c r="I866" s="94">
        <f>IFERROR(__xludf.DUMMYFUNCTION("""COMPUTED_VALUE"""),0.0)</f>
        <v>0</v>
      </c>
      <c r="J866" s="94"/>
      <c r="K866" s="94">
        <f>IFERROR(__xludf.DUMMYFUNCTION("""COMPUTED_VALUE"""),70.0)</f>
        <v>70</v>
      </c>
      <c r="L866" s="94">
        <f>IFERROR(__xludf.DUMMYFUNCTION("""COMPUTED_VALUE"""),40.0)</f>
        <v>40</v>
      </c>
      <c r="M866" s="94">
        <f>IFERROR(__xludf.DUMMYFUNCTION("""COMPUTED_VALUE"""),30.0)</f>
        <v>30</v>
      </c>
      <c r="N866" s="94"/>
      <c r="O866" s="1430">
        <f>IFERROR(__xludf.DUMMYFUNCTION("""COMPUTED_VALUE"""),30.0)</f>
        <v>30</v>
      </c>
      <c r="P866" s="1431">
        <f>IFERROR(__xludf.DUMMYFUNCTION("""COMPUTED_VALUE"""),2.69)</f>
        <v>2.69</v>
      </c>
      <c r="Q866" s="1432">
        <f>IFERROR(__xludf.DUMMYFUNCTION("""COMPUTED_VALUE"""),653.67)</f>
        <v>653.67</v>
      </c>
    </row>
    <row r="867" ht="15.75" customHeight="1">
      <c r="A867" s="94"/>
      <c r="B867" s="94" t="str">
        <f>IFERROR(__xludf.DUMMYFUNCTION("""COMPUTED_VALUE"""),"WS E1405")</f>
        <v>WS E1405</v>
      </c>
      <c r="C867" s="1429" t="str">
        <f>IFERROR(__xludf.DUMMYFUNCTION("""COMPUTED_VALUE"""),"WS")</f>
        <v>WS</v>
      </c>
      <c r="D867" s="1432">
        <f>IFERROR(__xludf.DUMMYFUNCTION("""COMPUTED_VALUE"""),9.0)</f>
        <v>9</v>
      </c>
      <c r="E867" s="1429">
        <f>IFERROR(__xludf.DUMMYFUNCTION("""COMPUTED_VALUE"""),45542.0)</f>
        <v>45542</v>
      </c>
      <c r="F867" s="1429">
        <f>IFERROR(__xludf.DUMMYFUNCTION("""COMPUTED_VALUE"""),45544.0)</f>
        <v>45544</v>
      </c>
      <c r="G867" s="1164">
        <f>IFERROR(__xludf.DUMMYFUNCTION("""COMPUTED_VALUE"""),2.0)</f>
        <v>2</v>
      </c>
      <c r="H867" s="1430">
        <f>IFERROR(__xludf.DUMMYFUNCTION("""COMPUTED_VALUE"""),94.0)</f>
        <v>94</v>
      </c>
      <c r="I867" s="94">
        <f>IFERROR(__xludf.DUMMYFUNCTION("""COMPUTED_VALUE"""),0.0)</f>
        <v>0</v>
      </c>
      <c r="J867" s="94"/>
      <c r="K867" s="94">
        <f>IFERROR(__xludf.DUMMYFUNCTION("""COMPUTED_VALUE"""),60.0)</f>
        <v>60</v>
      </c>
      <c r="L867" s="94">
        <f>IFERROR(__xludf.DUMMYFUNCTION("""COMPUTED_VALUE"""),40.0)</f>
        <v>40</v>
      </c>
      <c r="M867" s="94">
        <f>IFERROR(__xludf.DUMMYFUNCTION("""COMPUTED_VALUE"""),20.0)</f>
        <v>20</v>
      </c>
      <c r="N867" s="94"/>
      <c r="O867" s="1430">
        <f>IFERROR(__xludf.DUMMYFUNCTION("""COMPUTED_VALUE"""),20.0)</f>
        <v>20</v>
      </c>
      <c r="P867" s="1431">
        <f>IFERROR(__xludf.DUMMYFUNCTION("""COMPUTED_VALUE"""),2.69)</f>
        <v>2.69</v>
      </c>
      <c r="Q867" s="1432">
        <f>IFERROR(__xludf.DUMMYFUNCTION("""COMPUTED_VALUE"""),252.85999999999999)</f>
        <v>252.86</v>
      </c>
    </row>
    <row r="868" ht="15.75" customHeight="1">
      <c r="A868" s="94"/>
      <c r="B868" s="94" t="str">
        <f>IFERROR(__xludf.DUMMYFUNCTION("""COMPUTED_VALUE"""),"WS А 908")</f>
        <v>WS А 908</v>
      </c>
      <c r="C868" s="1429" t="str">
        <f>IFERROR(__xludf.DUMMYFUNCTION("""COMPUTED_VALUE"""),"WS")</f>
        <v>WS</v>
      </c>
      <c r="D868" s="1432">
        <f>IFERROR(__xludf.DUMMYFUNCTION("""COMPUTED_VALUE"""),9.0)</f>
        <v>9</v>
      </c>
      <c r="E868" s="1429">
        <f>IFERROR(__xludf.DUMMYFUNCTION("""COMPUTED_VALUE"""),45542.0)</f>
        <v>45542</v>
      </c>
      <c r="F868" s="1429">
        <f>IFERROR(__xludf.DUMMYFUNCTION("""COMPUTED_VALUE"""),45543.0)</f>
        <v>45543</v>
      </c>
      <c r="G868" s="1164">
        <f>IFERROR(__xludf.DUMMYFUNCTION("""COMPUTED_VALUE"""),1.0)</f>
        <v>1</v>
      </c>
      <c r="H868" s="1430">
        <f>IFERROR(__xludf.DUMMYFUNCTION("""COMPUTED_VALUE"""),65.0)</f>
        <v>65</v>
      </c>
      <c r="I868" s="94">
        <f>IFERROR(__xludf.DUMMYFUNCTION("""COMPUTED_VALUE"""),0.0)</f>
        <v>0</v>
      </c>
      <c r="J868" s="94"/>
      <c r="K868" s="94">
        <f>IFERROR(__xludf.DUMMYFUNCTION("""COMPUTED_VALUE"""),60.0)</f>
        <v>60</v>
      </c>
      <c r="L868" s="94">
        <f>IFERROR(__xludf.DUMMYFUNCTION("""COMPUTED_VALUE"""),40.0)</f>
        <v>40</v>
      </c>
      <c r="M868" s="94">
        <f>IFERROR(__xludf.DUMMYFUNCTION("""COMPUTED_VALUE"""),20.0)</f>
        <v>20</v>
      </c>
      <c r="N868" s="94"/>
      <c r="O868" s="1430">
        <f>IFERROR(__xludf.DUMMYFUNCTION("""COMPUTED_VALUE"""),20.0)</f>
        <v>20</v>
      </c>
      <c r="P868" s="1431">
        <f>IFERROR(__xludf.DUMMYFUNCTION("""COMPUTED_VALUE"""),2.69)</f>
        <v>2.69</v>
      </c>
      <c r="Q868" s="1432">
        <f>IFERROR(__xludf.DUMMYFUNCTION("""COMPUTED_VALUE"""),174.85)</f>
        <v>174.85</v>
      </c>
    </row>
    <row r="869" ht="15.75" customHeight="1">
      <c r="A869" s="94"/>
      <c r="B869" s="94" t="str">
        <f>IFERROR(__xludf.DUMMYFUNCTION("""COMPUTED_VALUE"""),"WS А 908")</f>
        <v>WS А 908</v>
      </c>
      <c r="C869" s="1429" t="str">
        <f>IFERROR(__xludf.DUMMYFUNCTION("""COMPUTED_VALUE"""),"WS")</f>
        <v>WS</v>
      </c>
      <c r="D869" s="1432">
        <f>IFERROR(__xludf.DUMMYFUNCTION("""COMPUTED_VALUE"""),9.0)</f>
        <v>9</v>
      </c>
      <c r="E869" s="1429">
        <f>IFERROR(__xludf.DUMMYFUNCTION("""COMPUTED_VALUE"""),45543.0)</f>
        <v>45543</v>
      </c>
      <c r="F869" s="1429">
        <f>IFERROR(__xludf.DUMMYFUNCTION("""COMPUTED_VALUE"""),45545.0)</f>
        <v>45545</v>
      </c>
      <c r="G869" s="1164">
        <f>IFERROR(__xludf.DUMMYFUNCTION("""COMPUTED_VALUE"""),2.0)</f>
        <v>2</v>
      </c>
      <c r="H869" s="1430">
        <f>IFERROR(__xludf.DUMMYFUNCTION("""COMPUTED_VALUE"""),103.0)</f>
        <v>103</v>
      </c>
      <c r="I869" s="94">
        <f>IFERROR(__xludf.DUMMYFUNCTION("""COMPUTED_VALUE"""),0.0)</f>
        <v>0</v>
      </c>
      <c r="J869" s="94"/>
      <c r="K869" s="94">
        <f>IFERROR(__xludf.DUMMYFUNCTION("""COMPUTED_VALUE"""),60.0)</f>
        <v>60</v>
      </c>
      <c r="L869" s="94">
        <f>IFERROR(__xludf.DUMMYFUNCTION("""COMPUTED_VALUE"""),40.0)</f>
        <v>40</v>
      </c>
      <c r="M869" s="94">
        <f>IFERROR(__xludf.DUMMYFUNCTION("""COMPUTED_VALUE"""),20.0)</f>
        <v>20</v>
      </c>
      <c r="N869" s="94"/>
      <c r="O869" s="1430">
        <f>IFERROR(__xludf.DUMMYFUNCTION("""COMPUTED_VALUE"""),20.0)</f>
        <v>20</v>
      </c>
      <c r="P869" s="1431">
        <f>IFERROR(__xludf.DUMMYFUNCTION("""COMPUTED_VALUE"""),2.69)</f>
        <v>2.69</v>
      </c>
      <c r="Q869" s="1432">
        <f>IFERROR(__xludf.DUMMYFUNCTION("""COMPUTED_VALUE"""),277.07)</f>
        <v>277.07</v>
      </c>
    </row>
    <row r="870" ht="15.75" customHeight="1">
      <c r="A870" s="94"/>
      <c r="B870" s="94" t="str">
        <f>IFERROR(__xludf.DUMMYFUNCTION("""COMPUTED_VALUE"""),"WS В 503")</f>
        <v>WS В 503</v>
      </c>
      <c r="C870" s="1429" t="str">
        <f>IFERROR(__xludf.DUMMYFUNCTION("""COMPUTED_VALUE"""),"WS")</f>
        <v>WS</v>
      </c>
      <c r="D870" s="1432">
        <f>IFERROR(__xludf.DUMMYFUNCTION("""COMPUTED_VALUE"""),9.0)</f>
        <v>9</v>
      </c>
      <c r="E870" s="1429">
        <f>IFERROR(__xludf.DUMMYFUNCTION("""COMPUTED_VALUE"""),45543.0)</f>
        <v>45543</v>
      </c>
      <c r="F870" s="1429">
        <f>IFERROR(__xludf.DUMMYFUNCTION("""COMPUTED_VALUE"""),45552.0)</f>
        <v>45552</v>
      </c>
      <c r="G870" s="1164">
        <f>IFERROR(__xludf.DUMMYFUNCTION("""COMPUTED_VALUE"""),9.0)</f>
        <v>9</v>
      </c>
      <c r="H870" s="94"/>
      <c r="I870" s="94">
        <f>IFERROR(__xludf.DUMMYFUNCTION("""COMPUTED_VALUE"""),2244.0)</f>
        <v>2244</v>
      </c>
      <c r="J870" s="94"/>
      <c r="K870" s="94">
        <f>IFERROR(__xludf.DUMMYFUNCTION("""COMPUTED_VALUE"""),70.0)</f>
        <v>70</v>
      </c>
      <c r="L870" s="94">
        <f>IFERROR(__xludf.DUMMYFUNCTION("""COMPUTED_VALUE"""),40.0)</f>
        <v>40</v>
      </c>
      <c r="M870" s="94">
        <f>IFERROR(__xludf.DUMMYFUNCTION("""COMPUTED_VALUE"""),30.0)</f>
        <v>30</v>
      </c>
      <c r="N870" s="94"/>
      <c r="O870" s="1430">
        <f>IFERROR(__xludf.DUMMYFUNCTION("""COMPUTED_VALUE"""),30.0)</f>
        <v>30</v>
      </c>
      <c r="P870" s="1431">
        <f>IFERROR(__xludf.DUMMYFUNCTION("""COMPUTED_VALUE"""),2.69)</f>
        <v>2.69</v>
      </c>
      <c r="Q870" s="1432">
        <f>IFERROR(__xludf.DUMMYFUNCTION("""COMPUTED_VALUE"""),2244.0)</f>
        <v>2244</v>
      </c>
    </row>
    <row r="871" ht="15.75" customHeight="1">
      <c r="A871" s="94"/>
      <c r="B871" s="94" t="str">
        <f>IFERROR(__xludf.DUMMYFUNCTION("""COMPUTED_VALUE"""),"Шар 2505")</f>
        <v>Шар 2505</v>
      </c>
      <c r="C871" s="1429" t="str">
        <f>IFERROR(__xludf.DUMMYFUNCTION("""COMPUTED_VALUE"""),"Other")</f>
        <v>Other</v>
      </c>
      <c r="D871" s="1432">
        <f>IFERROR(__xludf.DUMMYFUNCTION("""COMPUTED_VALUE"""),9.0)</f>
        <v>9</v>
      </c>
      <c r="E871" s="1429">
        <f>IFERROR(__xludf.DUMMYFUNCTION("""COMPUTED_VALUE"""),45543.0)</f>
        <v>45543</v>
      </c>
      <c r="F871" s="1429">
        <f>IFERROR(__xludf.DUMMYFUNCTION("""COMPUTED_VALUE"""),45572.0)</f>
        <v>45572</v>
      </c>
      <c r="G871" s="1164">
        <f>IFERROR(__xludf.DUMMYFUNCTION("""COMPUTED_VALUE"""),29.0)</f>
        <v>29</v>
      </c>
      <c r="H871" s="1430">
        <f>IFERROR(__xludf.DUMMYFUNCTION("""COMPUTED_VALUE"""),500.0)</f>
        <v>500</v>
      </c>
      <c r="I871" s="94">
        <f>IFERROR(__xludf.DUMMYFUNCTION("""COMPUTED_VALUE"""),0.0)</f>
        <v>0</v>
      </c>
      <c r="J871" s="94"/>
      <c r="K871" s="94">
        <f>IFERROR(__xludf.DUMMYFUNCTION("""COMPUTED_VALUE"""),60.0)</f>
        <v>60</v>
      </c>
      <c r="L871" s="94">
        <f>IFERROR(__xludf.DUMMYFUNCTION("""COMPUTED_VALUE"""),40.0)</f>
        <v>40</v>
      </c>
      <c r="M871" s="94">
        <f>IFERROR(__xludf.DUMMYFUNCTION("""COMPUTED_VALUE"""),20.0)</f>
        <v>20</v>
      </c>
      <c r="N871" s="94"/>
      <c r="O871" s="1430">
        <f>IFERROR(__xludf.DUMMYFUNCTION("""COMPUTED_VALUE"""),20.0)</f>
        <v>20</v>
      </c>
      <c r="P871" s="1431">
        <f>IFERROR(__xludf.DUMMYFUNCTION("""COMPUTED_VALUE"""),2.69)</f>
        <v>2.69</v>
      </c>
      <c r="Q871" s="1432">
        <f>IFERROR(__xludf.DUMMYFUNCTION("""COMPUTED_VALUE"""),1345.0)</f>
        <v>1345</v>
      </c>
    </row>
    <row r="872" ht="15.75" customHeight="1">
      <c r="A872" s="94"/>
      <c r="B872" s="94" t="str">
        <f>IFERROR(__xludf.DUMMYFUNCTION("""COMPUTED_VALUE"""),"DL 4-09")</f>
        <v>DL 4-09</v>
      </c>
      <c r="C872" s="1429" t="str">
        <f>IFERROR(__xludf.DUMMYFUNCTION("""COMPUTED_VALUE"""),"DL")</f>
        <v>DL</v>
      </c>
      <c r="D872" s="1432">
        <f>IFERROR(__xludf.DUMMYFUNCTION("""COMPUTED_VALUE"""),9.0)</f>
        <v>9</v>
      </c>
      <c r="E872" s="1429">
        <f>IFERROR(__xludf.DUMMYFUNCTION("""COMPUTED_VALUE"""),45543.0)</f>
        <v>45543</v>
      </c>
      <c r="F872" s="1429">
        <f>IFERROR(__xludf.DUMMYFUNCTION("""COMPUTED_VALUE"""),45547.0)</f>
        <v>45547</v>
      </c>
      <c r="G872" s="1164">
        <f>IFERROR(__xludf.DUMMYFUNCTION("""COMPUTED_VALUE"""),4.0)</f>
        <v>4</v>
      </c>
      <c r="H872" s="1430">
        <f>IFERROR(__xludf.DUMMYFUNCTION("""COMPUTED_VALUE"""),291.0)</f>
        <v>291</v>
      </c>
      <c r="I872" s="94"/>
      <c r="J872" s="94"/>
      <c r="K872" s="94">
        <f>IFERROR(__xludf.DUMMYFUNCTION("""COMPUTED_VALUE"""),95.0)</f>
        <v>95</v>
      </c>
      <c r="L872" s="94">
        <f>IFERROR(__xludf.DUMMYFUNCTION("""COMPUTED_VALUE"""),95.0)</f>
        <v>95</v>
      </c>
      <c r="M872" s="94">
        <f>IFERROR(__xludf.DUMMYFUNCTION("""COMPUTED_VALUE"""),0.0)</f>
        <v>0</v>
      </c>
      <c r="N872" s="94"/>
      <c r="O872" s="1430">
        <f>IFERROR(__xludf.DUMMYFUNCTION("""COMPUTED_VALUE"""),0.0)</f>
        <v>0</v>
      </c>
      <c r="P872" s="1431">
        <f>IFERROR(__xludf.DUMMYFUNCTION("""COMPUTED_VALUE"""),2.69)</f>
        <v>2.69</v>
      </c>
      <c r="Q872" s="1432">
        <f>IFERROR(__xludf.DUMMYFUNCTION("""COMPUTED_VALUE"""),782.79)</f>
        <v>782.79</v>
      </c>
    </row>
    <row r="873" ht="15.75" customHeight="1">
      <c r="A873" s="94"/>
      <c r="B873" s="94" t="str">
        <f>IFERROR(__xludf.DUMMYFUNCTION("""COMPUTED_VALUE"""),"WS  B 405")</f>
        <v>WS  B 405</v>
      </c>
      <c r="C873" s="1429" t="str">
        <f>IFERROR(__xludf.DUMMYFUNCTION("""COMPUTED_VALUE"""),"WS")</f>
        <v>WS</v>
      </c>
      <c r="D873" s="1432">
        <f>IFERROR(__xludf.DUMMYFUNCTION("""COMPUTED_VALUE"""),9.0)</f>
        <v>9</v>
      </c>
      <c r="E873" s="1429">
        <f>IFERROR(__xludf.DUMMYFUNCTION("""COMPUTED_VALUE"""),45543.0)</f>
        <v>45543</v>
      </c>
      <c r="F873" s="1429">
        <f>IFERROR(__xludf.DUMMYFUNCTION("""COMPUTED_VALUE"""),45550.0)</f>
        <v>45550</v>
      </c>
      <c r="G873" s="1164">
        <f>IFERROR(__xludf.DUMMYFUNCTION("""COMPUTED_VALUE"""),7.0)</f>
        <v>7</v>
      </c>
      <c r="H873" s="94"/>
      <c r="I873" s="94">
        <f>IFERROR(__xludf.DUMMYFUNCTION("""COMPUTED_VALUE"""),1066.0)</f>
        <v>1066</v>
      </c>
      <c r="J873" s="94"/>
      <c r="K873" s="94">
        <f>IFERROR(__xludf.DUMMYFUNCTION("""COMPUTED_VALUE"""),60.0)</f>
        <v>60</v>
      </c>
      <c r="L873" s="94">
        <f>IFERROR(__xludf.DUMMYFUNCTION("""COMPUTED_VALUE"""),40.0)</f>
        <v>40</v>
      </c>
      <c r="M873" s="94">
        <f>IFERROR(__xludf.DUMMYFUNCTION("""COMPUTED_VALUE"""),20.0)</f>
        <v>20</v>
      </c>
      <c r="N873" s="94"/>
      <c r="O873" s="1430">
        <f>IFERROR(__xludf.DUMMYFUNCTION("""COMPUTED_VALUE"""),20.0)</f>
        <v>20</v>
      </c>
      <c r="P873" s="1431">
        <f>IFERROR(__xludf.DUMMYFUNCTION("""COMPUTED_VALUE"""),2.69)</f>
        <v>2.69</v>
      </c>
      <c r="Q873" s="1432">
        <f>IFERROR(__xludf.DUMMYFUNCTION("""COMPUTED_VALUE"""),1066.0)</f>
        <v>1066</v>
      </c>
    </row>
    <row r="874" ht="15.75" customHeight="1">
      <c r="A874" s="94"/>
      <c r="B874" s="94" t="str">
        <f>IFERROR(__xludf.DUMMYFUNCTION("""COMPUTED_VALUE"""),"Wyn")</f>
        <v>Wyn</v>
      </c>
      <c r="C874" s="1429" t="str">
        <f>IFERROR(__xludf.DUMMYFUNCTION("""COMPUTED_VALUE"""),"Other")</f>
        <v>Other</v>
      </c>
      <c r="D874" s="1432">
        <f>IFERROR(__xludf.DUMMYFUNCTION("""COMPUTED_VALUE"""),9.0)</f>
        <v>9</v>
      </c>
      <c r="E874" s="1429">
        <f>IFERROR(__xludf.DUMMYFUNCTION("""COMPUTED_VALUE"""),45543.0)</f>
        <v>45543</v>
      </c>
      <c r="F874" s="1429">
        <f>IFERROR(__xludf.DUMMYFUNCTION("""COMPUTED_VALUE"""),45547.0)</f>
        <v>45547</v>
      </c>
      <c r="G874" s="1164">
        <f>IFERROR(__xludf.DUMMYFUNCTION("""COMPUTED_VALUE"""),4.0)</f>
        <v>4</v>
      </c>
      <c r="H874" s="94"/>
      <c r="I874" s="94">
        <f>IFERROR(__xludf.DUMMYFUNCTION("""COMPUTED_VALUE"""),562.0)</f>
        <v>562</v>
      </c>
      <c r="J874" s="94"/>
      <c r="K874" s="94">
        <f>IFERROR(__xludf.DUMMYFUNCTION("""COMPUTED_VALUE"""),70.0)</f>
        <v>70</v>
      </c>
      <c r="L874" s="94">
        <f>IFERROR(__xludf.DUMMYFUNCTION("""COMPUTED_VALUE"""),40.0)</f>
        <v>40</v>
      </c>
      <c r="M874" s="94">
        <f>IFERROR(__xludf.DUMMYFUNCTION("""COMPUTED_VALUE"""),30.0)</f>
        <v>30</v>
      </c>
      <c r="N874" s="94"/>
      <c r="O874" s="1430">
        <f>IFERROR(__xludf.DUMMYFUNCTION("""COMPUTED_VALUE"""),30.0)</f>
        <v>30</v>
      </c>
      <c r="P874" s="1431">
        <f>IFERROR(__xludf.DUMMYFUNCTION("""COMPUTED_VALUE"""),2.69)</f>
        <v>2.69</v>
      </c>
      <c r="Q874" s="1432">
        <f>IFERROR(__xludf.DUMMYFUNCTION("""COMPUTED_VALUE"""),562.0)</f>
        <v>562</v>
      </c>
    </row>
    <row r="875" ht="15.75" customHeight="1">
      <c r="A875" s="94" t="str">
        <f>IFERROR(__xludf.DUMMYFUNCTION("""COMPUTED_VALUE"""),"Итого неделя")</f>
        <v>Итого неделя</v>
      </c>
      <c r="B875" s="94" t="str">
        <f>IFERROR(__xludf.DUMMYFUNCTION("""COMPUTED_VALUE"""),"36 неделя")</f>
        <v>36 неделя</v>
      </c>
      <c r="C875" s="94"/>
      <c r="D875" s="94"/>
      <c r="E875" s="1429">
        <f>IFERROR(__xludf.DUMMYFUNCTION("""COMPUTED_VALUE"""),45537.0)</f>
        <v>45537</v>
      </c>
      <c r="F875" s="1429">
        <f>IFERROR(__xludf.DUMMYFUNCTION("""COMPUTED_VALUE"""),45543.0)</f>
        <v>45543</v>
      </c>
      <c r="G875" s="1164">
        <f>IFERROR(__xludf.DUMMYFUNCTION("""COMPUTED_VALUE"""),271.0)</f>
        <v>271</v>
      </c>
      <c r="H875" s="1430">
        <f>IFERROR(__xludf.DUMMYFUNCTION("""COMPUTED_VALUE"""),9354.0)</f>
        <v>9354</v>
      </c>
      <c r="I875" s="94">
        <f>IFERROR(__xludf.DUMMYFUNCTION("""COMPUTED_VALUE"""),10237.0)</f>
        <v>10237</v>
      </c>
      <c r="J875" s="94">
        <f>IFERROR(__xludf.DUMMYFUNCTION("""COMPUTED_VALUE"""),0.0)</f>
        <v>0</v>
      </c>
      <c r="K875" s="94">
        <f>IFERROR(__xludf.DUMMYFUNCTION("""COMPUTED_VALUE"""),2965.0)</f>
        <v>2965</v>
      </c>
      <c r="L875" s="94">
        <f>IFERROR(__xludf.DUMMYFUNCTION("""COMPUTED_VALUE"""),2225.0)</f>
        <v>2225</v>
      </c>
      <c r="M875" s="94">
        <f>IFERROR(__xludf.DUMMYFUNCTION("""COMPUTED_VALUE"""),740.0)</f>
        <v>740</v>
      </c>
      <c r="N875" s="94">
        <f>IFERROR(__xludf.DUMMYFUNCTION("""COMPUTED_VALUE"""),0.0)</f>
        <v>0</v>
      </c>
      <c r="O875" s="1430">
        <f>IFERROR(__xludf.DUMMYFUNCTION("""COMPUTED_VALUE"""),740.0)</f>
        <v>740</v>
      </c>
      <c r="P875" s="1431">
        <f>IFERROR(__xludf.DUMMYFUNCTION("""COMPUTED_VALUE"""),115.66999999999994)</f>
        <v>115.67</v>
      </c>
      <c r="Q875" s="1432">
        <f>IFERROR(__xludf.DUMMYFUNCTION("""COMPUTED_VALUE"""),35399.259999999995)</f>
        <v>35399.26</v>
      </c>
    </row>
    <row r="876" ht="15.75" customHeight="1">
      <c r="A876" s="94"/>
      <c r="B876" s="94" t="str">
        <f>IFERROR(__xludf.DUMMYFUNCTION("""COMPUTED_VALUE"""),"C 4245")</f>
        <v>C 4245</v>
      </c>
      <c r="C876" s="1429" t="str">
        <f>IFERROR(__xludf.DUMMYFUNCTION("""COMPUTED_VALUE"""),"ORBI")</f>
        <v>ORBI</v>
      </c>
      <c r="D876" s="1432">
        <f>IFERROR(__xludf.DUMMYFUNCTION("""COMPUTED_VALUE"""),9.0)</f>
        <v>9</v>
      </c>
      <c r="E876" s="1429">
        <f>IFERROR(__xludf.DUMMYFUNCTION("""COMPUTED_VALUE"""),45544.0)</f>
        <v>45544</v>
      </c>
      <c r="F876" s="1429">
        <f>IFERROR(__xludf.DUMMYFUNCTION("""COMPUTED_VALUE"""),45548.0)</f>
        <v>45548</v>
      </c>
      <c r="G876" s="1164">
        <f>IFERROR(__xludf.DUMMYFUNCTION("""COMPUTED_VALUE"""),4.0)</f>
        <v>4</v>
      </c>
      <c r="H876" s="1430">
        <f>IFERROR(__xludf.DUMMYFUNCTION("""COMPUTED_VALUE"""),117.0)</f>
        <v>117</v>
      </c>
      <c r="I876" s="94"/>
      <c r="J876" s="94"/>
      <c r="K876" s="94">
        <f>IFERROR(__xludf.DUMMYFUNCTION("""COMPUTED_VALUE"""),70.0)</f>
        <v>70</v>
      </c>
      <c r="L876" s="94">
        <f>IFERROR(__xludf.DUMMYFUNCTION("""COMPUTED_VALUE"""),50.0)</f>
        <v>50</v>
      </c>
      <c r="M876" s="94">
        <f>IFERROR(__xludf.DUMMYFUNCTION("""COMPUTED_VALUE"""),20.0)</f>
        <v>20</v>
      </c>
      <c r="N876" s="94"/>
      <c r="O876" s="1430">
        <f>IFERROR(__xludf.DUMMYFUNCTION("""COMPUTED_VALUE"""),20.0)</f>
        <v>20</v>
      </c>
      <c r="P876" s="1431">
        <f>IFERROR(__xludf.DUMMYFUNCTION("""COMPUTED_VALUE"""),2.69)</f>
        <v>2.69</v>
      </c>
      <c r="Q876" s="1432">
        <f>IFERROR(__xludf.DUMMYFUNCTION("""COMPUTED_VALUE"""),314.73)</f>
        <v>314.73</v>
      </c>
    </row>
    <row r="877" ht="15.75" customHeight="1">
      <c r="A877" s="94"/>
      <c r="B877" s="94" t="str">
        <f>IFERROR(__xludf.DUMMYFUNCTION("""COMPUTED_VALUE"""),"WS В 503")</f>
        <v>WS В 503</v>
      </c>
      <c r="C877" s="1429" t="str">
        <f>IFERROR(__xludf.DUMMYFUNCTION("""COMPUTED_VALUE"""),"WS")</f>
        <v>WS</v>
      </c>
      <c r="D877" s="1432">
        <f>IFERROR(__xludf.DUMMYFUNCTION("""COMPUTED_VALUE"""),9.0)</f>
        <v>9</v>
      </c>
      <c r="E877" s="1429">
        <f>IFERROR(__xludf.DUMMYFUNCTION("""COMPUTED_VALUE"""),45544.0)</f>
        <v>45544</v>
      </c>
      <c r="F877" s="1429">
        <f>IFERROR(__xludf.DUMMYFUNCTION("""COMPUTED_VALUE"""),45546.0)</f>
        <v>45546</v>
      </c>
      <c r="G877" s="1164">
        <f>IFERROR(__xludf.DUMMYFUNCTION("""COMPUTED_VALUE"""),2.0)</f>
        <v>2</v>
      </c>
      <c r="H877" s="1430">
        <f>IFERROR(__xludf.DUMMYFUNCTION("""COMPUTED_VALUE"""),125.0)</f>
        <v>125</v>
      </c>
      <c r="I877" s="94"/>
      <c r="J877" s="94"/>
      <c r="K877" s="94">
        <f>IFERROR(__xludf.DUMMYFUNCTION("""COMPUTED_VALUE"""),70.0)</f>
        <v>70</v>
      </c>
      <c r="L877" s="94">
        <f>IFERROR(__xludf.DUMMYFUNCTION("""COMPUTED_VALUE"""),40.0)</f>
        <v>40</v>
      </c>
      <c r="M877" s="94">
        <f>IFERROR(__xludf.DUMMYFUNCTION("""COMPUTED_VALUE"""),30.0)</f>
        <v>30</v>
      </c>
      <c r="N877" s="94"/>
      <c r="O877" s="1430">
        <f>IFERROR(__xludf.DUMMYFUNCTION("""COMPUTED_VALUE"""),30.0)</f>
        <v>30</v>
      </c>
      <c r="P877" s="1431">
        <f>IFERROR(__xludf.DUMMYFUNCTION("""COMPUTED_VALUE"""),2.69)</f>
        <v>2.69</v>
      </c>
      <c r="Q877" s="1432">
        <f>IFERROR(__xludf.DUMMYFUNCTION("""COMPUTED_VALUE"""),336.25)</f>
        <v>336.25</v>
      </c>
    </row>
    <row r="878" ht="15.75" customHeight="1">
      <c r="A878" s="94"/>
      <c r="B878" s="94" t="str">
        <f>IFERROR(__xludf.DUMMYFUNCTION("""COMPUTED_VALUE"""),"WS E1405")</f>
        <v>WS E1405</v>
      </c>
      <c r="C878" s="1429" t="str">
        <f>IFERROR(__xludf.DUMMYFUNCTION("""COMPUTED_VALUE"""),"WS")</f>
        <v>WS</v>
      </c>
      <c r="D878" s="1432">
        <f>IFERROR(__xludf.DUMMYFUNCTION("""COMPUTED_VALUE"""),9.0)</f>
        <v>9</v>
      </c>
      <c r="E878" s="1429">
        <f>IFERROR(__xludf.DUMMYFUNCTION("""COMPUTED_VALUE"""),45544.0)</f>
        <v>45544</v>
      </c>
      <c r="F878" s="1429">
        <f>IFERROR(__xludf.DUMMYFUNCTION("""COMPUTED_VALUE"""),45547.0)</f>
        <v>45547</v>
      </c>
      <c r="G878" s="1164">
        <f>IFERROR(__xludf.DUMMYFUNCTION("""COMPUTED_VALUE"""),3.0)</f>
        <v>3</v>
      </c>
      <c r="H878" s="94"/>
      <c r="I878" s="94">
        <f>IFERROR(__xludf.DUMMYFUNCTION("""COMPUTED_VALUE"""),460.0)</f>
        <v>460</v>
      </c>
      <c r="J878" s="94"/>
      <c r="K878" s="94">
        <f>IFERROR(__xludf.DUMMYFUNCTION("""COMPUTED_VALUE"""),60.0)</f>
        <v>60</v>
      </c>
      <c r="L878" s="94">
        <f>IFERROR(__xludf.DUMMYFUNCTION("""COMPUTED_VALUE"""),40.0)</f>
        <v>40</v>
      </c>
      <c r="M878" s="94">
        <f>IFERROR(__xludf.DUMMYFUNCTION("""COMPUTED_VALUE"""),20.0)</f>
        <v>20</v>
      </c>
      <c r="N878" s="94"/>
      <c r="O878" s="1430">
        <f>IFERROR(__xludf.DUMMYFUNCTION("""COMPUTED_VALUE"""),20.0)</f>
        <v>20</v>
      </c>
      <c r="P878" s="1431">
        <f>IFERROR(__xludf.DUMMYFUNCTION("""COMPUTED_VALUE"""),2.69)</f>
        <v>2.69</v>
      </c>
      <c r="Q878" s="1432">
        <f>IFERROR(__xludf.DUMMYFUNCTION("""COMPUTED_VALUE"""),460.0)</f>
        <v>460</v>
      </c>
    </row>
    <row r="879" ht="15.75" customHeight="1">
      <c r="A879" s="94"/>
      <c r="B879" s="94" t="str">
        <f>IFERROR(__xludf.DUMMYFUNCTION("""COMPUTED_VALUE"""),"DL 14-1214")</f>
        <v>DL 14-1214</v>
      </c>
      <c r="C879" s="1429" t="str">
        <f>IFERROR(__xludf.DUMMYFUNCTION("""COMPUTED_VALUE"""),"DL")</f>
        <v>DL</v>
      </c>
      <c r="D879" s="1432">
        <f>IFERROR(__xludf.DUMMYFUNCTION("""COMPUTED_VALUE"""),9.0)</f>
        <v>9</v>
      </c>
      <c r="E879" s="1429">
        <f>IFERROR(__xludf.DUMMYFUNCTION("""COMPUTED_VALUE"""),45544.0)</f>
        <v>45544</v>
      </c>
      <c r="F879" s="1429">
        <f>IFERROR(__xludf.DUMMYFUNCTION("""COMPUTED_VALUE"""),45546.0)</f>
        <v>45546</v>
      </c>
      <c r="G879" s="1164">
        <f>IFERROR(__xludf.DUMMYFUNCTION("""COMPUTED_VALUE"""),2.0)</f>
        <v>2</v>
      </c>
      <c r="H879" s="1430">
        <f>IFERROR(__xludf.DUMMYFUNCTION("""COMPUTED_VALUE"""),235.0)</f>
        <v>235</v>
      </c>
      <c r="I879" s="94">
        <f>IFERROR(__xludf.DUMMYFUNCTION("""COMPUTED_VALUE"""),0.0)</f>
        <v>0</v>
      </c>
      <c r="J879" s="94"/>
      <c r="K879" s="94">
        <f>IFERROR(__xludf.DUMMYFUNCTION("""COMPUTED_VALUE"""),95.0)</f>
        <v>95</v>
      </c>
      <c r="L879" s="94">
        <f>IFERROR(__xludf.DUMMYFUNCTION("""COMPUTED_VALUE"""),95.0)</f>
        <v>95</v>
      </c>
      <c r="M879" s="94">
        <f>IFERROR(__xludf.DUMMYFUNCTION("""COMPUTED_VALUE"""),0.0)</f>
        <v>0</v>
      </c>
      <c r="N879" s="94"/>
      <c r="O879" s="1430">
        <f>IFERROR(__xludf.DUMMYFUNCTION("""COMPUTED_VALUE"""),0.0)</f>
        <v>0</v>
      </c>
      <c r="P879" s="1431">
        <f>IFERROR(__xludf.DUMMYFUNCTION("""COMPUTED_VALUE"""),2.69)</f>
        <v>2.69</v>
      </c>
      <c r="Q879" s="1432">
        <f>IFERROR(__xludf.DUMMYFUNCTION("""COMPUTED_VALUE"""),632.15)</f>
        <v>632.15</v>
      </c>
    </row>
    <row r="880" ht="15.75" customHeight="1">
      <c r="A880" s="94"/>
      <c r="B880" s="94" t="str">
        <f>IFERROR(__xludf.DUMMYFUNCTION("""COMPUTED_VALUE"""),"WS  B 405")</f>
        <v>WS  B 405</v>
      </c>
      <c r="C880" s="1429" t="str">
        <f>IFERROR(__xludf.DUMMYFUNCTION("""COMPUTED_VALUE"""),"WS")</f>
        <v>WS</v>
      </c>
      <c r="D880" s="1432">
        <f>IFERROR(__xludf.DUMMYFUNCTION("""COMPUTED_VALUE"""),9.0)</f>
        <v>9</v>
      </c>
      <c r="E880" s="1429">
        <f>IFERROR(__xludf.DUMMYFUNCTION("""COMPUTED_VALUE"""),45545.0)</f>
        <v>45545</v>
      </c>
      <c r="F880" s="1429">
        <f>IFERROR(__xludf.DUMMYFUNCTION("""COMPUTED_VALUE"""),45548.0)</f>
        <v>45548</v>
      </c>
      <c r="G880" s="1164">
        <f>IFERROR(__xludf.DUMMYFUNCTION("""COMPUTED_VALUE"""),3.0)</f>
        <v>3</v>
      </c>
      <c r="H880" s="1430">
        <f>IFERROR(__xludf.DUMMYFUNCTION("""COMPUTED_VALUE"""),138.0)</f>
        <v>138</v>
      </c>
      <c r="I880" s="94">
        <f>IFERROR(__xludf.DUMMYFUNCTION("""COMPUTED_VALUE"""),0.0)</f>
        <v>0</v>
      </c>
      <c r="J880" s="94"/>
      <c r="K880" s="94">
        <f>IFERROR(__xludf.DUMMYFUNCTION("""COMPUTED_VALUE"""),60.0)</f>
        <v>60</v>
      </c>
      <c r="L880" s="94">
        <f>IFERROR(__xludf.DUMMYFUNCTION("""COMPUTED_VALUE"""),40.0)</f>
        <v>40</v>
      </c>
      <c r="M880" s="94">
        <f>IFERROR(__xludf.DUMMYFUNCTION("""COMPUTED_VALUE"""),20.0)</f>
        <v>20</v>
      </c>
      <c r="N880" s="94"/>
      <c r="O880" s="1430">
        <f>IFERROR(__xludf.DUMMYFUNCTION("""COMPUTED_VALUE"""),20.0)</f>
        <v>20</v>
      </c>
      <c r="P880" s="1431">
        <f>IFERROR(__xludf.DUMMYFUNCTION("""COMPUTED_VALUE"""),2.69)</f>
        <v>2.69</v>
      </c>
      <c r="Q880" s="1432">
        <f>IFERROR(__xludf.DUMMYFUNCTION("""COMPUTED_VALUE"""),371.21999999999997)</f>
        <v>371.22</v>
      </c>
    </row>
    <row r="881" ht="15.75" customHeight="1">
      <c r="A881" s="94"/>
      <c r="B881" s="94" t="str">
        <f>IFERROR(__xludf.DUMMYFUNCTION("""COMPUTED_VALUE"""),"Steps 510")</f>
        <v>Steps 510</v>
      </c>
      <c r="C881" s="1429" t="str">
        <f>IFERROR(__xludf.DUMMYFUNCTION("""COMPUTED_VALUE"""),"#N/A")</f>
        <v>#N/A</v>
      </c>
      <c r="D881" s="1432">
        <f>IFERROR(__xludf.DUMMYFUNCTION("""COMPUTED_VALUE"""),9.0)</f>
        <v>9</v>
      </c>
      <c r="E881" s="1429">
        <f>IFERROR(__xludf.DUMMYFUNCTION("""COMPUTED_VALUE"""),45545.0)</f>
        <v>45545</v>
      </c>
      <c r="F881" s="1429">
        <f>IFERROR(__xludf.DUMMYFUNCTION("""COMPUTED_VALUE"""),45550.0)</f>
        <v>45550</v>
      </c>
      <c r="G881" s="1164">
        <f>IFERROR(__xludf.DUMMYFUNCTION("""COMPUTED_VALUE"""),5.0)</f>
        <v>5</v>
      </c>
      <c r="H881" s="94"/>
      <c r="I881" s="94">
        <f>IFERROR(__xludf.DUMMYFUNCTION("""COMPUTED_VALUE"""),672.0)</f>
        <v>672</v>
      </c>
      <c r="J881" s="94"/>
      <c r="K881" s="94">
        <f>IFERROR(__xludf.DUMMYFUNCTION("""COMPUTED_VALUE"""),60.0)</f>
        <v>60</v>
      </c>
      <c r="L881" s="94">
        <f>IFERROR(__xludf.DUMMYFUNCTION("""COMPUTED_VALUE"""),40.0)</f>
        <v>40</v>
      </c>
      <c r="M881" s="94">
        <f>IFERROR(__xludf.DUMMYFUNCTION("""COMPUTED_VALUE"""),20.0)</f>
        <v>20</v>
      </c>
      <c r="N881" s="94"/>
      <c r="O881" s="1430">
        <f>IFERROR(__xludf.DUMMYFUNCTION("""COMPUTED_VALUE"""),20.0)</f>
        <v>20</v>
      </c>
      <c r="P881" s="1431">
        <f>IFERROR(__xludf.DUMMYFUNCTION("""COMPUTED_VALUE"""),2.69)</f>
        <v>2.69</v>
      </c>
      <c r="Q881" s="1432">
        <f>IFERROR(__xludf.DUMMYFUNCTION("""COMPUTED_VALUE"""),672.0)</f>
        <v>672</v>
      </c>
    </row>
    <row r="882" ht="15.75" customHeight="1">
      <c r="A882" s="94"/>
      <c r="B882" s="94" t="str">
        <f>IFERROR(__xludf.DUMMYFUNCTION("""COMPUTED_VALUE"""),"WS Е804")</f>
        <v>WS Е804</v>
      </c>
      <c r="C882" s="1429" t="str">
        <f>IFERROR(__xludf.DUMMYFUNCTION("""COMPUTED_VALUE"""),"WS")</f>
        <v>WS</v>
      </c>
      <c r="D882" s="1432">
        <f>IFERROR(__xludf.DUMMYFUNCTION("""COMPUTED_VALUE"""),9.0)</f>
        <v>9</v>
      </c>
      <c r="E882" s="1429">
        <f>IFERROR(__xludf.DUMMYFUNCTION("""COMPUTED_VALUE"""),45545.0)</f>
        <v>45545</v>
      </c>
      <c r="F882" s="1429">
        <f>IFERROR(__xludf.DUMMYFUNCTION("""COMPUTED_VALUE"""),45551.0)</f>
        <v>45551</v>
      </c>
      <c r="G882" s="1164">
        <f>IFERROR(__xludf.DUMMYFUNCTION("""COMPUTED_VALUE"""),6.0)</f>
        <v>6</v>
      </c>
      <c r="H882" s="94"/>
      <c r="I882" s="94">
        <f>IFERROR(__xludf.DUMMYFUNCTION("""COMPUTED_VALUE"""),1153.0)</f>
        <v>1153</v>
      </c>
      <c r="J882" s="94"/>
      <c r="K882" s="94">
        <f>IFERROR(__xludf.DUMMYFUNCTION("""COMPUTED_VALUE"""),60.0)</f>
        <v>60</v>
      </c>
      <c r="L882" s="94">
        <f>IFERROR(__xludf.DUMMYFUNCTION("""COMPUTED_VALUE"""),40.0)</f>
        <v>40</v>
      </c>
      <c r="M882" s="94">
        <f>IFERROR(__xludf.DUMMYFUNCTION("""COMPUTED_VALUE"""),20.0)</f>
        <v>20</v>
      </c>
      <c r="N882" s="94"/>
      <c r="O882" s="1430">
        <f>IFERROR(__xludf.DUMMYFUNCTION("""COMPUTED_VALUE"""),20.0)</f>
        <v>20</v>
      </c>
      <c r="P882" s="1431">
        <f>IFERROR(__xludf.DUMMYFUNCTION("""COMPUTED_VALUE"""),2.69)</f>
        <v>2.69</v>
      </c>
      <c r="Q882" s="1432">
        <f>IFERROR(__xludf.DUMMYFUNCTION("""COMPUTED_VALUE"""),1153.0)</f>
        <v>1153</v>
      </c>
    </row>
    <row r="883" ht="15.75" customHeight="1">
      <c r="A883" s="94"/>
      <c r="B883" s="94" t="str">
        <f>IFERROR(__xludf.DUMMYFUNCTION("""COMPUTED_VALUE"""),"А 4049")</f>
        <v>А 4049</v>
      </c>
      <c r="C883" s="1429" t="str">
        <f>IFERROR(__xludf.DUMMYFUNCTION("""COMPUTED_VALUE"""),"ORBI")</f>
        <v>ORBI</v>
      </c>
      <c r="D883" s="1432">
        <f>IFERROR(__xludf.DUMMYFUNCTION("""COMPUTED_VALUE"""),9.0)</f>
        <v>9</v>
      </c>
      <c r="E883" s="1429">
        <f>IFERROR(__xludf.DUMMYFUNCTION("""COMPUTED_VALUE"""),45545.0)</f>
        <v>45545</v>
      </c>
      <c r="F883" s="1429">
        <f>IFERROR(__xludf.DUMMYFUNCTION("""COMPUTED_VALUE"""),45549.0)</f>
        <v>45549</v>
      </c>
      <c r="G883" s="1164">
        <f>IFERROR(__xludf.DUMMYFUNCTION("""COMPUTED_VALUE"""),4.0)</f>
        <v>4</v>
      </c>
      <c r="H883" s="1430">
        <f>IFERROR(__xludf.DUMMYFUNCTION("""COMPUTED_VALUE"""),152.0)</f>
        <v>152</v>
      </c>
      <c r="I883" s="94">
        <f>IFERROR(__xludf.DUMMYFUNCTION("""COMPUTED_VALUE"""),0.0)</f>
        <v>0</v>
      </c>
      <c r="J883" s="94"/>
      <c r="K883" s="94">
        <f>IFERROR(__xludf.DUMMYFUNCTION("""COMPUTED_VALUE"""),50.0)</f>
        <v>50</v>
      </c>
      <c r="L883" s="94">
        <f>IFERROR(__xludf.DUMMYFUNCTION("""COMPUTED_VALUE"""),40.0)</f>
        <v>40</v>
      </c>
      <c r="M883" s="94">
        <f>IFERROR(__xludf.DUMMYFUNCTION("""COMPUTED_VALUE"""),10.0)</f>
        <v>10</v>
      </c>
      <c r="N883" s="94"/>
      <c r="O883" s="1430">
        <f>IFERROR(__xludf.DUMMYFUNCTION("""COMPUTED_VALUE"""),10.0)</f>
        <v>10</v>
      </c>
      <c r="P883" s="1431">
        <f>IFERROR(__xludf.DUMMYFUNCTION("""COMPUTED_VALUE"""),2.69)</f>
        <v>2.69</v>
      </c>
      <c r="Q883" s="1432">
        <f>IFERROR(__xludf.DUMMYFUNCTION("""COMPUTED_VALUE"""),408.88)</f>
        <v>408.88</v>
      </c>
    </row>
    <row r="884" ht="15.75" customHeight="1">
      <c r="A884" s="94"/>
      <c r="B884" s="94" t="str">
        <f>IFERROR(__xludf.DUMMYFUNCTION("""COMPUTED_VALUE"""),"CM 1931")</f>
        <v>CM 1931</v>
      </c>
      <c r="C884" s="1429" t="str">
        <f>IFERROR(__xludf.DUMMYFUNCTION("""COMPUTED_VALUE"""),"MAR")</f>
        <v>MAR</v>
      </c>
      <c r="D884" s="1432">
        <f>IFERROR(__xludf.DUMMYFUNCTION("""COMPUTED_VALUE"""),9.0)</f>
        <v>9</v>
      </c>
      <c r="E884" s="1429">
        <f>IFERROR(__xludf.DUMMYFUNCTION("""COMPUTED_VALUE"""),45545.0)</f>
        <v>45545</v>
      </c>
      <c r="F884" s="1429">
        <f>IFERROR(__xludf.DUMMYFUNCTION("""COMPUTED_VALUE"""),45549.0)</f>
        <v>45549</v>
      </c>
      <c r="G884" s="1164">
        <f>IFERROR(__xludf.DUMMYFUNCTION("""COMPUTED_VALUE"""),4.0)</f>
        <v>4</v>
      </c>
      <c r="H884" s="1430">
        <f>IFERROR(__xludf.DUMMYFUNCTION("""COMPUTED_VALUE"""),172.0)</f>
        <v>172</v>
      </c>
      <c r="I884" s="94">
        <f>IFERROR(__xludf.DUMMYFUNCTION("""COMPUTED_VALUE"""),0.0)</f>
        <v>0</v>
      </c>
      <c r="J884" s="94"/>
      <c r="K884" s="94">
        <f>IFERROR(__xludf.DUMMYFUNCTION("""COMPUTED_VALUE"""),60.0)</f>
        <v>60</v>
      </c>
      <c r="L884" s="94">
        <f>IFERROR(__xludf.DUMMYFUNCTION("""COMPUTED_VALUE"""),40.0)</f>
        <v>40</v>
      </c>
      <c r="M884" s="94">
        <f>IFERROR(__xludf.DUMMYFUNCTION("""COMPUTED_VALUE"""),20.0)</f>
        <v>20</v>
      </c>
      <c r="N884" s="94"/>
      <c r="O884" s="1430">
        <f>IFERROR(__xludf.DUMMYFUNCTION("""COMPUTED_VALUE"""),20.0)</f>
        <v>20</v>
      </c>
      <c r="P884" s="1431">
        <f>IFERROR(__xludf.DUMMYFUNCTION("""COMPUTED_VALUE"""),2.69)</f>
        <v>2.69</v>
      </c>
      <c r="Q884" s="1432">
        <f>IFERROR(__xludf.DUMMYFUNCTION("""COMPUTED_VALUE"""),462.68)</f>
        <v>462.68</v>
      </c>
    </row>
    <row r="885" ht="15.75" customHeight="1">
      <c r="A885" s="94"/>
      <c r="B885" s="94" t="str">
        <f>IFERROR(__xludf.DUMMYFUNCTION("""COMPUTED_VALUE"""),"D 1321")</f>
        <v>D 1321</v>
      </c>
      <c r="C885" s="1429" t="str">
        <f>IFERROR(__xludf.DUMMYFUNCTION("""COMPUTED_VALUE"""),"ORBI")</f>
        <v>ORBI</v>
      </c>
      <c r="D885" s="1432">
        <f>IFERROR(__xludf.DUMMYFUNCTION("""COMPUTED_VALUE"""),9.0)</f>
        <v>9</v>
      </c>
      <c r="E885" s="1429">
        <f>IFERROR(__xludf.DUMMYFUNCTION("""COMPUTED_VALUE"""),45546.0)</f>
        <v>45546</v>
      </c>
      <c r="F885" s="1429">
        <f>IFERROR(__xludf.DUMMYFUNCTION("""COMPUTED_VALUE"""),45548.0)</f>
        <v>45548</v>
      </c>
      <c r="G885" s="1164">
        <f>IFERROR(__xludf.DUMMYFUNCTION("""COMPUTED_VALUE"""),2.0)</f>
        <v>2</v>
      </c>
      <c r="H885" s="1430">
        <f>IFERROR(__xludf.DUMMYFUNCTION("""COMPUTED_VALUE"""),77.0)</f>
        <v>77</v>
      </c>
      <c r="I885" s="94">
        <f>IFERROR(__xludf.DUMMYFUNCTION("""COMPUTED_VALUE"""),0.0)</f>
        <v>0</v>
      </c>
      <c r="J885" s="94"/>
      <c r="K885" s="94">
        <f>IFERROR(__xludf.DUMMYFUNCTION("""COMPUTED_VALUE"""),50.0)</f>
        <v>50</v>
      </c>
      <c r="L885" s="94">
        <f>IFERROR(__xludf.DUMMYFUNCTION("""COMPUTED_VALUE"""),40.0)</f>
        <v>40</v>
      </c>
      <c r="M885" s="94">
        <f>IFERROR(__xludf.DUMMYFUNCTION("""COMPUTED_VALUE"""),10.0)</f>
        <v>10</v>
      </c>
      <c r="N885" s="94"/>
      <c r="O885" s="1430">
        <f>IFERROR(__xludf.DUMMYFUNCTION("""COMPUTED_VALUE"""),10.0)</f>
        <v>10</v>
      </c>
      <c r="P885" s="1431">
        <f>IFERROR(__xludf.DUMMYFUNCTION("""COMPUTED_VALUE"""),2.69)</f>
        <v>2.69</v>
      </c>
      <c r="Q885" s="1432">
        <f>IFERROR(__xludf.DUMMYFUNCTION("""COMPUTED_VALUE"""),207.13)</f>
        <v>207.13</v>
      </c>
    </row>
    <row r="886" ht="15.75" customHeight="1">
      <c r="A886" s="94"/>
      <c r="B886" s="94" t="str">
        <f>IFERROR(__xludf.DUMMYFUNCTION("""COMPUTED_VALUE"""),"WS E704")</f>
        <v>WS E704</v>
      </c>
      <c r="C886" s="1429" t="str">
        <f>IFERROR(__xludf.DUMMYFUNCTION("""COMPUTED_VALUE"""),"WS")</f>
        <v>WS</v>
      </c>
      <c r="D886" s="1432">
        <f>IFERROR(__xludf.DUMMYFUNCTION("""COMPUTED_VALUE"""),9.0)</f>
        <v>9</v>
      </c>
      <c r="E886" s="1429">
        <f>IFERROR(__xludf.DUMMYFUNCTION("""COMPUTED_VALUE"""),45546.0)</f>
        <v>45546</v>
      </c>
      <c r="F886" s="1429">
        <f>IFERROR(__xludf.DUMMYFUNCTION("""COMPUTED_VALUE"""),45548.0)</f>
        <v>45548</v>
      </c>
      <c r="G886" s="1164">
        <f>IFERROR(__xludf.DUMMYFUNCTION("""COMPUTED_VALUE"""),2.0)</f>
        <v>2</v>
      </c>
      <c r="H886" s="1430">
        <f>IFERROR(__xludf.DUMMYFUNCTION("""COMPUTED_VALUE"""),104.0)</f>
        <v>104</v>
      </c>
      <c r="I886" s="94">
        <f>IFERROR(__xludf.DUMMYFUNCTION("""COMPUTED_VALUE"""),0.0)</f>
        <v>0</v>
      </c>
      <c r="J886" s="94"/>
      <c r="K886" s="94">
        <f>IFERROR(__xludf.DUMMYFUNCTION("""COMPUTED_VALUE"""),50.0)</f>
        <v>50</v>
      </c>
      <c r="L886" s="94">
        <f>IFERROR(__xludf.DUMMYFUNCTION("""COMPUTED_VALUE"""),40.0)</f>
        <v>40</v>
      </c>
      <c r="M886" s="94">
        <f>IFERROR(__xludf.DUMMYFUNCTION("""COMPUTED_VALUE"""),10.0)</f>
        <v>10</v>
      </c>
      <c r="N886" s="94"/>
      <c r="O886" s="1430">
        <f>IFERROR(__xludf.DUMMYFUNCTION("""COMPUTED_VALUE"""),10.0)</f>
        <v>10</v>
      </c>
      <c r="P886" s="1431">
        <f>IFERROR(__xludf.DUMMYFUNCTION("""COMPUTED_VALUE"""),2.69)</f>
        <v>2.69</v>
      </c>
      <c r="Q886" s="1432">
        <f>IFERROR(__xludf.DUMMYFUNCTION("""COMPUTED_VALUE"""),279.76)</f>
        <v>279.76</v>
      </c>
    </row>
    <row r="887" ht="15.75" customHeight="1">
      <c r="A887" s="94"/>
      <c r="B887" s="94" t="str">
        <f>IFERROR(__xludf.DUMMYFUNCTION("""COMPUTED_VALUE"""),"WS A907")</f>
        <v>WS A907</v>
      </c>
      <c r="C887" s="1429" t="str">
        <f>IFERROR(__xludf.DUMMYFUNCTION("""COMPUTED_VALUE"""),"WS")</f>
        <v>WS</v>
      </c>
      <c r="D887" s="1432">
        <f>IFERROR(__xludf.DUMMYFUNCTION("""COMPUTED_VALUE"""),9.0)</f>
        <v>9</v>
      </c>
      <c r="E887" s="1429">
        <f>IFERROR(__xludf.DUMMYFUNCTION("""COMPUTED_VALUE"""),45546.0)</f>
        <v>45546</v>
      </c>
      <c r="F887" s="1429">
        <f>IFERROR(__xludf.DUMMYFUNCTION("""COMPUTED_VALUE"""),45549.0)</f>
        <v>45549</v>
      </c>
      <c r="G887" s="1164">
        <f>IFERROR(__xludf.DUMMYFUNCTION("""COMPUTED_VALUE"""),3.0)</f>
        <v>3</v>
      </c>
      <c r="H887" s="94"/>
      <c r="I887" s="94">
        <f>IFERROR(__xludf.DUMMYFUNCTION("""COMPUTED_VALUE"""),552.0)</f>
        <v>552</v>
      </c>
      <c r="J887" s="94"/>
      <c r="K887" s="94">
        <f>IFERROR(__xludf.DUMMYFUNCTION("""COMPUTED_VALUE"""),60.0)</f>
        <v>60</v>
      </c>
      <c r="L887" s="94">
        <f>IFERROR(__xludf.DUMMYFUNCTION("""COMPUTED_VALUE"""),40.0)</f>
        <v>40</v>
      </c>
      <c r="M887" s="94">
        <f>IFERROR(__xludf.DUMMYFUNCTION("""COMPUTED_VALUE"""),20.0)</f>
        <v>20</v>
      </c>
      <c r="N887" s="94"/>
      <c r="O887" s="1430">
        <f>IFERROR(__xludf.DUMMYFUNCTION("""COMPUTED_VALUE"""),20.0)</f>
        <v>20</v>
      </c>
      <c r="P887" s="1431">
        <f>IFERROR(__xludf.DUMMYFUNCTION("""COMPUTED_VALUE"""),2.69)</f>
        <v>2.69</v>
      </c>
      <c r="Q887" s="1432">
        <f>IFERROR(__xludf.DUMMYFUNCTION("""COMPUTED_VALUE"""),552.0)</f>
        <v>552</v>
      </c>
    </row>
    <row r="888" ht="15.75" customHeight="1">
      <c r="A888" s="94"/>
      <c r="B888" s="94" t="str">
        <f>IFERROR(__xludf.DUMMYFUNCTION("""COMPUTED_VALUE"""),"DL 11-1305")</f>
        <v>DL 11-1305</v>
      </c>
      <c r="C888" s="1429" t="str">
        <f>IFERROR(__xludf.DUMMYFUNCTION("""COMPUTED_VALUE"""),"DL")</f>
        <v>DL</v>
      </c>
      <c r="D888" s="1432">
        <f>IFERROR(__xludf.DUMMYFUNCTION("""COMPUTED_VALUE"""),9.0)</f>
        <v>9</v>
      </c>
      <c r="E888" s="1429">
        <f>IFERROR(__xludf.DUMMYFUNCTION("""COMPUTED_VALUE"""),45546.0)</f>
        <v>45546</v>
      </c>
      <c r="F888" s="1429">
        <f>IFERROR(__xludf.DUMMYFUNCTION("""COMPUTED_VALUE"""),45547.0)</f>
        <v>45547</v>
      </c>
      <c r="G888" s="1164">
        <f>IFERROR(__xludf.DUMMYFUNCTION("""COMPUTED_VALUE"""),1.0)</f>
        <v>1</v>
      </c>
      <c r="H888" s="94"/>
      <c r="I888" s="94">
        <f>IFERROR(__xludf.DUMMYFUNCTION("""COMPUTED_VALUE"""),277.0)</f>
        <v>277</v>
      </c>
      <c r="J888" s="94"/>
      <c r="K888" s="94">
        <f>IFERROR(__xludf.DUMMYFUNCTION("""COMPUTED_VALUE"""),105.0)</f>
        <v>105</v>
      </c>
      <c r="L888" s="94">
        <f>IFERROR(__xludf.DUMMYFUNCTION("""COMPUTED_VALUE"""),105.0)</f>
        <v>105</v>
      </c>
      <c r="M888" s="94">
        <f>IFERROR(__xludf.DUMMYFUNCTION("""COMPUTED_VALUE"""),0.0)</f>
        <v>0</v>
      </c>
      <c r="N888" s="94"/>
      <c r="O888" s="1430">
        <f>IFERROR(__xludf.DUMMYFUNCTION("""COMPUTED_VALUE"""),0.0)</f>
        <v>0</v>
      </c>
      <c r="P888" s="1431">
        <f>IFERROR(__xludf.DUMMYFUNCTION("""COMPUTED_VALUE"""),2.69)</f>
        <v>2.69</v>
      </c>
      <c r="Q888" s="1432">
        <f>IFERROR(__xludf.DUMMYFUNCTION("""COMPUTED_VALUE"""),277.0)</f>
        <v>277</v>
      </c>
    </row>
    <row r="889" ht="15.75" customHeight="1">
      <c r="A889" s="94"/>
      <c r="B889" s="94" t="str">
        <f>IFERROR(__xludf.DUMMYFUNCTION("""COMPUTED_VALUE"""),"WS A 409")</f>
        <v>WS A 409</v>
      </c>
      <c r="C889" s="1429" t="str">
        <f>IFERROR(__xludf.DUMMYFUNCTION("""COMPUTED_VALUE"""),"WS")</f>
        <v>WS</v>
      </c>
      <c r="D889" s="1432">
        <f>IFERROR(__xludf.DUMMYFUNCTION("""COMPUTED_VALUE"""),9.0)</f>
        <v>9</v>
      </c>
      <c r="E889" s="1429">
        <f>IFERROR(__xludf.DUMMYFUNCTION("""COMPUTED_VALUE"""),45546.0)</f>
        <v>45546</v>
      </c>
      <c r="F889" s="1429">
        <f>IFERROR(__xludf.DUMMYFUNCTION("""COMPUTED_VALUE"""),45549.0)</f>
        <v>45549</v>
      </c>
      <c r="G889" s="1164">
        <f>IFERROR(__xludf.DUMMYFUNCTION("""COMPUTED_VALUE"""),3.0)</f>
        <v>3</v>
      </c>
      <c r="H889" s="94"/>
      <c r="I889" s="94">
        <f>IFERROR(__xludf.DUMMYFUNCTION("""COMPUTED_VALUE"""),552.0)</f>
        <v>552</v>
      </c>
      <c r="J889" s="94"/>
      <c r="K889" s="94">
        <f>IFERROR(__xludf.DUMMYFUNCTION("""COMPUTED_VALUE"""),60.0)</f>
        <v>60</v>
      </c>
      <c r="L889" s="94">
        <f>IFERROR(__xludf.DUMMYFUNCTION("""COMPUTED_VALUE"""),40.0)</f>
        <v>40</v>
      </c>
      <c r="M889" s="94">
        <f>IFERROR(__xludf.DUMMYFUNCTION("""COMPUTED_VALUE"""),20.0)</f>
        <v>20</v>
      </c>
      <c r="N889" s="94"/>
      <c r="O889" s="1430">
        <f>IFERROR(__xludf.DUMMYFUNCTION("""COMPUTED_VALUE"""),20.0)</f>
        <v>20</v>
      </c>
      <c r="P889" s="1431">
        <f>IFERROR(__xludf.DUMMYFUNCTION("""COMPUTED_VALUE"""),2.69)</f>
        <v>2.69</v>
      </c>
      <c r="Q889" s="1432">
        <f>IFERROR(__xludf.DUMMYFUNCTION("""COMPUTED_VALUE"""),552.0)</f>
        <v>552</v>
      </c>
    </row>
    <row r="890" ht="15.75" customHeight="1">
      <c r="A890" s="94"/>
      <c r="B890" s="94" t="str">
        <f>IFERROR(__xludf.DUMMYFUNCTION("""COMPUTED_VALUE"""),"WS F 907")</f>
        <v>WS F 907</v>
      </c>
      <c r="C890" s="1429" t="str">
        <f>IFERROR(__xludf.DUMMYFUNCTION("""COMPUTED_VALUE"""),"WS")</f>
        <v>WS</v>
      </c>
      <c r="D890" s="1432">
        <f>IFERROR(__xludf.DUMMYFUNCTION("""COMPUTED_VALUE"""),9.0)</f>
        <v>9</v>
      </c>
      <c r="E890" s="1429">
        <f>IFERROR(__xludf.DUMMYFUNCTION("""COMPUTED_VALUE"""),45546.0)</f>
        <v>45546</v>
      </c>
      <c r="F890" s="1429">
        <f>IFERROR(__xludf.DUMMYFUNCTION("""COMPUTED_VALUE"""),45549.0)</f>
        <v>45549</v>
      </c>
      <c r="G890" s="1164">
        <f>IFERROR(__xludf.DUMMYFUNCTION("""COMPUTED_VALUE"""),3.0)</f>
        <v>3</v>
      </c>
      <c r="H890" s="94"/>
      <c r="I890" s="94">
        <f>IFERROR(__xludf.DUMMYFUNCTION("""COMPUTED_VALUE"""),390.0)</f>
        <v>390</v>
      </c>
      <c r="J890" s="94"/>
      <c r="K890" s="94">
        <f>IFERROR(__xludf.DUMMYFUNCTION("""COMPUTED_VALUE"""),60.0)</f>
        <v>60</v>
      </c>
      <c r="L890" s="94">
        <f>IFERROR(__xludf.DUMMYFUNCTION("""COMPUTED_VALUE"""),40.0)</f>
        <v>40</v>
      </c>
      <c r="M890" s="94">
        <f>IFERROR(__xludf.DUMMYFUNCTION("""COMPUTED_VALUE"""),20.0)</f>
        <v>20</v>
      </c>
      <c r="N890" s="94"/>
      <c r="O890" s="1430">
        <f>IFERROR(__xludf.DUMMYFUNCTION("""COMPUTED_VALUE"""),20.0)</f>
        <v>20</v>
      </c>
      <c r="P890" s="1431">
        <f>IFERROR(__xludf.DUMMYFUNCTION("""COMPUTED_VALUE"""),2.69)</f>
        <v>2.69</v>
      </c>
      <c r="Q890" s="1432">
        <f>IFERROR(__xludf.DUMMYFUNCTION("""COMPUTED_VALUE"""),390.0)</f>
        <v>390</v>
      </c>
    </row>
    <row r="891" ht="15.75" customHeight="1">
      <c r="A891" s="94"/>
      <c r="B891" s="94" t="str">
        <f>IFERROR(__xludf.DUMMYFUNCTION("""COMPUTED_VALUE"""),"CM 1606")</f>
        <v>CM 1606</v>
      </c>
      <c r="C891" s="1429" t="str">
        <f>IFERROR(__xludf.DUMMYFUNCTION("""COMPUTED_VALUE"""),"MAR")</f>
        <v>MAR</v>
      </c>
      <c r="D891" s="1432">
        <f>IFERROR(__xludf.DUMMYFUNCTION("""COMPUTED_VALUE"""),9.0)</f>
        <v>9</v>
      </c>
      <c r="E891" s="1429">
        <f>IFERROR(__xludf.DUMMYFUNCTION("""COMPUTED_VALUE"""),45546.0)</f>
        <v>45546</v>
      </c>
      <c r="F891" s="1429">
        <f>IFERROR(__xludf.DUMMYFUNCTION("""COMPUTED_VALUE"""),45550.0)</f>
        <v>45550</v>
      </c>
      <c r="G891" s="1164">
        <f>IFERROR(__xludf.DUMMYFUNCTION("""COMPUTED_VALUE"""),4.0)</f>
        <v>4</v>
      </c>
      <c r="H891" s="1430">
        <f>IFERROR(__xludf.DUMMYFUNCTION("""COMPUTED_VALUE"""),185.0)</f>
        <v>185</v>
      </c>
      <c r="I891" s="94">
        <f>IFERROR(__xludf.DUMMYFUNCTION("""COMPUTED_VALUE"""),0.0)</f>
        <v>0</v>
      </c>
      <c r="J891" s="94"/>
      <c r="K891" s="94">
        <f>IFERROR(__xludf.DUMMYFUNCTION("""COMPUTED_VALUE"""),60.0)</f>
        <v>60</v>
      </c>
      <c r="L891" s="94">
        <f>IFERROR(__xludf.DUMMYFUNCTION("""COMPUTED_VALUE"""),40.0)</f>
        <v>40</v>
      </c>
      <c r="M891" s="94">
        <f>IFERROR(__xludf.DUMMYFUNCTION("""COMPUTED_VALUE"""),20.0)</f>
        <v>20</v>
      </c>
      <c r="N891" s="94"/>
      <c r="O891" s="1430">
        <f>IFERROR(__xludf.DUMMYFUNCTION("""COMPUTED_VALUE"""),20.0)</f>
        <v>20</v>
      </c>
      <c r="P891" s="1431">
        <f>IFERROR(__xludf.DUMMYFUNCTION("""COMPUTED_VALUE"""),2.69)</f>
        <v>2.69</v>
      </c>
      <c r="Q891" s="1432">
        <f>IFERROR(__xludf.DUMMYFUNCTION("""COMPUTED_VALUE"""),497.65)</f>
        <v>497.65</v>
      </c>
    </row>
    <row r="892" ht="15.75" customHeight="1">
      <c r="A892" s="94"/>
      <c r="B892" s="94" t="str">
        <f>IFERROR(__xludf.DUMMYFUNCTION("""COMPUTED_VALUE"""),"DL14-518")</f>
        <v>DL14-518</v>
      </c>
      <c r="C892" s="1429" t="str">
        <f>IFERROR(__xludf.DUMMYFUNCTION("""COMPUTED_VALUE"""),"DL")</f>
        <v>DL</v>
      </c>
      <c r="D892" s="1432">
        <f>IFERROR(__xludf.DUMMYFUNCTION("""COMPUTED_VALUE"""),9.0)</f>
        <v>9</v>
      </c>
      <c r="E892" s="1429">
        <f>IFERROR(__xludf.DUMMYFUNCTION("""COMPUTED_VALUE"""),45546.0)</f>
        <v>45546</v>
      </c>
      <c r="F892" s="1429">
        <f>IFERROR(__xludf.DUMMYFUNCTION("""COMPUTED_VALUE"""),45548.0)</f>
        <v>45548</v>
      </c>
      <c r="G892" s="1164">
        <f>IFERROR(__xludf.DUMMYFUNCTION("""COMPUTED_VALUE"""),2.0)</f>
        <v>2</v>
      </c>
      <c r="H892" s="1430">
        <f>IFERROR(__xludf.DUMMYFUNCTION("""COMPUTED_VALUE"""),130.0)</f>
        <v>130</v>
      </c>
      <c r="I892" s="94">
        <f>IFERROR(__xludf.DUMMYFUNCTION("""COMPUTED_VALUE"""),0.0)</f>
        <v>0</v>
      </c>
      <c r="J892" s="94"/>
      <c r="K892" s="94">
        <f>IFERROR(__xludf.DUMMYFUNCTION("""COMPUTED_VALUE"""),95.0)</f>
        <v>95</v>
      </c>
      <c r="L892" s="94">
        <f>IFERROR(__xludf.DUMMYFUNCTION("""COMPUTED_VALUE"""),95.0)</f>
        <v>95</v>
      </c>
      <c r="M892" s="94">
        <f>IFERROR(__xludf.DUMMYFUNCTION("""COMPUTED_VALUE"""),0.0)</f>
        <v>0</v>
      </c>
      <c r="N892" s="94"/>
      <c r="O892" s="1430">
        <f>IFERROR(__xludf.DUMMYFUNCTION("""COMPUTED_VALUE"""),0.0)</f>
        <v>0</v>
      </c>
      <c r="P892" s="1431">
        <f>IFERROR(__xludf.DUMMYFUNCTION("""COMPUTED_VALUE"""),2.69)</f>
        <v>2.69</v>
      </c>
      <c r="Q892" s="1432">
        <f>IFERROR(__xludf.DUMMYFUNCTION("""COMPUTED_VALUE"""),349.7)</f>
        <v>349.7</v>
      </c>
    </row>
    <row r="893" ht="15.75" customHeight="1">
      <c r="A893" s="94"/>
      <c r="B893" s="94" t="str">
        <f>IFERROR(__xludf.DUMMYFUNCTION("""COMPUTED_VALUE"""),"DL 14-516")</f>
        <v>DL 14-516</v>
      </c>
      <c r="C893" s="1429" t="str">
        <f>IFERROR(__xludf.DUMMYFUNCTION("""COMPUTED_VALUE"""),"DL")</f>
        <v>DL</v>
      </c>
      <c r="D893" s="1432">
        <f>IFERROR(__xludf.DUMMYFUNCTION("""COMPUTED_VALUE"""),9.0)</f>
        <v>9</v>
      </c>
      <c r="E893" s="1429">
        <f>IFERROR(__xludf.DUMMYFUNCTION("""COMPUTED_VALUE"""),45547.0)</f>
        <v>45547</v>
      </c>
      <c r="F893" s="1429">
        <f>IFERROR(__xludf.DUMMYFUNCTION("""COMPUTED_VALUE"""),45561.0)</f>
        <v>45561</v>
      </c>
      <c r="G893" s="1164">
        <f>IFERROR(__xludf.DUMMYFUNCTION("""COMPUTED_VALUE"""),14.0)</f>
        <v>14</v>
      </c>
      <c r="H893" s="94"/>
      <c r="I893" s="94">
        <f>IFERROR(__xludf.DUMMYFUNCTION("""COMPUTED_VALUE"""),3569.0)</f>
        <v>3569</v>
      </c>
      <c r="J893" s="94"/>
      <c r="K893" s="94">
        <f>IFERROR(__xludf.DUMMYFUNCTION("""COMPUTED_VALUE"""),105.0)</f>
        <v>105</v>
      </c>
      <c r="L893" s="94">
        <f>IFERROR(__xludf.DUMMYFUNCTION("""COMPUTED_VALUE"""),105.0)</f>
        <v>105</v>
      </c>
      <c r="M893" s="94">
        <f>IFERROR(__xludf.DUMMYFUNCTION("""COMPUTED_VALUE"""),0.0)</f>
        <v>0</v>
      </c>
      <c r="N893" s="94"/>
      <c r="O893" s="1430">
        <f>IFERROR(__xludf.DUMMYFUNCTION("""COMPUTED_VALUE"""),0.0)</f>
        <v>0</v>
      </c>
      <c r="P893" s="1431">
        <f>IFERROR(__xludf.DUMMYFUNCTION("""COMPUTED_VALUE"""),2.69)</f>
        <v>2.69</v>
      </c>
      <c r="Q893" s="1432">
        <f>IFERROR(__xludf.DUMMYFUNCTION("""COMPUTED_VALUE"""),3569.0)</f>
        <v>3569</v>
      </c>
    </row>
    <row r="894" ht="15.75" customHeight="1">
      <c r="A894" s="94"/>
      <c r="B894" s="94" t="str">
        <f>IFERROR(__xludf.DUMMYFUNCTION("""COMPUTED_VALUE"""),"WS A 713")</f>
        <v>WS A 713</v>
      </c>
      <c r="C894" s="1429" t="str">
        <f>IFERROR(__xludf.DUMMYFUNCTION("""COMPUTED_VALUE"""),"WS")</f>
        <v>WS</v>
      </c>
      <c r="D894" s="1432">
        <f>IFERROR(__xludf.DUMMYFUNCTION("""COMPUTED_VALUE"""),9.0)</f>
        <v>9</v>
      </c>
      <c r="E894" s="1429">
        <f>IFERROR(__xludf.DUMMYFUNCTION("""COMPUTED_VALUE"""),45547.0)</f>
        <v>45547</v>
      </c>
      <c r="F894" s="1429">
        <f>IFERROR(__xludf.DUMMYFUNCTION("""COMPUTED_VALUE"""),45551.0)</f>
        <v>45551</v>
      </c>
      <c r="G894" s="1164">
        <f>IFERROR(__xludf.DUMMYFUNCTION("""COMPUTED_VALUE"""),4.0)</f>
        <v>4</v>
      </c>
      <c r="H894" s="1430">
        <f>IFERROR(__xludf.DUMMYFUNCTION("""COMPUTED_VALUE"""),160.0)</f>
        <v>160</v>
      </c>
      <c r="I894" s="94">
        <f>IFERROR(__xludf.DUMMYFUNCTION("""COMPUTED_VALUE"""),0.0)</f>
        <v>0</v>
      </c>
      <c r="J894" s="94"/>
      <c r="K894" s="94">
        <f>IFERROR(__xludf.DUMMYFUNCTION("""COMPUTED_VALUE"""),60.0)</f>
        <v>60</v>
      </c>
      <c r="L894" s="94">
        <f>IFERROR(__xludf.DUMMYFUNCTION("""COMPUTED_VALUE"""),40.0)</f>
        <v>40</v>
      </c>
      <c r="M894" s="94">
        <f>IFERROR(__xludf.DUMMYFUNCTION("""COMPUTED_VALUE"""),20.0)</f>
        <v>20</v>
      </c>
      <c r="N894" s="94"/>
      <c r="O894" s="1430">
        <f>IFERROR(__xludf.DUMMYFUNCTION("""COMPUTED_VALUE"""),20.0)</f>
        <v>20</v>
      </c>
      <c r="P894" s="1431">
        <f>IFERROR(__xludf.DUMMYFUNCTION("""COMPUTED_VALUE"""),2.69)</f>
        <v>2.69</v>
      </c>
      <c r="Q894" s="1432">
        <f>IFERROR(__xludf.DUMMYFUNCTION("""COMPUTED_VALUE"""),430.4)</f>
        <v>430.4</v>
      </c>
    </row>
    <row r="895" ht="15.75" customHeight="1">
      <c r="A895" s="94"/>
      <c r="B895" s="94" t="str">
        <f>IFERROR(__xludf.DUMMYFUNCTION("""COMPUTED_VALUE"""),"Wyn")</f>
        <v>Wyn</v>
      </c>
      <c r="C895" s="1429" t="str">
        <f>IFERROR(__xludf.DUMMYFUNCTION("""COMPUTED_VALUE"""),"Other")</f>
        <v>Other</v>
      </c>
      <c r="D895" s="1432">
        <f>IFERROR(__xludf.DUMMYFUNCTION("""COMPUTED_VALUE"""),9.0)</f>
        <v>9</v>
      </c>
      <c r="E895" s="1429">
        <f>IFERROR(__xludf.DUMMYFUNCTION("""COMPUTED_VALUE"""),45547.0)</f>
        <v>45547</v>
      </c>
      <c r="F895" s="1429">
        <f>IFERROR(__xludf.DUMMYFUNCTION("""COMPUTED_VALUE"""),45554.0)</f>
        <v>45554</v>
      </c>
      <c r="G895" s="1164">
        <f>IFERROR(__xludf.DUMMYFUNCTION("""COMPUTED_VALUE"""),7.0)</f>
        <v>7</v>
      </c>
      <c r="H895" s="1430">
        <f>IFERROR(__xludf.DUMMYFUNCTION("""COMPUTED_VALUE"""),367.0)</f>
        <v>367</v>
      </c>
      <c r="I895" s="94">
        <f>IFERROR(__xludf.DUMMYFUNCTION("""COMPUTED_VALUE"""),0.0)</f>
        <v>0</v>
      </c>
      <c r="J895" s="94"/>
      <c r="K895" s="94">
        <f>IFERROR(__xludf.DUMMYFUNCTION("""COMPUTED_VALUE"""),70.0)</f>
        <v>70</v>
      </c>
      <c r="L895" s="94">
        <f>IFERROR(__xludf.DUMMYFUNCTION("""COMPUTED_VALUE"""),40.0)</f>
        <v>40</v>
      </c>
      <c r="M895" s="94">
        <f>IFERROR(__xludf.DUMMYFUNCTION("""COMPUTED_VALUE"""),30.0)</f>
        <v>30</v>
      </c>
      <c r="N895" s="94"/>
      <c r="O895" s="1430">
        <f>IFERROR(__xludf.DUMMYFUNCTION("""COMPUTED_VALUE"""),30.0)</f>
        <v>30</v>
      </c>
      <c r="P895" s="1431">
        <f>IFERROR(__xludf.DUMMYFUNCTION("""COMPUTED_VALUE"""),2.69)</f>
        <v>2.69</v>
      </c>
      <c r="Q895" s="1432">
        <f>IFERROR(__xludf.DUMMYFUNCTION("""COMPUTED_VALUE"""),987.23)</f>
        <v>987.23</v>
      </c>
    </row>
    <row r="896" ht="15.75" customHeight="1">
      <c r="A896" s="94"/>
      <c r="B896" s="94" t="str">
        <f>IFERROR(__xludf.DUMMYFUNCTION("""COMPUTED_VALUE"""),"WS В 503")</f>
        <v>WS В 503</v>
      </c>
      <c r="C896" s="1429" t="str">
        <f>IFERROR(__xludf.DUMMYFUNCTION("""COMPUTED_VALUE"""),"WS")</f>
        <v>WS</v>
      </c>
      <c r="D896" s="1432">
        <f>IFERROR(__xludf.DUMMYFUNCTION("""COMPUTED_VALUE"""),9.0)</f>
        <v>9</v>
      </c>
      <c r="E896" s="1429">
        <f>IFERROR(__xludf.DUMMYFUNCTION("""COMPUTED_VALUE"""),45547.0)</f>
        <v>45547</v>
      </c>
      <c r="F896" s="1429">
        <f>IFERROR(__xludf.DUMMYFUNCTION("""COMPUTED_VALUE"""),45551.0)</f>
        <v>45551</v>
      </c>
      <c r="G896" s="1164">
        <f>IFERROR(__xludf.DUMMYFUNCTION("""COMPUTED_VALUE"""),4.0)</f>
        <v>4</v>
      </c>
      <c r="H896" s="94"/>
      <c r="I896" s="94">
        <f>IFERROR(__xludf.DUMMYFUNCTION("""COMPUTED_VALUE"""),1107.0)</f>
        <v>1107</v>
      </c>
      <c r="J896" s="94"/>
      <c r="K896" s="94">
        <f>IFERROR(__xludf.DUMMYFUNCTION("""COMPUTED_VALUE"""),70.0)</f>
        <v>70</v>
      </c>
      <c r="L896" s="94">
        <f>IFERROR(__xludf.DUMMYFUNCTION("""COMPUTED_VALUE"""),40.0)</f>
        <v>40</v>
      </c>
      <c r="M896" s="94">
        <f>IFERROR(__xludf.DUMMYFUNCTION("""COMPUTED_VALUE"""),30.0)</f>
        <v>30</v>
      </c>
      <c r="N896" s="94"/>
      <c r="O896" s="1430">
        <f>IFERROR(__xludf.DUMMYFUNCTION("""COMPUTED_VALUE"""),30.0)</f>
        <v>30</v>
      </c>
      <c r="P896" s="1431">
        <f>IFERROR(__xludf.DUMMYFUNCTION("""COMPUTED_VALUE"""),2.69)</f>
        <v>2.69</v>
      </c>
      <c r="Q896" s="1432">
        <f>IFERROR(__xludf.DUMMYFUNCTION("""COMPUTED_VALUE"""),1107.0)</f>
        <v>1107</v>
      </c>
    </row>
    <row r="897" ht="15.75" customHeight="1">
      <c r="A897" s="94"/>
      <c r="B897" s="94" t="str">
        <f>IFERROR(__xludf.DUMMYFUNCTION("""COMPUTED_VALUE"""),"WS E 1202")</f>
        <v>WS E 1202</v>
      </c>
      <c r="C897" s="1429" t="str">
        <f>IFERROR(__xludf.DUMMYFUNCTION("""COMPUTED_VALUE"""),"WS")</f>
        <v>WS</v>
      </c>
      <c r="D897" s="1432">
        <f>IFERROR(__xludf.DUMMYFUNCTION("""COMPUTED_VALUE"""),9.0)</f>
        <v>9</v>
      </c>
      <c r="E897" s="1429">
        <f>IFERROR(__xludf.DUMMYFUNCTION("""COMPUTED_VALUE"""),45547.0)</f>
        <v>45547</v>
      </c>
      <c r="F897" s="1429">
        <f>IFERROR(__xludf.DUMMYFUNCTION("""COMPUTED_VALUE"""),45552.0)</f>
        <v>45552</v>
      </c>
      <c r="G897" s="1164">
        <f>IFERROR(__xludf.DUMMYFUNCTION("""COMPUTED_VALUE"""),5.0)</f>
        <v>5</v>
      </c>
      <c r="H897" s="1430">
        <f>IFERROR(__xludf.DUMMYFUNCTION("""COMPUTED_VALUE"""),375.0)</f>
        <v>375</v>
      </c>
      <c r="I897" s="94">
        <f>IFERROR(__xludf.DUMMYFUNCTION("""COMPUTED_VALUE"""),0.0)</f>
        <v>0</v>
      </c>
      <c r="J897" s="94"/>
      <c r="K897" s="94">
        <f>IFERROR(__xludf.DUMMYFUNCTION("""COMPUTED_VALUE"""),70.0)</f>
        <v>70</v>
      </c>
      <c r="L897" s="94">
        <f>IFERROR(__xludf.DUMMYFUNCTION("""COMPUTED_VALUE"""),40.0)</f>
        <v>40</v>
      </c>
      <c r="M897" s="94">
        <f>IFERROR(__xludf.DUMMYFUNCTION("""COMPUTED_VALUE"""),30.0)</f>
        <v>30</v>
      </c>
      <c r="N897" s="94"/>
      <c r="O897" s="1430">
        <f>IFERROR(__xludf.DUMMYFUNCTION("""COMPUTED_VALUE"""),30.0)</f>
        <v>30</v>
      </c>
      <c r="P897" s="1431">
        <f>IFERROR(__xludf.DUMMYFUNCTION("""COMPUTED_VALUE"""),2.69)</f>
        <v>2.69</v>
      </c>
      <c r="Q897" s="1432">
        <f>IFERROR(__xludf.DUMMYFUNCTION("""COMPUTED_VALUE"""),1008.75)</f>
        <v>1008.75</v>
      </c>
    </row>
    <row r="898" ht="15.75" customHeight="1">
      <c r="A898" s="94"/>
      <c r="B898" s="94" t="str">
        <f>IFERROR(__xludf.DUMMYFUNCTION("""COMPUTED_VALUE"""),"CM 1604")</f>
        <v>CM 1604</v>
      </c>
      <c r="C898" s="1429" t="str">
        <f>IFERROR(__xludf.DUMMYFUNCTION("""COMPUTED_VALUE"""),"MAR")</f>
        <v>MAR</v>
      </c>
      <c r="D898" s="1432">
        <f>IFERROR(__xludf.DUMMYFUNCTION("""COMPUTED_VALUE"""),9.0)</f>
        <v>9</v>
      </c>
      <c r="E898" s="1429">
        <f>IFERROR(__xludf.DUMMYFUNCTION("""COMPUTED_VALUE"""),45547.0)</f>
        <v>45547</v>
      </c>
      <c r="F898" s="1429">
        <f>IFERROR(__xludf.DUMMYFUNCTION("""COMPUTED_VALUE"""),45549.0)</f>
        <v>45549</v>
      </c>
      <c r="G898" s="1164">
        <f>IFERROR(__xludf.DUMMYFUNCTION("""COMPUTED_VALUE"""),2.0)</f>
        <v>2</v>
      </c>
      <c r="H898" s="1430">
        <f>IFERROR(__xludf.DUMMYFUNCTION("""COMPUTED_VALUE"""),124.0)</f>
        <v>124</v>
      </c>
      <c r="I898" s="94">
        <f>IFERROR(__xludf.DUMMYFUNCTION("""COMPUTED_VALUE"""),0.0)</f>
        <v>0</v>
      </c>
      <c r="J898" s="94"/>
      <c r="K898" s="94">
        <f>IFERROR(__xludf.DUMMYFUNCTION("""COMPUTED_VALUE"""),70.0)</f>
        <v>70</v>
      </c>
      <c r="L898" s="94">
        <f>IFERROR(__xludf.DUMMYFUNCTION("""COMPUTED_VALUE"""),40.0)</f>
        <v>40</v>
      </c>
      <c r="M898" s="94">
        <f>IFERROR(__xludf.DUMMYFUNCTION("""COMPUTED_VALUE"""),30.0)</f>
        <v>30</v>
      </c>
      <c r="N898" s="94"/>
      <c r="O898" s="1430">
        <f>IFERROR(__xludf.DUMMYFUNCTION("""COMPUTED_VALUE"""),30.0)</f>
        <v>30</v>
      </c>
      <c r="P898" s="1431">
        <f>IFERROR(__xludf.DUMMYFUNCTION("""COMPUTED_VALUE"""),2.69)</f>
        <v>2.69</v>
      </c>
      <c r="Q898" s="1432">
        <f>IFERROR(__xludf.DUMMYFUNCTION("""COMPUTED_VALUE"""),333.56)</f>
        <v>333.56</v>
      </c>
    </row>
    <row r="899" ht="15.75" customHeight="1">
      <c r="A899" s="94"/>
      <c r="B899" s="94" t="str">
        <f>IFERROR(__xludf.DUMMYFUNCTION("""COMPUTED_VALUE"""),"Вилла Ева")</f>
        <v>Вилла Ева</v>
      </c>
      <c r="C899" s="1429" t="str">
        <f>IFERROR(__xludf.DUMMYFUNCTION("""COMPUTED_VALUE"""),"Other")</f>
        <v>Other</v>
      </c>
      <c r="D899" s="1432">
        <f>IFERROR(__xludf.DUMMYFUNCTION("""COMPUTED_VALUE"""),9.0)</f>
        <v>9</v>
      </c>
      <c r="E899" s="1429">
        <f>IFERROR(__xludf.DUMMYFUNCTION("""COMPUTED_VALUE"""),45547.0)</f>
        <v>45547</v>
      </c>
      <c r="F899" s="1429">
        <f>IFERROR(__xludf.DUMMYFUNCTION("""COMPUTED_VALUE"""),45550.0)</f>
        <v>45550</v>
      </c>
      <c r="G899" s="1164">
        <f>IFERROR(__xludf.DUMMYFUNCTION("""COMPUTED_VALUE"""),3.0)</f>
        <v>3</v>
      </c>
      <c r="H899" s="1430">
        <f>IFERROR(__xludf.DUMMYFUNCTION("""COMPUTED_VALUE"""),28.0)</f>
        <v>28</v>
      </c>
      <c r="I899" s="94">
        <f>IFERROR(__xludf.DUMMYFUNCTION("""COMPUTED_VALUE"""),0.0)</f>
        <v>0</v>
      </c>
      <c r="J899" s="94"/>
      <c r="K899" s="94"/>
      <c r="L899" s="94"/>
      <c r="M899" s="94">
        <f>IFERROR(__xludf.DUMMYFUNCTION("""COMPUTED_VALUE"""),0.0)</f>
        <v>0</v>
      </c>
      <c r="N899" s="94"/>
      <c r="O899" s="1430">
        <f>IFERROR(__xludf.DUMMYFUNCTION("""COMPUTED_VALUE"""),0.0)</f>
        <v>0</v>
      </c>
      <c r="P899" s="1431">
        <f>IFERROR(__xludf.DUMMYFUNCTION("""COMPUTED_VALUE"""),2.69)</f>
        <v>2.69</v>
      </c>
      <c r="Q899" s="1432">
        <f>IFERROR(__xludf.DUMMYFUNCTION("""COMPUTED_VALUE"""),75.32)</f>
        <v>75.32</v>
      </c>
    </row>
    <row r="900" ht="15.75" customHeight="1">
      <c r="A900" s="94"/>
      <c r="B900" s="94" t="str">
        <f>IFERROR(__xludf.DUMMYFUNCTION("""COMPUTED_VALUE"""),"Int 2905")</f>
        <v>Int 2905</v>
      </c>
      <c r="C900" s="1429" t="str">
        <f>IFERROR(__xludf.DUMMYFUNCTION("""COMPUTED_VALUE"""),"Other")</f>
        <v>Other</v>
      </c>
      <c r="D900" s="1432">
        <f>IFERROR(__xludf.DUMMYFUNCTION("""COMPUTED_VALUE"""),9.0)</f>
        <v>9</v>
      </c>
      <c r="E900" s="1429">
        <f>IFERROR(__xludf.DUMMYFUNCTION("""COMPUTED_VALUE"""),45548.0)</f>
        <v>45548</v>
      </c>
      <c r="F900" s="1429">
        <f>IFERROR(__xludf.DUMMYFUNCTION("""COMPUTED_VALUE"""),45550.0)</f>
        <v>45550</v>
      </c>
      <c r="G900" s="1164">
        <f>IFERROR(__xludf.DUMMYFUNCTION("""COMPUTED_VALUE"""),2.0)</f>
        <v>2</v>
      </c>
      <c r="H900" s="1430">
        <f>IFERROR(__xludf.DUMMYFUNCTION("""COMPUTED_VALUE"""),88.0)</f>
        <v>88</v>
      </c>
      <c r="I900" s="94">
        <f>IFERROR(__xludf.DUMMYFUNCTION("""COMPUTED_VALUE"""),0.0)</f>
        <v>0</v>
      </c>
      <c r="J900" s="94"/>
      <c r="K900" s="94">
        <f>IFERROR(__xludf.DUMMYFUNCTION("""COMPUTED_VALUE"""),60.0)</f>
        <v>60</v>
      </c>
      <c r="L900" s="94">
        <f>IFERROR(__xludf.DUMMYFUNCTION("""COMPUTED_VALUE"""),40.0)</f>
        <v>40</v>
      </c>
      <c r="M900" s="94">
        <f>IFERROR(__xludf.DUMMYFUNCTION("""COMPUTED_VALUE"""),20.0)</f>
        <v>20</v>
      </c>
      <c r="N900" s="94"/>
      <c r="O900" s="1430">
        <f>IFERROR(__xludf.DUMMYFUNCTION("""COMPUTED_VALUE"""),20.0)</f>
        <v>20</v>
      </c>
      <c r="P900" s="1431">
        <f>IFERROR(__xludf.DUMMYFUNCTION("""COMPUTED_VALUE"""),2.69)</f>
        <v>2.69</v>
      </c>
      <c r="Q900" s="1432">
        <f>IFERROR(__xludf.DUMMYFUNCTION("""COMPUTED_VALUE"""),236.72)</f>
        <v>236.72</v>
      </c>
    </row>
    <row r="901" ht="15.75" customHeight="1">
      <c r="A901" s="94"/>
      <c r="B901" s="94" t="str">
        <f>IFERROR(__xludf.DUMMYFUNCTION("""COMPUTED_VALUE"""),"C 4245")</f>
        <v>C 4245</v>
      </c>
      <c r="C901" s="1429" t="str">
        <f>IFERROR(__xludf.DUMMYFUNCTION("""COMPUTED_VALUE"""),"ORBI")</f>
        <v>ORBI</v>
      </c>
      <c r="D901" s="1432">
        <f>IFERROR(__xludf.DUMMYFUNCTION("""COMPUTED_VALUE"""),9.0)</f>
        <v>9</v>
      </c>
      <c r="E901" s="1429">
        <f>IFERROR(__xludf.DUMMYFUNCTION("""COMPUTED_VALUE"""),45548.0)</f>
        <v>45548</v>
      </c>
      <c r="F901" s="1429">
        <f>IFERROR(__xludf.DUMMYFUNCTION("""COMPUTED_VALUE"""),45550.0)</f>
        <v>45550</v>
      </c>
      <c r="G901" s="1164">
        <f>IFERROR(__xludf.DUMMYFUNCTION("""COMPUTED_VALUE"""),2.0)</f>
        <v>2</v>
      </c>
      <c r="H901" s="1430">
        <f>IFERROR(__xludf.DUMMYFUNCTION("""COMPUTED_VALUE"""),152.0)</f>
        <v>152</v>
      </c>
      <c r="I901" s="94">
        <f>IFERROR(__xludf.DUMMYFUNCTION("""COMPUTED_VALUE"""),0.0)</f>
        <v>0</v>
      </c>
      <c r="J901" s="94"/>
      <c r="K901" s="94">
        <f>IFERROR(__xludf.DUMMYFUNCTION("""COMPUTED_VALUE"""),70.0)</f>
        <v>70</v>
      </c>
      <c r="L901" s="94">
        <f>IFERROR(__xludf.DUMMYFUNCTION("""COMPUTED_VALUE"""),40.0)</f>
        <v>40</v>
      </c>
      <c r="M901" s="94">
        <f>IFERROR(__xludf.DUMMYFUNCTION("""COMPUTED_VALUE"""),30.0)</f>
        <v>30</v>
      </c>
      <c r="N901" s="94"/>
      <c r="O901" s="1430">
        <f>IFERROR(__xludf.DUMMYFUNCTION("""COMPUTED_VALUE"""),30.0)</f>
        <v>30</v>
      </c>
      <c r="P901" s="1431">
        <f>IFERROR(__xludf.DUMMYFUNCTION("""COMPUTED_VALUE"""),2.69)</f>
        <v>2.69</v>
      </c>
      <c r="Q901" s="1432">
        <f>IFERROR(__xludf.DUMMYFUNCTION("""COMPUTED_VALUE"""),408.88)</f>
        <v>408.88</v>
      </c>
    </row>
    <row r="902" ht="15.75" customHeight="1">
      <c r="A902" s="94"/>
      <c r="B902" s="94" t="str">
        <f>IFERROR(__xludf.DUMMYFUNCTION("""COMPUTED_VALUE"""),"DL14-518")</f>
        <v>DL14-518</v>
      </c>
      <c r="C902" s="1429" t="str">
        <f>IFERROR(__xludf.DUMMYFUNCTION("""COMPUTED_VALUE"""),"DL")</f>
        <v>DL</v>
      </c>
      <c r="D902" s="1432">
        <f>IFERROR(__xludf.DUMMYFUNCTION("""COMPUTED_VALUE"""),9.0)</f>
        <v>9</v>
      </c>
      <c r="E902" s="1429">
        <f>IFERROR(__xludf.DUMMYFUNCTION("""COMPUTED_VALUE"""),45548.0)</f>
        <v>45548</v>
      </c>
      <c r="F902" s="1429">
        <f>IFERROR(__xludf.DUMMYFUNCTION("""COMPUTED_VALUE"""),45553.0)</f>
        <v>45553</v>
      </c>
      <c r="G902" s="1164">
        <f>IFERROR(__xludf.DUMMYFUNCTION("""COMPUTED_VALUE"""),5.0)</f>
        <v>5</v>
      </c>
      <c r="H902" s="94"/>
      <c r="I902" s="94">
        <f>IFERROR(__xludf.DUMMYFUNCTION("""COMPUTED_VALUE"""),1475.0)</f>
        <v>1475</v>
      </c>
      <c r="J902" s="94"/>
      <c r="K902" s="94">
        <f>IFERROR(__xludf.DUMMYFUNCTION("""COMPUTED_VALUE"""),95.0)</f>
        <v>95</v>
      </c>
      <c r="L902" s="94">
        <f>IFERROR(__xludf.DUMMYFUNCTION("""COMPUTED_VALUE"""),95.0)</f>
        <v>95</v>
      </c>
      <c r="M902" s="94">
        <f>IFERROR(__xludf.DUMMYFUNCTION("""COMPUTED_VALUE"""),0.0)</f>
        <v>0</v>
      </c>
      <c r="N902" s="94"/>
      <c r="O902" s="1430">
        <f>IFERROR(__xludf.DUMMYFUNCTION("""COMPUTED_VALUE"""),0.0)</f>
        <v>0</v>
      </c>
      <c r="P902" s="1431">
        <f>IFERROR(__xludf.DUMMYFUNCTION("""COMPUTED_VALUE"""),2.69)</f>
        <v>2.69</v>
      </c>
      <c r="Q902" s="1432">
        <f>IFERROR(__xludf.DUMMYFUNCTION("""COMPUTED_VALUE"""),1475.0)</f>
        <v>1475</v>
      </c>
    </row>
    <row r="903" ht="15.75" customHeight="1">
      <c r="A903" s="94"/>
      <c r="B903" s="94" t="str">
        <f>IFERROR(__xludf.DUMMYFUNCTION("""COMPUTED_VALUE"""),"WS E1405")</f>
        <v>WS E1405</v>
      </c>
      <c r="C903" s="1429" t="str">
        <f>IFERROR(__xludf.DUMMYFUNCTION("""COMPUTED_VALUE"""),"WS")</f>
        <v>WS</v>
      </c>
      <c r="D903" s="1432">
        <f>IFERROR(__xludf.DUMMYFUNCTION("""COMPUTED_VALUE"""),9.0)</f>
        <v>9</v>
      </c>
      <c r="E903" s="1429">
        <f>IFERROR(__xludf.DUMMYFUNCTION("""COMPUTED_VALUE"""),45548.0)</f>
        <v>45548</v>
      </c>
      <c r="F903" s="1429">
        <f>IFERROR(__xludf.DUMMYFUNCTION("""COMPUTED_VALUE"""),45551.0)</f>
        <v>45551</v>
      </c>
      <c r="G903" s="1164">
        <f>IFERROR(__xludf.DUMMYFUNCTION("""COMPUTED_VALUE"""),3.0)</f>
        <v>3</v>
      </c>
      <c r="H903" s="1430">
        <f>IFERROR(__xludf.DUMMYFUNCTION("""COMPUTED_VALUE"""),124.0)</f>
        <v>124</v>
      </c>
      <c r="I903" s="94">
        <f>IFERROR(__xludf.DUMMYFUNCTION("""COMPUTED_VALUE"""),0.0)</f>
        <v>0</v>
      </c>
      <c r="J903" s="94"/>
      <c r="K903" s="94">
        <f>IFERROR(__xludf.DUMMYFUNCTION("""COMPUTED_VALUE"""),60.0)</f>
        <v>60</v>
      </c>
      <c r="L903" s="94">
        <f>IFERROR(__xludf.DUMMYFUNCTION("""COMPUTED_VALUE"""),40.0)</f>
        <v>40</v>
      </c>
      <c r="M903" s="94">
        <f>IFERROR(__xludf.DUMMYFUNCTION("""COMPUTED_VALUE"""),20.0)</f>
        <v>20</v>
      </c>
      <c r="N903" s="94"/>
      <c r="O903" s="1430">
        <f>IFERROR(__xludf.DUMMYFUNCTION("""COMPUTED_VALUE"""),20.0)</f>
        <v>20</v>
      </c>
      <c r="P903" s="1431">
        <f>IFERROR(__xludf.DUMMYFUNCTION("""COMPUTED_VALUE"""),2.69)</f>
        <v>2.69</v>
      </c>
      <c r="Q903" s="1432">
        <f>IFERROR(__xludf.DUMMYFUNCTION("""COMPUTED_VALUE"""),333.56)</f>
        <v>333.56</v>
      </c>
    </row>
    <row r="904" ht="15.75" customHeight="1">
      <c r="A904" s="94"/>
      <c r="B904" s="94" t="str">
        <f>IFERROR(__xludf.DUMMYFUNCTION("""COMPUTED_VALUE"""),"DL 14-1214")</f>
        <v>DL 14-1214</v>
      </c>
      <c r="C904" s="1429" t="str">
        <f>IFERROR(__xludf.DUMMYFUNCTION("""COMPUTED_VALUE"""),"DL")</f>
        <v>DL</v>
      </c>
      <c r="D904" s="1432">
        <f>IFERROR(__xludf.DUMMYFUNCTION("""COMPUTED_VALUE"""),9.0)</f>
        <v>9</v>
      </c>
      <c r="E904" s="1429">
        <f>IFERROR(__xludf.DUMMYFUNCTION("""COMPUTED_VALUE"""),45548.0)</f>
        <v>45548</v>
      </c>
      <c r="F904" s="1429">
        <f>IFERROR(__xludf.DUMMYFUNCTION("""COMPUTED_VALUE"""),45550.0)</f>
        <v>45550</v>
      </c>
      <c r="G904" s="1164">
        <f>IFERROR(__xludf.DUMMYFUNCTION("""COMPUTED_VALUE"""),2.0)</f>
        <v>2</v>
      </c>
      <c r="H904" s="1430">
        <f>IFERROR(__xludf.DUMMYFUNCTION("""COMPUTED_VALUE"""),135.0)</f>
        <v>135</v>
      </c>
      <c r="I904" s="94">
        <f>IFERROR(__xludf.DUMMYFUNCTION("""COMPUTED_VALUE"""),0.0)</f>
        <v>0</v>
      </c>
      <c r="J904" s="94"/>
      <c r="K904" s="94">
        <f>IFERROR(__xludf.DUMMYFUNCTION("""COMPUTED_VALUE"""),95.0)</f>
        <v>95</v>
      </c>
      <c r="L904" s="94">
        <f>IFERROR(__xludf.DUMMYFUNCTION("""COMPUTED_VALUE"""),95.0)</f>
        <v>95</v>
      </c>
      <c r="M904" s="94">
        <f>IFERROR(__xludf.DUMMYFUNCTION("""COMPUTED_VALUE"""),0.0)</f>
        <v>0</v>
      </c>
      <c r="N904" s="94"/>
      <c r="O904" s="1430">
        <f>IFERROR(__xludf.DUMMYFUNCTION("""COMPUTED_VALUE"""),0.0)</f>
        <v>0</v>
      </c>
      <c r="P904" s="1431">
        <f>IFERROR(__xludf.DUMMYFUNCTION("""COMPUTED_VALUE"""),2.69)</f>
        <v>2.69</v>
      </c>
      <c r="Q904" s="1432">
        <f>IFERROR(__xludf.DUMMYFUNCTION("""COMPUTED_VALUE"""),363.15)</f>
        <v>363.15</v>
      </c>
    </row>
    <row r="905" ht="15.75" customHeight="1">
      <c r="A905" s="94"/>
      <c r="B905" s="94" t="str">
        <f>IFERROR(__xludf.DUMMYFUNCTION("""COMPUTED_VALUE"""),"DL 14-702")</f>
        <v>DL 14-702</v>
      </c>
      <c r="C905" s="1429" t="str">
        <f>IFERROR(__xludf.DUMMYFUNCTION("""COMPUTED_VALUE"""),"DL")</f>
        <v>DL</v>
      </c>
      <c r="D905" s="1432">
        <f>IFERROR(__xludf.DUMMYFUNCTION("""COMPUTED_VALUE"""),9.0)</f>
        <v>9</v>
      </c>
      <c r="E905" s="1429">
        <f>IFERROR(__xludf.DUMMYFUNCTION("""COMPUTED_VALUE"""),45548.0)</f>
        <v>45548</v>
      </c>
      <c r="F905" s="1429">
        <f>IFERROR(__xludf.DUMMYFUNCTION("""COMPUTED_VALUE"""),45554.0)</f>
        <v>45554</v>
      </c>
      <c r="G905" s="1164">
        <f>IFERROR(__xludf.DUMMYFUNCTION("""COMPUTED_VALUE"""),6.0)</f>
        <v>6</v>
      </c>
      <c r="H905" s="94"/>
      <c r="I905" s="94">
        <f>IFERROR(__xludf.DUMMYFUNCTION("""COMPUTED_VALUE"""),1639.0)</f>
        <v>1639</v>
      </c>
      <c r="J905" s="94"/>
      <c r="K905" s="94">
        <f>IFERROR(__xludf.DUMMYFUNCTION("""COMPUTED_VALUE"""),105.0)</f>
        <v>105</v>
      </c>
      <c r="L905" s="94">
        <f>IFERROR(__xludf.DUMMYFUNCTION("""COMPUTED_VALUE"""),105.0)</f>
        <v>105</v>
      </c>
      <c r="M905" s="94">
        <f>IFERROR(__xludf.DUMMYFUNCTION("""COMPUTED_VALUE"""),0.0)</f>
        <v>0</v>
      </c>
      <c r="N905" s="94"/>
      <c r="O905" s="1430">
        <f>IFERROR(__xludf.DUMMYFUNCTION("""COMPUTED_VALUE"""),0.0)</f>
        <v>0</v>
      </c>
      <c r="P905" s="1431">
        <f>IFERROR(__xludf.DUMMYFUNCTION("""COMPUTED_VALUE"""),2.69)</f>
        <v>2.69</v>
      </c>
      <c r="Q905" s="1432">
        <f>IFERROR(__xludf.DUMMYFUNCTION("""COMPUTED_VALUE"""),1639.0)</f>
        <v>1639</v>
      </c>
    </row>
    <row r="906" ht="15.75" customHeight="1">
      <c r="A906" s="94"/>
      <c r="B906" s="94" t="str">
        <f>IFERROR(__xludf.DUMMYFUNCTION("""COMPUTED_VALUE"""),"BV206")</f>
        <v>BV206</v>
      </c>
      <c r="C906" s="1429" t="str">
        <f>IFERROR(__xludf.DUMMYFUNCTION("""COMPUTED_VALUE"""),"Other")</f>
        <v>Other</v>
      </c>
      <c r="D906" s="1432">
        <f>IFERROR(__xludf.DUMMYFUNCTION("""COMPUTED_VALUE"""),9.0)</f>
        <v>9</v>
      </c>
      <c r="E906" s="1429">
        <f>IFERROR(__xludf.DUMMYFUNCTION("""COMPUTED_VALUE"""),45549.0)</f>
        <v>45549</v>
      </c>
      <c r="F906" s="1429">
        <f>IFERROR(__xludf.DUMMYFUNCTION("""COMPUTED_VALUE"""),45559.0)</f>
        <v>45559</v>
      </c>
      <c r="G906" s="1164">
        <f>IFERROR(__xludf.DUMMYFUNCTION("""COMPUTED_VALUE"""),10.0)</f>
        <v>10</v>
      </c>
      <c r="H906" s="94"/>
      <c r="I906" s="94">
        <f>IFERROR(__xludf.DUMMYFUNCTION("""COMPUTED_VALUE"""),0.0)</f>
        <v>0</v>
      </c>
      <c r="J906" s="94">
        <f>IFERROR(__xludf.DUMMYFUNCTION("""COMPUTED_VALUE"""),40000.0)</f>
        <v>40000</v>
      </c>
      <c r="K906" s="94">
        <f>IFERROR(__xludf.DUMMYFUNCTION("""COMPUTED_VALUE"""),60.0)</f>
        <v>60</v>
      </c>
      <c r="L906" s="94">
        <f>IFERROR(__xludf.DUMMYFUNCTION("""COMPUTED_VALUE"""),40.0)</f>
        <v>40</v>
      </c>
      <c r="M906" s="94">
        <f>IFERROR(__xludf.DUMMYFUNCTION("""COMPUTED_VALUE"""),20.0)</f>
        <v>20</v>
      </c>
      <c r="N906" s="94"/>
      <c r="O906" s="1430">
        <f>IFERROR(__xludf.DUMMYFUNCTION("""COMPUTED_VALUE"""),20.0)</f>
        <v>20</v>
      </c>
      <c r="P906" s="1431">
        <f>IFERROR(__xludf.DUMMYFUNCTION("""COMPUTED_VALUE"""),2.69)</f>
        <v>2.69</v>
      </c>
      <c r="Q906" s="1432">
        <f>IFERROR(__xludf.DUMMYFUNCTION("""COMPUTED_VALUE"""),1186.0)</f>
        <v>1186</v>
      </c>
    </row>
    <row r="907" ht="15.75" customHeight="1">
      <c r="A907" s="94"/>
      <c r="B907" s="94" t="str">
        <f>IFERROR(__xludf.DUMMYFUNCTION("""COMPUTED_VALUE"""),"А 4049")</f>
        <v>А 4049</v>
      </c>
      <c r="C907" s="1429" t="str">
        <f>IFERROR(__xludf.DUMMYFUNCTION("""COMPUTED_VALUE"""),"ORBI")</f>
        <v>ORBI</v>
      </c>
      <c r="D907" s="1432">
        <f>IFERROR(__xludf.DUMMYFUNCTION("""COMPUTED_VALUE"""),9.0)</f>
        <v>9</v>
      </c>
      <c r="E907" s="1429">
        <f>IFERROR(__xludf.DUMMYFUNCTION("""COMPUTED_VALUE"""),45549.0)</f>
        <v>45549</v>
      </c>
      <c r="F907" s="1429">
        <f>IFERROR(__xludf.DUMMYFUNCTION("""COMPUTED_VALUE"""),45552.0)</f>
        <v>45552</v>
      </c>
      <c r="G907" s="1164">
        <f>IFERROR(__xludf.DUMMYFUNCTION("""COMPUTED_VALUE"""),3.0)</f>
        <v>3</v>
      </c>
      <c r="H907" s="1430">
        <f>IFERROR(__xludf.DUMMYFUNCTION("""COMPUTED_VALUE"""),115.0)</f>
        <v>115</v>
      </c>
      <c r="I907" s="94">
        <f>IFERROR(__xludf.DUMMYFUNCTION("""COMPUTED_VALUE"""),0.0)</f>
        <v>0</v>
      </c>
      <c r="J907" s="94"/>
      <c r="K907" s="94">
        <f>IFERROR(__xludf.DUMMYFUNCTION("""COMPUTED_VALUE"""),50.0)</f>
        <v>50</v>
      </c>
      <c r="L907" s="94">
        <f>IFERROR(__xludf.DUMMYFUNCTION("""COMPUTED_VALUE"""),40.0)</f>
        <v>40</v>
      </c>
      <c r="M907" s="94">
        <f>IFERROR(__xludf.DUMMYFUNCTION("""COMPUTED_VALUE"""),10.0)</f>
        <v>10</v>
      </c>
      <c r="N907" s="94"/>
      <c r="O907" s="1430">
        <f>IFERROR(__xludf.DUMMYFUNCTION("""COMPUTED_VALUE"""),10.0)</f>
        <v>10</v>
      </c>
      <c r="P907" s="1431">
        <f>IFERROR(__xludf.DUMMYFUNCTION("""COMPUTED_VALUE"""),2.69)</f>
        <v>2.69</v>
      </c>
      <c r="Q907" s="1432">
        <f>IFERROR(__xludf.DUMMYFUNCTION("""COMPUTED_VALUE"""),309.34999999999997)</f>
        <v>309.35</v>
      </c>
    </row>
    <row r="908" ht="15.75" customHeight="1">
      <c r="A908" s="94"/>
      <c r="B908" s="94" t="str">
        <f>IFERROR(__xludf.DUMMYFUNCTION("""COMPUTED_VALUE"""),"WS A907")</f>
        <v>WS A907</v>
      </c>
      <c r="C908" s="1429" t="str">
        <f>IFERROR(__xludf.DUMMYFUNCTION("""COMPUTED_VALUE"""),"WS")</f>
        <v>WS</v>
      </c>
      <c r="D908" s="1432">
        <f>IFERROR(__xludf.DUMMYFUNCTION("""COMPUTED_VALUE"""),9.0)</f>
        <v>9</v>
      </c>
      <c r="E908" s="1429">
        <f>IFERROR(__xludf.DUMMYFUNCTION("""COMPUTED_VALUE"""),45550.0)</f>
        <v>45550</v>
      </c>
      <c r="F908" s="1429">
        <f>IFERROR(__xludf.DUMMYFUNCTION("""COMPUTED_VALUE"""),45557.0)</f>
        <v>45557</v>
      </c>
      <c r="G908" s="1164">
        <f>IFERROR(__xludf.DUMMYFUNCTION("""COMPUTED_VALUE"""),7.0)</f>
        <v>7</v>
      </c>
      <c r="H908" s="94"/>
      <c r="I908" s="94">
        <f>IFERROR(__xludf.DUMMYFUNCTION("""COMPUTED_VALUE"""),1162.0)</f>
        <v>1162</v>
      </c>
      <c r="J908" s="94"/>
      <c r="K908" s="94">
        <f>IFERROR(__xludf.DUMMYFUNCTION("""COMPUTED_VALUE"""),60.0)</f>
        <v>60</v>
      </c>
      <c r="L908" s="94">
        <f>IFERROR(__xludf.DUMMYFUNCTION("""COMPUTED_VALUE"""),40.0)</f>
        <v>40</v>
      </c>
      <c r="M908" s="94">
        <f>IFERROR(__xludf.DUMMYFUNCTION("""COMPUTED_VALUE"""),20.0)</f>
        <v>20</v>
      </c>
      <c r="N908" s="94"/>
      <c r="O908" s="1430">
        <f>IFERROR(__xludf.DUMMYFUNCTION("""COMPUTED_VALUE"""),20.0)</f>
        <v>20</v>
      </c>
      <c r="P908" s="1431">
        <f>IFERROR(__xludf.DUMMYFUNCTION("""COMPUTED_VALUE"""),2.69)</f>
        <v>2.69</v>
      </c>
      <c r="Q908" s="1432">
        <f>IFERROR(__xludf.DUMMYFUNCTION("""COMPUTED_VALUE"""),1162.0)</f>
        <v>1162</v>
      </c>
    </row>
    <row r="909" ht="15.75" customHeight="1">
      <c r="A909" s="94"/>
      <c r="B909" s="94" t="str">
        <f>IFERROR(__xludf.DUMMYFUNCTION("""COMPUTED_VALUE"""),"Steps 510")</f>
        <v>Steps 510</v>
      </c>
      <c r="C909" s="1429" t="str">
        <f>IFERROR(__xludf.DUMMYFUNCTION("""COMPUTED_VALUE"""),"#N/A")</f>
        <v>#N/A</v>
      </c>
      <c r="D909" s="1432">
        <f>IFERROR(__xludf.DUMMYFUNCTION("""COMPUTED_VALUE"""),9.0)</f>
        <v>9</v>
      </c>
      <c r="E909" s="1429">
        <f>IFERROR(__xludf.DUMMYFUNCTION("""COMPUTED_VALUE"""),45550.0)</f>
        <v>45550</v>
      </c>
      <c r="F909" s="1429">
        <f>IFERROR(__xludf.DUMMYFUNCTION("""COMPUTED_VALUE"""),45552.0)</f>
        <v>45552</v>
      </c>
      <c r="G909" s="1164">
        <f>IFERROR(__xludf.DUMMYFUNCTION("""COMPUTED_VALUE"""),2.0)</f>
        <v>2</v>
      </c>
      <c r="H909" s="1430">
        <f>IFERROR(__xludf.DUMMYFUNCTION("""COMPUTED_VALUE"""),85.0)</f>
        <v>85</v>
      </c>
      <c r="I909" s="94"/>
      <c r="J909" s="94"/>
      <c r="K909" s="94">
        <f>IFERROR(__xludf.DUMMYFUNCTION("""COMPUTED_VALUE"""),60.0)</f>
        <v>60</v>
      </c>
      <c r="L909" s="94">
        <f>IFERROR(__xludf.DUMMYFUNCTION("""COMPUTED_VALUE"""),40.0)</f>
        <v>40</v>
      </c>
      <c r="M909" s="94">
        <f>IFERROR(__xludf.DUMMYFUNCTION("""COMPUTED_VALUE"""),20.0)</f>
        <v>20</v>
      </c>
      <c r="N909" s="94"/>
      <c r="O909" s="1430">
        <f>IFERROR(__xludf.DUMMYFUNCTION("""COMPUTED_VALUE"""),20.0)</f>
        <v>20</v>
      </c>
      <c r="P909" s="1431">
        <f>IFERROR(__xludf.DUMMYFUNCTION("""COMPUTED_VALUE"""),2.69)</f>
        <v>2.69</v>
      </c>
      <c r="Q909" s="1432">
        <f>IFERROR(__xludf.DUMMYFUNCTION("""COMPUTED_VALUE"""),228.65)</f>
        <v>228.65</v>
      </c>
    </row>
    <row r="910" ht="15.75" customHeight="1">
      <c r="A910" s="94"/>
      <c r="B910" s="94" t="str">
        <f>IFERROR(__xludf.DUMMYFUNCTION("""COMPUTED_VALUE"""),"С 1443")</f>
        <v>С 1443</v>
      </c>
      <c r="C910" s="1429" t="str">
        <f>IFERROR(__xludf.DUMMYFUNCTION("""COMPUTED_VALUE"""),"ORBI")</f>
        <v>ORBI</v>
      </c>
      <c r="D910" s="1432">
        <f>IFERROR(__xludf.DUMMYFUNCTION("""COMPUTED_VALUE"""),9.0)</f>
        <v>9</v>
      </c>
      <c r="E910" s="1429">
        <f>IFERROR(__xludf.DUMMYFUNCTION("""COMPUTED_VALUE"""),45550.0)</f>
        <v>45550</v>
      </c>
      <c r="F910" s="1429">
        <f>IFERROR(__xludf.DUMMYFUNCTION("""COMPUTED_VALUE"""),45552.0)</f>
        <v>45552</v>
      </c>
      <c r="G910" s="1164">
        <f>IFERROR(__xludf.DUMMYFUNCTION("""COMPUTED_VALUE"""),2.0)</f>
        <v>2</v>
      </c>
      <c r="H910" s="1430">
        <f>IFERROR(__xludf.DUMMYFUNCTION("""COMPUTED_VALUE"""),90.0)</f>
        <v>90</v>
      </c>
      <c r="I910" s="94"/>
      <c r="J910" s="94"/>
      <c r="K910" s="94">
        <f>IFERROR(__xludf.DUMMYFUNCTION("""COMPUTED_VALUE"""),60.0)</f>
        <v>60</v>
      </c>
      <c r="L910" s="94">
        <f>IFERROR(__xludf.DUMMYFUNCTION("""COMPUTED_VALUE"""),40.0)</f>
        <v>40</v>
      </c>
      <c r="M910" s="94">
        <f>IFERROR(__xludf.DUMMYFUNCTION("""COMPUTED_VALUE"""),20.0)</f>
        <v>20</v>
      </c>
      <c r="N910" s="94"/>
      <c r="O910" s="1430">
        <f>IFERROR(__xludf.DUMMYFUNCTION("""COMPUTED_VALUE"""),20.0)</f>
        <v>20</v>
      </c>
      <c r="P910" s="1431">
        <f>IFERROR(__xludf.DUMMYFUNCTION("""COMPUTED_VALUE"""),2.69)</f>
        <v>2.69</v>
      </c>
      <c r="Q910" s="1432">
        <f>IFERROR(__xludf.DUMMYFUNCTION("""COMPUTED_VALUE"""),242.1)</f>
        <v>242.1</v>
      </c>
    </row>
    <row r="911" ht="15.75" customHeight="1">
      <c r="A911" s="94"/>
      <c r="B911" s="94" t="str">
        <f>IFERROR(__xludf.DUMMYFUNCTION("""COMPUTED_VALUE"""),"OST 1202")</f>
        <v>OST 1202</v>
      </c>
      <c r="C911" s="1429" t="str">
        <f>IFERROR(__xludf.DUMMYFUNCTION("""COMPUTED_VALUE"""),"#N/A")</f>
        <v>#N/A</v>
      </c>
      <c r="D911" s="1432">
        <f>IFERROR(__xludf.DUMMYFUNCTION("""COMPUTED_VALUE"""),9.0)</f>
        <v>9</v>
      </c>
      <c r="E911" s="1429">
        <f>IFERROR(__xludf.DUMMYFUNCTION("""COMPUTED_VALUE"""),45550.0)</f>
        <v>45550</v>
      </c>
      <c r="F911" s="1429">
        <f>IFERROR(__xludf.DUMMYFUNCTION("""COMPUTED_VALUE"""),45565.0)</f>
        <v>45565</v>
      </c>
      <c r="G911" s="1164">
        <f>IFERROR(__xludf.DUMMYFUNCTION("""COMPUTED_VALUE"""),15.0)</f>
        <v>15</v>
      </c>
      <c r="H911" s="1430">
        <f>IFERROR(__xludf.DUMMYFUNCTION("""COMPUTED_VALUE"""),150.0)</f>
        <v>150</v>
      </c>
      <c r="I911" s="94"/>
      <c r="J911" s="94"/>
      <c r="K911" s="94">
        <f>IFERROR(__xludf.DUMMYFUNCTION("""COMPUTED_VALUE"""),60.0)</f>
        <v>60</v>
      </c>
      <c r="L911" s="94">
        <f>IFERROR(__xludf.DUMMYFUNCTION("""COMPUTED_VALUE"""),40.0)</f>
        <v>40</v>
      </c>
      <c r="M911" s="94">
        <f>IFERROR(__xludf.DUMMYFUNCTION("""COMPUTED_VALUE"""),20.0)</f>
        <v>20</v>
      </c>
      <c r="N911" s="94"/>
      <c r="O911" s="1430">
        <f>IFERROR(__xludf.DUMMYFUNCTION("""COMPUTED_VALUE"""),20.0)</f>
        <v>20</v>
      </c>
      <c r="P911" s="1431">
        <f>IFERROR(__xludf.DUMMYFUNCTION("""COMPUTED_VALUE"""),2.69)</f>
        <v>2.69</v>
      </c>
      <c r="Q911" s="1432">
        <f>IFERROR(__xludf.DUMMYFUNCTION("""COMPUTED_VALUE"""),403.5)</f>
        <v>403.5</v>
      </c>
    </row>
    <row r="912" ht="15.75" customHeight="1">
      <c r="A912" s="94"/>
      <c r="B912" s="94" t="str">
        <f>IFERROR(__xludf.DUMMYFUNCTION("""COMPUTED_VALUE"""),"WS  B 405")</f>
        <v>WS  B 405</v>
      </c>
      <c r="C912" s="1429" t="str">
        <f>IFERROR(__xludf.DUMMYFUNCTION("""COMPUTED_VALUE"""),"WS")</f>
        <v>WS</v>
      </c>
      <c r="D912" s="1432">
        <f>IFERROR(__xludf.DUMMYFUNCTION("""COMPUTED_VALUE"""),9.0)</f>
        <v>9</v>
      </c>
      <c r="E912" s="1429">
        <f>IFERROR(__xludf.DUMMYFUNCTION("""COMPUTED_VALUE"""),45550.0)</f>
        <v>45550</v>
      </c>
      <c r="F912" s="1429">
        <f>IFERROR(__xludf.DUMMYFUNCTION("""COMPUTED_VALUE"""),45584.0)</f>
        <v>45584</v>
      </c>
      <c r="G912" s="1164">
        <f>IFERROR(__xludf.DUMMYFUNCTION("""COMPUTED_VALUE"""),34.0)</f>
        <v>34</v>
      </c>
      <c r="H912" s="1430">
        <f>IFERROR(__xludf.DUMMYFUNCTION("""COMPUTED_VALUE"""),630.0)</f>
        <v>630</v>
      </c>
      <c r="I912" s="94">
        <f>IFERROR(__xludf.DUMMYFUNCTION("""COMPUTED_VALUE"""),0.0)</f>
        <v>0</v>
      </c>
      <c r="J912" s="94"/>
      <c r="K912" s="94">
        <f>IFERROR(__xludf.DUMMYFUNCTION("""COMPUTED_VALUE"""),60.0)</f>
        <v>60</v>
      </c>
      <c r="L912" s="94">
        <f>IFERROR(__xludf.DUMMYFUNCTION("""COMPUTED_VALUE"""),40.0)</f>
        <v>40</v>
      </c>
      <c r="M912" s="94">
        <f>IFERROR(__xludf.DUMMYFUNCTION("""COMPUTED_VALUE"""),20.0)</f>
        <v>20</v>
      </c>
      <c r="N912" s="94"/>
      <c r="O912" s="1430">
        <f>IFERROR(__xludf.DUMMYFUNCTION("""COMPUTED_VALUE"""),20.0)</f>
        <v>20</v>
      </c>
      <c r="P912" s="1431">
        <f>IFERROR(__xludf.DUMMYFUNCTION("""COMPUTED_VALUE"""),2.69)</f>
        <v>2.69</v>
      </c>
      <c r="Q912" s="1432">
        <f>IFERROR(__xludf.DUMMYFUNCTION("""COMPUTED_VALUE"""),1694.7)</f>
        <v>1694.7</v>
      </c>
    </row>
    <row r="913" ht="15.75" customHeight="1">
      <c r="A913" s="94" t="str">
        <f>IFERROR(__xludf.DUMMYFUNCTION("""COMPUTED_VALUE"""),"Итого неделя")</f>
        <v>Итого неделя</v>
      </c>
      <c r="B913" s="94" t="str">
        <f>IFERROR(__xludf.DUMMYFUNCTION("""COMPUTED_VALUE"""),"37 неделя")</f>
        <v>37 неделя</v>
      </c>
      <c r="C913" s="94"/>
      <c r="D913" s="94"/>
      <c r="E913" s="1429">
        <f>IFERROR(__xludf.DUMMYFUNCTION("""COMPUTED_VALUE"""),45544.0)</f>
        <v>45544</v>
      </c>
      <c r="F913" s="1429">
        <f>IFERROR(__xludf.DUMMYFUNCTION("""COMPUTED_VALUE"""),45550.0)</f>
        <v>45550</v>
      </c>
      <c r="G913" s="1164">
        <f>IFERROR(__xludf.DUMMYFUNCTION("""COMPUTED_VALUE"""),185.0)</f>
        <v>185</v>
      </c>
      <c r="H913" s="1430">
        <f>IFERROR(__xludf.DUMMYFUNCTION("""COMPUTED_VALUE"""),4058.0)</f>
        <v>4058</v>
      </c>
      <c r="I913" s="94">
        <f>IFERROR(__xludf.DUMMYFUNCTION("""COMPUTED_VALUE"""),13008.0)</f>
        <v>13008</v>
      </c>
      <c r="J913" s="94">
        <f>IFERROR(__xludf.DUMMYFUNCTION("""COMPUTED_VALUE"""),40000.0)</f>
        <v>40000</v>
      </c>
      <c r="K913" s="94">
        <f>IFERROR(__xludf.DUMMYFUNCTION("""COMPUTED_VALUE"""),2465.0)</f>
        <v>2465</v>
      </c>
      <c r="L913" s="94">
        <f>IFERROR(__xludf.DUMMYFUNCTION("""COMPUTED_VALUE"""),1865.0)</f>
        <v>1865</v>
      </c>
      <c r="M913" s="94">
        <f>IFERROR(__xludf.DUMMYFUNCTION("""COMPUTED_VALUE"""),600.0)</f>
        <v>600</v>
      </c>
      <c r="N913" s="94">
        <f>IFERROR(__xludf.DUMMYFUNCTION("""COMPUTED_VALUE"""),0.0)</f>
        <v>0</v>
      </c>
      <c r="O913" s="1430">
        <f>IFERROR(__xludf.DUMMYFUNCTION("""COMPUTED_VALUE"""),600.0)</f>
        <v>600</v>
      </c>
      <c r="P913" s="1431">
        <f>IFERROR(__xludf.DUMMYFUNCTION("""COMPUTED_VALUE"""),99.52999999999996)</f>
        <v>99.53</v>
      </c>
      <c r="Q913" s="1432">
        <f>IFERROR(__xludf.DUMMYFUNCTION("""COMPUTED_VALUE"""),25110.019999999997)</f>
        <v>25110.02</v>
      </c>
    </row>
    <row r="914" ht="15.75" customHeight="1">
      <c r="A914" s="94"/>
      <c r="B914" s="94" t="str">
        <f>IFERROR(__xludf.DUMMYFUNCTION("""COMPUTED_VALUE"""),"DL 11-1112")</f>
        <v>DL 11-1112</v>
      </c>
      <c r="C914" s="1429" t="str">
        <f>IFERROR(__xludf.DUMMYFUNCTION("""COMPUTED_VALUE"""),"DL")</f>
        <v>DL</v>
      </c>
      <c r="D914" s="1432">
        <f>IFERROR(__xludf.DUMMYFUNCTION("""COMPUTED_VALUE"""),9.0)</f>
        <v>9</v>
      </c>
      <c r="E914" s="1429">
        <f>IFERROR(__xludf.DUMMYFUNCTION("""COMPUTED_VALUE"""),45551.0)</f>
        <v>45551</v>
      </c>
      <c r="F914" s="1429">
        <f>IFERROR(__xludf.DUMMYFUNCTION("""COMPUTED_VALUE"""),45552.0)</f>
        <v>45552</v>
      </c>
      <c r="G914" s="1164">
        <f>IFERROR(__xludf.DUMMYFUNCTION("""COMPUTED_VALUE"""),1.0)</f>
        <v>1</v>
      </c>
      <c r="H914" s="1430">
        <f>IFERROR(__xludf.DUMMYFUNCTION("""COMPUTED_VALUE"""),125.0)</f>
        <v>125</v>
      </c>
      <c r="I914" s="94"/>
      <c r="J914" s="94"/>
      <c r="K914" s="94">
        <f>IFERROR(__xludf.DUMMYFUNCTION("""COMPUTED_VALUE"""),95.0)</f>
        <v>95</v>
      </c>
      <c r="L914" s="94">
        <f>IFERROR(__xludf.DUMMYFUNCTION("""COMPUTED_VALUE"""),95.0)</f>
        <v>95</v>
      </c>
      <c r="M914" s="94">
        <f>IFERROR(__xludf.DUMMYFUNCTION("""COMPUTED_VALUE"""),0.0)</f>
        <v>0</v>
      </c>
      <c r="N914" s="94"/>
      <c r="O914" s="1430">
        <f>IFERROR(__xludf.DUMMYFUNCTION("""COMPUTED_VALUE"""),0.0)</f>
        <v>0</v>
      </c>
      <c r="P914" s="1431">
        <f>IFERROR(__xludf.DUMMYFUNCTION("""COMPUTED_VALUE"""),2.73)</f>
        <v>2.73</v>
      </c>
      <c r="Q914" s="1432">
        <f>IFERROR(__xludf.DUMMYFUNCTION("""COMPUTED_VALUE"""),341.25)</f>
        <v>341.25</v>
      </c>
    </row>
    <row r="915" ht="15.75" customHeight="1">
      <c r="A915" s="94"/>
      <c r="B915" s="94" t="str">
        <f>IFERROR(__xludf.DUMMYFUNCTION("""COMPUTED_VALUE"""),"D 1321")</f>
        <v>D 1321</v>
      </c>
      <c r="C915" s="1429" t="str">
        <f>IFERROR(__xludf.DUMMYFUNCTION("""COMPUTED_VALUE"""),"ORBI")</f>
        <v>ORBI</v>
      </c>
      <c r="D915" s="1432">
        <f>IFERROR(__xludf.DUMMYFUNCTION("""COMPUTED_VALUE"""),9.0)</f>
        <v>9</v>
      </c>
      <c r="E915" s="1429">
        <f>IFERROR(__xludf.DUMMYFUNCTION("""COMPUTED_VALUE"""),45551.0)</f>
        <v>45551</v>
      </c>
      <c r="F915" s="1429">
        <f>IFERROR(__xludf.DUMMYFUNCTION("""COMPUTED_VALUE"""),45554.0)</f>
        <v>45554</v>
      </c>
      <c r="G915" s="1164">
        <f>IFERROR(__xludf.DUMMYFUNCTION("""COMPUTED_VALUE"""),3.0)</f>
        <v>3</v>
      </c>
      <c r="H915" s="1430">
        <f>IFERROR(__xludf.DUMMYFUNCTION("""COMPUTED_VALUE"""),129.0)</f>
        <v>129</v>
      </c>
      <c r="I915" s="94"/>
      <c r="J915" s="94"/>
      <c r="K915" s="94">
        <f>IFERROR(__xludf.DUMMYFUNCTION("""COMPUTED_VALUE"""),50.0)</f>
        <v>50</v>
      </c>
      <c r="L915" s="94">
        <f>IFERROR(__xludf.DUMMYFUNCTION("""COMPUTED_VALUE"""),30.0)</f>
        <v>30</v>
      </c>
      <c r="M915" s="94">
        <f>IFERROR(__xludf.DUMMYFUNCTION("""COMPUTED_VALUE"""),20.0)</f>
        <v>20</v>
      </c>
      <c r="N915" s="94"/>
      <c r="O915" s="1430">
        <f>IFERROR(__xludf.DUMMYFUNCTION("""COMPUTED_VALUE"""),20.0)</f>
        <v>20</v>
      </c>
      <c r="P915" s="1431">
        <f>IFERROR(__xludf.DUMMYFUNCTION("""COMPUTED_VALUE"""),2.73)</f>
        <v>2.73</v>
      </c>
      <c r="Q915" s="1432">
        <f>IFERROR(__xludf.DUMMYFUNCTION("""COMPUTED_VALUE"""),352.17)</f>
        <v>352.17</v>
      </c>
    </row>
    <row r="916" ht="15.75" customHeight="1">
      <c r="A916" s="94"/>
      <c r="B916" s="94" t="str">
        <f>IFERROR(__xludf.DUMMYFUNCTION("""COMPUTED_VALUE"""),"CM 1931")</f>
        <v>CM 1931</v>
      </c>
      <c r="C916" s="1429" t="str">
        <f>IFERROR(__xludf.DUMMYFUNCTION("""COMPUTED_VALUE"""),"MAR")</f>
        <v>MAR</v>
      </c>
      <c r="D916" s="1432">
        <f>IFERROR(__xludf.DUMMYFUNCTION("""COMPUTED_VALUE"""),9.0)</f>
        <v>9</v>
      </c>
      <c r="E916" s="1429">
        <f>IFERROR(__xludf.DUMMYFUNCTION("""COMPUTED_VALUE"""),45551.0)</f>
        <v>45551</v>
      </c>
      <c r="F916" s="1429">
        <f>IFERROR(__xludf.DUMMYFUNCTION("""COMPUTED_VALUE"""),45555.0)</f>
        <v>45555</v>
      </c>
      <c r="G916" s="1164">
        <f>IFERROR(__xludf.DUMMYFUNCTION("""COMPUTED_VALUE"""),4.0)</f>
        <v>4</v>
      </c>
      <c r="H916" s="1430">
        <f>IFERROR(__xludf.DUMMYFUNCTION("""COMPUTED_VALUE"""),185.0)</f>
        <v>185</v>
      </c>
      <c r="I916" s="94"/>
      <c r="J916" s="94"/>
      <c r="K916" s="94">
        <f>IFERROR(__xludf.DUMMYFUNCTION("""COMPUTED_VALUE"""),60.0)</f>
        <v>60</v>
      </c>
      <c r="L916" s="94">
        <f>IFERROR(__xludf.DUMMYFUNCTION("""COMPUTED_VALUE"""),30.0)</f>
        <v>30</v>
      </c>
      <c r="M916" s="94">
        <f>IFERROR(__xludf.DUMMYFUNCTION("""COMPUTED_VALUE"""),30.0)</f>
        <v>30</v>
      </c>
      <c r="N916" s="94"/>
      <c r="O916" s="1430">
        <f>IFERROR(__xludf.DUMMYFUNCTION("""COMPUTED_VALUE"""),30.0)</f>
        <v>30</v>
      </c>
      <c r="P916" s="1431">
        <f>IFERROR(__xludf.DUMMYFUNCTION("""COMPUTED_VALUE"""),2.73)</f>
        <v>2.73</v>
      </c>
      <c r="Q916" s="1432">
        <f>IFERROR(__xludf.DUMMYFUNCTION("""COMPUTED_VALUE"""),505.05)</f>
        <v>505.05</v>
      </c>
    </row>
    <row r="917" ht="15.75" customHeight="1">
      <c r="A917" s="94"/>
      <c r="B917" s="94" t="str">
        <f>IFERROR(__xludf.DUMMYFUNCTION("""COMPUTED_VALUE"""),"CM 1604")</f>
        <v>CM 1604</v>
      </c>
      <c r="C917" s="1429" t="str">
        <f>IFERROR(__xludf.DUMMYFUNCTION("""COMPUTED_VALUE"""),"MAR")</f>
        <v>MAR</v>
      </c>
      <c r="D917" s="1432">
        <f>IFERROR(__xludf.DUMMYFUNCTION("""COMPUTED_VALUE"""),9.0)</f>
        <v>9</v>
      </c>
      <c r="E917" s="1429">
        <f>IFERROR(__xludf.DUMMYFUNCTION("""COMPUTED_VALUE"""),45551.0)</f>
        <v>45551</v>
      </c>
      <c r="F917" s="1429">
        <f>IFERROR(__xludf.DUMMYFUNCTION("""COMPUTED_VALUE"""),45553.0)</f>
        <v>45553</v>
      </c>
      <c r="G917" s="1164">
        <f>IFERROR(__xludf.DUMMYFUNCTION("""COMPUTED_VALUE"""),2.0)</f>
        <v>2</v>
      </c>
      <c r="H917" s="1430">
        <f>IFERROR(__xludf.DUMMYFUNCTION("""COMPUTED_VALUE"""),124.0)</f>
        <v>124</v>
      </c>
      <c r="I917" s="94"/>
      <c r="J917" s="94"/>
      <c r="K917" s="94">
        <f>IFERROR(__xludf.DUMMYFUNCTION("""COMPUTED_VALUE"""),70.0)</f>
        <v>70</v>
      </c>
      <c r="L917" s="94">
        <f>IFERROR(__xludf.DUMMYFUNCTION("""COMPUTED_VALUE"""),40.0)</f>
        <v>40</v>
      </c>
      <c r="M917" s="94">
        <f>IFERROR(__xludf.DUMMYFUNCTION("""COMPUTED_VALUE"""),30.0)</f>
        <v>30</v>
      </c>
      <c r="N917" s="94"/>
      <c r="O917" s="1430">
        <f>IFERROR(__xludf.DUMMYFUNCTION("""COMPUTED_VALUE"""),30.0)</f>
        <v>30</v>
      </c>
      <c r="P917" s="1431">
        <f>IFERROR(__xludf.DUMMYFUNCTION("""COMPUTED_VALUE"""),2.73)</f>
        <v>2.73</v>
      </c>
      <c r="Q917" s="1432">
        <f>IFERROR(__xludf.DUMMYFUNCTION("""COMPUTED_VALUE"""),338.52)</f>
        <v>338.52</v>
      </c>
    </row>
    <row r="918" ht="15.75" customHeight="1">
      <c r="A918" s="94"/>
      <c r="B918" s="94" t="str">
        <f>IFERROR(__xludf.DUMMYFUNCTION("""COMPUTED_VALUE"""),"CM 1606")</f>
        <v>CM 1606</v>
      </c>
      <c r="C918" s="1429" t="str">
        <f>IFERROR(__xludf.DUMMYFUNCTION("""COMPUTED_VALUE"""),"MAR")</f>
        <v>MAR</v>
      </c>
      <c r="D918" s="1432">
        <f>IFERROR(__xludf.DUMMYFUNCTION("""COMPUTED_VALUE"""),9.0)</f>
        <v>9</v>
      </c>
      <c r="E918" s="1429">
        <f>IFERROR(__xludf.DUMMYFUNCTION("""COMPUTED_VALUE"""),45551.0)</f>
        <v>45551</v>
      </c>
      <c r="F918" s="1429">
        <f>IFERROR(__xludf.DUMMYFUNCTION("""COMPUTED_VALUE"""),45553.0)</f>
        <v>45553</v>
      </c>
      <c r="G918" s="1164">
        <f>IFERROR(__xludf.DUMMYFUNCTION("""COMPUTED_VALUE"""),2.0)</f>
        <v>2</v>
      </c>
      <c r="H918" s="1430">
        <f>IFERROR(__xludf.DUMMYFUNCTION("""COMPUTED_VALUE"""),100.0)</f>
        <v>100</v>
      </c>
      <c r="I918" s="94"/>
      <c r="J918" s="94"/>
      <c r="K918" s="94">
        <f>IFERROR(__xludf.DUMMYFUNCTION("""COMPUTED_VALUE"""),60.0)</f>
        <v>60</v>
      </c>
      <c r="L918" s="94">
        <f>IFERROR(__xludf.DUMMYFUNCTION("""COMPUTED_VALUE"""),30.0)</f>
        <v>30</v>
      </c>
      <c r="M918" s="94">
        <f>IFERROR(__xludf.DUMMYFUNCTION("""COMPUTED_VALUE"""),30.0)</f>
        <v>30</v>
      </c>
      <c r="N918" s="94"/>
      <c r="O918" s="1430">
        <f>IFERROR(__xludf.DUMMYFUNCTION("""COMPUTED_VALUE"""),30.0)</f>
        <v>30</v>
      </c>
      <c r="P918" s="1431">
        <f>IFERROR(__xludf.DUMMYFUNCTION("""COMPUTED_VALUE"""),2.73)</f>
        <v>2.73</v>
      </c>
      <c r="Q918" s="1432">
        <f>IFERROR(__xludf.DUMMYFUNCTION("""COMPUTED_VALUE"""),273.0)</f>
        <v>273</v>
      </c>
    </row>
    <row r="919" ht="15.75" customHeight="1">
      <c r="A919" s="94"/>
      <c r="B919" s="94" t="str">
        <f>IFERROR(__xludf.DUMMYFUNCTION("""COMPUTED_VALUE"""),"Int 2905")</f>
        <v>Int 2905</v>
      </c>
      <c r="C919" s="1429" t="str">
        <f>IFERROR(__xludf.DUMMYFUNCTION("""COMPUTED_VALUE"""),"Other")</f>
        <v>Other</v>
      </c>
      <c r="D919" s="1432">
        <f>IFERROR(__xludf.DUMMYFUNCTION("""COMPUTED_VALUE"""),9.0)</f>
        <v>9</v>
      </c>
      <c r="E919" s="1429">
        <f>IFERROR(__xludf.DUMMYFUNCTION("""COMPUTED_VALUE"""),45551.0)</f>
        <v>45551</v>
      </c>
      <c r="F919" s="1429">
        <f>IFERROR(__xludf.DUMMYFUNCTION("""COMPUTED_VALUE"""),45565.0)</f>
        <v>45565</v>
      </c>
      <c r="G919" s="1164">
        <f>IFERROR(__xludf.DUMMYFUNCTION("""COMPUTED_VALUE"""),14.0)</f>
        <v>14</v>
      </c>
      <c r="H919" s="1430">
        <f>IFERROR(__xludf.DUMMYFUNCTION("""COMPUTED_VALUE"""),645.0)</f>
        <v>645</v>
      </c>
      <c r="I919" s="94"/>
      <c r="J919" s="94"/>
      <c r="K919" s="94">
        <f>IFERROR(__xludf.DUMMYFUNCTION("""COMPUTED_VALUE"""),60.0)</f>
        <v>60</v>
      </c>
      <c r="L919" s="94">
        <f>IFERROR(__xludf.DUMMYFUNCTION("""COMPUTED_VALUE"""),40.0)</f>
        <v>40</v>
      </c>
      <c r="M919" s="94">
        <f>IFERROR(__xludf.DUMMYFUNCTION("""COMPUTED_VALUE"""),20.0)</f>
        <v>20</v>
      </c>
      <c r="N919" s="94"/>
      <c r="O919" s="1430">
        <f>IFERROR(__xludf.DUMMYFUNCTION("""COMPUTED_VALUE"""),20.0)</f>
        <v>20</v>
      </c>
      <c r="P919" s="1431">
        <f>IFERROR(__xludf.DUMMYFUNCTION("""COMPUTED_VALUE"""),2.73)</f>
        <v>2.73</v>
      </c>
      <c r="Q919" s="1432">
        <f>IFERROR(__xludf.DUMMYFUNCTION("""COMPUTED_VALUE"""),1760.85)</f>
        <v>1760.85</v>
      </c>
    </row>
    <row r="920" ht="15.75" customHeight="1">
      <c r="A920" s="94"/>
      <c r="B920" s="94" t="str">
        <f>IFERROR(__xludf.DUMMYFUNCTION("""COMPUTED_VALUE"""),"WS A 1312")</f>
        <v>WS A 1312</v>
      </c>
      <c r="C920" s="1429" t="str">
        <f>IFERROR(__xludf.DUMMYFUNCTION("""COMPUTED_VALUE"""),"WS")</f>
        <v>WS</v>
      </c>
      <c r="D920" s="1432">
        <f>IFERROR(__xludf.DUMMYFUNCTION("""COMPUTED_VALUE"""),9.0)</f>
        <v>9</v>
      </c>
      <c r="E920" s="1429">
        <f>IFERROR(__xludf.DUMMYFUNCTION("""COMPUTED_VALUE"""),45551.0)</f>
        <v>45551</v>
      </c>
      <c r="F920" s="1429">
        <f>IFERROR(__xludf.DUMMYFUNCTION("""COMPUTED_VALUE"""),45579.0)</f>
        <v>45579</v>
      </c>
      <c r="G920" s="1164">
        <f>IFERROR(__xludf.DUMMYFUNCTION("""COMPUTED_VALUE"""),28.0)</f>
        <v>28</v>
      </c>
      <c r="H920" s="1430">
        <f>IFERROR(__xludf.DUMMYFUNCTION("""COMPUTED_VALUE"""),560.0)</f>
        <v>560</v>
      </c>
      <c r="I920" s="94"/>
      <c r="J920" s="94"/>
      <c r="K920" s="94">
        <f>IFERROR(__xludf.DUMMYFUNCTION("""COMPUTED_VALUE"""),60.0)</f>
        <v>60</v>
      </c>
      <c r="L920" s="94">
        <f>IFERROR(__xludf.DUMMYFUNCTION("""COMPUTED_VALUE"""),30.0)</f>
        <v>30</v>
      </c>
      <c r="M920" s="94">
        <f>IFERROR(__xludf.DUMMYFUNCTION("""COMPUTED_VALUE"""),30.0)</f>
        <v>30</v>
      </c>
      <c r="N920" s="94"/>
      <c r="O920" s="1430">
        <f>IFERROR(__xludf.DUMMYFUNCTION("""COMPUTED_VALUE"""),30.0)</f>
        <v>30</v>
      </c>
      <c r="P920" s="1431">
        <f>IFERROR(__xludf.DUMMYFUNCTION("""COMPUTED_VALUE"""),2.73)</f>
        <v>2.73</v>
      </c>
      <c r="Q920" s="1432">
        <f>IFERROR(__xludf.DUMMYFUNCTION("""COMPUTED_VALUE"""),1528.8)</f>
        <v>1528.8</v>
      </c>
    </row>
    <row r="921" ht="15.75" customHeight="1">
      <c r="A921" s="94"/>
      <c r="B921" s="94" t="str">
        <f>IFERROR(__xludf.DUMMYFUNCTION("""COMPUTED_VALUE"""),"WS E1405")</f>
        <v>WS E1405</v>
      </c>
      <c r="C921" s="1429" t="str">
        <f>IFERROR(__xludf.DUMMYFUNCTION("""COMPUTED_VALUE"""),"WS")</f>
        <v>WS</v>
      </c>
      <c r="D921" s="1432">
        <f>IFERROR(__xludf.DUMMYFUNCTION("""COMPUTED_VALUE"""),9.0)</f>
        <v>9</v>
      </c>
      <c r="E921" s="1429">
        <f>IFERROR(__xludf.DUMMYFUNCTION("""COMPUTED_VALUE"""),45552.0)</f>
        <v>45552</v>
      </c>
      <c r="F921" s="1429">
        <f>IFERROR(__xludf.DUMMYFUNCTION("""COMPUTED_VALUE"""),45554.0)</f>
        <v>45554</v>
      </c>
      <c r="G921" s="1164">
        <f>IFERROR(__xludf.DUMMYFUNCTION("""COMPUTED_VALUE"""),2.0)</f>
        <v>2</v>
      </c>
      <c r="H921" s="1430">
        <f>IFERROR(__xludf.DUMMYFUNCTION("""COMPUTED_VALUE"""),84.0)</f>
        <v>84</v>
      </c>
      <c r="I921" s="94"/>
      <c r="J921" s="94"/>
      <c r="K921" s="94">
        <f>IFERROR(__xludf.DUMMYFUNCTION("""COMPUTED_VALUE"""),60.0)</f>
        <v>60</v>
      </c>
      <c r="L921" s="94">
        <f>IFERROR(__xludf.DUMMYFUNCTION("""COMPUTED_VALUE"""),30.0)</f>
        <v>30</v>
      </c>
      <c r="M921" s="94">
        <f>IFERROR(__xludf.DUMMYFUNCTION("""COMPUTED_VALUE"""),30.0)</f>
        <v>30</v>
      </c>
      <c r="N921" s="94"/>
      <c r="O921" s="1430">
        <f>IFERROR(__xludf.DUMMYFUNCTION("""COMPUTED_VALUE"""),30.0)</f>
        <v>30</v>
      </c>
      <c r="P921" s="1431">
        <f>IFERROR(__xludf.DUMMYFUNCTION("""COMPUTED_VALUE"""),2.73)</f>
        <v>2.73</v>
      </c>
      <c r="Q921" s="1432">
        <f>IFERROR(__xludf.DUMMYFUNCTION("""COMPUTED_VALUE"""),229.32)</f>
        <v>229.32</v>
      </c>
    </row>
    <row r="922" ht="15.75" customHeight="1">
      <c r="A922" s="94"/>
      <c r="B922" s="94" t="str">
        <f>IFERROR(__xludf.DUMMYFUNCTION("""COMPUTED_VALUE"""),"А 4049")</f>
        <v>А 4049</v>
      </c>
      <c r="C922" s="1429" t="str">
        <f>IFERROR(__xludf.DUMMYFUNCTION("""COMPUTED_VALUE"""),"ORBI")</f>
        <v>ORBI</v>
      </c>
      <c r="D922" s="1432">
        <f>IFERROR(__xludf.DUMMYFUNCTION("""COMPUTED_VALUE"""),9.0)</f>
        <v>9</v>
      </c>
      <c r="E922" s="1429">
        <f>IFERROR(__xludf.DUMMYFUNCTION("""COMPUTED_VALUE"""),45552.0)</f>
        <v>45552</v>
      </c>
      <c r="F922" s="1429">
        <f>IFERROR(__xludf.DUMMYFUNCTION("""COMPUTED_VALUE"""),45554.0)</f>
        <v>45554</v>
      </c>
      <c r="G922" s="1164">
        <f>IFERROR(__xludf.DUMMYFUNCTION("""COMPUTED_VALUE"""),2.0)</f>
        <v>2</v>
      </c>
      <c r="H922" s="1430">
        <f>IFERROR(__xludf.DUMMYFUNCTION("""COMPUTED_VALUE"""),71.0)</f>
        <v>71</v>
      </c>
      <c r="I922" s="94"/>
      <c r="J922" s="94"/>
      <c r="K922" s="94">
        <f>IFERROR(__xludf.DUMMYFUNCTION("""COMPUTED_VALUE"""),50.0)</f>
        <v>50</v>
      </c>
      <c r="L922" s="94">
        <f>IFERROR(__xludf.DUMMYFUNCTION("""COMPUTED_VALUE"""),30.0)</f>
        <v>30</v>
      </c>
      <c r="M922" s="94">
        <f>IFERROR(__xludf.DUMMYFUNCTION("""COMPUTED_VALUE"""),20.0)</f>
        <v>20</v>
      </c>
      <c r="N922" s="94"/>
      <c r="O922" s="1430">
        <f>IFERROR(__xludf.DUMMYFUNCTION("""COMPUTED_VALUE"""),20.0)</f>
        <v>20</v>
      </c>
      <c r="P922" s="1431">
        <f>IFERROR(__xludf.DUMMYFUNCTION("""COMPUTED_VALUE"""),2.73)</f>
        <v>2.73</v>
      </c>
      <c r="Q922" s="1432">
        <f>IFERROR(__xludf.DUMMYFUNCTION("""COMPUTED_VALUE"""),193.83)</f>
        <v>193.83</v>
      </c>
    </row>
    <row r="923" ht="15.75" customHeight="1">
      <c r="A923" s="94"/>
      <c r="B923" s="94" t="str">
        <f>IFERROR(__xludf.DUMMYFUNCTION("""COMPUTED_VALUE"""),"WS A 608")</f>
        <v>WS A 608</v>
      </c>
      <c r="C923" s="1429" t="str">
        <f>IFERROR(__xludf.DUMMYFUNCTION("""COMPUTED_VALUE"""),"WS")</f>
        <v>WS</v>
      </c>
      <c r="D923" s="1432">
        <f>IFERROR(__xludf.DUMMYFUNCTION("""COMPUTED_VALUE"""),9.0)</f>
        <v>9</v>
      </c>
      <c r="E923" s="1429">
        <f>IFERROR(__xludf.DUMMYFUNCTION("""COMPUTED_VALUE"""),45552.0)</f>
        <v>45552</v>
      </c>
      <c r="F923" s="1429">
        <f>IFERROR(__xludf.DUMMYFUNCTION("""COMPUTED_VALUE"""),45583.0)</f>
        <v>45583</v>
      </c>
      <c r="G923" s="1164">
        <f>IFERROR(__xludf.DUMMYFUNCTION("""COMPUTED_VALUE"""),31.0)</f>
        <v>31</v>
      </c>
      <c r="H923" s="1430">
        <f>IFERROR(__xludf.DUMMYFUNCTION("""COMPUTED_VALUE"""),485.0)</f>
        <v>485</v>
      </c>
      <c r="I923" s="94"/>
      <c r="J923" s="94"/>
      <c r="K923" s="94">
        <f>IFERROR(__xludf.DUMMYFUNCTION("""COMPUTED_VALUE"""),60.0)</f>
        <v>60</v>
      </c>
      <c r="L923" s="94">
        <f>IFERROR(__xludf.DUMMYFUNCTION("""COMPUTED_VALUE"""),30.0)</f>
        <v>30</v>
      </c>
      <c r="M923" s="94">
        <f>IFERROR(__xludf.DUMMYFUNCTION("""COMPUTED_VALUE"""),30.0)</f>
        <v>30</v>
      </c>
      <c r="N923" s="94"/>
      <c r="O923" s="1430">
        <f>IFERROR(__xludf.DUMMYFUNCTION("""COMPUTED_VALUE"""),30.0)</f>
        <v>30</v>
      </c>
      <c r="P923" s="1431">
        <f>IFERROR(__xludf.DUMMYFUNCTION("""COMPUTED_VALUE"""),2.73)</f>
        <v>2.73</v>
      </c>
      <c r="Q923" s="1432">
        <f>IFERROR(__xludf.DUMMYFUNCTION("""COMPUTED_VALUE"""),1324.05)</f>
        <v>1324.05</v>
      </c>
    </row>
    <row r="924" ht="15.75" customHeight="1">
      <c r="A924" s="94"/>
      <c r="B924" s="94" t="str">
        <f>IFERROR(__xludf.DUMMYFUNCTION("""COMPUTED_VALUE"""),"WS В 503")</f>
        <v>WS В 503</v>
      </c>
      <c r="C924" s="1429" t="str">
        <f>IFERROR(__xludf.DUMMYFUNCTION("""COMPUTED_VALUE"""),"WS")</f>
        <v>WS</v>
      </c>
      <c r="D924" s="1432">
        <f>IFERROR(__xludf.DUMMYFUNCTION("""COMPUTED_VALUE"""),9.0)</f>
        <v>9</v>
      </c>
      <c r="E924" s="1429">
        <f>IFERROR(__xludf.DUMMYFUNCTION("""COMPUTED_VALUE"""),45552.0)</f>
        <v>45552</v>
      </c>
      <c r="F924" s="1429">
        <f>IFERROR(__xludf.DUMMYFUNCTION("""COMPUTED_VALUE"""),45555.0)</f>
        <v>45555</v>
      </c>
      <c r="G924" s="1164">
        <f>IFERROR(__xludf.DUMMYFUNCTION("""COMPUTED_VALUE"""),3.0)</f>
        <v>3</v>
      </c>
      <c r="H924" s="94"/>
      <c r="I924" s="94">
        <f>IFERROR(__xludf.DUMMYFUNCTION("""COMPUTED_VALUE"""),569.0)</f>
        <v>569</v>
      </c>
      <c r="J924" s="94"/>
      <c r="K924" s="94">
        <f>IFERROR(__xludf.DUMMYFUNCTION("""COMPUTED_VALUE"""),70.0)</f>
        <v>70</v>
      </c>
      <c r="L924" s="94">
        <f>IFERROR(__xludf.DUMMYFUNCTION("""COMPUTED_VALUE"""),40.0)</f>
        <v>40</v>
      </c>
      <c r="M924" s="94">
        <f>IFERROR(__xludf.DUMMYFUNCTION("""COMPUTED_VALUE"""),30.0)</f>
        <v>30</v>
      </c>
      <c r="N924" s="94"/>
      <c r="O924" s="1430">
        <f>IFERROR(__xludf.DUMMYFUNCTION("""COMPUTED_VALUE"""),30.0)</f>
        <v>30</v>
      </c>
      <c r="P924" s="1431">
        <f>IFERROR(__xludf.DUMMYFUNCTION("""COMPUTED_VALUE"""),2.73)</f>
        <v>2.73</v>
      </c>
      <c r="Q924" s="1432">
        <f>IFERROR(__xludf.DUMMYFUNCTION("""COMPUTED_VALUE"""),569.0)</f>
        <v>569</v>
      </c>
    </row>
    <row r="925" ht="15.75" customHeight="1">
      <c r="A925" s="94"/>
      <c r="B925" s="94" t="str">
        <f>IFERROR(__xludf.DUMMYFUNCTION("""COMPUTED_VALUE"""),"WS В 212")</f>
        <v>WS В 212</v>
      </c>
      <c r="C925" s="1429" t="str">
        <f>IFERROR(__xludf.DUMMYFUNCTION("""COMPUTED_VALUE"""),"WS")</f>
        <v>WS</v>
      </c>
      <c r="D925" s="1432">
        <f>IFERROR(__xludf.DUMMYFUNCTION("""COMPUTED_VALUE"""),9.0)</f>
        <v>9</v>
      </c>
      <c r="E925" s="1429">
        <f>IFERROR(__xludf.DUMMYFUNCTION("""COMPUTED_VALUE"""),45553.0)</f>
        <v>45553</v>
      </c>
      <c r="F925" s="1429">
        <f>IFERROR(__xludf.DUMMYFUNCTION("""COMPUTED_VALUE"""),45557.0)</f>
        <v>45557</v>
      </c>
      <c r="G925" s="1164">
        <f>IFERROR(__xludf.DUMMYFUNCTION("""COMPUTED_VALUE"""),4.0)</f>
        <v>4</v>
      </c>
      <c r="H925" s="94"/>
      <c r="I925" s="94">
        <f>IFERROR(__xludf.DUMMYFUNCTION("""COMPUTED_VALUE"""),1184.0)</f>
        <v>1184</v>
      </c>
      <c r="J925" s="94"/>
      <c r="K925" s="94">
        <f>IFERROR(__xludf.DUMMYFUNCTION("""COMPUTED_VALUE"""),70.0)</f>
        <v>70</v>
      </c>
      <c r="L925" s="94">
        <f>IFERROR(__xludf.DUMMYFUNCTION("""COMPUTED_VALUE"""),40.0)</f>
        <v>40</v>
      </c>
      <c r="M925" s="94">
        <f>IFERROR(__xludf.DUMMYFUNCTION("""COMPUTED_VALUE"""),30.0)</f>
        <v>30</v>
      </c>
      <c r="N925" s="94"/>
      <c r="O925" s="1430">
        <f>IFERROR(__xludf.DUMMYFUNCTION("""COMPUTED_VALUE"""),30.0)</f>
        <v>30</v>
      </c>
      <c r="P925" s="1431">
        <f>IFERROR(__xludf.DUMMYFUNCTION("""COMPUTED_VALUE"""),2.73)</f>
        <v>2.73</v>
      </c>
      <c r="Q925" s="1432">
        <f>IFERROR(__xludf.DUMMYFUNCTION("""COMPUTED_VALUE"""),1184.0)</f>
        <v>1184</v>
      </c>
    </row>
    <row r="926" ht="15.75" customHeight="1">
      <c r="A926" s="94"/>
      <c r="B926" s="94" t="str">
        <f>IFERROR(__xludf.DUMMYFUNCTION("""COMPUTED_VALUE"""),"WS Е804")</f>
        <v>WS Е804</v>
      </c>
      <c r="C926" s="1429" t="str">
        <f>IFERROR(__xludf.DUMMYFUNCTION("""COMPUTED_VALUE"""),"WS")</f>
        <v>WS</v>
      </c>
      <c r="D926" s="1432">
        <f>IFERROR(__xludf.DUMMYFUNCTION("""COMPUTED_VALUE"""),9.0)</f>
        <v>9</v>
      </c>
      <c r="E926" s="1429">
        <f>IFERROR(__xludf.DUMMYFUNCTION("""COMPUTED_VALUE"""),45553.0)</f>
        <v>45553</v>
      </c>
      <c r="F926" s="1429">
        <f>IFERROR(__xludf.DUMMYFUNCTION("""COMPUTED_VALUE"""),45558.0)</f>
        <v>45558</v>
      </c>
      <c r="G926" s="1164">
        <f>IFERROR(__xludf.DUMMYFUNCTION("""COMPUTED_VALUE"""),5.0)</f>
        <v>5</v>
      </c>
      <c r="H926" s="1430">
        <f>IFERROR(__xludf.DUMMYFUNCTION("""COMPUTED_VALUE"""),234.0)</f>
        <v>234</v>
      </c>
      <c r="I926" s="94">
        <f>IFERROR(__xludf.DUMMYFUNCTION("""COMPUTED_VALUE"""),0.0)</f>
        <v>0</v>
      </c>
      <c r="J926" s="94"/>
      <c r="K926" s="94">
        <f>IFERROR(__xludf.DUMMYFUNCTION("""COMPUTED_VALUE"""),60.0)</f>
        <v>60</v>
      </c>
      <c r="L926" s="94">
        <f>IFERROR(__xludf.DUMMYFUNCTION("""COMPUTED_VALUE"""),30.0)</f>
        <v>30</v>
      </c>
      <c r="M926" s="94">
        <f>IFERROR(__xludf.DUMMYFUNCTION("""COMPUTED_VALUE"""),30.0)</f>
        <v>30</v>
      </c>
      <c r="N926" s="94"/>
      <c r="O926" s="1430">
        <f>IFERROR(__xludf.DUMMYFUNCTION("""COMPUTED_VALUE"""),30.0)</f>
        <v>30</v>
      </c>
      <c r="P926" s="1431">
        <f>IFERROR(__xludf.DUMMYFUNCTION("""COMPUTED_VALUE"""),2.73)</f>
        <v>2.73</v>
      </c>
      <c r="Q926" s="1432">
        <f>IFERROR(__xludf.DUMMYFUNCTION("""COMPUTED_VALUE"""),638.82)</f>
        <v>638.82</v>
      </c>
    </row>
    <row r="927" ht="15.75" customHeight="1">
      <c r="A927" s="94"/>
      <c r="B927" s="94" t="str">
        <f>IFERROR(__xludf.DUMMYFUNCTION("""COMPUTED_VALUE"""),"WS E 1202")</f>
        <v>WS E 1202</v>
      </c>
      <c r="C927" s="1429" t="str">
        <f>IFERROR(__xludf.DUMMYFUNCTION("""COMPUTED_VALUE"""),"WS")</f>
        <v>WS</v>
      </c>
      <c r="D927" s="1432">
        <f>IFERROR(__xludf.DUMMYFUNCTION("""COMPUTED_VALUE"""),9.0)</f>
        <v>9</v>
      </c>
      <c r="E927" s="1429">
        <f>IFERROR(__xludf.DUMMYFUNCTION("""COMPUTED_VALUE"""),45553.0)</f>
        <v>45553</v>
      </c>
      <c r="F927" s="1429">
        <f>IFERROR(__xludf.DUMMYFUNCTION("""COMPUTED_VALUE"""),45556.0)</f>
        <v>45556</v>
      </c>
      <c r="G927" s="1164">
        <f>IFERROR(__xludf.DUMMYFUNCTION("""COMPUTED_VALUE"""),3.0)</f>
        <v>3</v>
      </c>
      <c r="H927" s="1430">
        <f>IFERROR(__xludf.DUMMYFUNCTION("""COMPUTED_VALUE"""),178.0)</f>
        <v>178</v>
      </c>
      <c r="I927" s="94">
        <f>IFERROR(__xludf.DUMMYFUNCTION("""COMPUTED_VALUE"""),0.0)</f>
        <v>0</v>
      </c>
      <c r="J927" s="94"/>
      <c r="K927" s="94">
        <f>IFERROR(__xludf.DUMMYFUNCTION("""COMPUTED_VALUE"""),70.0)</f>
        <v>70</v>
      </c>
      <c r="L927" s="94">
        <f>IFERROR(__xludf.DUMMYFUNCTION("""COMPUTED_VALUE"""),40.0)</f>
        <v>40</v>
      </c>
      <c r="M927" s="94">
        <f>IFERROR(__xludf.DUMMYFUNCTION("""COMPUTED_VALUE"""),30.0)</f>
        <v>30</v>
      </c>
      <c r="N927" s="94"/>
      <c r="O927" s="1430">
        <f>IFERROR(__xludf.DUMMYFUNCTION("""COMPUTED_VALUE"""),30.0)</f>
        <v>30</v>
      </c>
      <c r="P927" s="1431">
        <f>IFERROR(__xludf.DUMMYFUNCTION("""COMPUTED_VALUE"""),2.73)</f>
        <v>2.73</v>
      </c>
      <c r="Q927" s="1432">
        <f>IFERROR(__xludf.DUMMYFUNCTION("""COMPUTED_VALUE"""),485.94)</f>
        <v>485.94</v>
      </c>
    </row>
    <row r="928" ht="15.75" customHeight="1">
      <c r="A928" s="94"/>
      <c r="B928" s="94" t="str">
        <f>IFERROR(__xludf.DUMMYFUNCTION("""COMPUTED_VALUE"""),"Шартава 16")</f>
        <v>Шартава 16</v>
      </c>
      <c r="C928" s="1429" t="str">
        <f>IFERROR(__xludf.DUMMYFUNCTION("""COMPUTED_VALUE"""),"Other")</f>
        <v>Other</v>
      </c>
      <c r="D928" s="1432">
        <f>IFERROR(__xludf.DUMMYFUNCTION("""COMPUTED_VALUE"""),9.0)</f>
        <v>9</v>
      </c>
      <c r="E928" s="1429">
        <f>IFERROR(__xludf.DUMMYFUNCTION("""COMPUTED_VALUE"""),45553.0)</f>
        <v>45553</v>
      </c>
      <c r="F928" s="1429">
        <f>IFERROR(__xludf.DUMMYFUNCTION("""COMPUTED_VALUE"""),45583.0)</f>
        <v>45583</v>
      </c>
      <c r="G928" s="1164">
        <f>IFERROR(__xludf.DUMMYFUNCTION("""COMPUTED_VALUE"""),30.0)</f>
        <v>30</v>
      </c>
      <c r="H928" s="1430">
        <f>IFERROR(__xludf.DUMMYFUNCTION("""COMPUTED_VALUE"""),650.0)</f>
        <v>650</v>
      </c>
      <c r="I928" s="94">
        <f>IFERROR(__xludf.DUMMYFUNCTION("""COMPUTED_VALUE"""),0.0)</f>
        <v>0</v>
      </c>
      <c r="J928" s="94"/>
      <c r="K928" s="94">
        <f>IFERROR(__xludf.DUMMYFUNCTION("""COMPUTED_VALUE"""),60.0)</f>
        <v>60</v>
      </c>
      <c r="L928" s="94">
        <f>IFERROR(__xludf.DUMMYFUNCTION("""COMPUTED_VALUE"""),30.0)</f>
        <v>30</v>
      </c>
      <c r="M928" s="94">
        <f>IFERROR(__xludf.DUMMYFUNCTION("""COMPUTED_VALUE"""),30.0)</f>
        <v>30</v>
      </c>
      <c r="N928" s="94"/>
      <c r="O928" s="1430">
        <f>IFERROR(__xludf.DUMMYFUNCTION("""COMPUTED_VALUE"""),30.0)</f>
        <v>30</v>
      </c>
      <c r="P928" s="1431">
        <f>IFERROR(__xludf.DUMMYFUNCTION("""COMPUTED_VALUE"""),2.73)</f>
        <v>2.73</v>
      </c>
      <c r="Q928" s="1432">
        <f>IFERROR(__xludf.DUMMYFUNCTION("""COMPUTED_VALUE"""),1774.5)</f>
        <v>1774.5</v>
      </c>
    </row>
    <row r="929" ht="15.75" customHeight="1">
      <c r="A929" s="94"/>
      <c r="B929" s="94" t="str">
        <f>IFERROR(__xludf.DUMMYFUNCTION("""COMPUTED_VALUE"""),"DL14-518")</f>
        <v>DL14-518</v>
      </c>
      <c r="C929" s="1429" t="str">
        <f>IFERROR(__xludf.DUMMYFUNCTION("""COMPUTED_VALUE"""),"DL")</f>
        <v>DL</v>
      </c>
      <c r="D929" s="1432">
        <f>IFERROR(__xludf.DUMMYFUNCTION("""COMPUTED_VALUE"""),9.0)</f>
        <v>9</v>
      </c>
      <c r="E929" s="1429">
        <f>IFERROR(__xludf.DUMMYFUNCTION("""COMPUTED_VALUE"""),45553.0)</f>
        <v>45553</v>
      </c>
      <c r="F929" s="1429">
        <f>IFERROR(__xludf.DUMMYFUNCTION("""COMPUTED_VALUE"""),45556.0)</f>
        <v>45556</v>
      </c>
      <c r="G929" s="1164">
        <f>IFERROR(__xludf.DUMMYFUNCTION("""COMPUTED_VALUE"""),3.0)</f>
        <v>3</v>
      </c>
      <c r="H929" s="94"/>
      <c r="I929" s="94">
        <f>IFERROR(__xludf.DUMMYFUNCTION("""COMPUTED_VALUE"""),551.5)</f>
        <v>551.5</v>
      </c>
      <c r="J929" s="94"/>
      <c r="K929" s="94">
        <f>IFERROR(__xludf.DUMMYFUNCTION("""COMPUTED_VALUE"""),95.0)</f>
        <v>95</v>
      </c>
      <c r="L929" s="94">
        <f>IFERROR(__xludf.DUMMYFUNCTION("""COMPUTED_VALUE"""),95.0)</f>
        <v>95</v>
      </c>
      <c r="M929" s="94">
        <f>IFERROR(__xludf.DUMMYFUNCTION("""COMPUTED_VALUE"""),0.0)</f>
        <v>0</v>
      </c>
      <c r="N929" s="94"/>
      <c r="O929" s="1430">
        <f>IFERROR(__xludf.DUMMYFUNCTION("""COMPUTED_VALUE"""),0.0)</f>
        <v>0</v>
      </c>
      <c r="P929" s="1431">
        <f>IFERROR(__xludf.DUMMYFUNCTION("""COMPUTED_VALUE"""),2.73)</f>
        <v>2.73</v>
      </c>
      <c r="Q929" s="1432">
        <f>IFERROR(__xludf.DUMMYFUNCTION("""COMPUTED_VALUE"""),552.0)</f>
        <v>552</v>
      </c>
    </row>
    <row r="930" ht="15.75" customHeight="1">
      <c r="A930" s="94"/>
      <c r="B930" s="94" t="str">
        <f>IFERROR(__xludf.DUMMYFUNCTION("""COMPUTED_VALUE"""),"14-411")</f>
        <v>14-411</v>
      </c>
      <c r="C930" s="1429" t="str">
        <f>IFERROR(__xludf.DUMMYFUNCTION("""COMPUTED_VALUE"""),"DL")</f>
        <v>DL</v>
      </c>
      <c r="D930" s="1432">
        <f>IFERROR(__xludf.DUMMYFUNCTION("""COMPUTED_VALUE"""),9.0)</f>
        <v>9</v>
      </c>
      <c r="E930" s="1429">
        <f>IFERROR(__xludf.DUMMYFUNCTION("""COMPUTED_VALUE"""),45553.0)</f>
        <v>45553</v>
      </c>
      <c r="F930" s="1429">
        <f>IFERROR(__xludf.DUMMYFUNCTION("""COMPUTED_VALUE"""),45556.0)</f>
        <v>45556</v>
      </c>
      <c r="G930" s="1164">
        <f>IFERROR(__xludf.DUMMYFUNCTION("""COMPUTED_VALUE"""),3.0)</f>
        <v>3</v>
      </c>
      <c r="H930" s="94"/>
      <c r="I930" s="94">
        <f>IFERROR(__xludf.DUMMYFUNCTION("""COMPUTED_VALUE"""),551.5)</f>
        <v>551.5</v>
      </c>
      <c r="J930" s="94"/>
      <c r="K930" s="94">
        <f>IFERROR(__xludf.DUMMYFUNCTION("""COMPUTED_VALUE"""),95.0)</f>
        <v>95</v>
      </c>
      <c r="L930" s="94">
        <f>IFERROR(__xludf.DUMMYFUNCTION("""COMPUTED_VALUE"""),95.0)</f>
        <v>95</v>
      </c>
      <c r="M930" s="94">
        <f>IFERROR(__xludf.DUMMYFUNCTION("""COMPUTED_VALUE"""),0.0)</f>
        <v>0</v>
      </c>
      <c r="N930" s="94"/>
      <c r="O930" s="1430">
        <f>IFERROR(__xludf.DUMMYFUNCTION("""COMPUTED_VALUE"""),0.0)</f>
        <v>0</v>
      </c>
      <c r="P930" s="1431">
        <f>IFERROR(__xludf.DUMMYFUNCTION("""COMPUTED_VALUE"""),2.73)</f>
        <v>2.73</v>
      </c>
      <c r="Q930" s="1432">
        <f>IFERROR(__xludf.DUMMYFUNCTION("""COMPUTED_VALUE"""),552.0)</f>
        <v>552</v>
      </c>
    </row>
    <row r="931" ht="15.75" customHeight="1">
      <c r="A931" s="94"/>
      <c r="B931" s="94" t="str">
        <f>IFERROR(__xludf.DUMMYFUNCTION("""COMPUTED_VALUE"""),"Вилла Ева")</f>
        <v>Вилла Ева</v>
      </c>
      <c r="C931" s="1429" t="str">
        <f>IFERROR(__xludf.DUMMYFUNCTION("""COMPUTED_VALUE"""),"Other")</f>
        <v>Other</v>
      </c>
      <c r="D931" s="1432">
        <f>IFERROR(__xludf.DUMMYFUNCTION("""COMPUTED_VALUE"""),9.0)</f>
        <v>9</v>
      </c>
      <c r="E931" s="1429">
        <f>IFERROR(__xludf.DUMMYFUNCTION("""COMPUTED_VALUE"""),45554.0)</f>
        <v>45554</v>
      </c>
      <c r="F931" s="1429">
        <f>IFERROR(__xludf.DUMMYFUNCTION("""COMPUTED_VALUE"""),45557.0)</f>
        <v>45557</v>
      </c>
      <c r="G931" s="1164">
        <f>IFERROR(__xludf.DUMMYFUNCTION("""COMPUTED_VALUE"""),3.0)</f>
        <v>3</v>
      </c>
      <c r="H931" s="1430">
        <f>IFERROR(__xludf.DUMMYFUNCTION("""COMPUTED_VALUE"""),28.0)</f>
        <v>28</v>
      </c>
      <c r="I931" s="94">
        <f>IFERROR(__xludf.DUMMYFUNCTION("""COMPUTED_VALUE"""),0.0)</f>
        <v>0</v>
      </c>
      <c r="J931" s="94"/>
      <c r="K931" s="94"/>
      <c r="L931" s="94"/>
      <c r="M931" s="94">
        <f>IFERROR(__xludf.DUMMYFUNCTION("""COMPUTED_VALUE"""),0.0)</f>
        <v>0</v>
      </c>
      <c r="N931" s="94"/>
      <c r="O931" s="1430">
        <f>IFERROR(__xludf.DUMMYFUNCTION("""COMPUTED_VALUE"""),0.0)</f>
        <v>0</v>
      </c>
      <c r="P931" s="1431">
        <f>IFERROR(__xludf.DUMMYFUNCTION("""COMPUTED_VALUE"""),2.73)</f>
        <v>2.73</v>
      </c>
      <c r="Q931" s="1432">
        <f>IFERROR(__xludf.DUMMYFUNCTION("""COMPUTED_VALUE"""),76.44)</f>
        <v>76.44</v>
      </c>
    </row>
    <row r="932" ht="15.75" customHeight="1">
      <c r="A932" s="94"/>
      <c r="B932" s="94" t="str">
        <f>IFERROR(__xludf.DUMMYFUNCTION("""COMPUTED_VALUE"""),"CM 1604")</f>
        <v>CM 1604</v>
      </c>
      <c r="C932" s="1429" t="str">
        <f>IFERROR(__xludf.DUMMYFUNCTION("""COMPUTED_VALUE"""),"MAR")</f>
        <v>MAR</v>
      </c>
      <c r="D932" s="1432">
        <f>IFERROR(__xludf.DUMMYFUNCTION("""COMPUTED_VALUE"""),9.0)</f>
        <v>9</v>
      </c>
      <c r="E932" s="1429">
        <f>IFERROR(__xludf.DUMMYFUNCTION("""COMPUTED_VALUE"""),45554.0)</f>
        <v>45554</v>
      </c>
      <c r="F932" s="1429">
        <f>IFERROR(__xludf.DUMMYFUNCTION("""COMPUTED_VALUE"""),45556.0)</f>
        <v>45556</v>
      </c>
      <c r="G932" s="1164">
        <f>IFERROR(__xludf.DUMMYFUNCTION("""COMPUTED_VALUE"""),2.0)</f>
        <v>2</v>
      </c>
      <c r="H932" s="1430">
        <f>IFERROR(__xludf.DUMMYFUNCTION("""COMPUTED_VALUE"""),95.0)</f>
        <v>95</v>
      </c>
      <c r="I932" s="94">
        <f>IFERROR(__xludf.DUMMYFUNCTION("""COMPUTED_VALUE"""),0.0)</f>
        <v>0</v>
      </c>
      <c r="J932" s="94"/>
      <c r="K932" s="94">
        <f>IFERROR(__xludf.DUMMYFUNCTION("""COMPUTED_VALUE"""),70.0)</f>
        <v>70</v>
      </c>
      <c r="L932" s="94">
        <f>IFERROR(__xludf.DUMMYFUNCTION("""COMPUTED_VALUE"""),40.0)</f>
        <v>40</v>
      </c>
      <c r="M932" s="94">
        <f>IFERROR(__xludf.DUMMYFUNCTION("""COMPUTED_VALUE"""),30.0)</f>
        <v>30</v>
      </c>
      <c r="N932" s="94"/>
      <c r="O932" s="1430">
        <f>IFERROR(__xludf.DUMMYFUNCTION("""COMPUTED_VALUE"""),30.0)</f>
        <v>30</v>
      </c>
      <c r="P932" s="1431">
        <f>IFERROR(__xludf.DUMMYFUNCTION("""COMPUTED_VALUE"""),2.73)</f>
        <v>2.73</v>
      </c>
      <c r="Q932" s="1432">
        <f>IFERROR(__xludf.DUMMYFUNCTION("""COMPUTED_VALUE"""),259.35)</f>
        <v>259.35</v>
      </c>
    </row>
    <row r="933" ht="15.75" customHeight="1">
      <c r="A933" s="94"/>
      <c r="B933" s="94" t="str">
        <f>IFERROR(__xludf.DUMMYFUNCTION("""COMPUTED_VALUE"""),"С 1443")</f>
        <v>С 1443</v>
      </c>
      <c r="C933" s="1429" t="str">
        <f>IFERROR(__xludf.DUMMYFUNCTION("""COMPUTED_VALUE"""),"ORBI")</f>
        <v>ORBI</v>
      </c>
      <c r="D933" s="1432">
        <f>IFERROR(__xludf.DUMMYFUNCTION("""COMPUTED_VALUE"""),9.0)</f>
        <v>9</v>
      </c>
      <c r="E933" s="1429">
        <f>IFERROR(__xludf.DUMMYFUNCTION("""COMPUTED_VALUE"""),45554.0)</f>
        <v>45554</v>
      </c>
      <c r="F933" s="1429">
        <f>IFERROR(__xludf.DUMMYFUNCTION("""COMPUTED_VALUE"""),45556.0)</f>
        <v>45556</v>
      </c>
      <c r="G933" s="1164">
        <f>IFERROR(__xludf.DUMMYFUNCTION("""COMPUTED_VALUE"""),2.0)</f>
        <v>2</v>
      </c>
      <c r="H933" s="1430">
        <f>IFERROR(__xludf.DUMMYFUNCTION("""COMPUTED_VALUE"""),90.0)</f>
        <v>90</v>
      </c>
      <c r="I933" s="94">
        <f>IFERROR(__xludf.DUMMYFUNCTION("""COMPUTED_VALUE"""),0.0)</f>
        <v>0</v>
      </c>
      <c r="J933" s="94"/>
      <c r="K933" s="94">
        <f>IFERROR(__xludf.DUMMYFUNCTION("""COMPUTED_VALUE"""),70.0)</f>
        <v>70</v>
      </c>
      <c r="L933" s="94">
        <f>IFERROR(__xludf.DUMMYFUNCTION("""COMPUTED_VALUE"""),40.0)</f>
        <v>40</v>
      </c>
      <c r="M933" s="94">
        <f>IFERROR(__xludf.DUMMYFUNCTION("""COMPUTED_VALUE"""),30.0)</f>
        <v>30</v>
      </c>
      <c r="N933" s="94"/>
      <c r="O933" s="1430">
        <f>IFERROR(__xludf.DUMMYFUNCTION("""COMPUTED_VALUE"""),30.0)</f>
        <v>30</v>
      </c>
      <c r="P933" s="1431">
        <f>IFERROR(__xludf.DUMMYFUNCTION("""COMPUTED_VALUE"""),2.73)</f>
        <v>2.73</v>
      </c>
      <c r="Q933" s="1432">
        <f>IFERROR(__xludf.DUMMYFUNCTION("""COMPUTED_VALUE"""),245.7)</f>
        <v>245.7</v>
      </c>
    </row>
    <row r="934" ht="15.75" customHeight="1">
      <c r="A934" s="94"/>
      <c r="B934" s="94" t="str">
        <f>IFERROR(__xludf.DUMMYFUNCTION("""COMPUTED_VALUE"""),"Wyn")</f>
        <v>Wyn</v>
      </c>
      <c r="C934" s="1429" t="str">
        <f>IFERROR(__xludf.DUMMYFUNCTION("""COMPUTED_VALUE"""),"Other")</f>
        <v>Other</v>
      </c>
      <c r="D934" s="1432">
        <f>IFERROR(__xludf.DUMMYFUNCTION("""COMPUTED_VALUE"""),9.0)</f>
        <v>9</v>
      </c>
      <c r="E934" s="1429">
        <f>IFERROR(__xludf.DUMMYFUNCTION("""COMPUTED_VALUE"""),45554.0)</f>
        <v>45554</v>
      </c>
      <c r="F934" s="1429">
        <f>IFERROR(__xludf.DUMMYFUNCTION("""COMPUTED_VALUE"""),45584.0)</f>
        <v>45584</v>
      </c>
      <c r="G934" s="1164">
        <f>IFERROR(__xludf.DUMMYFUNCTION("""COMPUTED_VALUE"""),30.0)</f>
        <v>30</v>
      </c>
      <c r="H934" s="1430">
        <f>IFERROR(__xludf.DUMMYFUNCTION("""COMPUTED_VALUE"""),625.0)</f>
        <v>625</v>
      </c>
      <c r="I934" s="94">
        <f>IFERROR(__xludf.DUMMYFUNCTION("""COMPUTED_VALUE"""),0.0)</f>
        <v>0</v>
      </c>
      <c r="J934" s="94"/>
      <c r="K934" s="94">
        <f>IFERROR(__xludf.DUMMYFUNCTION("""COMPUTED_VALUE"""),70.0)</f>
        <v>70</v>
      </c>
      <c r="L934" s="94">
        <f>IFERROR(__xludf.DUMMYFUNCTION("""COMPUTED_VALUE"""),40.0)</f>
        <v>40</v>
      </c>
      <c r="M934" s="94">
        <f>IFERROR(__xludf.DUMMYFUNCTION("""COMPUTED_VALUE"""),30.0)</f>
        <v>30</v>
      </c>
      <c r="N934" s="94"/>
      <c r="O934" s="1430">
        <f>IFERROR(__xludf.DUMMYFUNCTION("""COMPUTED_VALUE"""),30.0)</f>
        <v>30</v>
      </c>
      <c r="P934" s="1431">
        <f>IFERROR(__xludf.DUMMYFUNCTION("""COMPUTED_VALUE"""),2.73)</f>
        <v>2.73</v>
      </c>
      <c r="Q934" s="1432">
        <f>IFERROR(__xludf.DUMMYFUNCTION("""COMPUTED_VALUE"""),1706.25)</f>
        <v>1706.25</v>
      </c>
    </row>
    <row r="935" ht="15.75" customHeight="1">
      <c r="A935" s="94"/>
      <c r="B935" s="94" t="str">
        <f>IFERROR(__xludf.DUMMYFUNCTION("""COMPUTED_VALUE"""),"WS E1405")</f>
        <v>WS E1405</v>
      </c>
      <c r="C935" s="1429" t="str">
        <f>IFERROR(__xludf.DUMMYFUNCTION("""COMPUTED_VALUE"""),"WS")</f>
        <v>WS</v>
      </c>
      <c r="D935" s="1432">
        <f>IFERROR(__xludf.DUMMYFUNCTION("""COMPUTED_VALUE"""),9.0)</f>
        <v>9</v>
      </c>
      <c r="E935" s="1429">
        <f>IFERROR(__xludf.DUMMYFUNCTION("""COMPUTED_VALUE"""),45554.0)</f>
        <v>45554</v>
      </c>
      <c r="F935" s="1429">
        <f>IFERROR(__xludf.DUMMYFUNCTION("""COMPUTED_VALUE"""),45561.0)</f>
        <v>45561</v>
      </c>
      <c r="G935" s="1164">
        <f>IFERROR(__xludf.DUMMYFUNCTION("""COMPUTED_VALUE"""),7.0)</f>
        <v>7</v>
      </c>
      <c r="H935" s="94"/>
      <c r="I935" s="94">
        <f>IFERROR(__xludf.DUMMYFUNCTION("""COMPUTED_VALUE"""),773.0)</f>
        <v>773</v>
      </c>
      <c r="J935" s="94"/>
      <c r="K935" s="94">
        <f>IFERROR(__xludf.DUMMYFUNCTION("""COMPUTED_VALUE"""),60.0)</f>
        <v>60</v>
      </c>
      <c r="L935" s="94">
        <f>IFERROR(__xludf.DUMMYFUNCTION("""COMPUTED_VALUE"""),30.0)</f>
        <v>30</v>
      </c>
      <c r="M935" s="94">
        <f>IFERROR(__xludf.DUMMYFUNCTION("""COMPUTED_VALUE"""),30.0)</f>
        <v>30</v>
      </c>
      <c r="N935" s="94"/>
      <c r="O935" s="1430">
        <f>IFERROR(__xludf.DUMMYFUNCTION("""COMPUTED_VALUE"""),30.0)</f>
        <v>30</v>
      </c>
      <c r="P935" s="1431">
        <f>IFERROR(__xludf.DUMMYFUNCTION("""COMPUTED_VALUE"""),2.73)</f>
        <v>2.73</v>
      </c>
      <c r="Q935" s="1432">
        <f>IFERROR(__xludf.DUMMYFUNCTION("""COMPUTED_VALUE"""),773.0)</f>
        <v>773</v>
      </c>
    </row>
    <row r="936" ht="15.75" customHeight="1">
      <c r="A936" s="94"/>
      <c r="B936" s="94" t="str">
        <f>IFERROR(__xludf.DUMMYFUNCTION("""COMPUTED_VALUE"""),"WS A 713")</f>
        <v>WS A 713</v>
      </c>
      <c r="C936" s="1429" t="str">
        <f>IFERROR(__xludf.DUMMYFUNCTION("""COMPUTED_VALUE"""),"WS")</f>
        <v>WS</v>
      </c>
      <c r="D936" s="1432">
        <f>IFERROR(__xludf.DUMMYFUNCTION("""COMPUTED_VALUE"""),9.0)</f>
        <v>9</v>
      </c>
      <c r="E936" s="1429">
        <f>IFERROR(__xludf.DUMMYFUNCTION("""COMPUTED_VALUE"""),45555.0)</f>
        <v>45555</v>
      </c>
      <c r="F936" s="1429">
        <f>IFERROR(__xludf.DUMMYFUNCTION("""COMPUTED_VALUE"""),45584.0)</f>
        <v>45584</v>
      </c>
      <c r="G936" s="1164">
        <f>IFERROR(__xludf.DUMMYFUNCTION("""COMPUTED_VALUE"""),29.0)</f>
        <v>29</v>
      </c>
      <c r="H936" s="1430">
        <f>IFERROR(__xludf.DUMMYFUNCTION("""COMPUTED_VALUE"""),540.0)</f>
        <v>540</v>
      </c>
      <c r="I936" s="94">
        <f>IFERROR(__xludf.DUMMYFUNCTION("""COMPUTED_VALUE"""),0.0)</f>
        <v>0</v>
      </c>
      <c r="J936" s="94"/>
      <c r="K936" s="94">
        <f>IFERROR(__xludf.DUMMYFUNCTION("""COMPUTED_VALUE"""),60.0)</f>
        <v>60</v>
      </c>
      <c r="L936" s="94">
        <f>IFERROR(__xludf.DUMMYFUNCTION("""COMPUTED_VALUE"""),30.0)</f>
        <v>30</v>
      </c>
      <c r="M936" s="94">
        <f>IFERROR(__xludf.DUMMYFUNCTION("""COMPUTED_VALUE"""),30.0)</f>
        <v>30</v>
      </c>
      <c r="N936" s="94"/>
      <c r="O936" s="1430">
        <f>IFERROR(__xludf.DUMMYFUNCTION("""COMPUTED_VALUE"""),30.0)</f>
        <v>30</v>
      </c>
      <c r="P936" s="1431">
        <f>IFERROR(__xludf.DUMMYFUNCTION("""COMPUTED_VALUE"""),2.73)</f>
        <v>2.73</v>
      </c>
      <c r="Q936" s="1432">
        <f>IFERROR(__xludf.DUMMYFUNCTION("""COMPUTED_VALUE"""),1474.2)</f>
        <v>1474.2</v>
      </c>
    </row>
    <row r="937" ht="15.75" customHeight="1">
      <c r="A937" s="94"/>
      <c r="B937" s="94" t="str">
        <f>IFERROR(__xludf.DUMMYFUNCTION("""COMPUTED_VALUE"""),"А 4049")</f>
        <v>А 4049</v>
      </c>
      <c r="C937" s="1429" t="str">
        <f>IFERROR(__xludf.DUMMYFUNCTION("""COMPUTED_VALUE"""),"ORBI")</f>
        <v>ORBI</v>
      </c>
      <c r="D937" s="1432">
        <f>IFERROR(__xludf.DUMMYFUNCTION("""COMPUTED_VALUE"""),9.0)</f>
        <v>9</v>
      </c>
      <c r="E937" s="1429">
        <f>IFERROR(__xludf.DUMMYFUNCTION("""COMPUTED_VALUE"""),45555.0)</f>
        <v>45555</v>
      </c>
      <c r="F937" s="1429">
        <f>IFERROR(__xludf.DUMMYFUNCTION("""COMPUTED_VALUE"""),45557.0)</f>
        <v>45557</v>
      </c>
      <c r="G937" s="1164">
        <f>IFERROR(__xludf.DUMMYFUNCTION("""COMPUTED_VALUE"""),2.0)</f>
        <v>2</v>
      </c>
      <c r="H937" s="1430">
        <f>IFERROR(__xludf.DUMMYFUNCTION("""COMPUTED_VALUE"""),71.0)</f>
        <v>71</v>
      </c>
      <c r="I937" s="94">
        <f>IFERROR(__xludf.DUMMYFUNCTION("""COMPUTED_VALUE"""),0.0)</f>
        <v>0</v>
      </c>
      <c r="J937" s="94"/>
      <c r="K937" s="94">
        <f>IFERROR(__xludf.DUMMYFUNCTION("""COMPUTED_VALUE"""),50.0)</f>
        <v>50</v>
      </c>
      <c r="L937" s="94">
        <f>IFERROR(__xludf.DUMMYFUNCTION("""COMPUTED_VALUE"""),30.0)</f>
        <v>30</v>
      </c>
      <c r="M937" s="94">
        <f>IFERROR(__xludf.DUMMYFUNCTION("""COMPUTED_VALUE"""),20.0)</f>
        <v>20</v>
      </c>
      <c r="N937" s="94"/>
      <c r="O937" s="1430">
        <f>IFERROR(__xludf.DUMMYFUNCTION("""COMPUTED_VALUE"""),20.0)</f>
        <v>20</v>
      </c>
      <c r="P937" s="1431">
        <f>IFERROR(__xludf.DUMMYFUNCTION("""COMPUTED_VALUE"""),2.73)</f>
        <v>2.73</v>
      </c>
      <c r="Q937" s="1432">
        <f>IFERROR(__xludf.DUMMYFUNCTION("""COMPUTED_VALUE"""),193.83)</f>
        <v>193.83</v>
      </c>
    </row>
    <row r="938" ht="15.75" customHeight="1">
      <c r="A938" s="94"/>
      <c r="B938" s="94" t="str">
        <f>IFERROR(__xludf.DUMMYFUNCTION("""COMPUTED_VALUE"""),"D 1321")</f>
        <v>D 1321</v>
      </c>
      <c r="C938" s="1429" t="str">
        <f>IFERROR(__xludf.DUMMYFUNCTION("""COMPUTED_VALUE"""),"ORBI")</f>
        <v>ORBI</v>
      </c>
      <c r="D938" s="1432">
        <f>IFERROR(__xludf.DUMMYFUNCTION("""COMPUTED_VALUE"""),9.0)</f>
        <v>9</v>
      </c>
      <c r="E938" s="1429">
        <f>IFERROR(__xludf.DUMMYFUNCTION("""COMPUTED_VALUE"""),45555.0)</f>
        <v>45555</v>
      </c>
      <c r="F938" s="1429">
        <f>IFERROR(__xludf.DUMMYFUNCTION("""COMPUTED_VALUE"""),45557.0)</f>
        <v>45557</v>
      </c>
      <c r="G938" s="1164">
        <f>IFERROR(__xludf.DUMMYFUNCTION("""COMPUTED_VALUE"""),2.0)</f>
        <v>2</v>
      </c>
      <c r="H938" s="1430">
        <f>IFERROR(__xludf.DUMMYFUNCTION("""COMPUTED_VALUE"""),77.0)</f>
        <v>77</v>
      </c>
      <c r="I938" s="94">
        <f>IFERROR(__xludf.DUMMYFUNCTION("""COMPUTED_VALUE"""),0.0)</f>
        <v>0</v>
      </c>
      <c r="J938" s="94"/>
      <c r="K938" s="94">
        <f>IFERROR(__xludf.DUMMYFUNCTION("""COMPUTED_VALUE"""),50.0)</f>
        <v>50</v>
      </c>
      <c r="L938" s="94">
        <f>IFERROR(__xludf.DUMMYFUNCTION("""COMPUTED_VALUE"""),30.0)</f>
        <v>30</v>
      </c>
      <c r="M938" s="94">
        <f>IFERROR(__xludf.DUMMYFUNCTION("""COMPUTED_VALUE"""),20.0)</f>
        <v>20</v>
      </c>
      <c r="N938" s="94"/>
      <c r="O938" s="1430">
        <f>IFERROR(__xludf.DUMMYFUNCTION("""COMPUTED_VALUE"""),20.0)</f>
        <v>20</v>
      </c>
      <c r="P938" s="1431">
        <f>IFERROR(__xludf.DUMMYFUNCTION("""COMPUTED_VALUE"""),2.73)</f>
        <v>2.73</v>
      </c>
      <c r="Q938" s="1432">
        <f>IFERROR(__xludf.DUMMYFUNCTION("""COMPUTED_VALUE"""),210.21)</f>
        <v>210.21</v>
      </c>
    </row>
    <row r="939" ht="15.75" customHeight="1">
      <c r="A939" s="94"/>
      <c r="B939" s="94" t="str">
        <f>IFERROR(__xludf.DUMMYFUNCTION("""COMPUTED_VALUE"""),"WS A 409")</f>
        <v>WS A 409</v>
      </c>
      <c r="C939" s="1429" t="str">
        <f>IFERROR(__xludf.DUMMYFUNCTION("""COMPUTED_VALUE"""),"WS")</f>
        <v>WS</v>
      </c>
      <c r="D939" s="1432">
        <f>IFERROR(__xludf.DUMMYFUNCTION("""COMPUTED_VALUE"""),9.0)</f>
        <v>9</v>
      </c>
      <c r="E939" s="1429">
        <f>IFERROR(__xludf.DUMMYFUNCTION("""COMPUTED_VALUE"""),45555.0)</f>
        <v>45555</v>
      </c>
      <c r="F939" s="1429">
        <f>IFERROR(__xludf.DUMMYFUNCTION("""COMPUTED_VALUE"""),45557.0)</f>
        <v>45557</v>
      </c>
      <c r="G939" s="1164">
        <f>IFERROR(__xludf.DUMMYFUNCTION("""COMPUTED_VALUE"""),2.0)</f>
        <v>2</v>
      </c>
      <c r="H939" s="1430">
        <f>IFERROR(__xludf.DUMMYFUNCTION("""COMPUTED_VALUE"""),90.0)</f>
        <v>90</v>
      </c>
      <c r="I939" s="94">
        <f>IFERROR(__xludf.DUMMYFUNCTION("""COMPUTED_VALUE"""),0.0)</f>
        <v>0</v>
      </c>
      <c r="J939" s="94"/>
      <c r="K939" s="94">
        <f>IFERROR(__xludf.DUMMYFUNCTION("""COMPUTED_VALUE"""),60.0)</f>
        <v>60</v>
      </c>
      <c r="L939" s="94">
        <f>IFERROR(__xludf.DUMMYFUNCTION("""COMPUTED_VALUE"""),30.0)</f>
        <v>30</v>
      </c>
      <c r="M939" s="94">
        <f>IFERROR(__xludf.DUMMYFUNCTION("""COMPUTED_VALUE"""),30.0)</f>
        <v>30</v>
      </c>
      <c r="N939" s="94"/>
      <c r="O939" s="1430">
        <f>IFERROR(__xludf.DUMMYFUNCTION("""COMPUTED_VALUE"""),30.0)</f>
        <v>30</v>
      </c>
      <c r="P939" s="1431">
        <f>IFERROR(__xludf.DUMMYFUNCTION("""COMPUTED_VALUE"""),2.73)</f>
        <v>2.73</v>
      </c>
      <c r="Q939" s="1432">
        <f>IFERROR(__xludf.DUMMYFUNCTION("""COMPUTED_VALUE"""),245.7)</f>
        <v>245.7</v>
      </c>
    </row>
    <row r="940" ht="15.75" customHeight="1">
      <c r="A940" s="94"/>
      <c r="B940" s="94" t="str">
        <f>IFERROR(__xludf.DUMMYFUNCTION("""COMPUTED_VALUE"""),"DL 4-09")</f>
        <v>DL 4-09</v>
      </c>
      <c r="C940" s="1429" t="str">
        <f>IFERROR(__xludf.DUMMYFUNCTION("""COMPUTED_VALUE"""),"DL")</f>
        <v>DL</v>
      </c>
      <c r="D940" s="1432">
        <f>IFERROR(__xludf.DUMMYFUNCTION("""COMPUTED_VALUE"""),9.0)</f>
        <v>9</v>
      </c>
      <c r="E940" s="1429">
        <f>IFERROR(__xludf.DUMMYFUNCTION("""COMPUTED_VALUE"""),45555.0)</f>
        <v>45555</v>
      </c>
      <c r="F940" s="1429">
        <f>IFERROR(__xludf.DUMMYFUNCTION("""COMPUTED_VALUE"""),45558.0)</f>
        <v>45558</v>
      </c>
      <c r="G940" s="1164">
        <f>IFERROR(__xludf.DUMMYFUNCTION("""COMPUTED_VALUE"""),3.0)</f>
        <v>3</v>
      </c>
      <c r="H940" s="94"/>
      <c r="I940" s="94">
        <f>IFERROR(__xludf.DUMMYFUNCTION("""COMPUTED_VALUE"""),1400.0)</f>
        <v>1400</v>
      </c>
      <c r="J940" s="94"/>
      <c r="K940" s="94">
        <f>IFERROR(__xludf.DUMMYFUNCTION("""COMPUTED_VALUE"""),95.0)</f>
        <v>95</v>
      </c>
      <c r="L940" s="94">
        <f>IFERROR(__xludf.DUMMYFUNCTION("""COMPUTED_VALUE"""),95.0)</f>
        <v>95</v>
      </c>
      <c r="M940" s="94">
        <f>IFERROR(__xludf.DUMMYFUNCTION("""COMPUTED_VALUE"""),0.0)</f>
        <v>0</v>
      </c>
      <c r="N940" s="94"/>
      <c r="O940" s="1430">
        <f>IFERROR(__xludf.DUMMYFUNCTION("""COMPUTED_VALUE"""),0.0)</f>
        <v>0</v>
      </c>
      <c r="P940" s="1431">
        <f>IFERROR(__xludf.DUMMYFUNCTION("""COMPUTED_VALUE"""),2.73)</f>
        <v>2.73</v>
      </c>
      <c r="Q940" s="1432">
        <f>IFERROR(__xludf.DUMMYFUNCTION("""COMPUTED_VALUE"""),1400.0)</f>
        <v>1400</v>
      </c>
    </row>
    <row r="941" ht="15.75" customHeight="1">
      <c r="A941" s="94"/>
      <c r="B941" s="94" t="str">
        <f>IFERROR(__xludf.DUMMYFUNCTION("""COMPUTED_VALUE"""),"WS E704")</f>
        <v>WS E704</v>
      </c>
      <c r="C941" s="1429" t="str">
        <f>IFERROR(__xludf.DUMMYFUNCTION("""COMPUTED_VALUE"""),"WS")</f>
        <v>WS</v>
      </c>
      <c r="D941" s="1432">
        <f>IFERROR(__xludf.DUMMYFUNCTION("""COMPUTED_VALUE"""),9.0)</f>
        <v>9</v>
      </c>
      <c r="E941" s="1429">
        <f>IFERROR(__xludf.DUMMYFUNCTION("""COMPUTED_VALUE"""),45555.0)</f>
        <v>45555</v>
      </c>
      <c r="F941" s="1429">
        <f>IFERROR(__xludf.DUMMYFUNCTION("""COMPUTED_VALUE"""),45558.0)</f>
        <v>45558</v>
      </c>
      <c r="G941" s="1164">
        <f>IFERROR(__xludf.DUMMYFUNCTION("""COMPUTED_VALUE"""),3.0)</f>
        <v>3</v>
      </c>
      <c r="H941" s="1430">
        <f>IFERROR(__xludf.DUMMYFUNCTION("""COMPUTED_VALUE"""),157.0)</f>
        <v>157</v>
      </c>
      <c r="I941" s="94">
        <f>IFERROR(__xludf.DUMMYFUNCTION("""COMPUTED_VALUE"""),0.0)</f>
        <v>0</v>
      </c>
      <c r="J941" s="94"/>
      <c r="K941" s="94">
        <f>IFERROR(__xludf.DUMMYFUNCTION("""COMPUTED_VALUE"""),60.0)</f>
        <v>60</v>
      </c>
      <c r="L941" s="94">
        <f>IFERROR(__xludf.DUMMYFUNCTION("""COMPUTED_VALUE"""),30.0)</f>
        <v>30</v>
      </c>
      <c r="M941" s="94">
        <f>IFERROR(__xludf.DUMMYFUNCTION("""COMPUTED_VALUE"""),30.0)</f>
        <v>30</v>
      </c>
      <c r="N941" s="94"/>
      <c r="O941" s="1430">
        <f>IFERROR(__xludf.DUMMYFUNCTION("""COMPUTED_VALUE"""),30.0)</f>
        <v>30</v>
      </c>
      <c r="P941" s="1431">
        <f>IFERROR(__xludf.DUMMYFUNCTION("""COMPUTED_VALUE"""),2.73)</f>
        <v>2.73</v>
      </c>
      <c r="Q941" s="1432">
        <f>IFERROR(__xludf.DUMMYFUNCTION("""COMPUTED_VALUE"""),428.61)</f>
        <v>428.61</v>
      </c>
    </row>
    <row r="942" ht="15.75" customHeight="1">
      <c r="A942" s="94"/>
      <c r="B942" s="94" t="str">
        <f>IFERROR(__xludf.DUMMYFUNCTION("""COMPUTED_VALUE"""),"WS А 908")</f>
        <v>WS А 908</v>
      </c>
      <c r="C942" s="1429" t="str">
        <f>IFERROR(__xludf.DUMMYFUNCTION("""COMPUTED_VALUE"""),"WS")</f>
        <v>WS</v>
      </c>
      <c r="D942" s="1432">
        <f>IFERROR(__xludf.DUMMYFUNCTION("""COMPUTED_VALUE"""),9.0)</f>
        <v>9</v>
      </c>
      <c r="E942" s="1429">
        <f>IFERROR(__xludf.DUMMYFUNCTION("""COMPUTED_VALUE"""),45556.0)</f>
        <v>45556</v>
      </c>
      <c r="F942" s="1429">
        <f>IFERROR(__xludf.DUMMYFUNCTION("""COMPUTED_VALUE"""),45560.0)</f>
        <v>45560</v>
      </c>
      <c r="G942" s="1164">
        <f>IFERROR(__xludf.DUMMYFUNCTION("""COMPUTED_VALUE"""),4.0)</f>
        <v>4</v>
      </c>
      <c r="H942" s="94"/>
      <c r="I942" s="94">
        <f>IFERROR(__xludf.DUMMYFUNCTION("""COMPUTED_VALUE"""),537.0)</f>
        <v>537</v>
      </c>
      <c r="J942" s="94"/>
      <c r="K942" s="94">
        <f>IFERROR(__xludf.DUMMYFUNCTION("""COMPUTED_VALUE"""),60.0)</f>
        <v>60</v>
      </c>
      <c r="L942" s="94">
        <f>IFERROR(__xludf.DUMMYFUNCTION("""COMPUTED_VALUE"""),30.0)</f>
        <v>30</v>
      </c>
      <c r="M942" s="94">
        <f>IFERROR(__xludf.DUMMYFUNCTION("""COMPUTED_VALUE"""),30.0)</f>
        <v>30</v>
      </c>
      <c r="N942" s="94"/>
      <c r="O942" s="1430">
        <f>IFERROR(__xludf.DUMMYFUNCTION("""COMPUTED_VALUE"""),30.0)</f>
        <v>30</v>
      </c>
      <c r="P942" s="1431">
        <f>IFERROR(__xludf.DUMMYFUNCTION("""COMPUTED_VALUE"""),2.73)</f>
        <v>2.73</v>
      </c>
      <c r="Q942" s="1432">
        <f>IFERROR(__xludf.DUMMYFUNCTION("""COMPUTED_VALUE"""),537.0)</f>
        <v>537</v>
      </c>
    </row>
    <row r="943" ht="15.75" customHeight="1">
      <c r="A943" s="94"/>
      <c r="B943" s="94" t="str">
        <f>IFERROR(__xludf.DUMMYFUNCTION("""COMPUTED_VALUE"""),"WS В 503")</f>
        <v>WS В 503</v>
      </c>
      <c r="C943" s="1429" t="str">
        <f>IFERROR(__xludf.DUMMYFUNCTION("""COMPUTED_VALUE"""),"WS")</f>
        <v>WS</v>
      </c>
      <c r="D943" s="1432">
        <f>IFERROR(__xludf.DUMMYFUNCTION("""COMPUTED_VALUE"""),9.0)</f>
        <v>9</v>
      </c>
      <c r="E943" s="1429">
        <f>IFERROR(__xludf.DUMMYFUNCTION("""COMPUTED_VALUE"""),45556.0)</f>
        <v>45556</v>
      </c>
      <c r="F943" s="1429">
        <f>IFERROR(__xludf.DUMMYFUNCTION("""COMPUTED_VALUE"""),45560.0)</f>
        <v>45560</v>
      </c>
      <c r="G943" s="1164">
        <f>IFERROR(__xludf.DUMMYFUNCTION("""COMPUTED_VALUE"""),4.0)</f>
        <v>4</v>
      </c>
      <c r="H943" s="94"/>
      <c r="I943" s="94">
        <f>IFERROR(__xludf.DUMMYFUNCTION("""COMPUTED_VALUE"""),1105.0)</f>
        <v>1105</v>
      </c>
      <c r="J943" s="94"/>
      <c r="K943" s="94">
        <f>IFERROR(__xludf.DUMMYFUNCTION("""COMPUTED_VALUE"""),70.0)</f>
        <v>70</v>
      </c>
      <c r="L943" s="94">
        <f>IFERROR(__xludf.DUMMYFUNCTION("""COMPUTED_VALUE"""),40.0)</f>
        <v>40</v>
      </c>
      <c r="M943" s="94">
        <f>IFERROR(__xludf.DUMMYFUNCTION("""COMPUTED_VALUE"""),30.0)</f>
        <v>30</v>
      </c>
      <c r="N943" s="94"/>
      <c r="O943" s="1430">
        <f>IFERROR(__xludf.DUMMYFUNCTION("""COMPUTED_VALUE"""),30.0)</f>
        <v>30</v>
      </c>
      <c r="P943" s="1431">
        <f>IFERROR(__xludf.DUMMYFUNCTION("""COMPUTED_VALUE"""),2.73)</f>
        <v>2.73</v>
      </c>
      <c r="Q943" s="1432">
        <f>IFERROR(__xludf.DUMMYFUNCTION("""COMPUTED_VALUE"""),1105.0)</f>
        <v>1105</v>
      </c>
    </row>
    <row r="944" ht="15.75" customHeight="1">
      <c r="A944" s="94"/>
      <c r="B944" s="94" t="str">
        <f>IFERROR(__xludf.DUMMYFUNCTION("""COMPUTED_VALUE"""),"WS A907")</f>
        <v>WS A907</v>
      </c>
      <c r="C944" s="1429" t="str">
        <f>IFERROR(__xludf.DUMMYFUNCTION("""COMPUTED_VALUE"""),"WS")</f>
        <v>WS</v>
      </c>
      <c r="D944" s="1432">
        <f>IFERROR(__xludf.DUMMYFUNCTION("""COMPUTED_VALUE"""),9.0)</f>
        <v>9</v>
      </c>
      <c r="E944" s="1429">
        <f>IFERROR(__xludf.DUMMYFUNCTION("""COMPUTED_VALUE"""),45557.0)</f>
        <v>45557</v>
      </c>
      <c r="F944" s="1429">
        <f>IFERROR(__xludf.DUMMYFUNCTION("""COMPUTED_VALUE"""),45560.0)</f>
        <v>45560</v>
      </c>
      <c r="G944" s="1164">
        <f>IFERROR(__xludf.DUMMYFUNCTION("""COMPUTED_VALUE"""),3.0)</f>
        <v>3</v>
      </c>
      <c r="H944" s="1430">
        <f>IFERROR(__xludf.DUMMYFUNCTION("""COMPUTED_VALUE"""),138.0)</f>
        <v>138</v>
      </c>
      <c r="I944" s="94">
        <f>IFERROR(__xludf.DUMMYFUNCTION("""COMPUTED_VALUE"""),0.0)</f>
        <v>0</v>
      </c>
      <c r="J944" s="94"/>
      <c r="K944" s="94">
        <f>IFERROR(__xludf.DUMMYFUNCTION("""COMPUTED_VALUE"""),60.0)</f>
        <v>60</v>
      </c>
      <c r="L944" s="94">
        <f>IFERROR(__xludf.DUMMYFUNCTION("""COMPUTED_VALUE"""),30.0)</f>
        <v>30</v>
      </c>
      <c r="M944" s="94">
        <f>IFERROR(__xludf.DUMMYFUNCTION("""COMPUTED_VALUE"""),30.0)</f>
        <v>30</v>
      </c>
      <c r="N944" s="94"/>
      <c r="O944" s="1430">
        <f>IFERROR(__xludf.DUMMYFUNCTION("""COMPUTED_VALUE"""),30.0)</f>
        <v>30</v>
      </c>
      <c r="P944" s="1431">
        <f>IFERROR(__xludf.DUMMYFUNCTION("""COMPUTED_VALUE"""),2.73)</f>
        <v>2.73</v>
      </c>
      <c r="Q944" s="1432">
        <f>IFERROR(__xludf.DUMMYFUNCTION("""COMPUTED_VALUE"""),376.74)</f>
        <v>376.74</v>
      </c>
    </row>
    <row r="945" ht="15.75" customHeight="1">
      <c r="A945" s="94"/>
      <c r="B945" s="94" t="str">
        <f>IFERROR(__xludf.DUMMYFUNCTION("""COMPUTED_VALUE"""),"WS E 1202")</f>
        <v>WS E 1202</v>
      </c>
      <c r="C945" s="1429" t="str">
        <f>IFERROR(__xludf.DUMMYFUNCTION("""COMPUTED_VALUE"""),"WS")</f>
        <v>WS</v>
      </c>
      <c r="D945" s="1432">
        <f>IFERROR(__xludf.DUMMYFUNCTION("""COMPUTED_VALUE"""),9.0)</f>
        <v>9</v>
      </c>
      <c r="E945" s="1429">
        <f>IFERROR(__xludf.DUMMYFUNCTION("""COMPUTED_VALUE"""),45557.0)</f>
        <v>45557</v>
      </c>
      <c r="F945" s="1429">
        <f>IFERROR(__xludf.DUMMYFUNCTION("""COMPUTED_VALUE"""),45559.0)</f>
        <v>45559</v>
      </c>
      <c r="G945" s="1164">
        <f>IFERROR(__xludf.DUMMYFUNCTION("""COMPUTED_VALUE"""),2.0)</f>
        <v>2</v>
      </c>
      <c r="H945" s="1430">
        <f>IFERROR(__xludf.DUMMYFUNCTION("""COMPUTED_VALUE"""),150.0)</f>
        <v>150</v>
      </c>
      <c r="I945" s="94">
        <f>IFERROR(__xludf.DUMMYFUNCTION("""COMPUTED_VALUE"""),0.0)</f>
        <v>0</v>
      </c>
      <c r="J945" s="94"/>
      <c r="K945" s="94">
        <f>IFERROR(__xludf.DUMMYFUNCTION("""COMPUTED_VALUE"""),70.0)</f>
        <v>70</v>
      </c>
      <c r="L945" s="94">
        <f>IFERROR(__xludf.DUMMYFUNCTION("""COMPUTED_VALUE"""),40.0)</f>
        <v>40</v>
      </c>
      <c r="M945" s="94">
        <f>IFERROR(__xludf.DUMMYFUNCTION("""COMPUTED_VALUE"""),30.0)</f>
        <v>30</v>
      </c>
      <c r="N945" s="94"/>
      <c r="O945" s="1430">
        <f>IFERROR(__xludf.DUMMYFUNCTION("""COMPUTED_VALUE"""),30.0)</f>
        <v>30</v>
      </c>
      <c r="P945" s="1431">
        <f>IFERROR(__xludf.DUMMYFUNCTION("""COMPUTED_VALUE"""),2.73)</f>
        <v>2.73</v>
      </c>
      <c r="Q945" s="1432">
        <f>IFERROR(__xludf.DUMMYFUNCTION("""COMPUTED_VALUE"""),409.5)</f>
        <v>409.5</v>
      </c>
    </row>
    <row r="946" ht="15.75" customHeight="1">
      <c r="A946" s="94"/>
      <c r="B946" s="94" t="str">
        <f>IFERROR(__xludf.DUMMYFUNCTION("""COMPUTED_VALUE"""),"Вилла Ева")</f>
        <v>Вилла Ева</v>
      </c>
      <c r="C946" s="1429" t="str">
        <f>IFERROR(__xludf.DUMMYFUNCTION("""COMPUTED_VALUE"""),"Other")</f>
        <v>Other</v>
      </c>
      <c r="D946" s="1432">
        <f>IFERROR(__xludf.DUMMYFUNCTION("""COMPUTED_VALUE"""),9.0)</f>
        <v>9</v>
      </c>
      <c r="E946" s="1429">
        <f>IFERROR(__xludf.DUMMYFUNCTION("""COMPUTED_VALUE"""),45557.0)</f>
        <v>45557</v>
      </c>
      <c r="F946" s="1429">
        <f>IFERROR(__xludf.DUMMYFUNCTION("""COMPUTED_VALUE"""),45562.0)</f>
        <v>45562</v>
      </c>
      <c r="G946" s="1164">
        <f>IFERROR(__xludf.DUMMYFUNCTION("""COMPUTED_VALUE"""),5.0)</f>
        <v>5</v>
      </c>
      <c r="H946" s="1430">
        <f>IFERROR(__xludf.DUMMYFUNCTION("""COMPUTED_VALUE"""),43.41)</f>
        <v>43.41</v>
      </c>
      <c r="I946" s="94">
        <f>IFERROR(__xludf.DUMMYFUNCTION("""COMPUTED_VALUE"""),0.0)</f>
        <v>0</v>
      </c>
      <c r="J946" s="94"/>
      <c r="K946" s="94"/>
      <c r="L946" s="94"/>
      <c r="M946" s="94">
        <f>IFERROR(__xludf.DUMMYFUNCTION("""COMPUTED_VALUE"""),0.0)</f>
        <v>0</v>
      </c>
      <c r="N946" s="94"/>
      <c r="O946" s="1430">
        <f>IFERROR(__xludf.DUMMYFUNCTION("""COMPUTED_VALUE"""),0.0)</f>
        <v>0</v>
      </c>
      <c r="P946" s="1431">
        <f>IFERROR(__xludf.DUMMYFUNCTION("""COMPUTED_VALUE"""),2.73)</f>
        <v>2.73</v>
      </c>
      <c r="Q946" s="1432">
        <f>IFERROR(__xludf.DUMMYFUNCTION("""COMPUTED_VALUE"""),118.5093)</f>
        <v>118.5093</v>
      </c>
    </row>
    <row r="947" ht="15.75" customHeight="1">
      <c r="A947" s="94"/>
      <c r="B947" s="94" t="str">
        <f>IFERROR(__xludf.DUMMYFUNCTION("""COMPUTED_VALUE"""),"BV206")</f>
        <v>BV206</v>
      </c>
      <c r="C947" s="1429" t="str">
        <f>IFERROR(__xludf.DUMMYFUNCTION("""COMPUTED_VALUE"""),"Other")</f>
        <v>Other</v>
      </c>
      <c r="D947" s="1432">
        <f>IFERROR(__xludf.DUMMYFUNCTION("""COMPUTED_VALUE"""),9.0)</f>
        <v>9</v>
      </c>
      <c r="E947" s="1429">
        <f>IFERROR(__xludf.DUMMYFUNCTION("""COMPUTED_VALUE"""),45557.0)</f>
        <v>45557</v>
      </c>
      <c r="F947" s="1429">
        <f>IFERROR(__xludf.DUMMYFUNCTION("""COMPUTED_VALUE"""),45560.0)</f>
        <v>45560</v>
      </c>
      <c r="G947" s="1164">
        <f>IFERROR(__xludf.DUMMYFUNCTION("""COMPUTED_VALUE"""),3.0)</f>
        <v>3</v>
      </c>
      <c r="H947" s="1430">
        <f>IFERROR(__xludf.DUMMYFUNCTION("""COMPUTED_VALUE"""),140.0)</f>
        <v>140</v>
      </c>
      <c r="I947" s="94">
        <f>IFERROR(__xludf.DUMMYFUNCTION("""COMPUTED_VALUE"""),0.0)</f>
        <v>0</v>
      </c>
      <c r="J947" s="94"/>
      <c r="K947" s="94">
        <f>IFERROR(__xludf.DUMMYFUNCTION("""COMPUTED_VALUE"""),60.0)</f>
        <v>60</v>
      </c>
      <c r="L947" s="94">
        <f>IFERROR(__xludf.DUMMYFUNCTION("""COMPUTED_VALUE"""),40.0)</f>
        <v>40</v>
      </c>
      <c r="M947" s="94">
        <f>IFERROR(__xludf.DUMMYFUNCTION("""COMPUTED_VALUE"""),20.0)</f>
        <v>20</v>
      </c>
      <c r="N947" s="94"/>
      <c r="O947" s="1430">
        <f>IFERROR(__xludf.DUMMYFUNCTION("""COMPUTED_VALUE"""),20.0)</f>
        <v>20</v>
      </c>
      <c r="P947" s="1431">
        <f>IFERROR(__xludf.DUMMYFUNCTION("""COMPUTED_VALUE"""),2.73)</f>
        <v>2.73</v>
      </c>
      <c r="Q947" s="1432">
        <f>IFERROR(__xludf.DUMMYFUNCTION("""COMPUTED_VALUE"""),382.2)</f>
        <v>382.2</v>
      </c>
    </row>
    <row r="948" ht="15.75" customHeight="1">
      <c r="A948" s="94"/>
      <c r="B948" s="94" t="str">
        <f>IFERROR(__xludf.DUMMYFUNCTION("""COMPUTED_VALUE"""),"А 4049")</f>
        <v>А 4049</v>
      </c>
      <c r="C948" s="1429" t="str">
        <f>IFERROR(__xludf.DUMMYFUNCTION("""COMPUTED_VALUE"""),"ORBI")</f>
        <v>ORBI</v>
      </c>
      <c r="D948" s="1432">
        <f>IFERROR(__xludf.DUMMYFUNCTION("""COMPUTED_VALUE"""),9.0)</f>
        <v>9</v>
      </c>
      <c r="E948" s="1429">
        <f>IFERROR(__xludf.DUMMYFUNCTION("""COMPUTED_VALUE"""),45557.0)</f>
        <v>45557</v>
      </c>
      <c r="F948" s="1429">
        <f>IFERROR(__xludf.DUMMYFUNCTION("""COMPUTED_VALUE"""),45561.0)</f>
        <v>45561</v>
      </c>
      <c r="G948" s="1164">
        <f>IFERROR(__xludf.DUMMYFUNCTION("""COMPUTED_VALUE"""),4.0)</f>
        <v>4</v>
      </c>
      <c r="H948" s="1430">
        <f>IFERROR(__xludf.DUMMYFUNCTION("""COMPUTED_VALUE"""),128.0)</f>
        <v>128</v>
      </c>
      <c r="I948" s="94">
        <f>IFERROR(__xludf.DUMMYFUNCTION("""COMPUTED_VALUE"""),0.0)</f>
        <v>0</v>
      </c>
      <c r="J948" s="94"/>
      <c r="K948" s="94">
        <f>IFERROR(__xludf.DUMMYFUNCTION("""COMPUTED_VALUE"""),50.0)</f>
        <v>50</v>
      </c>
      <c r="L948" s="94">
        <f>IFERROR(__xludf.DUMMYFUNCTION("""COMPUTED_VALUE"""),30.0)</f>
        <v>30</v>
      </c>
      <c r="M948" s="94">
        <f>IFERROR(__xludf.DUMMYFUNCTION("""COMPUTED_VALUE"""),20.0)</f>
        <v>20</v>
      </c>
      <c r="N948" s="94"/>
      <c r="O948" s="1430">
        <f>IFERROR(__xludf.DUMMYFUNCTION("""COMPUTED_VALUE"""),20.0)</f>
        <v>20</v>
      </c>
      <c r="P948" s="1431">
        <f>IFERROR(__xludf.DUMMYFUNCTION("""COMPUTED_VALUE"""),2.73)</f>
        <v>2.73</v>
      </c>
      <c r="Q948" s="1432">
        <f>IFERROR(__xludf.DUMMYFUNCTION("""COMPUTED_VALUE"""),349.44)</f>
        <v>349.44</v>
      </c>
    </row>
    <row r="949" ht="15.75" customHeight="1">
      <c r="A949" s="94" t="str">
        <f>IFERROR(__xludf.DUMMYFUNCTION("""COMPUTED_VALUE"""),"Итого неделя")</f>
        <v>Итого неделя</v>
      </c>
      <c r="B949" s="94" t="str">
        <f>IFERROR(__xludf.DUMMYFUNCTION("""COMPUTED_VALUE"""),"38 неделя")</f>
        <v>38 неделя</v>
      </c>
      <c r="C949" s="94"/>
      <c r="D949" s="94"/>
      <c r="E949" s="1429">
        <f>IFERROR(__xludf.DUMMYFUNCTION("""COMPUTED_VALUE"""),45551.0)</f>
        <v>45551</v>
      </c>
      <c r="F949" s="1429">
        <f>IFERROR(__xludf.DUMMYFUNCTION("""COMPUTED_VALUE"""),45557.0)</f>
        <v>45557</v>
      </c>
      <c r="G949" s="1164">
        <f>IFERROR(__xludf.DUMMYFUNCTION("""COMPUTED_VALUE"""),250.0)</f>
        <v>250</v>
      </c>
      <c r="H949" s="1430">
        <f>IFERROR(__xludf.DUMMYFUNCTION("""COMPUTED_VALUE"""),5942.41)</f>
        <v>5942.41</v>
      </c>
      <c r="I949" s="94">
        <f>IFERROR(__xludf.DUMMYFUNCTION("""COMPUTED_VALUE"""),6671.0)</f>
        <v>6671</v>
      </c>
      <c r="J949" s="94">
        <f>IFERROR(__xludf.DUMMYFUNCTION("""COMPUTED_VALUE"""),0.0)</f>
        <v>0</v>
      </c>
      <c r="K949" s="94">
        <f>IFERROR(__xludf.DUMMYFUNCTION("""COMPUTED_VALUE"""),2160.0)</f>
        <v>2160</v>
      </c>
      <c r="L949" s="94">
        <f>IFERROR(__xludf.DUMMYFUNCTION("""COMPUTED_VALUE"""),1360.0)</f>
        <v>1360</v>
      </c>
      <c r="M949" s="94">
        <f>IFERROR(__xludf.DUMMYFUNCTION("""COMPUTED_VALUE"""),800.0)</f>
        <v>800</v>
      </c>
      <c r="N949" s="94">
        <f>IFERROR(__xludf.DUMMYFUNCTION("""COMPUTED_VALUE"""),0.0)</f>
        <v>0</v>
      </c>
      <c r="O949" s="1430">
        <f>IFERROR(__xludf.DUMMYFUNCTION("""COMPUTED_VALUE"""),800.0)</f>
        <v>800</v>
      </c>
      <c r="P949" s="94"/>
      <c r="Q949" s="1432">
        <f>IFERROR(__xludf.DUMMYFUNCTION("""COMPUTED_VALUE"""),22894.779300000006)</f>
        <v>22894.7793</v>
      </c>
    </row>
    <row r="950" ht="15.75" customHeight="1">
      <c r="A950" s="94"/>
      <c r="B950" s="94" t="str">
        <f>IFERROR(__xludf.DUMMYFUNCTION("""COMPUTED_VALUE"""),"WS В 212")</f>
        <v>WS В 212</v>
      </c>
      <c r="C950" s="1429" t="str">
        <f>IFERROR(__xludf.DUMMYFUNCTION("""COMPUTED_VALUE"""),"WS")</f>
        <v>WS</v>
      </c>
      <c r="D950" s="1432">
        <f>IFERROR(__xludf.DUMMYFUNCTION("""COMPUTED_VALUE"""),9.0)</f>
        <v>9</v>
      </c>
      <c r="E950" s="1429">
        <f>IFERROR(__xludf.DUMMYFUNCTION("""COMPUTED_VALUE"""),45558.0)</f>
        <v>45558</v>
      </c>
      <c r="F950" s="1429">
        <f>IFERROR(__xludf.DUMMYFUNCTION("""COMPUTED_VALUE"""),45562.0)</f>
        <v>45562</v>
      </c>
      <c r="G950" s="1164">
        <f>IFERROR(__xludf.DUMMYFUNCTION("""COMPUTED_VALUE"""),4.0)</f>
        <v>4</v>
      </c>
      <c r="H950" s="94"/>
      <c r="I950" s="94">
        <f>IFERROR(__xludf.DUMMYFUNCTION("""COMPUTED_VALUE"""),1108.0)</f>
        <v>1108</v>
      </c>
      <c r="J950" s="94"/>
      <c r="K950" s="94">
        <f>IFERROR(__xludf.DUMMYFUNCTION("""COMPUTED_VALUE"""),70.0)</f>
        <v>70</v>
      </c>
      <c r="L950" s="94">
        <f>IFERROR(__xludf.DUMMYFUNCTION("""COMPUTED_VALUE"""),40.0)</f>
        <v>40</v>
      </c>
      <c r="M950" s="94">
        <f>IFERROR(__xludf.DUMMYFUNCTION("""COMPUTED_VALUE"""),30.0)</f>
        <v>30</v>
      </c>
      <c r="N950" s="94"/>
      <c r="O950" s="1430">
        <f>IFERROR(__xludf.DUMMYFUNCTION("""COMPUTED_VALUE"""),30.0)</f>
        <v>30</v>
      </c>
      <c r="P950" s="1431">
        <f>IFERROR(__xludf.DUMMYFUNCTION("""COMPUTED_VALUE"""),2.73)</f>
        <v>2.73</v>
      </c>
      <c r="Q950" s="1432">
        <f>IFERROR(__xludf.DUMMYFUNCTION("""COMPUTED_VALUE"""),1108.0)</f>
        <v>1108</v>
      </c>
    </row>
    <row r="951" ht="15.75" customHeight="1">
      <c r="A951" s="94"/>
      <c r="B951" s="94" t="str">
        <f>IFERROR(__xludf.DUMMYFUNCTION("""COMPUTED_VALUE"""),"WS В 1510")</f>
        <v>WS В 1510</v>
      </c>
      <c r="C951" s="1429" t="str">
        <f>IFERROR(__xludf.DUMMYFUNCTION("""COMPUTED_VALUE"""),"WS")</f>
        <v>WS</v>
      </c>
      <c r="D951" s="1432">
        <f>IFERROR(__xludf.DUMMYFUNCTION("""COMPUTED_VALUE"""),9.0)</f>
        <v>9</v>
      </c>
      <c r="E951" s="1429">
        <f>IFERROR(__xludf.DUMMYFUNCTION("""COMPUTED_VALUE"""),45558.0)</f>
        <v>45558</v>
      </c>
      <c r="F951" s="1429">
        <f>IFERROR(__xludf.DUMMYFUNCTION("""COMPUTED_VALUE"""),45596.0)</f>
        <v>45596</v>
      </c>
      <c r="G951" s="1164">
        <f>IFERROR(__xludf.DUMMYFUNCTION("""COMPUTED_VALUE"""),38.0)</f>
        <v>38</v>
      </c>
      <c r="H951" s="1430">
        <f>IFERROR(__xludf.DUMMYFUNCTION("""COMPUTED_VALUE"""),590.0)</f>
        <v>590</v>
      </c>
      <c r="I951" s="94"/>
      <c r="J951" s="94"/>
      <c r="K951" s="94">
        <f>IFERROR(__xludf.DUMMYFUNCTION("""COMPUTED_VALUE"""),60.0)</f>
        <v>60</v>
      </c>
      <c r="L951" s="94">
        <f>IFERROR(__xludf.DUMMYFUNCTION("""COMPUTED_VALUE"""),30.0)</f>
        <v>30</v>
      </c>
      <c r="M951" s="94">
        <f>IFERROR(__xludf.DUMMYFUNCTION("""COMPUTED_VALUE"""),30.0)</f>
        <v>30</v>
      </c>
      <c r="N951" s="94"/>
      <c r="O951" s="1430">
        <f>IFERROR(__xludf.DUMMYFUNCTION("""COMPUTED_VALUE"""),30.0)</f>
        <v>30</v>
      </c>
      <c r="P951" s="1431">
        <f>IFERROR(__xludf.DUMMYFUNCTION("""COMPUTED_VALUE"""),2.73)</f>
        <v>2.73</v>
      </c>
      <c r="Q951" s="1432">
        <f>IFERROR(__xludf.DUMMYFUNCTION("""COMPUTED_VALUE"""),1610.7)</f>
        <v>1610.7</v>
      </c>
    </row>
    <row r="952" ht="15.75" customHeight="1">
      <c r="A952" s="94"/>
      <c r="B952" s="94" t="str">
        <f>IFERROR(__xludf.DUMMYFUNCTION("""COMPUTED_VALUE"""),"DL 4-09")</f>
        <v>DL 4-09</v>
      </c>
      <c r="C952" s="1429" t="str">
        <f>IFERROR(__xludf.DUMMYFUNCTION("""COMPUTED_VALUE"""),"DL")</f>
        <v>DL</v>
      </c>
      <c r="D952" s="1432">
        <f>IFERROR(__xludf.DUMMYFUNCTION("""COMPUTED_VALUE"""),9.0)</f>
        <v>9</v>
      </c>
      <c r="E952" s="1429">
        <f>IFERROR(__xludf.DUMMYFUNCTION("""COMPUTED_VALUE"""),45559.0)</f>
        <v>45559</v>
      </c>
      <c r="F952" s="1429">
        <f>IFERROR(__xludf.DUMMYFUNCTION("""COMPUTED_VALUE"""),45561.0)</f>
        <v>45561</v>
      </c>
      <c r="G952" s="1164">
        <f>IFERROR(__xludf.DUMMYFUNCTION("""COMPUTED_VALUE"""),2.0)</f>
        <v>2</v>
      </c>
      <c r="H952" s="1430">
        <f>IFERROR(__xludf.DUMMYFUNCTION("""COMPUTED_VALUE"""),160.0)</f>
        <v>160</v>
      </c>
      <c r="I952" s="94"/>
      <c r="J952" s="94"/>
      <c r="K952" s="94">
        <f>IFERROR(__xludf.DUMMYFUNCTION("""COMPUTED_VALUE"""),95.0)</f>
        <v>95</v>
      </c>
      <c r="L952" s="94">
        <f>IFERROR(__xludf.DUMMYFUNCTION("""COMPUTED_VALUE"""),95.0)</f>
        <v>95</v>
      </c>
      <c r="M952" s="94">
        <f>IFERROR(__xludf.DUMMYFUNCTION("""COMPUTED_VALUE"""),0.0)</f>
        <v>0</v>
      </c>
      <c r="N952" s="94"/>
      <c r="O952" s="1430">
        <f>IFERROR(__xludf.DUMMYFUNCTION("""COMPUTED_VALUE"""),0.0)</f>
        <v>0</v>
      </c>
      <c r="P952" s="1431">
        <f>IFERROR(__xludf.DUMMYFUNCTION("""COMPUTED_VALUE"""),2.73)</f>
        <v>2.73</v>
      </c>
      <c r="Q952" s="1432">
        <f>IFERROR(__xludf.DUMMYFUNCTION("""COMPUTED_VALUE"""),436.8)</f>
        <v>436.8</v>
      </c>
    </row>
    <row r="953" ht="15.75" customHeight="1">
      <c r="A953" s="94"/>
      <c r="B953" s="94" t="str">
        <f>IFERROR(__xludf.DUMMYFUNCTION("""COMPUTED_VALUE"""),"CM 1606")</f>
        <v>CM 1606</v>
      </c>
      <c r="C953" s="1429" t="str">
        <f>IFERROR(__xludf.DUMMYFUNCTION("""COMPUTED_VALUE"""),"MAR")</f>
        <v>MAR</v>
      </c>
      <c r="D953" s="1432">
        <f>IFERROR(__xludf.DUMMYFUNCTION("""COMPUTED_VALUE"""),9.0)</f>
        <v>9</v>
      </c>
      <c r="E953" s="1429">
        <f>IFERROR(__xludf.DUMMYFUNCTION("""COMPUTED_VALUE"""),45559.0)</f>
        <v>45559</v>
      </c>
      <c r="F953" s="1429">
        <f>IFERROR(__xludf.DUMMYFUNCTION("""COMPUTED_VALUE"""),45563.0)</f>
        <v>45563</v>
      </c>
      <c r="G953" s="1164">
        <f>IFERROR(__xludf.DUMMYFUNCTION("""COMPUTED_VALUE"""),4.0)</f>
        <v>4</v>
      </c>
      <c r="H953" s="1430">
        <f>IFERROR(__xludf.DUMMYFUNCTION("""COMPUTED_VALUE"""),168.0)</f>
        <v>168</v>
      </c>
      <c r="I953" s="94"/>
      <c r="J953" s="94"/>
      <c r="K953" s="94">
        <f>IFERROR(__xludf.DUMMYFUNCTION("""COMPUTED_VALUE"""),60.0)</f>
        <v>60</v>
      </c>
      <c r="L953" s="94">
        <f>IFERROR(__xludf.DUMMYFUNCTION("""COMPUTED_VALUE"""),30.0)</f>
        <v>30</v>
      </c>
      <c r="M953" s="94">
        <f>IFERROR(__xludf.DUMMYFUNCTION("""COMPUTED_VALUE"""),30.0)</f>
        <v>30</v>
      </c>
      <c r="N953" s="94"/>
      <c r="O953" s="1430">
        <f>IFERROR(__xludf.DUMMYFUNCTION("""COMPUTED_VALUE"""),30.0)</f>
        <v>30</v>
      </c>
      <c r="P953" s="1431">
        <f>IFERROR(__xludf.DUMMYFUNCTION("""COMPUTED_VALUE"""),2.73)</f>
        <v>2.73</v>
      </c>
      <c r="Q953" s="1432">
        <f>IFERROR(__xludf.DUMMYFUNCTION("""COMPUTED_VALUE"""),458.64)</f>
        <v>458.64</v>
      </c>
    </row>
    <row r="954" ht="15.75" customHeight="1">
      <c r="A954" s="94"/>
      <c r="B954" s="94" t="str">
        <f>IFERROR(__xludf.DUMMYFUNCTION("""COMPUTED_VALUE"""),"CM 1604")</f>
        <v>CM 1604</v>
      </c>
      <c r="C954" s="1429" t="str">
        <f>IFERROR(__xludf.DUMMYFUNCTION("""COMPUTED_VALUE"""),"MAR")</f>
        <v>MAR</v>
      </c>
      <c r="D954" s="1432">
        <f>IFERROR(__xludf.DUMMYFUNCTION("""COMPUTED_VALUE"""),9.0)</f>
        <v>9</v>
      </c>
      <c r="E954" s="1429">
        <f>IFERROR(__xludf.DUMMYFUNCTION("""COMPUTED_VALUE"""),45560.0)</f>
        <v>45560</v>
      </c>
      <c r="F954" s="1429">
        <f>IFERROR(__xludf.DUMMYFUNCTION("""COMPUTED_VALUE"""),45562.0)</f>
        <v>45562</v>
      </c>
      <c r="G954" s="1164">
        <f>IFERROR(__xludf.DUMMYFUNCTION("""COMPUTED_VALUE"""),2.0)</f>
        <v>2</v>
      </c>
      <c r="H954" s="1430">
        <f>IFERROR(__xludf.DUMMYFUNCTION("""COMPUTED_VALUE"""),85.0)</f>
        <v>85</v>
      </c>
      <c r="I954" s="94"/>
      <c r="J954" s="94"/>
      <c r="K954" s="94">
        <f>IFERROR(__xludf.DUMMYFUNCTION("""COMPUTED_VALUE"""),60.0)</f>
        <v>60</v>
      </c>
      <c r="L954" s="94">
        <f>IFERROR(__xludf.DUMMYFUNCTION("""COMPUTED_VALUE"""),40.0)</f>
        <v>40</v>
      </c>
      <c r="M954" s="94">
        <f>IFERROR(__xludf.DUMMYFUNCTION("""COMPUTED_VALUE"""),20.0)</f>
        <v>20</v>
      </c>
      <c r="N954" s="94"/>
      <c r="O954" s="1430">
        <f>IFERROR(__xludf.DUMMYFUNCTION("""COMPUTED_VALUE"""),20.0)</f>
        <v>20</v>
      </c>
      <c r="P954" s="1431">
        <f>IFERROR(__xludf.DUMMYFUNCTION("""COMPUTED_VALUE"""),2.73)</f>
        <v>2.73</v>
      </c>
      <c r="Q954" s="1432">
        <f>IFERROR(__xludf.DUMMYFUNCTION("""COMPUTED_VALUE"""),232.05)</f>
        <v>232.05</v>
      </c>
    </row>
    <row r="955" ht="15.75" customHeight="1">
      <c r="A955" s="94"/>
      <c r="B955" s="94" t="str">
        <f>IFERROR(__xludf.DUMMYFUNCTION("""COMPUTED_VALUE"""),"BV206")</f>
        <v>BV206</v>
      </c>
      <c r="C955" s="1429" t="str">
        <f>IFERROR(__xludf.DUMMYFUNCTION("""COMPUTED_VALUE"""),"Other")</f>
        <v>Other</v>
      </c>
      <c r="D955" s="1432">
        <f>IFERROR(__xludf.DUMMYFUNCTION("""COMPUTED_VALUE"""),9.0)</f>
        <v>9</v>
      </c>
      <c r="E955" s="1429">
        <f>IFERROR(__xludf.DUMMYFUNCTION("""COMPUTED_VALUE"""),45560.0)</f>
        <v>45560</v>
      </c>
      <c r="F955" s="1429">
        <f>IFERROR(__xludf.DUMMYFUNCTION("""COMPUTED_VALUE"""),45562.0)</f>
        <v>45562</v>
      </c>
      <c r="G955" s="1164">
        <f>IFERROR(__xludf.DUMMYFUNCTION("""COMPUTED_VALUE"""),2.0)</f>
        <v>2</v>
      </c>
      <c r="H955" s="1430">
        <f>IFERROR(__xludf.DUMMYFUNCTION("""COMPUTED_VALUE"""),92.0)</f>
        <v>92</v>
      </c>
      <c r="I955" s="94"/>
      <c r="J955" s="94"/>
      <c r="K955" s="94">
        <f>IFERROR(__xludf.DUMMYFUNCTION("""COMPUTED_VALUE"""),60.0)</f>
        <v>60</v>
      </c>
      <c r="L955" s="94">
        <f>IFERROR(__xludf.DUMMYFUNCTION("""COMPUTED_VALUE"""),30.0)</f>
        <v>30</v>
      </c>
      <c r="M955" s="94">
        <f>IFERROR(__xludf.DUMMYFUNCTION("""COMPUTED_VALUE"""),30.0)</f>
        <v>30</v>
      </c>
      <c r="N955" s="94"/>
      <c r="O955" s="1430">
        <f>IFERROR(__xludf.DUMMYFUNCTION("""COMPUTED_VALUE"""),30.0)</f>
        <v>30</v>
      </c>
      <c r="P955" s="1431">
        <f>IFERROR(__xludf.DUMMYFUNCTION("""COMPUTED_VALUE"""),2.73)</f>
        <v>2.73</v>
      </c>
      <c r="Q955" s="1432">
        <f>IFERROR(__xludf.DUMMYFUNCTION("""COMPUTED_VALUE"""),251.16)</f>
        <v>251.16</v>
      </c>
    </row>
    <row r="956" ht="15.75" customHeight="1">
      <c r="A956" s="94"/>
      <c r="B956" s="94" t="str">
        <f>IFERROR(__xludf.DUMMYFUNCTION("""COMPUTED_VALUE"""),"Steps 510")</f>
        <v>Steps 510</v>
      </c>
      <c r="C956" s="1429" t="str">
        <f>IFERROR(__xludf.DUMMYFUNCTION("""COMPUTED_VALUE"""),"#N/A")</f>
        <v>#N/A</v>
      </c>
      <c r="D956" s="1432">
        <f>IFERROR(__xludf.DUMMYFUNCTION("""COMPUTED_VALUE"""),9.0)</f>
        <v>9</v>
      </c>
      <c r="E956" s="1429">
        <f>IFERROR(__xludf.DUMMYFUNCTION("""COMPUTED_VALUE"""),45560.0)</f>
        <v>45560</v>
      </c>
      <c r="F956" s="1429">
        <f>IFERROR(__xludf.DUMMYFUNCTION("""COMPUTED_VALUE"""),45563.0)</f>
        <v>45563</v>
      </c>
      <c r="G956" s="1164">
        <f>IFERROR(__xludf.DUMMYFUNCTION("""COMPUTED_VALUE"""),3.0)</f>
        <v>3</v>
      </c>
      <c r="H956" s="1430">
        <f>IFERROR(__xludf.DUMMYFUNCTION("""COMPUTED_VALUE"""),90.0)</f>
        <v>90</v>
      </c>
      <c r="I956" s="94"/>
      <c r="J956" s="94"/>
      <c r="K956" s="94">
        <f>IFERROR(__xludf.DUMMYFUNCTION("""COMPUTED_VALUE"""),60.0)</f>
        <v>60</v>
      </c>
      <c r="L956" s="94">
        <f>IFERROR(__xludf.DUMMYFUNCTION("""COMPUTED_VALUE"""),30.0)</f>
        <v>30</v>
      </c>
      <c r="M956" s="94">
        <f>IFERROR(__xludf.DUMMYFUNCTION("""COMPUTED_VALUE"""),30.0)</f>
        <v>30</v>
      </c>
      <c r="N956" s="94"/>
      <c r="O956" s="1430">
        <f>IFERROR(__xludf.DUMMYFUNCTION("""COMPUTED_VALUE"""),30.0)</f>
        <v>30</v>
      </c>
      <c r="P956" s="1431">
        <f>IFERROR(__xludf.DUMMYFUNCTION("""COMPUTED_VALUE"""),2.73)</f>
        <v>2.73</v>
      </c>
      <c r="Q956" s="1432">
        <f>IFERROR(__xludf.DUMMYFUNCTION("""COMPUTED_VALUE"""),245.7)</f>
        <v>245.7</v>
      </c>
    </row>
    <row r="957" ht="15.75" customHeight="1">
      <c r="A957" s="94"/>
      <c r="B957" s="94" t="str">
        <f>IFERROR(__xludf.DUMMYFUNCTION("""COMPUTED_VALUE"""),"D 1321")</f>
        <v>D 1321</v>
      </c>
      <c r="C957" s="1429" t="str">
        <f>IFERROR(__xludf.DUMMYFUNCTION("""COMPUTED_VALUE"""),"ORBI")</f>
        <v>ORBI</v>
      </c>
      <c r="D957" s="1432">
        <f>IFERROR(__xludf.DUMMYFUNCTION("""COMPUTED_VALUE"""),9.0)</f>
        <v>9</v>
      </c>
      <c r="E957" s="1429">
        <f>IFERROR(__xludf.DUMMYFUNCTION("""COMPUTED_VALUE"""),45560.0)</f>
        <v>45560</v>
      </c>
      <c r="F957" s="1429">
        <f>IFERROR(__xludf.DUMMYFUNCTION("""COMPUTED_VALUE"""),45562.0)</f>
        <v>45562</v>
      </c>
      <c r="G957" s="1164">
        <f>IFERROR(__xludf.DUMMYFUNCTION("""COMPUTED_VALUE"""),2.0)</f>
        <v>2</v>
      </c>
      <c r="H957" s="1430">
        <f>IFERROR(__xludf.DUMMYFUNCTION("""COMPUTED_VALUE"""),68.0)</f>
        <v>68</v>
      </c>
      <c r="I957" s="94"/>
      <c r="J957" s="94"/>
      <c r="K957" s="94">
        <f>IFERROR(__xludf.DUMMYFUNCTION("""COMPUTED_VALUE"""),50.0)</f>
        <v>50</v>
      </c>
      <c r="L957" s="94">
        <f>IFERROR(__xludf.DUMMYFUNCTION("""COMPUTED_VALUE"""),30.0)</f>
        <v>30</v>
      </c>
      <c r="M957" s="94">
        <f>IFERROR(__xludf.DUMMYFUNCTION("""COMPUTED_VALUE"""),20.0)</f>
        <v>20</v>
      </c>
      <c r="N957" s="94"/>
      <c r="O957" s="1430">
        <f>IFERROR(__xludf.DUMMYFUNCTION("""COMPUTED_VALUE"""),20.0)</f>
        <v>20</v>
      </c>
      <c r="P957" s="1431">
        <f>IFERROR(__xludf.DUMMYFUNCTION("""COMPUTED_VALUE"""),2.73)</f>
        <v>2.73</v>
      </c>
      <c r="Q957" s="1432">
        <f>IFERROR(__xludf.DUMMYFUNCTION("""COMPUTED_VALUE"""),185.64)</f>
        <v>185.64</v>
      </c>
    </row>
    <row r="958" ht="15.75" customHeight="1">
      <c r="A958" s="94"/>
      <c r="B958" s="94" t="str">
        <f>IFERROR(__xludf.DUMMYFUNCTION("""COMPUTED_VALUE"""),"С 1443")</f>
        <v>С 1443</v>
      </c>
      <c r="C958" s="1429" t="str">
        <f>IFERROR(__xludf.DUMMYFUNCTION("""COMPUTED_VALUE"""),"ORBI")</f>
        <v>ORBI</v>
      </c>
      <c r="D958" s="1432">
        <f>IFERROR(__xludf.DUMMYFUNCTION("""COMPUTED_VALUE"""),9.0)</f>
        <v>9</v>
      </c>
      <c r="E958" s="1429">
        <f>IFERROR(__xludf.DUMMYFUNCTION("""COMPUTED_VALUE"""),45560.0)</f>
        <v>45560</v>
      </c>
      <c r="F958" s="1429">
        <f>IFERROR(__xludf.DUMMYFUNCTION("""COMPUTED_VALUE"""),45589.0)</f>
        <v>45589</v>
      </c>
      <c r="G958" s="1164">
        <f>IFERROR(__xludf.DUMMYFUNCTION("""COMPUTED_VALUE"""),29.0)</f>
        <v>29</v>
      </c>
      <c r="H958" s="1430">
        <f>IFERROR(__xludf.DUMMYFUNCTION("""COMPUTED_VALUE"""),550.0)</f>
        <v>550</v>
      </c>
      <c r="I958" s="94"/>
      <c r="J958" s="94"/>
      <c r="K958" s="94">
        <f>IFERROR(__xludf.DUMMYFUNCTION("""COMPUTED_VALUE"""),70.0)</f>
        <v>70</v>
      </c>
      <c r="L958" s="94">
        <f>IFERROR(__xludf.DUMMYFUNCTION("""COMPUTED_VALUE"""),40.0)</f>
        <v>40</v>
      </c>
      <c r="M958" s="94">
        <f>IFERROR(__xludf.DUMMYFUNCTION("""COMPUTED_VALUE"""),30.0)</f>
        <v>30</v>
      </c>
      <c r="N958" s="94"/>
      <c r="O958" s="1430">
        <f>IFERROR(__xludf.DUMMYFUNCTION("""COMPUTED_VALUE"""),30.0)</f>
        <v>30</v>
      </c>
      <c r="P958" s="1431">
        <f>IFERROR(__xludf.DUMMYFUNCTION("""COMPUTED_VALUE"""),2.73)</f>
        <v>2.73</v>
      </c>
      <c r="Q958" s="1432">
        <f>IFERROR(__xludf.DUMMYFUNCTION("""COMPUTED_VALUE"""),1501.5)</f>
        <v>1501.5</v>
      </c>
    </row>
    <row r="959" ht="15.75" customHeight="1">
      <c r="A959" s="94"/>
      <c r="B959" s="94" t="str">
        <f>IFERROR(__xludf.DUMMYFUNCTION("""COMPUTED_VALUE"""),"WS E1405")</f>
        <v>WS E1405</v>
      </c>
      <c r="C959" s="1429" t="str">
        <f>IFERROR(__xludf.DUMMYFUNCTION("""COMPUTED_VALUE"""),"WS")</f>
        <v>WS</v>
      </c>
      <c r="D959" s="1432">
        <f>IFERROR(__xludf.DUMMYFUNCTION("""COMPUTED_VALUE"""),9.0)</f>
        <v>9</v>
      </c>
      <c r="E959" s="1429">
        <f>IFERROR(__xludf.DUMMYFUNCTION("""COMPUTED_VALUE"""),45561.0)</f>
        <v>45561</v>
      </c>
      <c r="F959" s="1429">
        <f>IFERROR(__xludf.DUMMYFUNCTION("""COMPUTED_VALUE"""),45563.0)</f>
        <v>45563</v>
      </c>
      <c r="G959" s="1164">
        <f>IFERROR(__xludf.DUMMYFUNCTION("""COMPUTED_VALUE"""),2.0)</f>
        <v>2</v>
      </c>
      <c r="H959" s="1430">
        <f>IFERROR(__xludf.DUMMYFUNCTION("""COMPUTED_VALUE"""),80.0)</f>
        <v>80</v>
      </c>
      <c r="I959" s="94"/>
      <c r="J959" s="94"/>
      <c r="K959" s="94">
        <f>IFERROR(__xludf.DUMMYFUNCTION("""COMPUTED_VALUE"""),60.0)</f>
        <v>60</v>
      </c>
      <c r="L959" s="94">
        <f>IFERROR(__xludf.DUMMYFUNCTION("""COMPUTED_VALUE"""),30.0)</f>
        <v>30</v>
      </c>
      <c r="M959" s="94">
        <f>IFERROR(__xludf.DUMMYFUNCTION("""COMPUTED_VALUE"""),30.0)</f>
        <v>30</v>
      </c>
      <c r="N959" s="94"/>
      <c r="O959" s="1430">
        <f>IFERROR(__xludf.DUMMYFUNCTION("""COMPUTED_VALUE"""),30.0)</f>
        <v>30</v>
      </c>
      <c r="P959" s="1431">
        <f>IFERROR(__xludf.DUMMYFUNCTION("""COMPUTED_VALUE"""),2.73)</f>
        <v>2.73</v>
      </c>
      <c r="Q959" s="1432">
        <f>IFERROR(__xludf.DUMMYFUNCTION("""COMPUTED_VALUE"""),218.4)</f>
        <v>218.4</v>
      </c>
    </row>
    <row r="960" ht="15.75" customHeight="1">
      <c r="A960" s="94"/>
      <c r="B960" s="94" t="str">
        <f>IFERROR(__xludf.DUMMYFUNCTION("""COMPUTED_VALUE"""),"А 4049")</f>
        <v>А 4049</v>
      </c>
      <c r="C960" s="1429" t="str">
        <f>IFERROR(__xludf.DUMMYFUNCTION("""COMPUTED_VALUE"""),"ORBI")</f>
        <v>ORBI</v>
      </c>
      <c r="D960" s="1432">
        <f>IFERROR(__xludf.DUMMYFUNCTION("""COMPUTED_VALUE"""),9.0)</f>
        <v>9</v>
      </c>
      <c r="E960" s="1429">
        <f>IFERROR(__xludf.DUMMYFUNCTION("""COMPUTED_VALUE"""),45561.0)</f>
        <v>45561</v>
      </c>
      <c r="F960" s="1429">
        <f>IFERROR(__xludf.DUMMYFUNCTION("""COMPUTED_VALUE"""),45563.0)</f>
        <v>45563</v>
      </c>
      <c r="G960" s="1164">
        <f>IFERROR(__xludf.DUMMYFUNCTION("""COMPUTED_VALUE"""),2.0)</f>
        <v>2</v>
      </c>
      <c r="H960" s="1430">
        <f>IFERROR(__xludf.DUMMYFUNCTION("""COMPUTED_VALUE"""),65.0)</f>
        <v>65</v>
      </c>
      <c r="I960" s="94"/>
      <c r="J960" s="94"/>
      <c r="K960" s="94">
        <f>IFERROR(__xludf.DUMMYFUNCTION("""COMPUTED_VALUE"""),50.0)</f>
        <v>50</v>
      </c>
      <c r="L960" s="94">
        <f>IFERROR(__xludf.DUMMYFUNCTION("""COMPUTED_VALUE"""),30.0)</f>
        <v>30</v>
      </c>
      <c r="M960" s="94">
        <f>IFERROR(__xludf.DUMMYFUNCTION("""COMPUTED_VALUE"""),20.0)</f>
        <v>20</v>
      </c>
      <c r="N960" s="94"/>
      <c r="O960" s="1430">
        <f>IFERROR(__xludf.DUMMYFUNCTION("""COMPUTED_VALUE"""),20.0)</f>
        <v>20</v>
      </c>
      <c r="P960" s="1431">
        <f>IFERROR(__xludf.DUMMYFUNCTION("""COMPUTED_VALUE"""),2.73)</f>
        <v>2.73</v>
      </c>
      <c r="Q960" s="1432">
        <f>IFERROR(__xludf.DUMMYFUNCTION("""COMPUTED_VALUE"""),177.45)</f>
        <v>177.45</v>
      </c>
    </row>
    <row r="961" ht="15.75" customHeight="1">
      <c r="A961" s="94"/>
      <c r="B961" s="94" t="str">
        <f>IFERROR(__xludf.DUMMYFUNCTION("""COMPUTED_VALUE"""),"WS E704")</f>
        <v>WS E704</v>
      </c>
      <c r="C961" s="1429" t="str">
        <f>IFERROR(__xludf.DUMMYFUNCTION("""COMPUTED_VALUE"""),"WS")</f>
        <v>WS</v>
      </c>
      <c r="D961" s="1432">
        <f>IFERROR(__xludf.DUMMYFUNCTION("""COMPUTED_VALUE"""),9.0)</f>
        <v>9</v>
      </c>
      <c r="E961" s="1429">
        <f>IFERROR(__xludf.DUMMYFUNCTION("""COMPUTED_VALUE"""),45561.0)</f>
        <v>45561</v>
      </c>
      <c r="F961" s="1429">
        <f>IFERROR(__xludf.DUMMYFUNCTION("""COMPUTED_VALUE"""),45564.0)</f>
        <v>45564</v>
      </c>
      <c r="G961" s="1164">
        <f>IFERROR(__xludf.DUMMYFUNCTION("""COMPUTED_VALUE"""),3.0)</f>
        <v>3</v>
      </c>
      <c r="H961" s="1430">
        <f>IFERROR(__xludf.DUMMYFUNCTION("""COMPUTED_VALUE"""),113.0)</f>
        <v>113</v>
      </c>
      <c r="I961" s="94"/>
      <c r="J961" s="94"/>
      <c r="K961" s="94">
        <f>IFERROR(__xludf.DUMMYFUNCTION("""COMPUTED_VALUE"""),60.0)</f>
        <v>60</v>
      </c>
      <c r="L961" s="94">
        <f>IFERROR(__xludf.DUMMYFUNCTION("""COMPUTED_VALUE"""),30.0)</f>
        <v>30</v>
      </c>
      <c r="M961" s="94">
        <f>IFERROR(__xludf.DUMMYFUNCTION("""COMPUTED_VALUE"""),30.0)</f>
        <v>30</v>
      </c>
      <c r="N961" s="94"/>
      <c r="O961" s="1430">
        <f>IFERROR(__xludf.DUMMYFUNCTION("""COMPUTED_VALUE"""),30.0)</f>
        <v>30</v>
      </c>
      <c r="P961" s="1431">
        <f>IFERROR(__xludf.DUMMYFUNCTION("""COMPUTED_VALUE"""),2.73)</f>
        <v>2.73</v>
      </c>
      <c r="Q961" s="1432">
        <f>IFERROR(__xludf.DUMMYFUNCTION("""COMPUTED_VALUE"""),308.49)</f>
        <v>308.49</v>
      </c>
    </row>
    <row r="962" ht="15.75" customHeight="1">
      <c r="A962" s="94"/>
      <c r="B962" s="94" t="str">
        <f>IFERROR(__xludf.DUMMYFUNCTION("""COMPUTED_VALUE"""),"Пиросмани 181")</f>
        <v>Пиросмани 181</v>
      </c>
      <c r="C962" s="1429" t="str">
        <f>IFERROR(__xludf.DUMMYFUNCTION("""COMPUTED_VALUE"""),"#N/A")</f>
        <v>#N/A</v>
      </c>
      <c r="D962" s="1432">
        <f>IFERROR(__xludf.DUMMYFUNCTION("""COMPUTED_VALUE"""),9.0)</f>
        <v>9</v>
      </c>
      <c r="E962" s="1429">
        <f>IFERROR(__xludf.DUMMYFUNCTION("""COMPUTED_VALUE"""),45561.0)</f>
        <v>45561</v>
      </c>
      <c r="F962" s="1429">
        <f>IFERROR(__xludf.DUMMYFUNCTION("""COMPUTED_VALUE"""),45591.0)</f>
        <v>45591</v>
      </c>
      <c r="G962" s="1164">
        <f>IFERROR(__xludf.DUMMYFUNCTION("""COMPUTED_VALUE"""),30.0)</f>
        <v>30</v>
      </c>
      <c r="H962" s="1430">
        <f>IFERROR(__xludf.DUMMYFUNCTION("""COMPUTED_VALUE"""),925.0)</f>
        <v>925</v>
      </c>
      <c r="I962" s="94"/>
      <c r="J962" s="94"/>
      <c r="K962" s="94">
        <f>IFERROR(__xludf.DUMMYFUNCTION("""COMPUTED_VALUE"""),60.0)</f>
        <v>60</v>
      </c>
      <c r="L962" s="94">
        <f>IFERROR(__xludf.DUMMYFUNCTION("""COMPUTED_VALUE"""),40.0)</f>
        <v>40</v>
      </c>
      <c r="M962" s="94">
        <f>IFERROR(__xludf.DUMMYFUNCTION("""COMPUTED_VALUE"""),20.0)</f>
        <v>20</v>
      </c>
      <c r="N962" s="94"/>
      <c r="O962" s="1430">
        <f>IFERROR(__xludf.DUMMYFUNCTION("""COMPUTED_VALUE"""),20.0)</f>
        <v>20</v>
      </c>
      <c r="P962" s="1431">
        <f>IFERROR(__xludf.DUMMYFUNCTION("""COMPUTED_VALUE"""),2.73)</f>
        <v>2.73</v>
      </c>
      <c r="Q962" s="1432">
        <f>IFERROR(__xludf.DUMMYFUNCTION("""COMPUTED_VALUE"""),2525.25)</f>
        <v>2525.25</v>
      </c>
    </row>
    <row r="963" ht="15.75" customHeight="1">
      <c r="A963" s="94"/>
      <c r="B963" s="94" t="str">
        <f>IFERROR(__xludf.DUMMYFUNCTION("""COMPUTED_VALUE"""),"C 4245")</f>
        <v>C 4245</v>
      </c>
      <c r="C963" s="1429" t="str">
        <f>IFERROR(__xludf.DUMMYFUNCTION("""COMPUTED_VALUE"""),"ORBI")</f>
        <v>ORBI</v>
      </c>
      <c r="D963" s="1432">
        <f>IFERROR(__xludf.DUMMYFUNCTION("""COMPUTED_VALUE"""),9.0)</f>
        <v>9</v>
      </c>
      <c r="E963" s="1429">
        <f>IFERROR(__xludf.DUMMYFUNCTION("""COMPUTED_VALUE"""),45562.0)</f>
        <v>45562</v>
      </c>
      <c r="F963" s="1429">
        <f>IFERROR(__xludf.DUMMYFUNCTION("""COMPUTED_VALUE"""),45567.0)</f>
        <v>45567</v>
      </c>
      <c r="G963" s="1164">
        <f>IFERROR(__xludf.DUMMYFUNCTION("""COMPUTED_VALUE"""),5.0)</f>
        <v>5</v>
      </c>
      <c r="H963" s="1430">
        <f>IFERROR(__xludf.DUMMYFUNCTION("""COMPUTED_VALUE"""),243.1)</f>
        <v>243.1</v>
      </c>
      <c r="I963" s="94"/>
      <c r="J963" s="94"/>
      <c r="K963" s="94">
        <f>IFERROR(__xludf.DUMMYFUNCTION("""COMPUTED_VALUE"""),70.0)</f>
        <v>70</v>
      </c>
      <c r="L963" s="94">
        <f>IFERROR(__xludf.DUMMYFUNCTION("""COMPUTED_VALUE"""),40.0)</f>
        <v>40</v>
      </c>
      <c r="M963" s="94">
        <f>IFERROR(__xludf.DUMMYFUNCTION("""COMPUTED_VALUE"""),30.0)</f>
        <v>30</v>
      </c>
      <c r="N963" s="94"/>
      <c r="O963" s="1430">
        <f>IFERROR(__xludf.DUMMYFUNCTION("""COMPUTED_VALUE"""),30.0)</f>
        <v>30</v>
      </c>
      <c r="P963" s="1431">
        <f>IFERROR(__xludf.DUMMYFUNCTION("""COMPUTED_VALUE"""),2.73)</f>
        <v>2.73</v>
      </c>
      <c r="Q963" s="1432">
        <f>IFERROR(__xludf.DUMMYFUNCTION("""COMPUTED_VALUE"""),663.663)</f>
        <v>663.663</v>
      </c>
    </row>
    <row r="964" ht="15.75" customHeight="1">
      <c r="A964" s="94"/>
      <c r="B964" s="94" t="str">
        <f>IFERROR(__xludf.DUMMYFUNCTION("""COMPUTED_VALUE"""),"CM 1604")</f>
        <v>CM 1604</v>
      </c>
      <c r="C964" s="1429" t="str">
        <f>IFERROR(__xludf.DUMMYFUNCTION("""COMPUTED_VALUE"""),"MAR")</f>
        <v>MAR</v>
      </c>
      <c r="D964" s="1432">
        <f>IFERROR(__xludf.DUMMYFUNCTION("""COMPUTED_VALUE"""),9.0)</f>
        <v>9</v>
      </c>
      <c r="E964" s="1429">
        <f>IFERROR(__xludf.DUMMYFUNCTION("""COMPUTED_VALUE"""),45562.0)</f>
        <v>45562</v>
      </c>
      <c r="F964" s="1429">
        <f>IFERROR(__xludf.DUMMYFUNCTION("""COMPUTED_VALUE"""),45566.0)</f>
        <v>45566</v>
      </c>
      <c r="G964" s="1164">
        <f>IFERROR(__xludf.DUMMYFUNCTION("""COMPUTED_VALUE"""),4.0)</f>
        <v>4</v>
      </c>
      <c r="H964" s="1430">
        <f>IFERROR(__xludf.DUMMYFUNCTION("""COMPUTED_VALUE"""),170.0)</f>
        <v>170</v>
      </c>
      <c r="I964" s="94"/>
      <c r="J964" s="94"/>
      <c r="K964" s="94">
        <f>IFERROR(__xludf.DUMMYFUNCTION("""COMPUTED_VALUE"""),70.0)</f>
        <v>70</v>
      </c>
      <c r="L964" s="94">
        <f>IFERROR(__xludf.DUMMYFUNCTION("""COMPUTED_VALUE"""),40.0)</f>
        <v>40</v>
      </c>
      <c r="M964" s="94">
        <f>IFERROR(__xludf.DUMMYFUNCTION("""COMPUTED_VALUE"""),30.0)</f>
        <v>30</v>
      </c>
      <c r="N964" s="94"/>
      <c r="O964" s="1430">
        <f>IFERROR(__xludf.DUMMYFUNCTION("""COMPUTED_VALUE"""),30.0)</f>
        <v>30</v>
      </c>
      <c r="P964" s="1431">
        <f>IFERROR(__xludf.DUMMYFUNCTION("""COMPUTED_VALUE"""),2.73)</f>
        <v>2.73</v>
      </c>
      <c r="Q964" s="1432">
        <f>IFERROR(__xludf.DUMMYFUNCTION("""COMPUTED_VALUE"""),464.1)</f>
        <v>464.1</v>
      </c>
    </row>
    <row r="965" ht="15.75" customHeight="1">
      <c r="A965" s="94"/>
      <c r="B965" s="94" t="str">
        <f>IFERROR(__xludf.DUMMYFUNCTION("""COMPUTED_VALUE"""),"CM 1931")</f>
        <v>CM 1931</v>
      </c>
      <c r="C965" s="1429" t="str">
        <f>IFERROR(__xludf.DUMMYFUNCTION("""COMPUTED_VALUE"""),"MAR")</f>
        <v>MAR</v>
      </c>
      <c r="D965" s="1432">
        <f>IFERROR(__xludf.DUMMYFUNCTION("""COMPUTED_VALUE"""),9.0)</f>
        <v>9</v>
      </c>
      <c r="E965" s="1429">
        <f>IFERROR(__xludf.DUMMYFUNCTION("""COMPUTED_VALUE"""),45562.0)</f>
        <v>45562</v>
      </c>
      <c r="F965" s="1429">
        <f>IFERROR(__xludf.DUMMYFUNCTION("""COMPUTED_VALUE"""),45565.0)</f>
        <v>45565</v>
      </c>
      <c r="G965" s="1164">
        <f>IFERROR(__xludf.DUMMYFUNCTION("""COMPUTED_VALUE"""),3.0)</f>
        <v>3</v>
      </c>
      <c r="H965" s="1430">
        <f>IFERROR(__xludf.DUMMYFUNCTION("""COMPUTED_VALUE"""),124.0)</f>
        <v>124</v>
      </c>
      <c r="I965" s="94"/>
      <c r="J965" s="94"/>
      <c r="K965" s="94">
        <f>IFERROR(__xludf.DUMMYFUNCTION("""COMPUTED_VALUE"""),60.0)</f>
        <v>60</v>
      </c>
      <c r="L965" s="94">
        <f>IFERROR(__xludf.DUMMYFUNCTION("""COMPUTED_VALUE"""),30.0)</f>
        <v>30</v>
      </c>
      <c r="M965" s="94">
        <f>IFERROR(__xludf.DUMMYFUNCTION("""COMPUTED_VALUE"""),30.0)</f>
        <v>30</v>
      </c>
      <c r="N965" s="94"/>
      <c r="O965" s="1430">
        <f>IFERROR(__xludf.DUMMYFUNCTION("""COMPUTED_VALUE"""),30.0)</f>
        <v>30</v>
      </c>
      <c r="P965" s="1431">
        <f>IFERROR(__xludf.DUMMYFUNCTION("""COMPUTED_VALUE"""),2.73)</f>
        <v>2.73</v>
      </c>
      <c r="Q965" s="1432">
        <f>IFERROR(__xludf.DUMMYFUNCTION("""COMPUTED_VALUE"""),338.52)</f>
        <v>338.52</v>
      </c>
    </row>
    <row r="966" ht="15.75" customHeight="1">
      <c r="A966" s="94"/>
      <c r="B966" s="94" t="str">
        <f>IFERROR(__xludf.DUMMYFUNCTION("""COMPUTED_VALUE"""),"DL 14-516")</f>
        <v>DL 14-516</v>
      </c>
      <c r="C966" s="1429" t="str">
        <f>IFERROR(__xludf.DUMMYFUNCTION("""COMPUTED_VALUE"""),"DL")</f>
        <v>DL</v>
      </c>
      <c r="D966" s="1432">
        <f>IFERROR(__xludf.DUMMYFUNCTION("""COMPUTED_VALUE"""),9.0)</f>
        <v>9</v>
      </c>
      <c r="E966" s="1429">
        <f>IFERROR(__xludf.DUMMYFUNCTION("""COMPUTED_VALUE"""),45562.0)</f>
        <v>45562</v>
      </c>
      <c r="F966" s="1429">
        <f>IFERROR(__xludf.DUMMYFUNCTION("""COMPUTED_VALUE"""),45566.0)</f>
        <v>45566</v>
      </c>
      <c r="G966" s="1164">
        <f>IFERROR(__xludf.DUMMYFUNCTION("""COMPUTED_VALUE"""),4.0)</f>
        <v>4</v>
      </c>
      <c r="H966" s="1430">
        <f>IFERROR(__xludf.DUMMYFUNCTION("""COMPUTED_VALUE"""),425.0)</f>
        <v>425</v>
      </c>
      <c r="I966" s="94"/>
      <c r="J966" s="94"/>
      <c r="K966" s="94">
        <f>IFERROR(__xludf.DUMMYFUNCTION("""COMPUTED_VALUE"""),105.0)</f>
        <v>105</v>
      </c>
      <c r="L966" s="94">
        <f>IFERROR(__xludf.DUMMYFUNCTION("""COMPUTED_VALUE"""),105.0)</f>
        <v>105</v>
      </c>
      <c r="M966" s="94">
        <f>IFERROR(__xludf.DUMMYFUNCTION("""COMPUTED_VALUE"""),0.0)</f>
        <v>0</v>
      </c>
      <c r="N966" s="94"/>
      <c r="O966" s="1430">
        <f>IFERROR(__xludf.DUMMYFUNCTION("""COMPUTED_VALUE"""),0.0)</f>
        <v>0</v>
      </c>
      <c r="P966" s="1431">
        <f>IFERROR(__xludf.DUMMYFUNCTION("""COMPUTED_VALUE"""),2.73)</f>
        <v>2.73</v>
      </c>
      <c r="Q966" s="1432">
        <f>IFERROR(__xludf.DUMMYFUNCTION("""COMPUTED_VALUE"""),1160.25)</f>
        <v>1160.25</v>
      </c>
    </row>
    <row r="967" ht="15.75" customHeight="1">
      <c r="A967" s="94"/>
      <c r="B967" s="94" t="str">
        <f>IFERROR(__xludf.DUMMYFUNCTION("""COMPUTED_VALUE"""),"BV206")</f>
        <v>BV206</v>
      </c>
      <c r="C967" s="1429" t="str">
        <f>IFERROR(__xludf.DUMMYFUNCTION("""COMPUTED_VALUE"""),"Other")</f>
        <v>Other</v>
      </c>
      <c r="D967" s="1432">
        <f>IFERROR(__xludf.DUMMYFUNCTION("""COMPUTED_VALUE"""),9.0)</f>
        <v>9</v>
      </c>
      <c r="E967" s="1429">
        <f>IFERROR(__xludf.DUMMYFUNCTION("""COMPUTED_VALUE"""),45562.0)</f>
        <v>45562</v>
      </c>
      <c r="F967" s="1429">
        <f>IFERROR(__xludf.DUMMYFUNCTION("""COMPUTED_VALUE"""),45565.0)</f>
        <v>45565</v>
      </c>
      <c r="G967" s="1164">
        <f>IFERROR(__xludf.DUMMYFUNCTION("""COMPUTED_VALUE"""),3.0)</f>
        <v>3</v>
      </c>
      <c r="H967" s="1430">
        <f>IFERROR(__xludf.DUMMYFUNCTION("""COMPUTED_VALUE"""),140.0)</f>
        <v>140</v>
      </c>
      <c r="I967" s="94"/>
      <c r="J967" s="94"/>
      <c r="K967" s="94">
        <f>IFERROR(__xludf.DUMMYFUNCTION("""COMPUTED_VALUE"""),70.0)</f>
        <v>70</v>
      </c>
      <c r="L967" s="94">
        <f>IFERROR(__xludf.DUMMYFUNCTION("""COMPUTED_VALUE"""),30.0)</f>
        <v>30</v>
      </c>
      <c r="M967" s="94">
        <f>IFERROR(__xludf.DUMMYFUNCTION("""COMPUTED_VALUE"""),40.0)</f>
        <v>40</v>
      </c>
      <c r="N967" s="94"/>
      <c r="O967" s="1430">
        <f>IFERROR(__xludf.DUMMYFUNCTION("""COMPUTED_VALUE"""),40.0)</f>
        <v>40</v>
      </c>
      <c r="P967" s="1431">
        <f>IFERROR(__xludf.DUMMYFUNCTION("""COMPUTED_VALUE"""),2.73)</f>
        <v>2.73</v>
      </c>
      <c r="Q967" s="1432">
        <f>IFERROR(__xludf.DUMMYFUNCTION("""COMPUTED_VALUE"""),382.2)</f>
        <v>382.2</v>
      </c>
    </row>
    <row r="968" ht="15.75" customHeight="1">
      <c r="A968" s="94"/>
      <c r="B968" s="94" t="str">
        <f>IFERROR(__xludf.DUMMYFUNCTION("""COMPUTED_VALUE"""),"Вилла Ева")</f>
        <v>Вилла Ева</v>
      </c>
      <c r="C968" s="1429" t="str">
        <f>IFERROR(__xludf.DUMMYFUNCTION("""COMPUTED_VALUE"""),"Other")</f>
        <v>Other</v>
      </c>
      <c r="D968" s="1432">
        <f>IFERROR(__xludf.DUMMYFUNCTION("""COMPUTED_VALUE"""),9.0)</f>
        <v>9</v>
      </c>
      <c r="E968" s="1429">
        <f>IFERROR(__xludf.DUMMYFUNCTION("""COMPUTED_VALUE"""),45563.0)</f>
        <v>45563</v>
      </c>
      <c r="F968" s="1429">
        <f>IFERROR(__xludf.DUMMYFUNCTION("""COMPUTED_VALUE"""),45569.0)</f>
        <v>45569</v>
      </c>
      <c r="G968" s="1164">
        <f>IFERROR(__xludf.DUMMYFUNCTION("""COMPUTED_VALUE"""),6.0)</f>
        <v>6</v>
      </c>
      <c r="H968" s="1430">
        <f>IFERROR(__xludf.DUMMYFUNCTION("""COMPUTED_VALUE"""),33.0)</f>
        <v>33</v>
      </c>
      <c r="I968" s="94"/>
      <c r="J968" s="94"/>
      <c r="K968" s="94"/>
      <c r="L968" s="94"/>
      <c r="M968" s="94">
        <f>IFERROR(__xludf.DUMMYFUNCTION("""COMPUTED_VALUE"""),0.0)</f>
        <v>0</v>
      </c>
      <c r="N968" s="94"/>
      <c r="O968" s="1430">
        <f>IFERROR(__xludf.DUMMYFUNCTION("""COMPUTED_VALUE"""),0.0)</f>
        <v>0</v>
      </c>
      <c r="P968" s="1431">
        <f>IFERROR(__xludf.DUMMYFUNCTION("""COMPUTED_VALUE"""),2.73)</f>
        <v>2.73</v>
      </c>
      <c r="Q968" s="1432">
        <f>IFERROR(__xludf.DUMMYFUNCTION("""COMPUTED_VALUE"""),90.09)</f>
        <v>90.09</v>
      </c>
    </row>
    <row r="969" ht="15.75" customHeight="1">
      <c r="A969" s="94"/>
      <c r="B969" s="94" t="str">
        <f>IFERROR(__xludf.DUMMYFUNCTION("""COMPUTED_VALUE"""),"CM 1606")</f>
        <v>CM 1606</v>
      </c>
      <c r="C969" s="1429" t="str">
        <f>IFERROR(__xludf.DUMMYFUNCTION("""COMPUTED_VALUE"""),"MAR")</f>
        <v>MAR</v>
      </c>
      <c r="D969" s="1432">
        <f>IFERROR(__xludf.DUMMYFUNCTION("""COMPUTED_VALUE"""),9.0)</f>
        <v>9</v>
      </c>
      <c r="E969" s="1429">
        <f>IFERROR(__xludf.DUMMYFUNCTION("""COMPUTED_VALUE"""),45563.0)</f>
        <v>45563</v>
      </c>
      <c r="F969" s="1429">
        <f>IFERROR(__xludf.DUMMYFUNCTION("""COMPUTED_VALUE"""),45568.0)</f>
        <v>45568</v>
      </c>
      <c r="G969" s="1164">
        <f>IFERROR(__xludf.DUMMYFUNCTION("""COMPUTED_VALUE"""),5.0)</f>
        <v>5</v>
      </c>
      <c r="H969" s="1430">
        <f>IFERROR(__xludf.DUMMYFUNCTION("""COMPUTED_VALUE"""),211.0)</f>
        <v>211</v>
      </c>
      <c r="I969" s="94"/>
      <c r="J969" s="94"/>
      <c r="K969" s="94">
        <f>IFERROR(__xludf.DUMMYFUNCTION("""COMPUTED_VALUE"""),60.0)</f>
        <v>60</v>
      </c>
      <c r="L969" s="94">
        <f>IFERROR(__xludf.DUMMYFUNCTION("""COMPUTED_VALUE"""),30.0)</f>
        <v>30</v>
      </c>
      <c r="M969" s="94">
        <f>IFERROR(__xludf.DUMMYFUNCTION("""COMPUTED_VALUE"""),30.0)</f>
        <v>30</v>
      </c>
      <c r="N969" s="94"/>
      <c r="O969" s="1430">
        <f>IFERROR(__xludf.DUMMYFUNCTION("""COMPUTED_VALUE"""),30.0)</f>
        <v>30</v>
      </c>
      <c r="P969" s="1431">
        <f>IFERROR(__xludf.DUMMYFUNCTION("""COMPUTED_VALUE"""),2.73)</f>
        <v>2.73</v>
      </c>
      <c r="Q969" s="1432">
        <f>IFERROR(__xludf.DUMMYFUNCTION("""COMPUTED_VALUE"""),576.03)</f>
        <v>576.03</v>
      </c>
    </row>
    <row r="970" ht="15.75" customHeight="1">
      <c r="A970" s="94"/>
      <c r="B970" s="94" t="str">
        <f>IFERROR(__xludf.DUMMYFUNCTION("""COMPUTED_VALUE"""),"WS В 503")</f>
        <v>WS В 503</v>
      </c>
      <c r="C970" s="1429" t="str">
        <f>IFERROR(__xludf.DUMMYFUNCTION("""COMPUTED_VALUE"""),"WS")</f>
        <v>WS</v>
      </c>
      <c r="D970" s="1432">
        <f>IFERROR(__xludf.DUMMYFUNCTION("""COMPUTED_VALUE"""),9.0)</f>
        <v>9</v>
      </c>
      <c r="E970" s="1429">
        <f>IFERROR(__xludf.DUMMYFUNCTION("""COMPUTED_VALUE"""),45563.0)</f>
        <v>45563</v>
      </c>
      <c r="F970" s="1429">
        <f>IFERROR(__xludf.DUMMYFUNCTION("""COMPUTED_VALUE"""),45565.0)</f>
        <v>45565</v>
      </c>
      <c r="G970" s="1164">
        <f>IFERROR(__xludf.DUMMYFUNCTION("""COMPUTED_VALUE"""),2.0)</f>
        <v>2</v>
      </c>
      <c r="H970" s="1430">
        <f>IFERROR(__xludf.DUMMYFUNCTION("""COMPUTED_VALUE"""),120.0)</f>
        <v>120</v>
      </c>
      <c r="I970" s="94"/>
      <c r="J970" s="94"/>
      <c r="K970" s="94">
        <f>IFERROR(__xludf.DUMMYFUNCTION("""COMPUTED_VALUE"""),70.0)</f>
        <v>70</v>
      </c>
      <c r="L970" s="94">
        <f>IFERROR(__xludf.DUMMYFUNCTION("""COMPUTED_VALUE"""),40.0)</f>
        <v>40</v>
      </c>
      <c r="M970" s="94">
        <f>IFERROR(__xludf.DUMMYFUNCTION("""COMPUTED_VALUE"""),30.0)</f>
        <v>30</v>
      </c>
      <c r="N970" s="94"/>
      <c r="O970" s="1430">
        <f>IFERROR(__xludf.DUMMYFUNCTION("""COMPUTED_VALUE"""),30.0)</f>
        <v>30</v>
      </c>
      <c r="P970" s="1431">
        <f>IFERROR(__xludf.DUMMYFUNCTION("""COMPUTED_VALUE"""),2.73)</f>
        <v>2.73</v>
      </c>
      <c r="Q970" s="1432">
        <f>IFERROR(__xludf.DUMMYFUNCTION("""COMPUTED_VALUE"""),327.6)</f>
        <v>327.6</v>
      </c>
    </row>
    <row r="971" ht="15.75" customHeight="1">
      <c r="A971" s="94"/>
      <c r="B971" s="94" t="str">
        <f>IFERROR(__xludf.DUMMYFUNCTION("""COMPUTED_VALUE"""),"WS A 409")</f>
        <v>WS A 409</v>
      </c>
      <c r="C971" s="1429" t="str">
        <f>IFERROR(__xludf.DUMMYFUNCTION("""COMPUTED_VALUE"""),"WS")</f>
        <v>WS</v>
      </c>
      <c r="D971" s="1432">
        <f>IFERROR(__xludf.DUMMYFUNCTION("""COMPUTED_VALUE"""),9.0)</f>
        <v>9</v>
      </c>
      <c r="E971" s="1429">
        <f>IFERROR(__xludf.DUMMYFUNCTION("""COMPUTED_VALUE"""),45563.0)</f>
        <v>45563</v>
      </c>
      <c r="F971" s="1429">
        <f>IFERROR(__xludf.DUMMYFUNCTION("""COMPUTED_VALUE"""),45565.0)</f>
        <v>45565</v>
      </c>
      <c r="G971" s="1164">
        <f>IFERROR(__xludf.DUMMYFUNCTION("""COMPUTED_VALUE"""),2.0)</f>
        <v>2</v>
      </c>
      <c r="H971" s="1430">
        <f>IFERROR(__xludf.DUMMYFUNCTION("""COMPUTED_VALUE"""),80.0)</f>
        <v>80</v>
      </c>
      <c r="I971" s="94"/>
      <c r="J971" s="94"/>
      <c r="K971" s="94">
        <f>IFERROR(__xludf.DUMMYFUNCTION("""COMPUTED_VALUE"""),60.0)</f>
        <v>60</v>
      </c>
      <c r="L971" s="94">
        <f>IFERROR(__xludf.DUMMYFUNCTION("""COMPUTED_VALUE"""),30.0)</f>
        <v>30</v>
      </c>
      <c r="M971" s="94">
        <f>IFERROR(__xludf.DUMMYFUNCTION("""COMPUTED_VALUE"""),30.0)</f>
        <v>30</v>
      </c>
      <c r="N971" s="94"/>
      <c r="O971" s="1430">
        <f>IFERROR(__xludf.DUMMYFUNCTION("""COMPUTED_VALUE"""),30.0)</f>
        <v>30</v>
      </c>
      <c r="P971" s="1431">
        <f>IFERROR(__xludf.DUMMYFUNCTION("""COMPUTED_VALUE"""),2.73)</f>
        <v>2.73</v>
      </c>
      <c r="Q971" s="1432">
        <f>IFERROR(__xludf.DUMMYFUNCTION("""COMPUTED_VALUE"""),218.4)</f>
        <v>218.4</v>
      </c>
    </row>
    <row r="972" ht="15.75" customHeight="1">
      <c r="A972" s="94"/>
      <c r="B972" s="94" t="str">
        <f>IFERROR(__xludf.DUMMYFUNCTION("""COMPUTED_VALUE"""),"D 1321")</f>
        <v>D 1321</v>
      </c>
      <c r="C972" s="1429" t="str">
        <f>IFERROR(__xludf.DUMMYFUNCTION("""COMPUTED_VALUE"""),"ORBI")</f>
        <v>ORBI</v>
      </c>
      <c r="D972" s="1432">
        <f>IFERROR(__xludf.DUMMYFUNCTION("""COMPUTED_VALUE"""),9.0)</f>
        <v>9</v>
      </c>
      <c r="E972" s="1429">
        <f>IFERROR(__xludf.DUMMYFUNCTION("""COMPUTED_VALUE"""),45564.0)</f>
        <v>45564</v>
      </c>
      <c r="F972" s="1429">
        <f>IFERROR(__xludf.DUMMYFUNCTION("""COMPUTED_VALUE"""),45598.0)</f>
        <v>45598</v>
      </c>
      <c r="G972" s="1164">
        <f>IFERROR(__xludf.DUMMYFUNCTION("""COMPUTED_VALUE"""),34.0)</f>
        <v>34</v>
      </c>
      <c r="H972" s="1430">
        <f>IFERROR(__xludf.DUMMYFUNCTION("""COMPUTED_VALUE"""),393.0)</f>
        <v>393</v>
      </c>
      <c r="I972" s="94"/>
      <c r="J972" s="94"/>
      <c r="K972" s="94">
        <f>IFERROR(__xludf.DUMMYFUNCTION("""COMPUTED_VALUE"""),50.0)</f>
        <v>50</v>
      </c>
      <c r="L972" s="94">
        <f>IFERROR(__xludf.DUMMYFUNCTION("""COMPUTED_VALUE"""),30.0)</f>
        <v>30</v>
      </c>
      <c r="M972" s="94">
        <f>IFERROR(__xludf.DUMMYFUNCTION("""COMPUTED_VALUE"""),20.0)</f>
        <v>20</v>
      </c>
      <c r="N972" s="94"/>
      <c r="O972" s="1430">
        <f>IFERROR(__xludf.DUMMYFUNCTION("""COMPUTED_VALUE"""),20.0)</f>
        <v>20</v>
      </c>
      <c r="P972" s="1431">
        <f>IFERROR(__xludf.DUMMYFUNCTION("""COMPUTED_VALUE"""),2.73)</f>
        <v>2.73</v>
      </c>
      <c r="Q972" s="1432">
        <f>IFERROR(__xludf.DUMMYFUNCTION("""COMPUTED_VALUE"""),1072.89)</f>
        <v>1072.89</v>
      </c>
    </row>
    <row r="973" ht="15.75" customHeight="1">
      <c r="A973" s="94"/>
      <c r="B973" s="94" t="str">
        <f>IFERROR(__xludf.DUMMYFUNCTION("""COMPUTED_VALUE"""),"WS Е804")</f>
        <v>WS Е804</v>
      </c>
      <c r="C973" s="1429" t="str">
        <f>IFERROR(__xludf.DUMMYFUNCTION("""COMPUTED_VALUE"""),"WS")</f>
        <v>WS</v>
      </c>
      <c r="D973" s="1432">
        <f>IFERROR(__xludf.DUMMYFUNCTION("""COMPUTED_VALUE"""),9.0)</f>
        <v>9</v>
      </c>
      <c r="E973" s="1429">
        <f>IFERROR(__xludf.DUMMYFUNCTION("""COMPUTED_VALUE"""),45564.0)</f>
        <v>45564</v>
      </c>
      <c r="F973" s="1429">
        <f>IFERROR(__xludf.DUMMYFUNCTION("""COMPUTED_VALUE"""),45571.0)</f>
        <v>45571</v>
      </c>
      <c r="G973" s="1164">
        <f>IFERROR(__xludf.DUMMYFUNCTION("""COMPUTED_VALUE"""),7.0)</f>
        <v>7</v>
      </c>
      <c r="H973" s="1430">
        <f>IFERROR(__xludf.DUMMYFUNCTION("""COMPUTED_VALUE"""),255.0)</f>
        <v>255</v>
      </c>
      <c r="I973" s="94"/>
      <c r="J973" s="94"/>
      <c r="K973" s="94">
        <f>IFERROR(__xludf.DUMMYFUNCTION("""COMPUTED_VALUE"""),60.0)</f>
        <v>60</v>
      </c>
      <c r="L973" s="94">
        <f>IFERROR(__xludf.DUMMYFUNCTION("""COMPUTED_VALUE"""),30.0)</f>
        <v>30</v>
      </c>
      <c r="M973" s="94">
        <f>IFERROR(__xludf.DUMMYFUNCTION("""COMPUTED_VALUE"""),30.0)</f>
        <v>30</v>
      </c>
      <c r="N973" s="94"/>
      <c r="O973" s="1430">
        <f>IFERROR(__xludf.DUMMYFUNCTION("""COMPUTED_VALUE"""),30.0)</f>
        <v>30</v>
      </c>
      <c r="P973" s="1431">
        <f>IFERROR(__xludf.DUMMYFUNCTION("""COMPUTED_VALUE"""),2.73)</f>
        <v>2.73</v>
      </c>
      <c r="Q973" s="1432">
        <f>IFERROR(__xludf.DUMMYFUNCTION("""COMPUTED_VALUE"""),696.15)</f>
        <v>696.15</v>
      </c>
    </row>
    <row r="974" ht="15.75" customHeight="1">
      <c r="A974" s="94"/>
      <c r="B974" s="94" t="str">
        <f>IFERROR(__xludf.DUMMYFUNCTION("""COMPUTED_VALUE"""),"WS A907")</f>
        <v>WS A907</v>
      </c>
      <c r="C974" s="1429" t="str">
        <f>IFERROR(__xludf.DUMMYFUNCTION("""COMPUTED_VALUE"""),"WS")</f>
        <v>WS</v>
      </c>
      <c r="D974" s="1432">
        <f>IFERROR(__xludf.DUMMYFUNCTION("""COMPUTED_VALUE"""),9.0)</f>
        <v>9</v>
      </c>
      <c r="E974" s="1429">
        <f>IFERROR(__xludf.DUMMYFUNCTION("""COMPUTED_VALUE"""),45564.0)</f>
        <v>45564</v>
      </c>
      <c r="F974" s="1429">
        <f>IFERROR(__xludf.DUMMYFUNCTION("""COMPUTED_VALUE"""),45567.0)</f>
        <v>45567</v>
      </c>
      <c r="G974" s="1164">
        <f>IFERROR(__xludf.DUMMYFUNCTION("""COMPUTED_VALUE"""),3.0)</f>
        <v>3</v>
      </c>
      <c r="H974" s="1430">
        <f>IFERROR(__xludf.DUMMYFUNCTION("""COMPUTED_VALUE"""),100.0)</f>
        <v>100</v>
      </c>
      <c r="I974" s="94"/>
      <c r="J974" s="94"/>
      <c r="K974" s="94">
        <f>IFERROR(__xludf.DUMMYFUNCTION("""COMPUTED_VALUE"""),60.0)</f>
        <v>60</v>
      </c>
      <c r="L974" s="94">
        <f>IFERROR(__xludf.DUMMYFUNCTION("""COMPUTED_VALUE"""),30.0)</f>
        <v>30</v>
      </c>
      <c r="M974" s="94">
        <f>IFERROR(__xludf.DUMMYFUNCTION("""COMPUTED_VALUE"""),30.0)</f>
        <v>30</v>
      </c>
      <c r="N974" s="94"/>
      <c r="O974" s="1430">
        <f>IFERROR(__xludf.DUMMYFUNCTION("""COMPUTED_VALUE"""),30.0)</f>
        <v>30</v>
      </c>
      <c r="P974" s="1431">
        <f>IFERROR(__xludf.DUMMYFUNCTION("""COMPUTED_VALUE"""),2.73)</f>
        <v>2.73</v>
      </c>
      <c r="Q974" s="1432">
        <f>IFERROR(__xludf.DUMMYFUNCTION("""COMPUTED_VALUE"""),273.0)</f>
        <v>273</v>
      </c>
    </row>
    <row r="975" ht="15.75" customHeight="1">
      <c r="A975" s="94" t="str">
        <f>IFERROR(__xludf.DUMMYFUNCTION("""COMPUTED_VALUE"""),"Итого неделя")</f>
        <v>Итого неделя</v>
      </c>
      <c r="B975" s="94" t="str">
        <f>IFERROR(__xludf.DUMMYFUNCTION("""COMPUTED_VALUE"""),"39 неделя")</f>
        <v>39 неделя</v>
      </c>
      <c r="C975" s="94"/>
      <c r="D975" s="94"/>
      <c r="E975" s="1429">
        <f>IFERROR(__xludf.DUMMYFUNCTION("""COMPUTED_VALUE"""),45558.0)</f>
        <v>45558</v>
      </c>
      <c r="F975" s="1429">
        <f>IFERROR(__xludf.DUMMYFUNCTION("""COMPUTED_VALUE"""),45564.0)</f>
        <v>45564</v>
      </c>
      <c r="G975" s="1164">
        <f>IFERROR(__xludf.DUMMYFUNCTION("""COMPUTED_VALUE"""),201.0)</f>
        <v>201</v>
      </c>
      <c r="H975" s="1430">
        <f>IFERROR(__xludf.DUMMYFUNCTION("""COMPUTED_VALUE"""),5280.1)</f>
        <v>5280.1</v>
      </c>
      <c r="I975" s="94">
        <f>IFERROR(__xludf.DUMMYFUNCTION("""COMPUTED_VALUE"""),1108.0)</f>
        <v>1108</v>
      </c>
      <c r="J975" s="94">
        <f>IFERROR(__xludf.DUMMYFUNCTION("""COMPUTED_VALUE"""),0.0)</f>
        <v>0</v>
      </c>
      <c r="K975" s="94">
        <f>IFERROR(__xludf.DUMMYFUNCTION("""COMPUTED_VALUE"""),1550.0)</f>
        <v>1550</v>
      </c>
      <c r="L975" s="94">
        <f>IFERROR(__xludf.DUMMYFUNCTION("""COMPUTED_VALUE"""),930.0)</f>
        <v>930</v>
      </c>
      <c r="M975" s="94">
        <f>IFERROR(__xludf.DUMMYFUNCTION("""COMPUTED_VALUE"""),620.0)</f>
        <v>620</v>
      </c>
      <c r="N975" s="94">
        <f>IFERROR(__xludf.DUMMYFUNCTION("""COMPUTED_VALUE"""),0.0)</f>
        <v>0</v>
      </c>
      <c r="O975" s="1430">
        <f>IFERROR(__xludf.DUMMYFUNCTION("""COMPUTED_VALUE"""),620.0)</f>
        <v>620</v>
      </c>
      <c r="P975" s="94"/>
      <c r="Q975" s="1432">
        <f>IFERROR(__xludf.DUMMYFUNCTION("""COMPUTED_VALUE"""),15522.673)</f>
        <v>15522.673</v>
      </c>
    </row>
    <row r="976" ht="15.75" customHeight="1">
      <c r="A976" s="94"/>
      <c r="B976" s="94" t="str">
        <f>IFERROR(__xludf.DUMMYFUNCTION("""COMPUTED_VALUE"""),"WS В 503")</f>
        <v>WS В 503</v>
      </c>
      <c r="C976" s="1429" t="str">
        <f>IFERROR(__xludf.DUMMYFUNCTION("""COMPUTED_VALUE"""),"WS")</f>
        <v>WS</v>
      </c>
      <c r="D976" s="1432">
        <f>IFERROR(__xludf.DUMMYFUNCTION("""COMPUTED_VALUE"""),9.0)</f>
        <v>9</v>
      </c>
      <c r="E976" s="1429">
        <f>IFERROR(__xludf.DUMMYFUNCTION("""COMPUTED_VALUE"""),45565.0)</f>
        <v>45565</v>
      </c>
      <c r="F976" s="1429">
        <f>IFERROR(__xludf.DUMMYFUNCTION("""COMPUTED_VALUE"""),45566.0)</f>
        <v>45566</v>
      </c>
      <c r="G976" s="1164">
        <f>IFERROR(__xludf.DUMMYFUNCTION("""COMPUTED_VALUE"""),1.0)</f>
        <v>1</v>
      </c>
      <c r="H976" s="94"/>
      <c r="I976" s="94">
        <f>IFERROR(__xludf.DUMMYFUNCTION("""COMPUTED_VALUE"""),324.0)</f>
        <v>324</v>
      </c>
      <c r="J976" s="94"/>
      <c r="K976" s="94">
        <f>IFERROR(__xludf.DUMMYFUNCTION("""COMPUTED_VALUE"""),70.0)</f>
        <v>70</v>
      </c>
      <c r="L976" s="94">
        <f>IFERROR(__xludf.DUMMYFUNCTION("""COMPUTED_VALUE"""),40.0)</f>
        <v>40</v>
      </c>
      <c r="M976" s="94">
        <f>IFERROR(__xludf.DUMMYFUNCTION("""COMPUTED_VALUE"""),30.0)</f>
        <v>30</v>
      </c>
      <c r="N976" s="94"/>
      <c r="O976" s="1430">
        <f>IFERROR(__xludf.DUMMYFUNCTION("""COMPUTED_VALUE"""),30.0)</f>
        <v>30</v>
      </c>
      <c r="P976" s="1431">
        <f>IFERROR(__xludf.DUMMYFUNCTION("""COMPUTED_VALUE"""),2.73)</f>
        <v>2.73</v>
      </c>
      <c r="Q976" s="1432">
        <f>IFERROR(__xludf.DUMMYFUNCTION("""COMPUTED_VALUE"""),324.0)</f>
        <v>324</v>
      </c>
    </row>
    <row r="977" ht="15.75" customHeight="1">
      <c r="A977" s="94"/>
      <c r="B977" s="94" t="str">
        <f>IFERROR(__xludf.DUMMYFUNCTION("""COMPUTED_VALUE"""),"WS F 907")</f>
        <v>WS F 907</v>
      </c>
      <c r="C977" s="1429" t="str">
        <f>IFERROR(__xludf.DUMMYFUNCTION("""COMPUTED_VALUE"""),"WS")</f>
        <v>WS</v>
      </c>
      <c r="D977" s="1432">
        <f>IFERROR(__xludf.DUMMYFUNCTION("""COMPUTED_VALUE"""),9.0)</f>
        <v>9</v>
      </c>
      <c r="E977" s="1429">
        <f>IFERROR(__xludf.DUMMYFUNCTION("""COMPUTED_VALUE"""),45565.0)</f>
        <v>45565</v>
      </c>
      <c r="F977" s="1429">
        <f>IFERROR(__xludf.DUMMYFUNCTION("""COMPUTED_VALUE"""),45605.0)</f>
        <v>45605</v>
      </c>
      <c r="G977" s="1164">
        <f>IFERROR(__xludf.DUMMYFUNCTION("""COMPUTED_VALUE"""),40.0)</f>
        <v>40</v>
      </c>
      <c r="H977" s="1430">
        <f>IFERROR(__xludf.DUMMYFUNCTION("""COMPUTED_VALUE"""),617.0)</f>
        <v>617</v>
      </c>
      <c r="I977" s="94">
        <f>IFERROR(__xludf.DUMMYFUNCTION("""COMPUTED_VALUE"""),0.0)</f>
        <v>0</v>
      </c>
      <c r="J977" s="94"/>
      <c r="K977" s="94">
        <f>IFERROR(__xludf.DUMMYFUNCTION("""COMPUTED_VALUE"""),60.0)</f>
        <v>60</v>
      </c>
      <c r="L977" s="94">
        <f>IFERROR(__xludf.DUMMYFUNCTION("""COMPUTED_VALUE"""),30.0)</f>
        <v>30</v>
      </c>
      <c r="M977" s="94">
        <f>IFERROR(__xludf.DUMMYFUNCTION("""COMPUTED_VALUE"""),30.0)</f>
        <v>30</v>
      </c>
      <c r="N977" s="94"/>
      <c r="O977" s="1430">
        <f>IFERROR(__xludf.DUMMYFUNCTION("""COMPUTED_VALUE"""),30.0)</f>
        <v>30</v>
      </c>
      <c r="P977" s="1431">
        <f>IFERROR(__xludf.DUMMYFUNCTION("""COMPUTED_VALUE"""),2.73)</f>
        <v>2.73</v>
      </c>
      <c r="Q977" s="1432">
        <f>IFERROR(__xludf.DUMMYFUNCTION("""COMPUTED_VALUE"""),1684.41)</f>
        <v>1684.41</v>
      </c>
    </row>
    <row r="978" ht="15.75" customHeight="1">
      <c r="A978" s="94"/>
      <c r="B978" s="94" t="str">
        <f>IFERROR(__xludf.DUMMYFUNCTION("""COMPUTED_VALUE"""),"WS А 908")</f>
        <v>WS А 908</v>
      </c>
      <c r="C978" s="1429" t="str">
        <f>IFERROR(__xludf.DUMMYFUNCTION("""COMPUTED_VALUE"""),"WS")</f>
        <v>WS</v>
      </c>
      <c r="D978" s="1432">
        <f>IFERROR(__xludf.DUMMYFUNCTION("""COMPUTED_VALUE"""),9.0)</f>
        <v>9</v>
      </c>
      <c r="E978" s="1429">
        <f>IFERROR(__xludf.DUMMYFUNCTION("""COMPUTED_VALUE"""),45565.0)</f>
        <v>45565</v>
      </c>
      <c r="F978" s="1429">
        <f>IFERROR(__xludf.DUMMYFUNCTION("""COMPUTED_VALUE"""),45594.0)</f>
        <v>45594</v>
      </c>
      <c r="G978" s="1164">
        <f>IFERROR(__xludf.DUMMYFUNCTION("""COMPUTED_VALUE"""),29.0)</f>
        <v>29</v>
      </c>
      <c r="H978" s="1430">
        <f>IFERROR(__xludf.DUMMYFUNCTION("""COMPUTED_VALUE"""),452.0)</f>
        <v>452</v>
      </c>
      <c r="I978" s="94"/>
      <c r="J978" s="94"/>
      <c r="K978" s="94">
        <f>IFERROR(__xludf.DUMMYFUNCTION("""COMPUTED_VALUE"""),60.0)</f>
        <v>60</v>
      </c>
      <c r="L978" s="94">
        <f>IFERROR(__xludf.DUMMYFUNCTION("""COMPUTED_VALUE"""),30.0)</f>
        <v>30</v>
      </c>
      <c r="M978" s="94">
        <f>IFERROR(__xludf.DUMMYFUNCTION("""COMPUTED_VALUE"""),30.0)</f>
        <v>30</v>
      </c>
      <c r="N978" s="94"/>
      <c r="O978" s="1430">
        <f>IFERROR(__xludf.DUMMYFUNCTION("""COMPUTED_VALUE"""),30.0)</f>
        <v>30</v>
      </c>
      <c r="P978" s="1431">
        <f>IFERROR(__xludf.DUMMYFUNCTION("""COMPUTED_VALUE"""),2.73)</f>
        <v>2.73</v>
      </c>
      <c r="Q978" s="1432">
        <f>IFERROR(__xludf.DUMMYFUNCTION("""COMPUTED_VALUE"""),1233.96)</f>
        <v>1233.96</v>
      </c>
    </row>
    <row r="979" ht="15.75" customHeight="1">
      <c r="A979" s="94"/>
      <c r="B979" s="94" t="str">
        <f>IFERROR(__xludf.DUMMYFUNCTION("""COMPUTED_VALUE"""),"WS A 409")</f>
        <v>WS A 409</v>
      </c>
      <c r="C979" s="1429" t="str">
        <f>IFERROR(__xludf.DUMMYFUNCTION("""COMPUTED_VALUE"""),"WS")</f>
        <v>WS</v>
      </c>
      <c r="D979" s="1432">
        <f>IFERROR(__xludf.DUMMYFUNCTION("""COMPUTED_VALUE"""),10.0)</f>
        <v>10</v>
      </c>
      <c r="E979" s="1429">
        <f>IFERROR(__xludf.DUMMYFUNCTION("""COMPUTED_VALUE"""),45566.0)</f>
        <v>45566</v>
      </c>
      <c r="F979" s="1429">
        <f>IFERROR(__xludf.DUMMYFUNCTION("""COMPUTED_VALUE"""),45596.0)</f>
        <v>45596</v>
      </c>
      <c r="G979" s="1164">
        <f>IFERROR(__xludf.DUMMYFUNCTION("""COMPUTED_VALUE"""),30.0)</f>
        <v>30</v>
      </c>
      <c r="H979" s="1430">
        <f>IFERROR(__xludf.DUMMYFUNCTION("""COMPUTED_VALUE"""),475.0)</f>
        <v>475</v>
      </c>
      <c r="I979" s="94">
        <f>IFERROR(__xludf.DUMMYFUNCTION("""COMPUTED_VALUE"""),0.0)</f>
        <v>0</v>
      </c>
      <c r="J979" s="94"/>
      <c r="K979" s="94">
        <f>IFERROR(__xludf.DUMMYFUNCTION("""COMPUTED_VALUE"""),60.0)</f>
        <v>60</v>
      </c>
      <c r="L979" s="94">
        <f>IFERROR(__xludf.DUMMYFUNCTION("""COMPUTED_VALUE"""),30.0)</f>
        <v>30</v>
      </c>
      <c r="M979" s="94">
        <f>IFERROR(__xludf.DUMMYFUNCTION("""COMPUTED_VALUE"""),30.0)</f>
        <v>30</v>
      </c>
      <c r="N979" s="94"/>
      <c r="O979" s="1430">
        <f>IFERROR(__xludf.DUMMYFUNCTION("""COMPUTED_VALUE"""),30.0)</f>
        <v>30</v>
      </c>
      <c r="P979" s="1431">
        <f>IFERROR(__xludf.DUMMYFUNCTION("""COMPUTED_VALUE"""),2.73)</f>
        <v>2.73</v>
      </c>
      <c r="Q979" s="1432">
        <f>IFERROR(__xludf.DUMMYFUNCTION("""COMPUTED_VALUE"""),1296.75)</f>
        <v>1296.75</v>
      </c>
    </row>
    <row r="980" ht="15.75" customHeight="1">
      <c r="A980" s="94"/>
      <c r="B980" s="94" t="str">
        <f>IFERROR(__xludf.DUMMYFUNCTION("""COMPUTED_VALUE"""),"WS E704")</f>
        <v>WS E704</v>
      </c>
      <c r="C980" s="1429" t="str">
        <f>IFERROR(__xludf.DUMMYFUNCTION("""COMPUTED_VALUE"""),"WS")</f>
        <v>WS</v>
      </c>
      <c r="D980" s="1432">
        <f>IFERROR(__xludf.DUMMYFUNCTION("""COMPUTED_VALUE"""),10.0)</f>
        <v>10</v>
      </c>
      <c r="E980" s="1429">
        <f>IFERROR(__xludf.DUMMYFUNCTION("""COMPUTED_VALUE"""),45566.0)</f>
        <v>45566</v>
      </c>
      <c r="F980" s="1429">
        <f>IFERROR(__xludf.DUMMYFUNCTION("""COMPUTED_VALUE"""),45596.0)</f>
        <v>45596</v>
      </c>
      <c r="G980" s="1164">
        <f>IFERROR(__xludf.DUMMYFUNCTION("""COMPUTED_VALUE"""),30.0)</f>
        <v>30</v>
      </c>
      <c r="H980" s="1430">
        <f>IFERROR(__xludf.DUMMYFUNCTION("""COMPUTED_VALUE"""),450.0)</f>
        <v>450</v>
      </c>
      <c r="I980" s="94">
        <f>IFERROR(__xludf.DUMMYFUNCTION("""COMPUTED_VALUE"""),0.0)</f>
        <v>0</v>
      </c>
      <c r="J980" s="94"/>
      <c r="K980" s="94">
        <f>IFERROR(__xludf.DUMMYFUNCTION("""COMPUTED_VALUE"""),60.0)</f>
        <v>60</v>
      </c>
      <c r="L980" s="94">
        <f>IFERROR(__xludf.DUMMYFUNCTION("""COMPUTED_VALUE"""),30.0)</f>
        <v>30</v>
      </c>
      <c r="M980" s="94">
        <f>IFERROR(__xludf.DUMMYFUNCTION("""COMPUTED_VALUE"""),30.0)</f>
        <v>30</v>
      </c>
      <c r="N980" s="94"/>
      <c r="O980" s="1430">
        <f>IFERROR(__xludf.DUMMYFUNCTION("""COMPUTED_VALUE"""),30.0)</f>
        <v>30</v>
      </c>
      <c r="P980" s="1431">
        <f>IFERROR(__xludf.DUMMYFUNCTION("""COMPUTED_VALUE"""),2.73)</f>
        <v>2.73</v>
      </c>
      <c r="Q980" s="1432">
        <f>IFERROR(__xludf.DUMMYFUNCTION("""COMPUTED_VALUE"""),1228.5)</f>
        <v>1228.5</v>
      </c>
    </row>
    <row r="981" ht="15.75" customHeight="1">
      <c r="A981" s="94"/>
      <c r="B981" s="94" t="str">
        <f>IFERROR(__xludf.DUMMYFUNCTION("""COMPUTED_VALUE"""),"Int 2905")</f>
        <v>Int 2905</v>
      </c>
      <c r="C981" s="1429" t="str">
        <f>IFERROR(__xludf.DUMMYFUNCTION("""COMPUTED_VALUE"""),"Other")</f>
        <v>Other</v>
      </c>
      <c r="D981" s="1432">
        <f>IFERROR(__xludf.DUMMYFUNCTION("""COMPUTED_VALUE"""),10.0)</f>
        <v>10</v>
      </c>
      <c r="E981" s="1429">
        <f>IFERROR(__xludf.DUMMYFUNCTION("""COMPUTED_VALUE"""),45566.0)</f>
        <v>45566</v>
      </c>
      <c r="F981" s="1429">
        <f>IFERROR(__xludf.DUMMYFUNCTION("""COMPUTED_VALUE"""),45596.0)</f>
        <v>45596</v>
      </c>
      <c r="G981" s="1164">
        <f>IFERROR(__xludf.DUMMYFUNCTION("""COMPUTED_VALUE"""),30.0)</f>
        <v>30</v>
      </c>
      <c r="H981" s="1430">
        <f>IFERROR(__xludf.DUMMYFUNCTION("""COMPUTED_VALUE"""),550.0)</f>
        <v>550</v>
      </c>
      <c r="I981" s="94"/>
      <c r="J981" s="94"/>
      <c r="K981" s="94">
        <f>IFERROR(__xludf.DUMMYFUNCTION("""COMPUTED_VALUE"""),60.0)</f>
        <v>60</v>
      </c>
      <c r="L981" s="94">
        <f>IFERROR(__xludf.DUMMYFUNCTION("""COMPUTED_VALUE"""),30.0)</f>
        <v>30</v>
      </c>
      <c r="M981" s="94">
        <f>IFERROR(__xludf.DUMMYFUNCTION("""COMPUTED_VALUE"""),30.0)</f>
        <v>30</v>
      </c>
      <c r="N981" s="94"/>
      <c r="O981" s="1430">
        <f>IFERROR(__xludf.DUMMYFUNCTION("""COMPUTED_VALUE"""),30.0)</f>
        <v>30</v>
      </c>
      <c r="P981" s="1431">
        <f>IFERROR(__xludf.DUMMYFUNCTION("""COMPUTED_VALUE"""),2.73)</f>
        <v>2.73</v>
      </c>
      <c r="Q981" s="1432">
        <f>IFERROR(__xludf.DUMMYFUNCTION("""COMPUTED_VALUE"""),1501.5)</f>
        <v>1501.5</v>
      </c>
    </row>
    <row r="982" ht="15.75" customHeight="1">
      <c r="A982" s="94"/>
      <c r="B982" s="94" t="str">
        <f>IFERROR(__xludf.DUMMYFUNCTION("""COMPUTED_VALUE"""),"CM 1604")</f>
        <v>CM 1604</v>
      </c>
      <c r="C982" s="1429" t="str">
        <f>IFERROR(__xludf.DUMMYFUNCTION("""COMPUTED_VALUE"""),"MAR")</f>
        <v>MAR</v>
      </c>
      <c r="D982" s="1432">
        <f>IFERROR(__xludf.DUMMYFUNCTION("""COMPUTED_VALUE"""),10.0)</f>
        <v>10</v>
      </c>
      <c r="E982" s="1429">
        <f>IFERROR(__xludf.DUMMYFUNCTION("""COMPUTED_VALUE"""),45566.0)</f>
        <v>45566</v>
      </c>
      <c r="F982" s="1429">
        <f>IFERROR(__xludf.DUMMYFUNCTION("""COMPUTED_VALUE"""),45570.0)</f>
        <v>45570</v>
      </c>
      <c r="G982" s="1164">
        <f>IFERROR(__xludf.DUMMYFUNCTION("""COMPUTED_VALUE"""),4.0)</f>
        <v>4</v>
      </c>
      <c r="H982" s="1430">
        <f>IFERROR(__xludf.DUMMYFUNCTION("""COMPUTED_VALUE"""),185.0)</f>
        <v>185</v>
      </c>
      <c r="I982" s="94"/>
      <c r="J982" s="94"/>
      <c r="K982" s="94">
        <f>IFERROR(__xludf.DUMMYFUNCTION("""COMPUTED_VALUE"""),70.0)</f>
        <v>70</v>
      </c>
      <c r="L982" s="94">
        <f>IFERROR(__xludf.DUMMYFUNCTION("""COMPUTED_VALUE"""),40.0)</f>
        <v>40</v>
      </c>
      <c r="M982" s="94">
        <f>IFERROR(__xludf.DUMMYFUNCTION("""COMPUTED_VALUE"""),30.0)</f>
        <v>30</v>
      </c>
      <c r="N982" s="94"/>
      <c r="O982" s="1430">
        <f>IFERROR(__xludf.DUMMYFUNCTION("""COMPUTED_VALUE"""),30.0)</f>
        <v>30</v>
      </c>
      <c r="P982" s="1431">
        <f>IFERROR(__xludf.DUMMYFUNCTION("""COMPUTED_VALUE"""),2.73)</f>
        <v>2.73</v>
      </c>
      <c r="Q982" s="1432">
        <f>IFERROR(__xludf.DUMMYFUNCTION("""COMPUTED_VALUE"""),505.05)</f>
        <v>505.05</v>
      </c>
    </row>
    <row r="983" ht="15.75" customHeight="1">
      <c r="A983" s="94"/>
      <c r="B983" s="94" t="str">
        <f>IFERROR(__xludf.DUMMYFUNCTION("""COMPUTED_VALUE"""),"C 4245")</f>
        <v>C 4245</v>
      </c>
      <c r="C983" s="1429" t="str">
        <f>IFERROR(__xludf.DUMMYFUNCTION("""COMPUTED_VALUE"""),"ORBI")</f>
        <v>ORBI</v>
      </c>
      <c r="D983" s="1432">
        <f>IFERROR(__xludf.DUMMYFUNCTION("""COMPUTED_VALUE"""),10.0)</f>
        <v>10</v>
      </c>
      <c r="E983" s="1429">
        <f>IFERROR(__xludf.DUMMYFUNCTION("""COMPUTED_VALUE"""),45567.0)</f>
        <v>45567</v>
      </c>
      <c r="F983" s="1429">
        <f>IFERROR(__xludf.DUMMYFUNCTION("""COMPUTED_VALUE"""),45572.0)</f>
        <v>45572</v>
      </c>
      <c r="G983" s="1164">
        <f>IFERROR(__xludf.DUMMYFUNCTION("""COMPUTED_VALUE"""),5.0)</f>
        <v>5</v>
      </c>
      <c r="H983" s="1430">
        <f>IFERROR(__xludf.DUMMYFUNCTION("""COMPUTED_VALUE"""),196.0)</f>
        <v>196</v>
      </c>
      <c r="I983" s="94">
        <f>IFERROR(__xludf.DUMMYFUNCTION("""COMPUTED_VALUE"""),0.0)</f>
        <v>0</v>
      </c>
      <c r="J983" s="94"/>
      <c r="K983" s="94">
        <f>IFERROR(__xludf.DUMMYFUNCTION("""COMPUTED_VALUE"""),70.0)</f>
        <v>70</v>
      </c>
      <c r="L983" s="94">
        <f>IFERROR(__xludf.DUMMYFUNCTION("""COMPUTED_VALUE"""),40.0)</f>
        <v>40</v>
      </c>
      <c r="M983" s="94">
        <f>IFERROR(__xludf.DUMMYFUNCTION("""COMPUTED_VALUE"""),30.0)</f>
        <v>30</v>
      </c>
      <c r="N983" s="94"/>
      <c r="O983" s="1430">
        <f>IFERROR(__xludf.DUMMYFUNCTION("""COMPUTED_VALUE"""),30.0)</f>
        <v>30</v>
      </c>
      <c r="P983" s="1431">
        <f>IFERROR(__xludf.DUMMYFUNCTION("""COMPUTED_VALUE"""),2.73)</f>
        <v>2.73</v>
      </c>
      <c r="Q983" s="1432">
        <f>IFERROR(__xludf.DUMMYFUNCTION("""COMPUTED_VALUE"""),535.08)</f>
        <v>535.08</v>
      </c>
    </row>
    <row r="984" ht="15.75" customHeight="1">
      <c r="A984" s="94"/>
      <c r="B984" s="94" t="str">
        <f>IFERROR(__xludf.DUMMYFUNCTION("""COMPUTED_VALUE"""),"DL14-518")</f>
        <v>DL14-518</v>
      </c>
      <c r="C984" s="1429" t="str">
        <f>IFERROR(__xludf.DUMMYFUNCTION("""COMPUTED_VALUE"""),"DL")</f>
        <v>DL</v>
      </c>
      <c r="D984" s="1432">
        <f>IFERROR(__xludf.DUMMYFUNCTION("""COMPUTED_VALUE"""),10.0)</f>
        <v>10</v>
      </c>
      <c r="E984" s="1429">
        <f>IFERROR(__xludf.DUMMYFUNCTION("""COMPUTED_VALUE"""),45567.0)</f>
        <v>45567</v>
      </c>
      <c r="F984" s="1429">
        <f>IFERROR(__xludf.DUMMYFUNCTION("""COMPUTED_VALUE"""),45571.0)</f>
        <v>45571</v>
      </c>
      <c r="G984" s="1164">
        <f>IFERROR(__xludf.DUMMYFUNCTION("""COMPUTED_VALUE"""),4.0)</f>
        <v>4</v>
      </c>
      <c r="H984" s="1430">
        <f>IFERROR(__xludf.DUMMYFUNCTION("""COMPUTED_VALUE"""),152.0)</f>
        <v>152</v>
      </c>
      <c r="I984" s="94">
        <f>IFERROR(__xludf.DUMMYFUNCTION("""COMPUTED_VALUE"""),0.0)</f>
        <v>0</v>
      </c>
      <c r="J984" s="94"/>
      <c r="K984" s="94">
        <f>IFERROR(__xludf.DUMMYFUNCTION("""COMPUTED_VALUE"""),105.0)</f>
        <v>105</v>
      </c>
      <c r="L984" s="94">
        <f>IFERROR(__xludf.DUMMYFUNCTION("""COMPUTED_VALUE"""),105.0)</f>
        <v>105</v>
      </c>
      <c r="M984" s="94">
        <f>IFERROR(__xludf.DUMMYFUNCTION("""COMPUTED_VALUE"""),0.0)</f>
        <v>0</v>
      </c>
      <c r="N984" s="94"/>
      <c r="O984" s="1430">
        <f>IFERROR(__xludf.DUMMYFUNCTION("""COMPUTED_VALUE"""),0.0)</f>
        <v>0</v>
      </c>
      <c r="P984" s="1431">
        <f>IFERROR(__xludf.DUMMYFUNCTION("""COMPUTED_VALUE"""),2.73)</f>
        <v>2.73</v>
      </c>
      <c r="Q984" s="1432">
        <f>IFERROR(__xludf.DUMMYFUNCTION("""COMPUTED_VALUE"""),414.96)</f>
        <v>414.96</v>
      </c>
    </row>
    <row r="985" ht="15.75" customHeight="1">
      <c r="A985" s="94"/>
      <c r="B985" s="94" t="str">
        <f>IFERROR(__xludf.DUMMYFUNCTION("""COMPUTED_VALUE"""),"Вилла Ева")</f>
        <v>Вилла Ева</v>
      </c>
      <c r="C985" s="1429" t="str">
        <f>IFERROR(__xludf.DUMMYFUNCTION("""COMPUTED_VALUE"""),"Other")</f>
        <v>Other</v>
      </c>
      <c r="D985" s="1432">
        <f>IFERROR(__xludf.DUMMYFUNCTION("""COMPUTED_VALUE"""),10.0)</f>
        <v>10</v>
      </c>
      <c r="E985" s="1429">
        <f>IFERROR(__xludf.DUMMYFUNCTION("""COMPUTED_VALUE"""),45570.0)</f>
        <v>45570</v>
      </c>
      <c r="F985" s="1429">
        <f>IFERROR(__xludf.DUMMYFUNCTION("""COMPUTED_VALUE"""),45571.0)</f>
        <v>45571</v>
      </c>
      <c r="G985" s="1164">
        <f>IFERROR(__xludf.DUMMYFUNCTION("""COMPUTED_VALUE"""),1.0)</f>
        <v>1</v>
      </c>
      <c r="H985" s="94"/>
      <c r="I985" s="94">
        <f>IFERROR(__xludf.DUMMYFUNCTION("""COMPUTED_VALUE"""),680.0)</f>
        <v>680</v>
      </c>
      <c r="J985" s="94"/>
      <c r="K985" s="94"/>
      <c r="L985" s="94"/>
      <c r="M985" s="94">
        <f>IFERROR(__xludf.DUMMYFUNCTION("""COMPUTED_VALUE"""),0.0)</f>
        <v>0</v>
      </c>
      <c r="N985" s="94"/>
      <c r="O985" s="1430">
        <f>IFERROR(__xludf.DUMMYFUNCTION("""COMPUTED_VALUE"""),0.0)</f>
        <v>0</v>
      </c>
      <c r="P985" s="1431">
        <f>IFERROR(__xludf.DUMMYFUNCTION("""COMPUTED_VALUE"""),2.73)</f>
        <v>2.73</v>
      </c>
      <c r="Q985" s="1432">
        <f>IFERROR(__xludf.DUMMYFUNCTION("""COMPUTED_VALUE"""),680.0)</f>
        <v>680</v>
      </c>
    </row>
    <row r="986" ht="15.75" customHeight="1">
      <c r="A986" s="94"/>
      <c r="B986" s="94" t="str">
        <f>IFERROR(__xludf.DUMMYFUNCTION("""COMPUTED_VALUE"""),"WS В 212")</f>
        <v>WS В 212</v>
      </c>
      <c r="C986" s="1429" t="str">
        <f>IFERROR(__xludf.DUMMYFUNCTION("""COMPUTED_VALUE"""),"WS")</f>
        <v>WS</v>
      </c>
      <c r="D986" s="1432">
        <f>IFERROR(__xludf.DUMMYFUNCTION("""COMPUTED_VALUE"""),10.0)</f>
        <v>10</v>
      </c>
      <c r="E986" s="1429">
        <f>IFERROR(__xludf.DUMMYFUNCTION("""COMPUTED_VALUE"""),45571.0)</f>
        <v>45571</v>
      </c>
      <c r="F986" s="1429">
        <f>IFERROR(__xludf.DUMMYFUNCTION("""COMPUTED_VALUE"""),45585.0)</f>
        <v>45585</v>
      </c>
      <c r="G986" s="1164">
        <f>IFERROR(__xludf.DUMMYFUNCTION("""COMPUTED_VALUE"""),14.0)</f>
        <v>14</v>
      </c>
      <c r="H986" s="1430">
        <f>IFERROR(__xludf.DUMMYFUNCTION("""COMPUTED_VALUE"""),1063.0)</f>
        <v>1063</v>
      </c>
      <c r="I986" s="94">
        <f>IFERROR(__xludf.DUMMYFUNCTION("""COMPUTED_VALUE"""),0.0)</f>
        <v>0</v>
      </c>
      <c r="J986" s="94"/>
      <c r="K986" s="94">
        <f>IFERROR(__xludf.DUMMYFUNCTION("""COMPUTED_VALUE"""),70.0)</f>
        <v>70</v>
      </c>
      <c r="L986" s="94">
        <f>IFERROR(__xludf.DUMMYFUNCTION("""COMPUTED_VALUE"""),40.0)</f>
        <v>40</v>
      </c>
      <c r="M986" s="94">
        <f>IFERROR(__xludf.DUMMYFUNCTION("""COMPUTED_VALUE"""),30.0)</f>
        <v>30</v>
      </c>
      <c r="N986" s="94"/>
      <c r="O986" s="1430">
        <f>IFERROR(__xludf.DUMMYFUNCTION("""COMPUTED_VALUE"""),30.0)</f>
        <v>30</v>
      </c>
      <c r="P986" s="1431">
        <f>IFERROR(__xludf.DUMMYFUNCTION("""COMPUTED_VALUE"""),2.73)</f>
        <v>2.73</v>
      </c>
      <c r="Q986" s="1432">
        <f>IFERROR(__xludf.DUMMYFUNCTION("""COMPUTED_VALUE"""),2901.99)</f>
        <v>2901.99</v>
      </c>
    </row>
    <row r="987" ht="15.75" customHeight="1">
      <c r="A987" s="94"/>
      <c r="B987" s="94" t="str">
        <f>IFERROR(__xludf.DUMMYFUNCTION("""COMPUTED_VALUE"""),"Steps 510")</f>
        <v>Steps 510</v>
      </c>
      <c r="C987" s="1429" t="str">
        <f>IFERROR(__xludf.DUMMYFUNCTION("""COMPUTED_VALUE"""),"#N/A")</f>
        <v>#N/A</v>
      </c>
      <c r="D987" s="1432">
        <f>IFERROR(__xludf.DUMMYFUNCTION("""COMPUTED_VALUE"""),10.0)</f>
        <v>10</v>
      </c>
      <c r="E987" s="1429">
        <f>IFERROR(__xludf.DUMMYFUNCTION("""COMPUTED_VALUE"""),45571.0)</f>
        <v>45571</v>
      </c>
      <c r="F987" s="1429">
        <f>IFERROR(__xludf.DUMMYFUNCTION("""COMPUTED_VALUE"""),45573.0)</f>
        <v>45573</v>
      </c>
      <c r="G987" s="1164">
        <f>IFERROR(__xludf.DUMMYFUNCTION("""COMPUTED_VALUE"""),2.0)</f>
        <v>2</v>
      </c>
      <c r="H987" s="1430">
        <f>IFERROR(__xludf.DUMMYFUNCTION("""COMPUTED_VALUE"""),55.0)</f>
        <v>55</v>
      </c>
      <c r="I987" s="94">
        <f>IFERROR(__xludf.DUMMYFUNCTION("""COMPUTED_VALUE"""),0.0)</f>
        <v>0</v>
      </c>
      <c r="J987" s="94"/>
      <c r="K987" s="94">
        <f>IFERROR(__xludf.DUMMYFUNCTION("""COMPUTED_VALUE"""),60.0)</f>
        <v>60</v>
      </c>
      <c r="L987" s="94">
        <f>IFERROR(__xludf.DUMMYFUNCTION("""COMPUTED_VALUE"""),30.0)</f>
        <v>30</v>
      </c>
      <c r="M987" s="94">
        <f>IFERROR(__xludf.DUMMYFUNCTION("""COMPUTED_VALUE"""),30.0)</f>
        <v>30</v>
      </c>
      <c r="N987" s="94"/>
      <c r="O987" s="1430">
        <f>IFERROR(__xludf.DUMMYFUNCTION("""COMPUTED_VALUE"""),30.0)</f>
        <v>30</v>
      </c>
      <c r="P987" s="1431">
        <f>IFERROR(__xludf.DUMMYFUNCTION("""COMPUTED_VALUE"""),2.73)</f>
        <v>2.73</v>
      </c>
      <c r="Q987" s="1432">
        <f>IFERROR(__xludf.DUMMYFUNCTION("""COMPUTED_VALUE"""),150.15)</f>
        <v>150.15</v>
      </c>
    </row>
    <row r="988" ht="15.75" customHeight="1">
      <c r="A988" s="94"/>
      <c r="B988" s="94" t="str">
        <f>IFERROR(__xludf.DUMMYFUNCTION("""COMPUTED_VALUE"""),"DL 14-516")</f>
        <v>DL 14-516</v>
      </c>
      <c r="C988" s="1429" t="str">
        <f>IFERROR(__xludf.DUMMYFUNCTION("""COMPUTED_VALUE"""),"DL")</f>
        <v>DL</v>
      </c>
      <c r="D988" s="1432">
        <f>IFERROR(__xludf.DUMMYFUNCTION("""COMPUTED_VALUE"""),10.0)</f>
        <v>10</v>
      </c>
      <c r="E988" s="1429">
        <f>IFERROR(__xludf.DUMMYFUNCTION("""COMPUTED_VALUE"""),45571.0)</f>
        <v>45571</v>
      </c>
      <c r="F988" s="1429">
        <f>IFERROR(__xludf.DUMMYFUNCTION("""COMPUTED_VALUE"""),45573.0)</f>
        <v>45573</v>
      </c>
      <c r="G988" s="1164">
        <f>IFERROR(__xludf.DUMMYFUNCTION("""COMPUTED_VALUE"""),2.0)</f>
        <v>2</v>
      </c>
      <c r="H988" s="94"/>
      <c r="I988" s="94">
        <f>IFERROR(__xludf.DUMMYFUNCTION("""COMPUTED_VALUE"""),453.0)</f>
        <v>453</v>
      </c>
      <c r="J988" s="94"/>
      <c r="K988" s="94">
        <f>IFERROR(__xludf.DUMMYFUNCTION("""COMPUTED_VALUE"""),105.0)</f>
        <v>105</v>
      </c>
      <c r="L988" s="94">
        <f>IFERROR(__xludf.DUMMYFUNCTION("""COMPUTED_VALUE"""),105.0)</f>
        <v>105</v>
      </c>
      <c r="M988" s="94">
        <f>IFERROR(__xludf.DUMMYFUNCTION("""COMPUTED_VALUE"""),0.0)</f>
        <v>0</v>
      </c>
      <c r="N988" s="94"/>
      <c r="O988" s="1430">
        <f>IFERROR(__xludf.DUMMYFUNCTION("""COMPUTED_VALUE"""),0.0)</f>
        <v>0</v>
      </c>
      <c r="P988" s="1431">
        <f>IFERROR(__xludf.DUMMYFUNCTION("""COMPUTED_VALUE"""),2.73)</f>
        <v>2.73</v>
      </c>
      <c r="Q988" s="1432">
        <f>IFERROR(__xludf.DUMMYFUNCTION("""COMPUTED_VALUE"""),453.0)</f>
        <v>453</v>
      </c>
    </row>
    <row r="989" ht="15.75" customHeight="1">
      <c r="A989" s="94"/>
      <c r="B989" s="94" t="str">
        <f>IFERROR(__xludf.DUMMYFUNCTION("""COMPUTED_VALUE"""),"DL 11-1112")</f>
        <v>DL 11-1112</v>
      </c>
      <c r="C989" s="1429" t="str">
        <f>IFERROR(__xludf.DUMMYFUNCTION("""COMPUTED_VALUE"""),"DL")</f>
        <v>DL</v>
      </c>
      <c r="D989" s="1432">
        <f>IFERROR(__xludf.DUMMYFUNCTION("""COMPUTED_VALUE"""),10.0)</f>
        <v>10</v>
      </c>
      <c r="E989" s="1429">
        <f>IFERROR(__xludf.DUMMYFUNCTION("""COMPUTED_VALUE"""),45571.0)</f>
        <v>45571</v>
      </c>
      <c r="F989" s="1429">
        <f>IFERROR(__xludf.DUMMYFUNCTION("""COMPUTED_VALUE"""),45573.0)</f>
        <v>45573</v>
      </c>
      <c r="G989" s="1164">
        <f>IFERROR(__xludf.DUMMYFUNCTION("""COMPUTED_VALUE"""),2.0)</f>
        <v>2</v>
      </c>
      <c r="H989" s="1430">
        <f>IFERROR(__xludf.DUMMYFUNCTION("""COMPUTED_VALUE"""),90.0)</f>
        <v>90</v>
      </c>
      <c r="I989" s="94">
        <f>IFERROR(__xludf.DUMMYFUNCTION("""COMPUTED_VALUE"""),0.0)</f>
        <v>0</v>
      </c>
      <c r="J989" s="94"/>
      <c r="K989" s="94">
        <f>IFERROR(__xludf.DUMMYFUNCTION("""COMPUTED_VALUE"""),95.0)</f>
        <v>95</v>
      </c>
      <c r="L989" s="94">
        <f>IFERROR(__xludf.DUMMYFUNCTION("""COMPUTED_VALUE"""),95.0)</f>
        <v>95</v>
      </c>
      <c r="M989" s="94">
        <f>IFERROR(__xludf.DUMMYFUNCTION("""COMPUTED_VALUE"""),0.0)</f>
        <v>0</v>
      </c>
      <c r="N989" s="94"/>
      <c r="O989" s="1430">
        <f>IFERROR(__xludf.DUMMYFUNCTION("""COMPUTED_VALUE"""),0.0)</f>
        <v>0</v>
      </c>
      <c r="P989" s="1431">
        <f>IFERROR(__xludf.DUMMYFUNCTION("""COMPUTED_VALUE"""),2.73)</f>
        <v>2.73</v>
      </c>
      <c r="Q989" s="1432">
        <f>IFERROR(__xludf.DUMMYFUNCTION("""COMPUTED_VALUE"""),245.7)</f>
        <v>245.7</v>
      </c>
    </row>
    <row r="990" ht="15.75" customHeight="1">
      <c r="A990" s="94" t="str">
        <f>IFERROR(__xludf.DUMMYFUNCTION("""COMPUTED_VALUE"""),"Итого неделя")</f>
        <v>Итого неделя</v>
      </c>
      <c r="B990" s="94" t="str">
        <f>IFERROR(__xludf.DUMMYFUNCTION("""COMPUTED_VALUE"""),"40 неделя")</f>
        <v>40 неделя</v>
      </c>
      <c r="C990" s="94"/>
      <c r="D990" s="94"/>
      <c r="E990" s="94"/>
      <c r="F990" s="94"/>
      <c r="G990" s="1164">
        <f>IFERROR(__xludf.DUMMYFUNCTION("""COMPUTED_VALUE"""),194.0)</f>
        <v>194</v>
      </c>
      <c r="H990" s="1430">
        <f>IFERROR(__xludf.DUMMYFUNCTION("""COMPUTED_VALUE"""),4285.0)</f>
        <v>4285</v>
      </c>
      <c r="I990" s="94">
        <f>IFERROR(__xludf.DUMMYFUNCTION("""COMPUTED_VALUE"""),1457.0)</f>
        <v>1457</v>
      </c>
      <c r="J990" s="94">
        <f>IFERROR(__xludf.DUMMYFUNCTION("""COMPUTED_VALUE"""),0.0)</f>
        <v>0</v>
      </c>
      <c r="K990" s="94">
        <f>IFERROR(__xludf.DUMMYFUNCTION("""COMPUTED_VALUE"""),945.0)</f>
        <v>945</v>
      </c>
      <c r="L990" s="94">
        <f>IFERROR(__xludf.DUMMYFUNCTION("""COMPUTED_VALUE"""),645.0)</f>
        <v>645</v>
      </c>
      <c r="M990" s="94">
        <f>IFERROR(__xludf.DUMMYFUNCTION("""COMPUTED_VALUE"""),300.0)</f>
        <v>300</v>
      </c>
      <c r="N990" s="94">
        <f>IFERROR(__xludf.DUMMYFUNCTION("""COMPUTED_VALUE"""),0.0)</f>
        <v>0</v>
      </c>
      <c r="O990" s="1430">
        <f>IFERROR(__xludf.DUMMYFUNCTION("""COMPUTED_VALUE"""),300.0)</f>
        <v>300</v>
      </c>
      <c r="P990" s="1431">
        <f>IFERROR(__xludf.DUMMYFUNCTION("""COMPUTED_VALUE"""),38.21999999999999)</f>
        <v>38.22</v>
      </c>
      <c r="Q990" s="1432">
        <f>IFERROR(__xludf.DUMMYFUNCTION("""COMPUTED_VALUE"""),13155.05)</f>
        <v>13155.05</v>
      </c>
    </row>
    <row r="991" ht="15.75" customHeight="1">
      <c r="A991" s="94"/>
      <c r="B991" s="94" t="str">
        <f>IFERROR(__xludf.DUMMYFUNCTION("""COMPUTED_VALUE"""),"CM 1931")</f>
        <v>CM 1931</v>
      </c>
      <c r="C991" s="1429" t="str">
        <f>IFERROR(__xludf.DUMMYFUNCTION("""COMPUTED_VALUE"""),"MAR")</f>
        <v>MAR</v>
      </c>
      <c r="D991" s="1432">
        <f>IFERROR(__xludf.DUMMYFUNCTION("""COMPUTED_VALUE"""),10.0)</f>
        <v>10</v>
      </c>
      <c r="E991" s="1429">
        <f>IFERROR(__xludf.DUMMYFUNCTION("""COMPUTED_VALUE"""),45572.0)</f>
        <v>45572</v>
      </c>
      <c r="F991" s="1429">
        <f>IFERROR(__xludf.DUMMYFUNCTION("""COMPUTED_VALUE"""),45575.0)</f>
        <v>45575</v>
      </c>
      <c r="G991" s="1164">
        <f>IFERROR(__xludf.DUMMYFUNCTION("""COMPUTED_VALUE"""),3.0)</f>
        <v>3</v>
      </c>
      <c r="H991" s="1430">
        <f>IFERROR(__xludf.DUMMYFUNCTION("""COMPUTED_VALUE"""),61.0)</f>
        <v>61</v>
      </c>
      <c r="I991" s="94"/>
      <c r="J991" s="94"/>
      <c r="K991" s="94">
        <f>IFERROR(__xludf.DUMMYFUNCTION("""COMPUTED_VALUE"""),60.0)</f>
        <v>60</v>
      </c>
      <c r="L991" s="94">
        <f>IFERROR(__xludf.DUMMYFUNCTION("""COMPUTED_VALUE"""),30.0)</f>
        <v>30</v>
      </c>
      <c r="M991" s="94">
        <f>IFERROR(__xludf.DUMMYFUNCTION("""COMPUTED_VALUE"""),30.0)</f>
        <v>30</v>
      </c>
      <c r="N991" s="94"/>
      <c r="O991" s="1430">
        <f>IFERROR(__xludf.DUMMYFUNCTION("""COMPUTED_VALUE"""),30.0)</f>
        <v>30</v>
      </c>
      <c r="P991" s="1431">
        <f>IFERROR(__xludf.DUMMYFUNCTION("""COMPUTED_VALUE"""),2.71)</f>
        <v>2.71</v>
      </c>
      <c r="Q991" s="1432">
        <f>IFERROR(__xludf.DUMMYFUNCTION("""COMPUTED_VALUE"""),165.31)</f>
        <v>165.31</v>
      </c>
    </row>
    <row r="992" ht="15.75" customHeight="1">
      <c r="A992" s="94"/>
      <c r="B992" s="94" t="str">
        <f>IFERROR(__xludf.DUMMYFUNCTION("""COMPUTED_VALUE"""),"А 4049")</f>
        <v>А 4049</v>
      </c>
      <c r="C992" s="1429" t="str">
        <f>IFERROR(__xludf.DUMMYFUNCTION("""COMPUTED_VALUE"""),"ORBI")</f>
        <v>ORBI</v>
      </c>
      <c r="D992" s="1432">
        <f>IFERROR(__xludf.DUMMYFUNCTION("""COMPUTED_VALUE"""),10.0)</f>
        <v>10</v>
      </c>
      <c r="E992" s="1429">
        <f>IFERROR(__xludf.DUMMYFUNCTION("""COMPUTED_VALUE"""),45572.0)</f>
        <v>45572</v>
      </c>
      <c r="F992" s="1429">
        <f>IFERROR(__xludf.DUMMYFUNCTION("""COMPUTED_VALUE"""),45575.0)</f>
        <v>45575</v>
      </c>
      <c r="G992" s="1164">
        <f>IFERROR(__xludf.DUMMYFUNCTION("""COMPUTED_VALUE"""),3.0)</f>
        <v>3</v>
      </c>
      <c r="H992" s="1430">
        <f>IFERROR(__xludf.DUMMYFUNCTION("""COMPUTED_VALUE"""),68.0)</f>
        <v>68</v>
      </c>
      <c r="I992" s="94"/>
      <c r="J992" s="94"/>
      <c r="K992" s="94">
        <f>IFERROR(__xludf.DUMMYFUNCTION("""COMPUTED_VALUE"""),60.0)</f>
        <v>60</v>
      </c>
      <c r="L992" s="94">
        <f>IFERROR(__xludf.DUMMYFUNCTION("""COMPUTED_VALUE"""),30.0)</f>
        <v>30</v>
      </c>
      <c r="M992" s="94">
        <f>IFERROR(__xludf.DUMMYFUNCTION("""COMPUTED_VALUE"""),30.0)</f>
        <v>30</v>
      </c>
      <c r="N992" s="94"/>
      <c r="O992" s="1430">
        <f>IFERROR(__xludf.DUMMYFUNCTION("""COMPUTED_VALUE"""),30.0)</f>
        <v>30</v>
      </c>
      <c r="P992" s="1431">
        <f>IFERROR(__xludf.DUMMYFUNCTION("""COMPUTED_VALUE"""),2.71)</f>
        <v>2.71</v>
      </c>
      <c r="Q992" s="1432">
        <f>IFERROR(__xludf.DUMMYFUNCTION("""COMPUTED_VALUE"""),184.28)</f>
        <v>184.28</v>
      </c>
    </row>
    <row r="993" ht="15.75" customHeight="1">
      <c r="A993" s="94"/>
      <c r="B993" s="94" t="str">
        <f>IFERROR(__xludf.DUMMYFUNCTION("""COMPUTED_VALUE"""),"Шар 2505")</f>
        <v>Шар 2505</v>
      </c>
      <c r="C993" s="1429" t="str">
        <f>IFERROR(__xludf.DUMMYFUNCTION("""COMPUTED_VALUE"""),"Other")</f>
        <v>Other</v>
      </c>
      <c r="D993" s="1432">
        <f>IFERROR(__xludf.DUMMYFUNCTION("""COMPUTED_VALUE"""),10.0)</f>
        <v>10</v>
      </c>
      <c r="E993" s="1429">
        <f>IFERROR(__xludf.DUMMYFUNCTION("""COMPUTED_VALUE"""),45573.0)</f>
        <v>45573</v>
      </c>
      <c r="F993" s="1429">
        <f>IFERROR(__xludf.DUMMYFUNCTION("""COMPUTED_VALUE"""),45603.0)</f>
        <v>45603</v>
      </c>
      <c r="G993" s="1164">
        <f>IFERROR(__xludf.DUMMYFUNCTION("""COMPUTED_VALUE"""),30.0)</f>
        <v>30</v>
      </c>
      <c r="H993" s="1430">
        <f>IFERROR(__xludf.DUMMYFUNCTION("""COMPUTED_VALUE"""),500.0)</f>
        <v>500</v>
      </c>
      <c r="I993" s="94"/>
      <c r="J993" s="94"/>
      <c r="K993" s="94">
        <f>IFERROR(__xludf.DUMMYFUNCTION("""COMPUTED_VALUE"""),60.0)</f>
        <v>60</v>
      </c>
      <c r="L993" s="94">
        <f>IFERROR(__xludf.DUMMYFUNCTION("""COMPUTED_VALUE"""),30.0)</f>
        <v>30</v>
      </c>
      <c r="M993" s="94">
        <f>IFERROR(__xludf.DUMMYFUNCTION("""COMPUTED_VALUE"""),30.0)</f>
        <v>30</v>
      </c>
      <c r="N993" s="94"/>
      <c r="O993" s="1430">
        <f>IFERROR(__xludf.DUMMYFUNCTION("""COMPUTED_VALUE"""),30.0)</f>
        <v>30</v>
      </c>
      <c r="P993" s="1431">
        <f>IFERROR(__xludf.DUMMYFUNCTION("""COMPUTED_VALUE"""),2.71)</f>
        <v>2.71</v>
      </c>
      <c r="Q993" s="1432">
        <f>IFERROR(__xludf.DUMMYFUNCTION("""COMPUTED_VALUE"""),1355.0)</f>
        <v>1355</v>
      </c>
    </row>
    <row r="994" ht="15.75" customHeight="1">
      <c r="A994" s="94"/>
      <c r="B994" s="94" t="str">
        <f>IFERROR(__xludf.DUMMYFUNCTION("""COMPUTED_VALUE"""),"CM 1604")</f>
        <v>CM 1604</v>
      </c>
      <c r="C994" s="1429" t="str">
        <f>IFERROR(__xludf.DUMMYFUNCTION("""COMPUTED_VALUE"""),"MAR")</f>
        <v>MAR</v>
      </c>
      <c r="D994" s="1432">
        <f>IFERROR(__xludf.DUMMYFUNCTION("""COMPUTED_VALUE"""),10.0)</f>
        <v>10</v>
      </c>
      <c r="E994" s="1429">
        <f>IFERROR(__xludf.DUMMYFUNCTION("""COMPUTED_VALUE"""),45573.0)</f>
        <v>45573</v>
      </c>
      <c r="F994" s="1429">
        <f>IFERROR(__xludf.DUMMYFUNCTION("""COMPUTED_VALUE"""),45575.0)</f>
        <v>45575</v>
      </c>
      <c r="G994" s="1164">
        <f>IFERROR(__xludf.DUMMYFUNCTION("""COMPUTED_VALUE"""),2.0)</f>
        <v>2</v>
      </c>
      <c r="H994" s="1430">
        <f>IFERROR(__xludf.DUMMYFUNCTION("""COMPUTED_VALUE"""),95.0)</f>
        <v>95</v>
      </c>
      <c r="I994" s="94"/>
      <c r="J994" s="94"/>
      <c r="K994" s="94">
        <f>IFERROR(__xludf.DUMMYFUNCTION("""COMPUTED_VALUE"""),70.0)</f>
        <v>70</v>
      </c>
      <c r="L994" s="94">
        <f>IFERROR(__xludf.DUMMYFUNCTION("""COMPUTED_VALUE"""),40.0)</f>
        <v>40</v>
      </c>
      <c r="M994" s="94">
        <f>IFERROR(__xludf.DUMMYFUNCTION("""COMPUTED_VALUE"""),30.0)</f>
        <v>30</v>
      </c>
      <c r="N994" s="94"/>
      <c r="O994" s="1430">
        <f>IFERROR(__xludf.DUMMYFUNCTION("""COMPUTED_VALUE"""),30.0)</f>
        <v>30</v>
      </c>
      <c r="P994" s="1431">
        <f>IFERROR(__xludf.DUMMYFUNCTION("""COMPUTED_VALUE"""),2.71)</f>
        <v>2.71</v>
      </c>
      <c r="Q994" s="1432">
        <f>IFERROR(__xludf.DUMMYFUNCTION("""COMPUTED_VALUE"""),257.45)</f>
        <v>257.45</v>
      </c>
    </row>
    <row r="995" ht="15.75" customHeight="1">
      <c r="A995" s="94"/>
      <c r="B995" s="94" t="str">
        <f>IFERROR(__xludf.DUMMYFUNCTION("""COMPUTED_VALUE"""),"CM 1606")</f>
        <v>CM 1606</v>
      </c>
      <c r="C995" s="1429" t="str">
        <f>IFERROR(__xludf.DUMMYFUNCTION("""COMPUTED_VALUE"""),"MAR")</f>
        <v>MAR</v>
      </c>
      <c r="D995" s="1432">
        <f>IFERROR(__xludf.DUMMYFUNCTION("""COMPUTED_VALUE"""),10.0)</f>
        <v>10</v>
      </c>
      <c r="E995" s="1429">
        <f>IFERROR(__xludf.DUMMYFUNCTION("""COMPUTED_VALUE"""),45573.0)</f>
        <v>45573</v>
      </c>
      <c r="F995" s="1429">
        <f>IFERROR(__xludf.DUMMYFUNCTION("""COMPUTED_VALUE"""),45577.0)</f>
        <v>45577</v>
      </c>
      <c r="G995" s="1164">
        <f>IFERROR(__xludf.DUMMYFUNCTION("""COMPUTED_VALUE"""),4.0)</f>
        <v>4</v>
      </c>
      <c r="H995" s="1430">
        <f>IFERROR(__xludf.DUMMYFUNCTION("""COMPUTED_VALUE"""),151.0)</f>
        <v>151</v>
      </c>
      <c r="I995" s="94"/>
      <c r="J995" s="94"/>
      <c r="K995" s="94">
        <f>IFERROR(__xludf.DUMMYFUNCTION("""COMPUTED_VALUE"""),60.0)</f>
        <v>60</v>
      </c>
      <c r="L995" s="94">
        <f>IFERROR(__xludf.DUMMYFUNCTION("""COMPUTED_VALUE"""),30.0)</f>
        <v>30</v>
      </c>
      <c r="M995" s="94">
        <f>IFERROR(__xludf.DUMMYFUNCTION("""COMPUTED_VALUE"""),30.0)</f>
        <v>30</v>
      </c>
      <c r="N995" s="94"/>
      <c r="O995" s="1430">
        <f>IFERROR(__xludf.DUMMYFUNCTION("""COMPUTED_VALUE"""),30.0)</f>
        <v>30</v>
      </c>
      <c r="P995" s="1431">
        <f>IFERROR(__xludf.DUMMYFUNCTION("""COMPUTED_VALUE"""),2.71)</f>
        <v>2.71</v>
      </c>
      <c r="Q995" s="1432">
        <f>IFERROR(__xludf.DUMMYFUNCTION("""COMPUTED_VALUE"""),409.21)</f>
        <v>409.21</v>
      </c>
    </row>
    <row r="996" ht="15.75" customHeight="1">
      <c r="A996" s="94"/>
      <c r="B996" s="94" t="str">
        <f>IFERROR(__xludf.DUMMYFUNCTION("""COMPUTED_VALUE"""),"C 4245")</f>
        <v>C 4245</v>
      </c>
      <c r="C996" s="1429" t="str">
        <f>IFERROR(__xludf.DUMMYFUNCTION("""COMPUTED_VALUE"""),"ORBI")</f>
        <v>ORBI</v>
      </c>
      <c r="D996" s="1432">
        <f>IFERROR(__xludf.DUMMYFUNCTION("""COMPUTED_VALUE"""),10.0)</f>
        <v>10</v>
      </c>
      <c r="E996" s="1429">
        <f>IFERROR(__xludf.DUMMYFUNCTION("""COMPUTED_VALUE"""),45573.0)</f>
        <v>45573</v>
      </c>
      <c r="F996" s="1429">
        <f>IFERROR(__xludf.DUMMYFUNCTION("""COMPUTED_VALUE"""),45577.0)</f>
        <v>45577</v>
      </c>
      <c r="G996" s="1164">
        <f>IFERROR(__xludf.DUMMYFUNCTION("""COMPUTED_VALUE"""),4.0)</f>
        <v>4</v>
      </c>
      <c r="H996" s="1430">
        <f>IFERROR(__xludf.DUMMYFUNCTION("""COMPUTED_VALUE"""),125.0)</f>
        <v>125</v>
      </c>
      <c r="I996" s="94"/>
      <c r="J996" s="94"/>
      <c r="K996" s="94">
        <f>IFERROR(__xludf.DUMMYFUNCTION("""COMPUTED_VALUE"""),70.0)</f>
        <v>70</v>
      </c>
      <c r="L996" s="94">
        <f>IFERROR(__xludf.DUMMYFUNCTION("""COMPUTED_VALUE"""),40.0)</f>
        <v>40</v>
      </c>
      <c r="M996" s="94">
        <f>IFERROR(__xludf.DUMMYFUNCTION("""COMPUTED_VALUE"""),30.0)</f>
        <v>30</v>
      </c>
      <c r="N996" s="94"/>
      <c r="O996" s="1430">
        <f>IFERROR(__xludf.DUMMYFUNCTION("""COMPUTED_VALUE"""),30.0)</f>
        <v>30</v>
      </c>
      <c r="P996" s="1431">
        <f>IFERROR(__xludf.DUMMYFUNCTION("""COMPUTED_VALUE"""),2.71)</f>
        <v>2.71</v>
      </c>
      <c r="Q996" s="1432">
        <f>IFERROR(__xludf.DUMMYFUNCTION("""COMPUTED_VALUE"""),338.75)</f>
        <v>338.75</v>
      </c>
    </row>
    <row r="997" ht="15.75" customHeight="1">
      <c r="A997" s="94"/>
      <c r="B997" s="94" t="str">
        <f>IFERROR(__xludf.DUMMYFUNCTION("""COMPUTED_VALUE"""),"WS В 503")</f>
        <v>WS В 503</v>
      </c>
      <c r="C997" s="1429" t="str">
        <f>IFERROR(__xludf.DUMMYFUNCTION("""COMPUTED_VALUE"""),"WS")</f>
        <v>WS</v>
      </c>
      <c r="D997" s="1432">
        <f>IFERROR(__xludf.DUMMYFUNCTION("""COMPUTED_VALUE"""),10.0)</f>
        <v>10</v>
      </c>
      <c r="E997" s="1429">
        <f>IFERROR(__xludf.DUMMYFUNCTION("""COMPUTED_VALUE"""),45573.0)</f>
        <v>45573</v>
      </c>
      <c r="F997" s="1429">
        <f>IFERROR(__xludf.DUMMYFUNCTION("""COMPUTED_VALUE"""),45578.0)</f>
        <v>45578</v>
      </c>
      <c r="G997" s="1164">
        <f>IFERROR(__xludf.DUMMYFUNCTION("""COMPUTED_VALUE"""),5.0)</f>
        <v>5</v>
      </c>
      <c r="H997" s="1430">
        <f>IFERROR(__xludf.DUMMYFUNCTION("""COMPUTED_VALUE"""),353.0)</f>
        <v>353</v>
      </c>
      <c r="I997" s="94"/>
      <c r="J997" s="94"/>
      <c r="K997" s="94">
        <f>IFERROR(__xludf.DUMMYFUNCTION("""COMPUTED_VALUE"""),70.0)</f>
        <v>70</v>
      </c>
      <c r="L997" s="94">
        <f>IFERROR(__xludf.DUMMYFUNCTION("""COMPUTED_VALUE"""),30.0)</f>
        <v>30</v>
      </c>
      <c r="M997" s="94">
        <f>IFERROR(__xludf.DUMMYFUNCTION("""COMPUTED_VALUE"""),40.0)</f>
        <v>40</v>
      </c>
      <c r="N997" s="94"/>
      <c r="O997" s="1430">
        <f>IFERROR(__xludf.DUMMYFUNCTION("""COMPUTED_VALUE"""),40.0)</f>
        <v>40</v>
      </c>
      <c r="P997" s="1431">
        <f>IFERROR(__xludf.DUMMYFUNCTION("""COMPUTED_VALUE"""),2.71)</f>
        <v>2.71</v>
      </c>
      <c r="Q997" s="1432">
        <f>IFERROR(__xludf.DUMMYFUNCTION("""COMPUTED_VALUE"""),956.63)</f>
        <v>956.63</v>
      </c>
    </row>
    <row r="998" ht="15.75" customHeight="1">
      <c r="A998" s="94"/>
      <c r="B998" s="94" t="str">
        <f>IFERROR(__xludf.DUMMYFUNCTION("""COMPUTED_VALUE"""),"Вилла Ева")</f>
        <v>Вилла Ева</v>
      </c>
      <c r="C998" s="1429" t="str">
        <f>IFERROR(__xludf.DUMMYFUNCTION("""COMPUTED_VALUE"""),"Other")</f>
        <v>Other</v>
      </c>
      <c r="D998" s="1432">
        <f>IFERROR(__xludf.DUMMYFUNCTION("""COMPUTED_VALUE"""),10.0)</f>
        <v>10</v>
      </c>
      <c r="E998" s="1429">
        <f>IFERROR(__xludf.DUMMYFUNCTION("""COMPUTED_VALUE"""),45573.0)</f>
        <v>45573</v>
      </c>
      <c r="F998" s="1429">
        <f>IFERROR(__xludf.DUMMYFUNCTION("""COMPUTED_VALUE"""),45576.0)</f>
        <v>45576</v>
      </c>
      <c r="G998" s="1164">
        <f>IFERROR(__xludf.DUMMYFUNCTION("""COMPUTED_VALUE"""),3.0)</f>
        <v>3</v>
      </c>
      <c r="H998" s="1430">
        <f>IFERROR(__xludf.DUMMYFUNCTION("""COMPUTED_VALUE"""),19.53)</f>
        <v>19.53</v>
      </c>
      <c r="I998" s="94"/>
      <c r="J998" s="94"/>
      <c r="K998" s="94"/>
      <c r="L998" s="94"/>
      <c r="M998" s="94">
        <f>IFERROR(__xludf.DUMMYFUNCTION("""COMPUTED_VALUE"""),0.0)</f>
        <v>0</v>
      </c>
      <c r="N998" s="94"/>
      <c r="O998" s="1430">
        <f>IFERROR(__xludf.DUMMYFUNCTION("""COMPUTED_VALUE"""),0.0)</f>
        <v>0</v>
      </c>
      <c r="P998" s="1431">
        <f>IFERROR(__xludf.DUMMYFUNCTION("""COMPUTED_VALUE"""),2.71)</f>
        <v>2.71</v>
      </c>
      <c r="Q998" s="1432">
        <f>IFERROR(__xludf.DUMMYFUNCTION("""COMPUTED_VALUE"""),52.926300000000005)</f>
        <v>52.9263</v>
      </c>
    </row>
    <row r="999" ht="15.75" customHeight="1">
      <c r="A999" s="94"/>
      <c r="B999" s="94" t="str">
        <f>IFERROR(__xludf.DUMMYFUNCTION("""COMPUTED_VALUE"""),"Steps 510")</f>
        <v>Steps 510</v>
      </c>
      <c r="C999" s="1429" t="str">
        <f>IFERROR(__xludf.DUMMYFUNCTION("""COMPUTED_VALUE"""),"#N/A")</f>
        <v>#N/A</v>
      </c>
      <c r="D999" s="1432">
        <f>IFERROR(__xludf.DUMMYFUNCTION("""COMPUTED_VALUE"""),10.0)</f>
        <v>10</v>
      </c>
      <c r="E999" s="1429">
        <f>IFERROR(__xludf.DUMMYFUNCTION("""COMPUTED_VALUE"""),45573.0)</f>
        <v>45573</v>
      </c>
      <c r="F999" s="1429">
        <f>IFERROR(__xludf.DUMMYFUNCTION("""COMPUTED_VALUE"""),45575.0)</f>
        <v>45575</v>
      </c>
      <c r="G999" s="1164">
        <f>IFERROR(__xludf.DUMMYFUNCTION("""COMPUTED_VALUE"""),2.0)</f>
        <v>2</v>
      </c>
      <c r="H999" s="1430">
        <f>IFERROR(__xludf.DUMMYFUNCTION("""COMPUTED_VALUE"""),62.0)</f>
        <v>62</v>
      </c>
      <c r="I999" s="94"/>
      <c r="J999" s="94"/>
      <c r="K999" s="94">
        <f>IFERROR(__xludf.DUMMYFUNCTION("""COMPUTED_VALUE"""),60.0)</f>
        <v>60</v>
      </c>
      <c r="L999" s="94">
        <f>IFERROR(__xludf.DUMMYFUNCTION("""COMPUTED_VALUE"""),30.0)</f>
        <v>30</v>
      </c>
      <c r="M999" s="94">
        <f>IFERROR(__xludf.DUMMYFUNCTION("""COMPUTED_VALUE"""),30.0)</f>
        <v>30</v>
      </c>
      <c r="N999" s="94"/>
      <c r="O999" s="1430">
        <f>IFERROR(__xludf.DUMMYFUNCTION("""COMPUTED_VALUE"""),30.0)</f>
        <v>30</v>
      </c>
      <c r="P999" s="1431">
        <f>IFERROR(__xludf.DUMMYFUNCTION("""COMPUTED_VALUE"""),2.71)</f>
        <v>2.71</v>
      </c>
      <c r="Q999" s="1432">
        <f>IFERROR(__xludf.DUMMYFUNCTION("""COMPUTED_VALUE"""),168.02)</f>
        <v>168.02</v>
      </c>
    </row>
    <row r="1000" ht="15.75" customHeight="1">
      <c r="A1000" s="94"/>
      <c r="B1000" s="94" t="str">
        <f>IFERROR(__xludf.DUMMYFUNCTION("""COMPUTED_VALUE"""),"DL14-518")</f>
        <v>DL14-518</v>
      </c>
      <c r="C1000" s="1429" t="str">
        <f>IFERROR(__xludf.DUMMYFUNCTION("""COMPUTED_VALUE"""),"DL")</f>
        <v>DL</v>
      </c>
      <c r="D1000" s="1432">
        <f>IFERROR(__xludf.DUMMYFUNCTION("""COMPUTED_VALUE"""),10.0)</f>
        <v>10</v>
      </c>
      <c r="E1000" s="1429">
        <f>IFERROR(__xludf.DUMMYFUNCTION("""COMPUTED_VALUE"""),45573.0)</f>
        <v>45573</v>
      </c>
      <c r="F1000" s="1429">
        <f>IFERROR(__xludf.DUMMYFUNCTION("""COMPUTED_VALUE"""),45574.0)</f>
        <v>45574</v>
      </c>
      <c r="G1000" s="1164">
        <f>IFERROR(__xludf.DUMMYFUNCTION("""COMPUTED_VALUE"""),1.0)</f>
        <v>1</v>
      </c>
      <c r="H1000" s="94"/>
      <c r="I1000" s="94">
        <f>IFERROR(__xludf.DUMMYFUNCTION("""COMPUTED_VALUE"""),165.0)</f>
        <v>165</v>
      </c>
      <c r="J1000" s="94"/>
      <c r="K1000" s="94">
        <f>IFERROR(__xludf.DUMMYFUNCTION("""COMPUTED_VALUE"""),95.0)</f>
        <v>95</v>
      </c>
      <c r="L1000" s="94">
        <f>IFERROR(__xludf.DUMMYFUNCTION("""COMPUTED_VALUE"""),95.0)</f>
        <v>95</v>
      </c>
      <c r="M1000" s="94">
        <f>IFERROR(__xludf.DUMMYFUNCTION("""COMPUTED_VALUE"""),0.0)</f>
        <v>0</v>
      </c>
      <c r="N1000" s="94"/>
      <c r="O1000" s="1430">
        <f>IFERROR(__xludf.DUMMYFUNCTION("""COMPUTED_VALUE"""),0.0)</f>
        <v>0</v>
      </c>
      <c r="P1000" s="1431">
        <f>IFERROR(__xludf.DUMMYFUNCTION("""COMPUTED_VALUE"""),2.71)</f>
        <v>2.71</v>
      </c>
      <c r="Q1000" s="1432">
        <f>IFERROR(__xludf.DUMMYFUNCTION("""COMPUTED_VALUE"""),165.0)</f>
        <v>165</v>
      </c>
    </row>
    <row r="1001" ht="15.75" customHeight="1">
      <c r="A1001" s="94"/>
      <c r="B1001" s="94" t="str">
        <f>IFERROR(__xludf.DUMMYFUNCTION("""COMPUTED_VALUE"""),"DL 11-1305")</f>
        <v>DL 11-1305</v>
      </c>
      <c r="C1001" s="1429" t="str">
        <f>IFERROR(__xludf.DUMMYFUNCTION("""COMPUTED_VALUE"""),"DL")</f>
        <v>DL</v>
      </c>
      <c r="D1001" s="1432">
        <f>IFERROR(__xludf.DUMMYFUNCTION("""COMPUTED_VALUE"""),10.0)</f>
        <v>10</v>
      </c>
      <c r="E1001" s="1429">
        <f>IFERROR(__xludf.DUMMYFUNCTION("""COMPUTED_VALUE"""),45573.0)</f>
        <v>45573</v>
      </c>
      <c r="F1001" s="1429">
        <f>IFERROR(__xludf.DUMMYFUNCTION("""COMPUTED_VALUE"""),45574.0)</f>
        <v>45574</v>
      </c>
      <c r="G1001" s="1164">
        <f>IFERROR(__xludf.DUMMYFUNCTION("""COMPUTED_VALUE"""),1.0)</f>
        <v>1</v>
      </c>
      <c r="H1001" s="94"/>
      <c r="I1001" s="94">
        <f>IFERROR(__xludf.DUMMYFUNCTION("""COMPUTED_VALUE"""),232.0)</f>
        <v>232</v>
      </c>
      <c r="J1001" s="94"/>
      <c r="K1001" s="94">
        <f>IFERROR(__xludf.DUMMYFUNCTION("""COMPUTED_VALUE"""),105.0)</f>
        <v>105</v>
      </c>
      <c r="L1001" s="94">
        <f>IFERROR(__xludf.DUMMYFUNCTION("""COMPUTED_VALUE"""),105.0)</f>
        <v>105</v>
      </c>
      <c r="M1001" s="94">
        <f>IFERROR(__xludf.DUMMYFUNCTION("""COMPUTED_VALUE"""),0.0)</f>
        <v>0</v>
      </c>
      <c r="N1001" s="94"/>
      <c r="O1001" s="1430">
        <f>IFERROR(__xludf.DUMMYFUNCTION("""COMPUTED_VALUE"""),0.0)</f>
        <v>0</v>
      </c>
      <c r="P1001" s="1431">
        <f>IFERROR(__xludf.DUMMYFUNCTION("""COMPUTED_VALUE"""),2.71)</f>
        <v>2.71</v>
      </c>
      <c r="Q1001" s="1432">
        <f>IFERROR(__xludf.DUMMYFUNCTION("""COMPUTED_VALUE"""),232.0)</f>
        <v>232</v>
      </c>
    </row>
    <row r="1002" ht="15.75" customHeight="1">
      <c r="A1002" s="94"/>
      <c r="B1002" s="94" t="str">
        <f>IFERROR(__xludf.DUMMYFUNCTION("""COMPUTED_VALUE"""),"WS E 1202")</f>
        <v>WS E 1202</v>
      </c>
      <c r="C1002" s="1429" t="str">
        <f>IFERROR(__xludf.DUMMYFUNCTION("""COMPUTED_VALUE"""),"WS")</f>
        <v>WS</v>
      </c>
      <c r="D1002" s="1432">
        <f>IFERROR(__xludf.DUMMYFUNCTION("""COMPUTED_VALUE"""),10.0)</f>
        <v>10</v>
      </c>
      <c r="E1002" s="1429">
        <f>IFERROR(__xludf.DUMMYFUNCTION("""COMPUTED_VALUE"""),45574.0)</f>
        <v>45574</v>
      </c>
      <c r="F1002" s="1429">
        <f>IFERROR(__xludf.DUMMYFUNCTION("""COMPUTED_VALUE"""),45591.0)</f>
        <v>45591</v>
      </c>
      <c r="G1002" s="1164">
        <f>IFERROR(__xludf.DUMMYFUNCTION("""COMPUTED_VALUE"""),17.0)</f>
        <v>17</v>
      </c>
      <c r="H1002" s="1430">
        <f>IFERROR(__xludf.DUMMYFUNCTION("""COMPUTED_VALUE"""),975.0)</f>
        <v>975</v>
      </c>
      <c r="I1002" s="94">
        <f>IFERROR(__xludf.DUMMYFUNCTION("""COMPUTED_VALUE"""),0.0)</f>
        <v>0</v>
      </c>
      <c r="J1002" s="94"/>
      <c r="K1002" s="94">
        <f>IFERROR(__xludf.DUMMYFUNCTION("""COMPUTED_VALUE"""),70.0)</f>
        <v>70</v>
      </c>
      <c r="L1002" s="94">
        <f>IFERROR(__xludf.DUMMYFUNCTION("""COMPUTED_VALUE"""),40.0)</f>
        <v>40</v>
      </c>
      <c r="M1002" s="94">
        <f>IFERROR(__xludf.DUMMYFUNCTION("""COMPUTED_VALUE"""),30.0)</f>
        <v>30</v>
      </c>
      <c r="N1002" s="94"/>
      <c r="O1002" s="1430">
        <f>IFERROR(__xludf.DUMMYFUNCTION("""COMPUTED_VALUE"""),30.0)</f>
        <v>30</v>
      </c>
      <c r="P1002" s="1431">
        <f>IFERROR(__xludf.DUMMYFUNCTION("""COMPUTED_VALUE"""),2.71)</f>
        <v>2.71</v>
      </c>
      <c r="Q1002" s="1432">
        <f>IFERROR(__xludf.DUMMYFUNCTION("""COMPUTED_VALUE"""),2642.25)</f>
        <v>2642.25</v>
      </c>
    </row>
    <row r="1003" ht="15.75" customHeight="1">
      <c r="A1003" s="94"/>
      <c r="B1003" s="94" t="str">
        <f>IFERROR(__xludf.DUMMYFUNCTION("""COMPUTED_VALUE"""),"DL 14-516")</f>
        <v>DL 14-516</v>
      </c>
      <c r="C1003" s="1429" t="str">
        <f>IFERROR(__xludf.DUMMYFUNCTION("""COMPUTED_VALUE"""),"DL")</f>
        <v>DL</v>
      </c>
      <c r="D1003" s="1432">
        <f>IFERROR(__xludf.DUMMYFUNCTION("""COMPUTED_VALUE"""),10.0)</f>
        <v>10</v>
      </c>
      <c r="E1003" s="1429">
        <f>IFERROR(__xludf.DUMMYFUNCTION("""COMPUTED_VALUE"""),45575.0)</f>
        <v>45575</v>
      </c>
      <c r="F1003" s="1429">
        <f>IFERROR(__xludf.DUMMYFUNCTION("""COMPUTED_VALUE"""),45605.0)</f>
        <v>45605</v>
      </c>
      <c r="G1003" s="1164">
        <f>IFERROR(__xludf.DUMMYFUNCTION("""COMPUTED_VALUE"""),30.0)</f>
        <v>30</v>
      </c>
      <c r="H1003" s="1430">
        <f>IFERROR(__xludf.DUMMYFUNCTION("""COMPUTED_VALUE"""),800.0)</f>
        <v>800</v>
      </c>
      <c r="I1003" s="94">
        <f>IFERROR(__xludf.DUMMYFUNCTION("""COMPUTED_VALUE"""),0.0)</f>
        <v>0</v>
      </c>
      <c r="J1003" s="94"/>
      <c r="K1003" s="94">
        <f>IFERROR(__xludf.DUMMYFUNCTION("""COMPUTED_VALUE"""),105.0)</f>
        <v>105</v>
      </c>
      <c r="L1003" s="94">
        <f>IFERROR(__xludf.DUMMYFUNCTION("""COMPUTED_VALUE"""),105.0)</f>
        <v>105</v>
      </c>
      <c r="M1003" s="94">
        <f>IFERROR(__xludf.DUMMYFUNCTION("""COMPUTED_VALUE"""),0.0)</f>
        <v>0</v>
      </c>
      <c r="N1003" s="94"/>
      <c r="O1003" s="1430">
        <f>IFERROR(__xludf.DUMMYFUNCTION("""COMPUTED_VALUE"""),0.0)</f>
        <v>0</v>
      </c>
      <c r="P1003" s="1431">
        <f>IFERROR(__xludf.DUMMYFUNCTION("""COMPUTED_VALUE"""),2.71)</f>
        <v>2.71</v>
      </c>
      <c r="Q1003" s="1432">
        <f>IFERROR(__xludf.DUMMYFUNCTION("""COMPUTED_VALUE"""),2168.0)</f>
        <v>2168</v>
      </c>
    </row>
    <row r="1004" ht="15.75" customHeight="1">
      <c r="A1004" s="94"/>
      <c r="B1004" s="94" t="str">
        <f>IFERROR(__xludf.DUMMYFUNCTION("""COMPUTED_VALUE"""),"С 1125")</f>
        <v>С 1125</v>
      </c>
      <c r="C1004" s="1429" t="str">
        <f>IFERROR(__xludf.DUMMYFUNCTION("""COMPUTED_VALUE"""),"ORBI")</f>
        <v>ORBI</v>
      </c>
      <c r="D1004" s="1432">
        <f>IFERROR(__xludf.DUMMYFUNCTION("""COMPUTED_VALUE"""),10.0)</f>
        <v>10</v>
      </c>
      <c r="E1004" s="1429">
        <f>IFERROR(__xludf.DUMMYFUNCTION("""COMPUTED_VALUE"""),45575.0)</f>
        <v>45575</v>
      </c>
      <c r="F1004" s="1429">
        <f>IFERROR(__xludf.DUMMYFUNCTION("""COMPUTED_VALUE"""),45605.0)</f>
        <v>45605</v>
      </c>
      <c r="G1004" s="1164">
        <f>IFERROR(__xludf.DUMMYFUNCTION("""COMPUTED_VALUE"""),30.0)</f>
        <v>30</v>
      </c>
      <c r="H1004" s="1430">
        <f>IFERROR(__xludf.DUMMYFUNCTION("""COMPUTED_VALUE"""),343.0)</f>
        <v>343</v>
      </c>
      <c r="I1004" s="94">
        <f>IFERROR(__xludf.DUMMYFUNCTION("""COMPUTED_VALUE"""),0.0)</f>
        <v>0</v>
      </c>
      <c r="J1004" s="94"/>
      <c r="K1004" s="94">
        <f>IFERROR(__xludf.DUMMYFUNCTION("""COMPUTED_VALUE"""),50.0)</f>
        <v>50</v>
      </c>
      <c r="L1004" s="94">
        <f>IFERROR(__xludf.DUMMYFUNCTION("""COMPUTED_VALUE"""),30.0)</f>
        <v>30</v>
      </c>
      <c r="M1004" s="94">
        <f>IFERROR(__xludf.DUMMYFUNCTION("""COMPUTED_VALUE"""),20.0)</f>
        <v>20</v>
      </c>
      <c r="N1004" s="94"/>
      <c r="O1004" s="1430">
        <f>IFERROR(__xludf.DUMMYFUNCTION("""COMPUTED_VALUE"""),20.0)</f>
        <v>20</v>
      </c>
      <c r="P1004" s="1431">
        <f>IFERROR(__xludf.DUMMYFUNCTION("""COMPUTED_VALUE"""),2.71)</f>
        <v>2.71</v>
      </c>
      <c r="Q1004" s="1432">
        <f>IFERROR(__xludf.DUMMYFUNCTION("""COMPUTED_VALUE"""),929.53)</f>
        <v>929.53</v>
      </c>
    </row>
    <row r="1005" ht="15.75" customHeight="1">
      <c r="A1005" s="94"/>
      <c r="B1005" s="94" t="str">
        <f>IFERROR(__xludf.DUMMYFUNCTION("""COMPUTED_VALUE"""),"14-411")</f>
        <v>14-411</v>
      </c>
      <c r="C1005" s="1429" t="str">
        <f>IFERROR(__xludf.DUMMYFUNCTION("""COMPUTED_VALUE"""),"DL")</f>
        <v>DL</v>
      </c>
      <c r="D1005" s="1432">
        <f>IFERROR(__xludf.DUMMYFUNCTION("""COMPUTED_VALUE"""),10.0)</f>
        <v>10</v>
      </c>
      <c r="E1005" s="1429">
        <f>IFERROR(__xludf.DUMMYFUNCTION("""COMPUTED_VALUE"""),45575.0)</f>
        <v>45575</v>
      </c>
      <c r="F1005" s="1429">
        <f>IFERROR(__xludf.DUMMYFUNCTION("""COMPUTED_VALUE"""),45579.0)</f>
        <v>45579</v>
      </c>
      <c r="G1005" s="1164">
        <f>IFERROR(__xludf.DUMMYFUNCTION("""COMPUTED_VALUE"""),4.0)</f>
        <v>4</v>
      </c>
      <c r="H1005" s="94"/>
      <c r="I1005" s="94">
        <f>IFERROR(__xludf.DUMMYFUNCTION("""COMPUTED_VALUE"""),427.0)</f>
        <v>427</v>
      </c>
      <c r="J1005" s="94"/>
      <c r="K1005" s="94">
        <f>IFERROR(__xludf.DUMMYFUNCTION("""COMPUTED_VALUE"""),95.0)</f>
        <v>95</v>
      </c>
      <c r="L1005" s="94">
        <f>IFERROR(__xludf.DUMMYFUNCTION("""COMPUTED_VALUE"""),95.0)</f>
        <v>95</v>
      </c>
      <c r="M1005" s="94">
        <f>IFERROR(__xludf.DUMMYFUNCTION("""COMPUTED_VALUE"""),0.0)</f>
        <v>0</v>
      </c>
      <c r="N1005" s="94"/>
      <c r="O1005" s="1430">
        <f>IFERROR(__xludf.DUMMYFUNCTION("""COMPUTED_VALUE"""),0.0)</f>
        <v>0</v>
      </c>
      <c r="P1005" s="1431">
        <f>IFERROR(__xludf.DUMMYFUNCTION("""COMPUTED_VALUE"""),2.71)</f>
        <v>2.71</v>
      </c>
      <c r="Q1005" s="1432">
        <f>IFERROR(__xludf.DUMMYFUNCTION("""COMPUTED_VALUE"""),427.0)</f>
        <v>427</v>
      </c>
    </row>
    <row r="1006" ht="15.75" customHeight="1">
      <c r="A1006" s="94"/>
      <c r="B1006" s="94" t="str">
        <f>IFERROR(__xludf.DUMMYFUNCTION("""COMPUTED_VALUE"""),"CM 1931")</f>
        <v>CM 1931</v>
      </c>
      <c r="C1006" s="1429" t="str">
        <f>IFERROR(__xludf.DUMMYFUNCTION("""COMPUTED_VALUE"""),"MAR")</f>
        <v>MAR</v>
      </c>
      <c r="D1006" s="1432">
        <f>IFERROR(__xludf.DUMMYFUNCTION("""COMPUTED_VALUE"""),10.0)</f>
        <v>10</v>
      </c>
      <c r="E1006" s="1429">
        <f>IFERROR(__xludf.DUMMYFUNCTION("""COMPUTED_VALUE"""),45576.0)</f>
        <v>45576</v>
      </c>
      <c r="F1006" s="1429">
        <f>IFERROR(__xludf.DUMMYFUNCTION("""COMPUTED_VALUE"""),45578.0)</f>
        <v>45578</v>
      </c>
      <c r="G1006" s="1164">
        <f>IFERROR(__xludf.DUMMYFUNCTION("""COMPUTED_VALUE"""),2.0)</f>
        <v>2</v>
      </c>
      <c r="H1006" s="1430">
        <f>IFERROR(__xludf.DUMMYFUNCTION("""COMPUTED_VALUE"""),90.0)</f>
        <v>90</v>
      </c>
      <c r="I1006" s="94"/>
      <c r="J1006" s="94"/>
      <c r="K1006" s="94">
        <f>IFERROR(__xludf.DUMMYFUNCTION("""COMPUTED_VALUE"""),60.0)</f>
        <v>60</v>
      </c>
      <c r="L1006" s="94">
        <f>IFERROR(__xludf.DUMMYFUNCTION("""COMPUTED_VALUE"""),30.0)</f>
        <v>30</v>
      </c>
      <c r="M1006" s="94">
        <f>IFERROR(__xludf.DUMMYFUNCTION("""COMPUTED_VALUE"""),30.0)</f>
        <v>30</v>
      </c>
      <c r="N1006" s="94"/>
      <c r="O1006" s="1430">
        <f>IFERROR(__xludf.DUMMYFUNCTION("""COMPUTED_VALUE"""),30.0)</f>
        <v>30</v>
      </c>
      <c r="P1006" s="1431">
        <f>IFERROR(__xludf.DUMMYFUNCTION("""COMPUTED_VALUE"""),2.71)</f>
        <v>2.71</v>
      </c>
      <c r="Q1006" s="1432">
        <f>IFERROR(__xludf.DUMMYFUNCTION("""COMPUTED_VALUE"""),243.9)</f>
        <v>243.9</v>
      </c>
    </row>
    <row r="1007" ht="15.75" customHeight="1">
      <c r="A1007" s="94"/>
      <c r="B1007" s="94" t="str">
        <f>IFERROR(__xludf.DUMMYFUNCTION("""COMPUTED_VALUE"""),"Вилла Ева")</f>
        <v>Вилла Ева</v>
      </c>
      <c r="C1007" s="1429" t="str">
        <f>IFERROR(__xludf.DUMMYFUNCTION("""COMPUTED_VALUE"""),"Other")</f>
        <v>Other</v>
      </c>
      <c r="D1007" s="1432">
        <f>IFERROR(__xludf.DUMMYFUNCTION("""COMPUTED_VALUE"""),10.0)</f>
        <v>10</v>
      </c>
      <c r="E1007" s="1429">
        <f>IFERROR(__xludf.DUMMYFUNCTION("""COMPUTED_VALUE"""),45576.0)</f>
        <v>45576</v>
      </c>
      <c r="F1007" s="1429">
        <f>IFERROR(__xludf.DUMMYFUNCTION("""COMPUTED_VALUE"""),45583.0)</f>
        <v>45583</v>
      </c>
      <c r="G1007" s="1164">
        <f>IFERROR(__xludf.DUMMYFUNCTION("""COMPUTED_VALUE"""),7.0)</f>
        <v>7</v>
      </c>
      <c r="H1007" s="1430">
        <f>IFERROR(__xludf.DUMMYFUNCTION("""COMPUTED_VALUE"""),38.0)</f>
        <v>38</v>
      </c>
      <c r="I1007" s="94">
        <f>IFERROR(__xludf.DUMMYFUNCTION("""COMPUTED_VALUE"""),0.0)</f>
        <v>0</v>
      </c>
      <c r="J1007" s="94"/>
      <c r="K1007" s="94"/>
      <c r="L1007" s="94"/>
      <c r="M1007" s="94">
        <f>IFERROR(__xludf.DUMMYFUNCTION("""COMPUTED_VALUE"""),0.0)</f>
        <v>0</v>
      </c>
      <c r="N1007" s="94"/>
      <c r="O1007" s="1430">
        <f>IFERROR(__xludf.DUMMYFUNCTION("""COMPUTED_VALUE"""),0.0)</f>
        <v>0</v>
      </c>
      <c r="P1007" s="1431">
        <f>IFERROR(__xludf.DUMMYFUNCTION("""COMPUTED_VALUE"""),2.71)</f>
        <v>2.71</v>
      </c>
      <c r="Q1007" s="1432">
        <f>IFERROR(__xludf.DUMMYFUNCTION("""COMPUTED_VALUE"""),102.98)</f>
        <v>102.98</v>
      </c>
    </row>
    <row r="1008" ht="15.75" customHeight="1">
      <c r="A1008" s="94"/>
      <c r="B1008" s="94" t="str">
        <f>IFERROR(__xludf.DUMMYFUNCTION("""COMPUTED_VALUE"""),"WS A907")</f>
        <v>WS A907</v>
      </c>
      <c r="C1008" s="1429" t="str">
        <f>IFERROR(__xludf.DUMMYFUNCTION("""COMPUTED_VALUE"""),"WS")</f>
        <v>WS</v>
      </c>
      <c r="D1008" s="1432">
        <f>IFERROR(__xludf.DUMMYFUNCTION("""COMPUTED_VALUE"""),10.0)</f>
        <v>10</v>
      </c>
      <c r="E1008" s="1429">
        <f>IFERROR(__xludf.DUMMYFUNCTION("""COMPUTED_VALUE"""),45576.0)</f>
        <v>45576</v>
      </c>
      <c r="F1008" s="1429">
        <f>IFERROR(__xludf.DUMMYFUNCTION("""COMPUTED_VALUE"""),45578.0)</f>
        <v>45578</v>
      </c>
      <c r="G1008" s="1164">
        <f>IFERROR(__xludf.DUMMYFUNCTION("""COMPUTED_VALUE"""),2.0)</f>
        <v>2</v>
      </c>
      <c r="H1008" s="94"/>
      <c r="I1008" s="94">
        <f>IFERROR(__xludf.DUMMYFUNCTION("""COMPUTED_VALUE"""),308.0)</f>
        <v>308</v>
      </c>
      <c r="J1008" s="94"/>
      <c r="K1008" s="94">
        <f>IFERROR(__xludf.DUMMYFUNCTION("""COMPUTED_VALUE"""),60.0)</f>
        <v>60</v>
      </c>
      <c r="L1008" s="94">
        <f>IFERROR(__xludf.DUMMYFUNCTION("""COMPUTED_VALUE"""),30.0)</f>
        <v>30</v>
      </c>
      <c r="M1008" s="94">
        <f>IFERROR(__xludf.DUMMYFUNCTION("""COMPUTED_VALUE"""),30.0)</f>
        <v>30</v>
      </c>
      <c r="N1008" s="94"/>
      <c r="O1008" s="1430">
        <f>IFERROR(__xludf.DUMMYFUNCTION("""COMPUTED_VALUE"""),30.0)</f>
        <v>30</v>
      </c>
      <c r="P1008" s="1431">
        <f>IFERROR(__xludf.DUMMYFUNCTION("""COMPUTED_VALUE"""),2.71)</f>
        <v>2.71</v>
      </c>
      <c r="Q1008" s="1432">
        <f>IFERROR(__xludf.DUMMYFUNCTION("""COMPUTED_VALUE"""),308.0)</f>
        <v>308</v>
      </c>
    </row>
    <row r="1009" ht="15.75" customHeight="1">
      <c r="A1009" s="94"/>
      <c r="B1009" s="94" t="str">
        <f>IFERROR(__xludf.DUMMYFUNCTION("""COMPUTED_VALUE"""),"С 2756")</f>
        <v>С 2756</v>
      </c>
      <c r="C1009" s="1429" t="str">
        <f>IFERROR(__xludf.DUMMYFUNCTION("""COMPUTED_VALUE"""),"ORBI")</f>
        <v>ORBI</v>
      </c>
      <c r="D1009" s="1432">
        <f>IFERROR(__xludf.DUMMYFUNCTION("""COMPUTED_VALUE"""),10.0)</f>
        <v>10</v>
      </c>
      <c r="E1009" s="1429">
        <f>IFERROR(__xludf.DUMMYFUNCTION("""COMPUTED_VALUE"""),45576.0)</f>
        <v>45576</v>
      </c>
      <c r="F1009" s="1429">
        <f>IFERROR(__xludf.DUMMYFUNCTION("""COMPUTED_VALUE"""),45611.0)</f>
        <v>45611</v>
      </c>
      <c r="G1009" s="1164">
        <f>IFERROR(__xludf.DUMMYFUNCTION("""COMPUTED_VALUE"""),35.0)</f>
        <v>35</v>
      </c>
      <c r="H1009" s="1430">
        <f>IFERROR(__xludf.DUMMYFUNCTION("""COMPUTED_VALUE"""),395.0)</f>
        <v>395</v>
      </c>
      <c r="I1009" s="94">
        <f>IFERROR(__xludf.DUMMYFUNCTION("""COMPUTED_VALUE"""),0.0)</f>
        <v>0</v>
      </c>
      <c r="J1009" s="94"/>
      <c r="K1009" s="94">
        <f>IFERROR(__xludf.DUMMYFUNCTION("""COMPUTED_VALUE"""),50.0)</f>
        <v>50</v>
      </c>
      <c r="L1009" s="94">
        <f>IFERROR(__xludf.DUMMYFUNCTION("""COMPUTED_VALUE"""),30.0)</f>
        <v>30</v>
      </c>
      <c r="M1009" s="94">
        <f>IFERROR(__xludf.DUMMYFUNCTION("""COMPUTED_VALUE"""),20.0)</f>
        <v>20</v>
      </c>
      <c r="N1009" s="94"/>
      <c r="O1009" s="1430">
        <f>IFERROR(__xludf.DUMMYFUNCTION("""COMPUTED_VALUE"""),20.0)</f>
        <v>20</v>
      </c>
      <c r="P1009" s="1431">
        <f>IFERROR(__xludf.DUMMYFUNCTION("""COMPUTED_VALUE"""),2.71)</f>
        <v>2.71</v>
      </c>
      <c r="Q1009" s="1432">
        <f>IFERROR(__xludf.DUMMYFUNCTION("""COMPUTED_VALUE"""),1070.45)</f>
        <v>1070.45</v>
      </c>
    </row>
    <row r="1010" ht="15.75" customHeight="1">
      <c r="A1010" s="94"/>
      <c r="B1010" s="94" t="str">
        <f>IFERROR(__xludf.DUMMYFUNCTION("""COMPUTED_VALUE"""),"С732")</f>
        <v>С732</v>
      </c>
      <c r="C1010" s="1429" t="str">
        <f>IFERROR(__xludf.DUMMYFUNCTION("""COMPUTED_VALUE"""),"#N/A")</f>
        <v>#N/A</v>
      </c>
      <c r="D1010" s="1432">
        <f>IFERROR(__xludf.DUMMYFUNCTION("""COMPUTED_VALUE"""),10.0)</f>
        <v>10</v>
      </c>
      <c r="E1010" s="1429">
        <f>IFERROR(__xludf.DUMMYFUNCTION("""COMPUTED_VALUE"""),45576.0)</f>
        <v>45576</v>
      </c>
      <c r="F1010" s="1429">
        <f>IFERROR(__xludf.DUMMYFUNCTION("""COMPUTED_VALUE"""),45606.0)</f>
        <v>45606</v>
      </c>
      <c r="G1010" s="1164">
        <f>IFERROR(__xludf.DUMMYFUNCTION("""COMPUTED_VALUE"""),30.0)</f>
        <v>30</v>
      </c>
      <c r="H1010" s="1430">
        <f>IFERROR(__xludf.DUMMYFUNCTION("""COMPUTED_VALUE"""),335.0)</f>
        <v>335</v>
      </c>
      <c r="I1010" s="94">
        <f>IFERROR(__xludf.DUMMYFUNCTION("""COMPUTED_VALUE"""),0.0)</f>
        <v>0</v>
      </c>
      <c r="J1010" s="94"/>
      <c r="K1010" s="94">
        <f>IFERROR(__xludf.DUMMYFUNCTION("""COMPUTED_VALUE"""),60.0)</f>
        <v>60</v>
      </c>
      <c r="L1010" s="94">
        <f>IFERROR(__xludf.DUMMYFUNCTION("""COMPUTED_VALUE"""),30.0)</f>
        <v>30</v>
      </c>
      <c r="M1010" s="94">
        <f>IFERROR(__xludf.DUMMYFUNCTION("""COMPUTED_VALUE"""),30.0)</f>
        <v>30</v>
      </c>
      <c r="N1010" s="94"/>
      <c r="O1010" s="1430">
        <f>IFERROR(__xludf.DUMMYFUNCTION("""COMPUTED_VALUE"""),30.0)</f>
        <v>30</v>
      </c>
      <c r="P1010" s="1431">
        <f>IFERROR(__xludf.DUMMYFUNCTION("""COMPUTED_VALUE"""),2.71)</f>
        <v>2.71</v>
      </c>
      <c r="Q1010" s="1432">
        <f>IFERROR(__xludf.DUMMYFUNCTION("""COMPUTED_VALUE"""),907.85)</f>
        <v>907.85</v>
      </c>
    </row>
    <row r="1011" ht="15.75" customHeight="1">
      <c r="A1011" s="94"/>
      <c r="B1011" s="94" t="str">
        <f>IFERROR(__xludf.DUMMYFUNCTION("""COMPUTED_VALUE"""),"WS Е804")</f>
        <v>WS Е804</v>
      </c>
      <c r="C1011" s="1429" t="str">
        <f>IFERROR(__xludf.DUMMYFUNCTION("""COMPUTED_VALUE"""),"WS")</f>
        <v>WS</v>
      </c>
      <c r="D1011" s="1432">
        <f>IFERROR(__xludf.DUMMYFUNCTION("""COMPUTED_VALUE"""),10.0)</f>
        <v>10</v>
      </c>
      <c r="E1011" s="1429">
        <f>IFERROR(__xludf.DUMMYFUNCTION("""COMPUTED_VALUE"""),45576.0)</f>
        <v>45576</v>
      </c>
      <c r="F1011" s="1429">
        <f>IFERROR(__xludf.DUMMYFUNCTION("""COMPUTED_VALUE"""),45579.0)</f>
        <v>45579</v>
      </c>
      <c r="G1011" s="1164">
        <f>IFERROR(__xludf.DUMMYFUNCTION("""COMPUTED_VALUE"""),3.0)</f>
        <v>3</v>
      </c>
      <c r="H1011" s="94"/>
      <c r="I1011" s="94">
        <f>IFERROR(__xludf.DUMMYFUNCTION("""COMPUTED_VALUE"""),300.0)</f>
        <v>300</v>
      </c>
      <c r="J1011" s="94"/>
      <c r="K1011" s="94">
        <f>IFERROR(__xludf.DUMMYFUNCTION("""COMPUTED_VALUE"""),60.0)</f>
        <v>60</v>
      </c>
      <c r="L1011" s="94">
        <f>IFERROR(__xludf.DUMMYFUNCTION("""COMPUTED_VALUE"""),30.0)</f>
        <v>30</v>
      </c>
      <c r="M1011" s="94">
        <f>IFERROR(__xludf.DUMMYFUNCTION("""COMPUTED_VALUE"""),30.0)</f>
        <v>30</v>
      </c>
      <c r="N1011" s="94"/>
      <c r="O1011" s="1430">
        <f>IFERROR(__xludf.DUMMYFUNCTION("""COMPUTED_VALUE"""),30.0)</f>
        <v>30</v>
      </c>
      <c r="P1011" s="1431">
        <f>IFERROR(__xludf.DUMMYFUNCTION("""COMPUTED_VALUE"""),2.71)</f>
        <v>2.71</v>
      </c>
      <c r="Q1011" s="1432">
        <f>IFERROR(__xludf.DUMMYFUNCTION("""COMPUTED_VALUE"""),300.0)</f>
        <v>300</v>
      </c>
    </row>
    <row r="1012" ht="15.75" customHeight="1">
      <c r="A1012" s="94"/>
      <c r="B1012" s="94" t="str">
        <f>IFERROR(__xludf.DUMMYFUNCTION("""COMPUTED_VALUE"""),"BV206")</f>
        <v>BV206</v>
      </c>
      <c r="C1012" s="1429" t="str">
        <f>IFERROR(__xludf.DUMMYFUNCTION("""COMPUTED_VALUE"""),"Other")</f>
        <v>Other</v>
      </c>
      <c r="D1012" s="1432">
        <f>IFERROR(__xludf.DUMMYFUNCTION("""COMPUTED_VALUE"""),10.0)</f>
        <v>10</v>
      </c>
      <c r="E1012" s="1429">
        <f>IFERROR(__xludf.DUMMYFUNCTION("""COMPUTED_VALUE"""),45577.0)</f>
        <v>45577</v>
      </c>
      <c r="F1012" s="1429">
        <f>IFERROR(__xludf.DUMMYFUNCTION("""COMPUTED_VALUE"""),45579.0)</f>
        <v>45579</v>
      </c>
      <c r="G1012" s="1164">
        <f>IFERROR(__xludf.DUMMYFUNCTION("""COMPUTED_VALUE"""),2.0)</f>
        <v>2</v>
      </c>
      <c r="H1012" s="1430">
        <f>IFERROR(__xludf.DUMMYFUNCTION("""COMPUTED_VALUE"""),109.0)</f>
        <v>109</v>
      </c>
      <c r="I1012" s="94"/>
      <c r="J1012" s="94"/>
      <c r="K1012" s="94">
        <f>IFERROR(__xludf.DUMMYFUNCTION("""COMPUTED_VALUE"""),60.0)</f>
        <v>60</v>
      </c>
      <c r="L1012" s="94">
        <f>IFERROR(__xludf.DUMMYFUNCTION("""COMPUTED_VALUE"""),40.0)</f>
        <v>40</v>
      </c>
      <c r="M1012" s="94">
        <f>IFERROR(__xludf.DUMMYFUNCTION("""COMPUTED_VALUE"""),20.0)</f>
        <v>20</v>
      </c>
      <c r="N1012" s="94"/>
      <c r="O1012" s="1430">
        <f>IFERROR(__xludf.DUMMYFUNCTION("""COMPUTED_VALUE"""),20.0)</f>
        <v>20</v>
      </c>
      <c r="P1012" s="1431">
        <f>IFERROR(__xludf.DUMMYFUNCTION("""COMPUTED_VALUE"""),2.71)</f>
        <v>2.71</v>
      </c>
      <c r="Q1012" s="1432">
        <f>IFERROR(__xludf.DUMMYFUNCTION("""COMPUTED_VALUE"""),295.39)</f>
        <v>295.39</v>
      </c>
    </row>
    <row r="1013" ht="15.75" customHeight="1">
      <c r="A1013" s="94"/>
      <c r="B1013" s="94" t="str">
        <f>IFERROR(__xludf.DUMMYFUNCTION("""COMPUTED_VALUE"""),"А 4049")</f>
        <v>А 4049</v>
      </c>
      <c r="C1013" s="1429" t="str">
        <f>IFERROR(__xludf.DUMMYFUNCTION("""COMPUTED_VALUE"""),"ORBI")</f>
        <v>ORBI</v>
      </c>
      <c r="D1013" s="1432">
        <f>IFERROR(__xludf.DUMMYFUNCTION("""COMPUTED_VALUE"""),10.0)</f>
        <v>10</v>
      </c>
      <c r="E1013" s="1429">
        <f>IFERROR(__xludf.DUMMYFUNCTION("""COMPUTED_VALUE"""),45577.0)</f>
        <v>45577</v>
      </c>
      <c r="F1013" s="1429">
        <f>IFERROR(__xludf.DUMMYFUNCTION("""COMPUTED_VALUE"""),45582.0)</f>
        <v>45582</v>
      </c>
      <c r="G1013" s="1164">
        <f>IFERROR(__xludf.DUMMYFUNCTION("""COMPUTED_VALUE"""),5.0)</f>
        <v>5</v>
      </c>
      <c r="H1013" s="1430">
        <f>IFERROR(__xludf.DUMMYFUNCTION("""COMPUTED_VALUE"""),104.0)</f>
        <v>104</v>
      </c>
      <c r="I1013" s="94">
        <f>IFERROR(__xludf.DUMMYFUNCTION("""COMPUTED_VALUE"""),0.0)</f>
        <v>0</v>
      </c>
      <c r="J1013" s="94"/>
      <c r="K1013" s="94">
        <f>IFERROR(__xludf.DUMMYFUNCTION("""COMPUTED_VALUE"""),50.0)</f>
        <v>50</v>
      </c>
      <c r="L1013" s="94">
        <f>IFERROR(__xludf.DUMMYFUNCTION("""COMPUTED_VALUE"""),40.0)</f>
        <v>40</v>
      </c>
      <c r="M1013" s="94">
        <f>IFERROR(__xludf.DUMMYFUNCTION("""COMPUTED_VALUE"""),10.0)</f>
        <v>10</v>
      </c>
      <c r="N1013" s="94"/>
      <c r="O1013" s="1430">
        <f>IFERROR(__xludf.DUMMYFUNCTION("""COMPUTED_VALUE"""),10.0)</f>
        <v>10</v>
      </c>
      <c r="P1013" s="1431">
        <f>IFERROR(__xludf.DUMMYFUNCTION("""COMPUTED_VALUE"""),2.71)</f>
        <v>2.71</v>
      </c>
      <c r="Q1013" s="1432">
        <f>IFERROR(__xludf.DUMMYFUNCTION("""COMPUTED_VALUE"""),281.84)</f>
        <v>281.84</v>
      </c>
    </row>
    <row r="1014" ht="15.75" customHeight="1">
      <c r="A1014" s="94"/>
      <c r="B1014" s="94" t="str">
        <f>IFERROR(__xludf.DUMMYFUNCTION("""COMPUTED_VALUE"""),"CM 1606")</f>
        <v>CM 1606</v>
      </c>
      <c r="C1014" s="1429" t="str">
        <f>IFERROR(__xludf.DUMMYFUNCTION("""COMPUTED_VALUE"""),"MAR")</f>
        <v>MAR</v>
      </c>
      <c r="D1014" s="1432">
        <f>IFERROR(__xludf.DUMMYFUNCTION("""COMPUTED_VALUE"""),10.0)</f>
        <v>10</v>
      </c>
      <c r="E1014" s="1429">
        <f>IFERROR(__xludf.DUMMYFUNCTION("""COMPUTED_VALUE"""),45577.0)</f>
        <v>45577</v>
      </c>
      <c r="F1014" s="1429">
        <f>IFERROR(__xludf.DUMMYFUNCTION("""COMPUTED_VALUE"""),45579.0)</f>
        <v>45579</v>
      </c>
      <c r="G1014" s="1164">
        <f>IFERROR(__xludf.DUMMYFUNCTION("""COMPUTED_VALUE"""),2.0)</f>
        <v>2</v>
      </c>
      <c r="H1014" s="1430">
        <f>IFERROR(__xludf.DUMMYFUNCTION("""COMPUTED_VALUE"""),82.0)</f>
        <v>82</v>
      </c>
      <c r="I1014" s="94"/>
      <c r="J1014" s="94"/>
      <c r="K1014" s="94">
        <f>IFERROR(__xludf.DUMMYFUNCTION("""COMPUTED_VALUE"""),60.0)</f>
        <v>60</v>
      </c>
      <c r="L1014" s="94">
        <f>IFERROR(__xludf.DUMMYFUNCTION("""COMPUTED_VALUE"""),40.0)</f>
        <v>40</v>
      </c>
      <c r="M1014" s="94">
        <f>IFERROR(__xludf.DUMMYFUNCTION("""COMPUTED_VALUE"""),20.0)</f>
        <v>20</v>
      </c>
      <c r="N1014" s="94"/>
      <c r="O1014" s="1430">
        <f>IFERROR(__xludf.DUMMYFUNCTION("""COMPUTED_VALUE"""),20.0)</f>
        <v>20</v>
      </c>
      <c r="P1014" s="1431">
        <f>IFERROR(__xludf.DUMMYFUNCTION("""COMPUTED_VALUE"""),2.71)</f>
        <v>2.71</v>
      </c>
      <c r="Q1014" s="1432">
        <f>IFERROR(__xludf.DUMMYFUNCTION("""COMPUTED_VALUE"""),222.22)</f>
        <v>222.22</v>
      </c>
    </row>
    <row r="1015" ht="15.75" customHeight="1">
      <c r="A1015" s="94"/>
      <c r="B1015" s="94" t="str">
        <f>IFERROR(__xludf.DUMMYFUNCTION("""COMPUTED_VALUE"""),"DL14-518")</f>
        <v>DL14-518</v>
      </c>
      <c r="C1015" s="1429" t="str">
        <f>IFERROR(__xludf.DUMMYFUNCTION("""COMPUTED_VALUE"""),"DL")</f>
        <v>DL</v>
      </c>
      <c r="D1015" s="1432">
        <f>IFERROR(__xludf.DUMMYFUNCTION("""COMPUTED_VALUE"""),10.0)</f>
        <v>10</v>
      </c>
      <c r="E1015" s="1429">
        <f>IFERROR(__xludf.DUMMYFUNCTION("""COMPUTED_VALUE"""),45578.0)</f>
        <v>45578</v>
      </c>
      <c r="F1015" s="1429">
        <f>IFERROR(__xludf.DUMMYFUNCTION("""COMPUTED_VALUE"""),45608.0)</f>
        <v>45608</v>
      </c>
      <c r="G1015" s="1164">
        <f>IFERROR(__xludf.DUMMYFUNCTION("""COMPUTED_VALUE"""),30.0)</f>
        <v>30</v>
      </c>
      <c r="H1015" s="1430">
        <f>IFERROR(__xludf.DUMMYFUNCTION("""COMPUTED_VALUE"""),421.0)</f>
        <v>421</v>
      </c>
      <c r="I1015" s="94"/>
      <c r="J1015" s="94"/>
      <c r="K1015" s="94">
        <f>IFERROR(__xludf.DUMMYFUNCTION("""COMPUTED_VALUE"""),95.0)</f>
        <v>95</v>
      </c>
      <c r="L1015" s="94">
        <f>IFERROR(__xludf.DUMMYFUNCTION("""COMPUTED_VALUE"""),95.0)</f>
        <v>95</v>
      </c>
      <c r="M1015" s="94">
        <f>IFERROR(__xludf.DUMMYFUNCTION("""COMPUTED_VALUE"""),0.0)</f>
        <v>0</v>
      </c>
      <c r="N1015" s="94"/>
      <c r="O1015" s="1430">
        <f>IFERROR(__xludf.DUMMYFUNCTION("""COMPUTED_VALUE"""),0.0)</f>
        <v>0</v>
      </c>
      <c r="P1015" s="1431">
        <f>IFERROR(__xludf.DUMMYFUNCTION("""COMPUTED_VALUE"""),2.71)</f>
        <v>2.71</v>
      </c>
      <c r="Q1015" s="1432">
        <f>IFERROR(__xludf.DUMMYFUNCTION("""COMPUTED_VALUE"""),1140.91)</f>
        <v>1140.91</v>
      </c>
    </row>
    <row r="1016" ht="15.75" customHeight="1">
      <c r="A1016" s="94"/>
      <c r="B1016" s="94" t="str">
        <f>IFERROR(__xludf.DUMMYFUNCTION("""COMPUTED_VALUE"""),"C 4245")</f>
        <v>C 4245</v>
      </c>
      <c r="C1016" s="1429" t="str">
        <f>IFERROR(__xludf.DUMMYFUNCTION("""COMPUTED_VALUE"""),"ORBI")</f>
        <v>ORBI</v>
      </c>
      <c r="D1016" s="1432">
        <f>IFERROR(__xludf.DUMMYFUNCTION("""COMPUTED_VALUE"""),10.0)</f>
        <v>10</v>
      </c>
      <c r="E1016" s="1429">
        <f>IFERROR(__xludf.DUMMYFUNCTION("""COMPUTED_VALUE"""),45578.0)</f>
        <v>45578</v>
      </c>
      <c r="F1016" s="1429">
        <f>IFERROR(__xludf.DUMMYFUNCTION("""COMPUTED_VALUE"""),45580.0)</f>
        <v>45580</v>
      </c>
      <c r="G1016" s="1164">
        <f>IFERROR(__xludf.DUMMYFUNCTION("""COMPUTED_VALUE"""),2.0)</f>
        <v>2</v>
      </c>
      <c r="H1016" s="1430">
        <f>IFERROR(__xludf.DUMMYFUNCTION("""COMPUTED_VALUE"""),85.0)</f>
        <v>85</v>
      </c>
      <c r="I1016" s="94">
        <f>IFERROR(__xludf.DUMMYFUNCTION("""COMPUTED_VALUE"""),0.0)</f>
        <v>0</v>
      </c>
      <c r="J1016" s="94"/>
      <c r="K1016" s="94">
        <f>IFERROR(__xludf.DUMMYFUNCTION("""COMPUTED_VALUE"""),70.0)</f>
        <v>70</v>
      </c>
      <c r="L1016" s="94">
        <f>IFERROR(__xludf.DUMMYFUNCTION("""COMPUTED_VALUE"""),40.0)</f>
        <v>40</v>
      </c>
      <c r="M1016" s="94">
        <f>IFERROR(__xludf.DUMMYFUNCTION("""COMPUTED_VALUE"""),30.0)</f>
        <v>30</v>
      </c>
      <c r="N1016" s="94"/>
      <c r="O1016" s="1430">
        <f>IFERROR(__xludf.DUMMYFUNCTION("""COMPUTED_VALUE"""),30.0)</f>
        <v>30</v>
      </c>
      <c r="P1016" s="1431">
        <f>IFERROR(__xludf.DUMMYFUNCTION("""COMPUTED_VALUE"""),2.71)</f>
        <v>2.71</v>
      </c>
      <c r="Q1016" s="1432">
        <f>IFERROR(__xludf.DUMMYFUNCTION("""COMPUTED_VALUE"""),230.35)</f>
        <v>230.35</v>
      </c>
    </row>
    <row r="1017" ht="15.75" customHeight="1">
      <c r="A1017" s="94"/>
      <c r="B1017" s="94" t="str">
        <f>IFERROR(__xludf.DUMMYFUNCTION("""COMPUTED_VALUE"""),"CM 1604")</f>
        <v>CM 1604</v>
      </c>
      <c r="C1017" s="1429" t="str">
        <f>IFERROR(__xludf.DUMMYFUNCTION("""COMPUTED_VALUE"""),"MAR")</f>
        <v>MAR</v>
      </c>
      <c r="D1017" s="1432">
        <f>IFERROR(__xludf.DUMMYFUNCTION("""COMPUTED_VALUE"""),10.0)</f>
        <v>10</v>
      </c>
      <c r="E1017" s="1429">
        <f>IFERROR(__xludf.DUMMYFUNCTION("""COMPUTED_VALUE"""),45578.0)</f>
        <v>45578</v>
      </c>
      <c r="F1017" s="1429">
        <f>IFERROR(__xludf.DUMMYFUNCTION("""COMPUTED_VALUE"""),45582.0)</f>
        <v>45582</v>
      </c>
      <c r="G1017" s="1164">
        <f>IFERROR(__xludf.DUMMYFUNCTION("""COMPUTED_VALUE"""),4.0)</f>
        <v>4</v>
      </c>
      <c r="H1017" s="1430">
        <f>IFERROR(__xludf.DUMMYFUNCTION("""COMPUTED_VALUE"""),190.0)</f>
        <v>190</v>
      </c>
      <c r="I1017" s="94">
        <f>IFERROR(__xludf.DUMMYFUNCTION("""COMPUTED_VALUE"""),0.0)</f>
        <v>0</v>
      </c>
      <c r="J1017" s="94"/>
      <c r="K1017" s="94">
        <f>IFERROR(__xludf.DUMMYFUNCTION("""COMPUTED_VALUE"""),70.0)</f>
        <v>70</v>
      </c>
      <c r="L1017" s="94">
        <f>IFERROR(__xludf.DUMMYFUNCTION("""COMPUTED_VALUE"""),40.0)</f>
        <v>40</v>
      </c>
      <c r="M1017" s="94">
        <f>IFERROR(__xludf.DUMMYFUNCTION("""COMPUTED_VALUE"""),30.0)</f>
        <v>30</v>
      </c>
      <c r="N1017" s="94"/>
      <c r="O1017" s="1430">
        <f>IFERROR(__xludf.DUMMYFUNCTION("""COMPUTED_VALUE"""),30.0)</f>
        <v>30</v>
      </c>
      <c r="P1017" s="1431">
        <f>IFERROR(__xludf.DUMMYFUNCTION("""COMPUTED_VALUE"""),2.71)</f>
        <v>2.71</v>
      </c>
      <c r="Q1017" s="1432">
        <f>IFERROR(__xludf.DUMMYFUNCTION("""COMPUTED_VALUE"""),514.9)</f>
        <v>514.9</v>
      </c>
    </row>
    <row r="1018" ht="15.75" customHeight="1">
      <c r="A1018" s="94"/>
      <c r="B1018" s="94" t="str">
        <f>IFERROR(__xludf.DUMMYFUNCTION("""COMPUTED_VALUE"""),"CM 1931")</f>
        <v>CM 1931</v>
      </c>
      <c r="C1018" s="1429" t="str">
        <f>IFERROR(__xludf.DUMMYFUNCTION("""COMPUTED_VALUE"""),"MAR")</f>
        <v>MAR</v>
      </c>
      <c r="D1018" s="1432">
        <f>IFERROR(__xludf.DUMMYFUNCTION("""COMPUTED_VALUE"""),10.0)</f>
        <v>10</v>
      </c>
      <c r="E1018" s="1429">
        <f>IFERROR(__xludf.DUMMYFUNCTION("""COMPUTED_VALUE"""),45578.0)</f>
        <v>45578</v>
      </c>
      <c r="F1018" s="1429">
        <f>IFERROR(__xludf.DUMMYFUNCTION("""COMPUTED_VALUE"""),45584.0)</f>
        <v>45584</v>
      </c>
      <c r="G1018" s="1164">
        <f>IFERROR(__xludf.DUMMYFUNCTION("""COMPUTED_VALUE"""),6.0)</f>
        <v>6</v>
      </c>
      <c r="H1018" s="1430">
        <f>IFERROR(__xludf.DUMMYFUNCTION("""COMPUTED_VALUE"""),178.0)</f>
        <v>178</v>
      </c>
      <c r="I1018" s="94">
        <f>IFERROR(__xludf.DUMMYFUNCTION("""COMPUTED_VALUE"""),0.0)</f>
        <v>0</v>
      </c>
      <c r="J1018" s="94"/>
      <c r="K1018" s="94">
        <f>IFERROR(__xludf.DUMMYFUNCTION("""COMPUTED_VALUE"""),60.0)</f>
        <v>60</v>
      </c>
      <c r="L1018" s="94">
        <f>IFERROR(__xludf.DUMMYFUNCTION("""COMPUTED_VALUE"""),30.0)</f>
        <v>30</v>
      </c>
      <c r="M1018" s="94">
        <f>IFERROR(__xludf.DUMMYFUNCTION("""COMPUTED_VALUE"""),30.0)</f>
        <v>30</v>
      </c>
      <c r="N1018" s="94"/>
      <c r="O1018" s="1430">
        <f>IFERROR(__xludf.DUMMYFUNCTION("""COMPUTED_VALUE"""),30.0)</f>
        <v>30</v>
      </c>
      <c r="P1018" s="1431">
        <f>IFERROR(__xludf.DUMMYFUNCTION("""COMPUTED_VALUE"""),2.71)</f>
        <v>2.71</v>
      </c>
      <c r="Q1018" s="1432">
        <f>IFERROR(__xludf.DUMMYFUNCTION("""COMPUTED_VALUE"""),482.38)</f>
        <v>482.38</v>
      </c>
    </row>
    <row r="1019" ht="15.75" customHeight="1">
      <c r="A1019" s="94" t="str">
        <f>IFERROR(__xludf.DUMMYFUNCTION("""COMPUTED_VALUE"""),"Итого неделя")</f>
        <v>Итого неделя</v>
      </c>
      <c r="B1019" s="94" t="str">
        <f>IFERROR(__xludf.DUMMYFUNCTION("""COMPUTED_VALUE"""),"41 неделя")</f>
        <v>41 неделя</v>
      </c>
      <c r="C1019" s="94"/>
      <c r="D1019" s="94"/>
      <c r="E1019" s="94"/>
      <c r="F1019" s="94"/>
      <c r="G1019" s="1164">
        <f>IFERROR(__xludf.DUMMYFUNCTION("""COMPUTED_VALUE"""),269.0)</f>
        <v>269</v>
      </c>
      <c r="H1019" s="1430">
        <f>IFERROR(__xludf.DUMMYFUNCTION("""COMPUTED_VALUE"""),5579.53)</f>
        <v>5579.53</v>
      </c>
      <c r="I1019" s="94">
        <f>IFERROR(__xludf.DUMMYFUNCTION("""COMPUTED_VALUE"""),1432.0)</f>
        <v>1432</v>
      </c>
      <c r="J1019" s="94">
        <f>IFERROR(__xludf.DUMMYFUNCTION("""COMPUTED_VALUE"""),0.0)</f>
        <v>0</v>
      </c>
      <c r="K1019" s="94">
        <f>IFERROR(__xludf.DUMMYFUNCTION("""COMPUTED_VALUE"""),1785.0)</f>
        <v>1785</v>
      </c>
      <c r="L1019" s="94">
        <f>IFERROR(__xludf.DUMMYFUNCTION("""COMPUTED_VALUE"""),1205.0)</f>
        <v>1205</v>
      </c>
      <c r="M1019" s="94">
        <f>IFERROR(__xludf.DUMMYFUNCTION("""COMPUTED_VALUE"""),580.0)</f>
        <v>580</v>
      </c>
      <c r="N1019" s="94">
        <f>IFERROR(__xludf.DUMMYFUNCTION("""COMPUTED_VALUE"""),0.0)</f>
        <v>0</v>
      </c>
      <c r="O1019" s="1430">
        <f>IFERROR(__xludf.DUMMYFUNCTION("""COMPUTED_VALUE"""),580.0)</f>
        <v>580</v>
      </c>
      <c r="P1019" s="94"/>
      <c r="Q1019" s="1432">
        <f>IFERROR(__xludf.DUMMYFUNCTION("""COMPUTED_VALUE"""),16552.5263)</f>
        <v>16552.5263</v>
      </c>
    </row>
    <row r="1020" ht="15.75" customHeight="1">
      <c r="A1020" s="94"/>
      <c r="B1020" s="94" t="str">
        <f>IFERROR(__xludf.DUMMYFUNCTION("""COMPUTED_VALUE"""),"Steps 510")</f>
        <v>Steps 510</v>
      </c>
      <c r="C1020" s="1429" t="str">
        <f>IFERROR(__xludf.DUMMYFUNCTION("""COMPUTED_VALUE"""),"#N/A")</f>
        <v>#N/A</v>
      </c>
      <c r="D1020" s="1432">
        <f>IFERROR(__xludf.DUMMYFUNCTION("""COMPUTED_VALUE"""),10.0)</f>
        <v>10</v>
      </c>
      <c r="E1020" s="1429">
        <f>IFERROR(__xludf.DUMMYFUNCTION("""COMPUTED_VALUE"""),45579.0)</f>
        <v>45579</v>
      </c>
      <c r="F1020" s="1429">
        <f>IFERROR(__xludf.DUMMYFUNCTION("""COMPUTED_VALUE"""),45609.0)</f>
        <v>45609</v>
      </c>
      <c r="G1020" s="1164">
        <f>IFERROR(__xludf.DUMMYFUNCTION("""COMPUTED_VALUE"""),30.0)</f>
        <v>30</v>
      </c>
      <c r="H1020" s="1430">
        <f>IFERROR(__xludf.DUMMYFUNCTION("""COMPUTED_VALUE"""),382.0)</f>
        <v>382</v>
      </c>
      <c r="I1020" s="94"/>
      <c r="J1020" s="94"/>
      <c r="K1020" s="94">
        <f>IFERROR(__xludf.DUMMYFUNCTION("""COMPUTED_VALUE"""),60.0)</f>
        <v>60</v>
      </c>
      <c r="L1020" s="94">
        <f>IFERROR(__xludf.DUMMYFUNCTION("""COMPUTED_VALUE"""),30.0)</f>
        <v>30</v>
      </c>
      <c r="M1020" s="94">
        <f>IFERROR(__xludf.DUMMYFUNCTION("""COMPUTED_VALUE"""),30.0)</f>
        <v>30</v>
      </c>
      <c r="N1020" s="94"/>
      <c r="O1020" s="1430">
        <f>IFERROR(__xludf.DUMMYFUNCTION("""COMPUTED_VALUE"""),30.0)</f>
        <v>30</v>
      </c>
      <c r="P1020" s="1431">
        <f>IFERROR(__xludf.DUMMYFUNCTION("""COMPUTED_VALUE"""),2.72)</f>
        <v>2.72</v>
      </c>
      <c r="Q1020" s="1432">
        <f>IFERROR(__xludf.DUMMYFUNCTION("""COMPUTED_VALUE"""),1039.04)</f>
        <v>1039.04</v>
      </c>
    </row>
    <row r="1021" ht="15.75" customHeight="1">
      <c r="A1021" s="94"/>
      <c r="B1021" s="94" t="str">
        <f>IFERROR(__xludf.DUMMYFUNCTION("""COMPUTED_VALUE"""),"BV206")</f>
        <v>BV206</v>
      </c>
      <c r="C1021" s="1429" t="str">
        <f>IFERROR(__xludf.DUMMYFUNCTION("""COMPUTED_VALUE"""),"Other")</f>
        <v>Other</v>
      </c>
      <c r="D1021" s="1432">
        <f>IFERROR(__xludf.DUMMYFUNCTION("""COMPUTED_VALUE"""),10.0)</f>
        <v>10</v>
      </c>
      <c r="E1021" s="1429">
        <f>IFERROR(__xludf.DUMMYFUNCTION("""COMPUTED_VALUE"""),45579.0)</f>
        <v>45579</v>
      </c>
      <c r="F1021" s="1429">
        <f>IFERROR(__xludf.DUMMYFUNCTION("""COMPUTED_VALUE"""),45581.0)</f>
        <v>45581</v>
      </c>
      <c r="G1021" s="1164">
        <f>IFERROR(__xludf.DUMMYFUNCTION("""COMPUTED_VALUE"""),2.0)</f>
        <v>2</v>
      </c>
      <c r="H1021" s="1430">
        <f>IFERROR(__xludf.DUMMYFUNCTION("""COMPUTED_VALUE"""),128.0)</f>
        <v>128</v>
      </c>
      <c r="I1021" s="94"/>
      <c r="J1021" s="94"/>
      <c r="K1021" s="94">
        <f>IFERROR(__xludf.DUMMYFUNCTION("""COMPUTED_VALUE"""),60.0)</f>
        <v>60</v>
      </c>
      <c r="L1021" s="94">
        <f>IFERROR(__xludf.DUMMYFUNCTION("""COMPUTED_VALUE"""),40.0)</f>
        <v>40</v>
      </c>
      <c r="M1021" s="94">
        <f>IFERROR(__xludf.DUMMYFUNCTION("""COMPUTED_VALUE"""),20.0)</f>
        <v>20</v>
      </c>
      <c r="N1021" s="94"/>
      <c r="O1021" s="1430">
        <f>IFERROR(__xludf.DUMMYFUNCTION("""COMPUTED_VALUE"""),20.0)</f>
        <v>20</v>
      </c>
      <c r="P1021" s="1431">
        <f>IFERROR(__xludf.DUMMYFUNCTION("""COMPUTED_VALUE"""),2.72)</f>
        <v>2.72</v>
      </c>
      <c r="Q1021" s="1432">
        <f>IFERROR(__xludf.DUMMYFUNCTION("""COMPUTED_VALUE"""),348.16)</f>
        <v>348.16</v>
      </c>
    </row>
    <row r="1022" ht="15.75" customHeight="1">
      <c r="A1022" s="94"/>
      <c r="B1022" s="94" t="str">
        <f>IFERROR(__xludf.DUMMYFUNCTION("""COMPUTED_VALUE"""),"CM 1606")</f>
        <v>CM 1606</v>
      </c>
      <c r="C1022" s="1429" t="str">
        <f>IFERROR(__xludf.DUMMYFUNCTION("""COMPUTED_VALUE"""),"MAR")</f>
        <v>MAR</v>
      </c>
      <c r="D1022" s="1432">
        <f>IFERROR(__xludf.DUMMYFUNCTION("""COMPUTED_VALUE"""),10.0)</f>
        <v>10</v>
      </c>
      <c r="E1022" s="1429">
        <f>IFERROR(__xludf.DUMMYFUNCTION("""COMPUTED_VALUE"""),45579.0)</f>
        <v>45579</v>
      </c>
      <c r="F1022" s="1429">
        <f>IFERROR(__xludf.DUMMYFUNCTION("""COMPUTED_VALUE"""),45585.0)</f>
        <v>45585</v>
      </c>
      <c r="G1022" s="1164">
        <f>IFERROR(__xludf.DUMMYFUNCTION("""COMPUTED_VALUE"""),6.0)</f>
        <v>6</v>
      </c>
      <c r="H1022" s="1430">
        <f>IFERROR(__xludf.DUMMYFUNCTION("""COMPUTED_VALUE"""),221.0)</f>
        <v>221</v>
      </c>
      <c r="I1022" s="94"/>
      <c r="J1022" s="94"/>
      <c r="K1022" s="94">
        <f>IFERROR(__xludf.DUMMYFUNCTION("""COMPUTED_VALUE"""),60.0)</f>
        <v>60</v>
      </c>
      <c r="L1022" s="94">
        <f>IFERROR(__xludf.DUMMYFUNCTION("""COMPUTED_VALUE"""),30.0)</f>
        <v>30</v>
      </c>
      <c r="M1022" s="94">
        <f>IFERROR(__xludf.DUMMYFUNCTION("""COMPUTED_VALUE"""),30.0)</f>
        <v>30</v>
      </c>
      <c r="N1022" s="94"/>
      <c r="O1022" s="1430">
        <f>IFERROR(__xludf.DUMMYFUNCTION("""COMPUTED_VALUE"""),30.0)</f>
        <v>30</v>
      </c>
      <c r="P1022" s="1431">
        <f>IFERROR(__xludf.DUMMYFUNCTION("""COMPUTED_VALUE"""),2.72)</f>
        <v>2.72</v>
      </c>
      <c r="Q1022" s="1432">
        <f>IFERROR(__xludf.DUMMYFUNCTION("""COMPUTED_VALUE"""),601.12)</f>
        <v>601.12</v>
      </c>
    </row>
    <row r="1023" ht="15.75" customHeight="1">
      <c r="A1023" s="94"/>
      <c r="B1023" s="94" t="str">
        <f>IFERROR(__xludf.DUMMYFUNCTION("""COMPUTED_VALUE"""),"C 4245")</f>
        <v>C 4245</v>
      </c>
      <c r="C1023" s="1429" t="str">
        <f>IFERROR(__xludf.DUMMYFUNCTION("""COMPUTED_VALUE"""),"ORBI")</f>
        <v>ORBI</v>
      </c>
      <c r="D1023" s="1432">
        <f>IFERROR(__xludf.DUMMYFUNCTION("""COMPUTED_VALUE"""),10.0)</f>
        <v>10</v>
      </c>
      <c r="E1023" s="1429">
        <f>IFERROR(__xludf.DUMMYFUNCTION("""COMPUTED_VALUE"""),45580.0)</f>
        <v>45580</v>
      </c>
      <c r="F1023" s="1429">
        <f>IFERROR(__xludf.DUMMYFUNCTION("""COMPUTED_VALUE"""),45584.0)</f>
        <v>45584</v>
      </c>
      <c r="G1023" s="1164">
        <f>IFERROR(__xludf.DUMMYFUNCTION("""COMPUTED_VALUE"""),4.0)</f>
        <v>4</v>
      </c>
      <c r="H1023" s="1430">
        <f>IFERROR(__xludf.DUMMYFUNCTION("""COMPUTED_VALUE"""),106.0)</f>
        <v>106</v>
      </c>
      <c r="I1023" s="94"/>
      <c r="J1023" s="94"/>
      <c r="K1023" s="94">
        <f>IFERROR(__xludf.DUMMYFUNCTION("""COMPUTED_VALUE"""),60.0)</f>
        <v>60</v>
      </c>
      <c r="L1023" s="94">
        <f>IFERROR(__xludf.DUMMYFUNCTION("""COMPUTED_VALUE"""),40.0)</f>
        <v>40</v>
      </c>
      <c r="M1023" s="94">
        <f>IFERROR(__xludf.DUMMYFUNCTION("""COMPUTED_VALUE"""),20.0)</f>
        <v>20</v>
      </c>
      <c r="N1023" s="94"/>
      <c r="O1023" s="1430">
        <f>IFERROR(__xludf.DUMMYFUNCTION("""COMPUTED_VALUE"""),20.0)</f>
        <v>20</v>
      </c>
      <c r="P1023" s="1431">
        <f>IFERROR(__xludf.DUMMYFUNCTION("""COMPUTED_VALUE"""),2.72)</f>
        <v>2.72</v>
      </c>
      <c r="Q1023" s="1432">
        <f>IFERROR(__xludf.DUMMYFUNCTION("""COMPUTED_VALUE"""),288.32)</f>
        <v>288.32</v>
      </c>
    </row>
    <row r="1024" ht="15.75" customHeight="1">
      <c r="A1024" s="94"/>
      <c r="B1024" s="94" t="str">
        <f>IFERROR(__xludf.DUMMYFUNCTION("""COMPUTED_VALUE"""),"WS A 608")</f>
        <v>WS A 608</v>
      </c>
      <c r="C1024" s="1429" t="str">
        <f>IFERROR(__xludf.DUMMYFUNCTION("""COMPUTED_VALUE"""),"WS")</f>
        <v>WS</v>
      </c>
      <c r="D1024" s="1432">
        <f>IFERROR(__xludf.DUMMYFUNCTION("""COMPUTED_VALUE"""),10.0)</f>
        <v>10</v>
      </c>
      <c r="E1024" s="1429">
        <f>IFERROR(__xludf.DUMMYFUNCTION("""COMPUTED_VALUE"""),45583.0)</f>
        <v>45583</v>
      </c>
      <c r="F1024" s="1429">
        <f>IFERROR(__xludf.DUMMYFUNCTION("""COMPUTED_VALUE"""),45616.0)</f>
        <v>45616</v>
      </c>
      <c r="G1024" s="1164">
        <f>IFERROR(__xludf.DUMMYFUNCTION("""COMPUTED_VALUE"""),33.0)</f>
        <v>33</v>
      </c>
      <c r="H1024" s="1430">
        <f>IFERROR(__xludf.DUMMYFUNCTION("""COMPUTED_VALUE"""),480.0)</f>
        <v>480</v>
      </c>
      <c r="I1024" s="94"/>
      <c r="J1024" s="94"/>
      <c r="K1024" s="94">
        <f>IFERROR(__xludf.DUMMYFUNCTION("""COMPUTED_VALUE"""),60.0)</f>
        <v>60</v>
      </c>
      <c r="L1024" s="94">
        <f>IFERROR(__xludf.DUMMYFUNCTION("""COMPUTED_VALUE"""),30.0)</f>
        <v>30</v>
      </c>
      <c r="M1024" s="94">
        <f>IFERROR(__xludf.DUMMYFUNCTION("""COMPUTED_VALUE"""),30.0)</f>
        <v>30</v>
      </c>
      <c r="N1024" s="94"/>
      <c r="O1024" s="1430">
        <f>IFERROR(__xludf.DUMMYFUNCTION("""COMPUTED_VALUE"""),30.0)</f>
        <v>30</v>
      </c>
      <c r="P1024" s="1431">
        <f>IFERROR(__xludf.DUMMYFUNCTION("""COMPUTED_VALUE"""),2.72)</f>
        <v>2.72</v>
      </c>
      <c r="Q1024" s="1432">
        <f>IFERROR(__xludf.DUMMYFUNCTION("""COMPUTED_VALUE"""),1305.6000000000001)</f>
        <v>1305.6</v>
      </c>
    </row>
    <row r="1025" ht="15.75" customHeight="1">
      <c r="A1025" s="94"/>
      <c r="B1025" s="94" t="str">
        <f>IFERROR(__xludf.DUMMYFUNCTION("""COMPUTED_VALUE"""),"Steps 510")</f>
        <v>Steps 510</v>
      </c>
      <c r="C1025" s="1429" t="str">
        <f>IFERROR(__xludf.DUMMYFUNCTION("""COMPUTED_VALUE"""),"#N/A")</f>
        <v>#N/A</v>
      </c>
      <c r="D1025" s="1432">
        <f>IFERROR(__xludf.DUMMYFUNCTION("""COMPUTED_VALUE"""),10.0)</f>
        <v>10</v>
      </c>
      <c r="E1025" s="1429">
        <f>IFERROR(__xludf.DUMMYFUNCTION("""COMPUTED_VALUE"""),45584.0)</f>
        <v>45584</v>
      </c>
      <c r="F1025" s="1429">
        <f>IFERROR(__xludf.DUMMYFUNCTION("""COMPUTED_VALUE"""),45615.0)</f>
        <v>45615</v>
      </c>
      <c r="G1025" s="1164">
        <f>IFERROR(__xludf.DUMMYFUNCTION("""COMPUTED_VALUE"""),31.0)</f>
        <v>31</v>
      </c>
      <c r="H1025" s="1430">
        <f>IFERROR(__xludf.DUMMYFUNCTION("""COMPUTED_VALUE"""),396.0)</f>
        <v>396</v>
      </c>
      <c r="I1025" s="94"/>
      <c r="J1025" s="94"/>
      <c r="K1025" s="94">
        <f>IFERROR(__xludf.DUMMYFUNCTION("""COMPUTED_VALUE"""),60.0)</f>
        <v>60</v>
      </c>
      <c r="L1025" s="94">
        <f>IFERROR(__xludf.DUMMYFUNCTION("""COMPUTED_VALUE"""),30.0)</f>
        <v>30</v>
      </c>
      <c r="M1025" s="94">
        <f>IFERROR(__xludf.DUMMYFUNCTION("""COMPUTED_VALUE"""),30.0)</f>
        <v>30</v>
      </c>
      <c r="N1025" s="94"/>
      <c r="O1025" s="1430">
        <f>IFERROR(__xludf.DUMMYFUNCTION("""COMPUTED_VALUE"""),30.0)</f>
        <v>30</v>
      </c>
      <c r="P1025" s="1431">
        <f>IFERROR(__xludf.DUMMYFUNCTION("""COMPUTED_VALUE"""),2.72)</f>
        <v>2.72</v>
      </c>
      <c r="Q1025" s="1432">
        <f>IFERROR(__xludf.DUMMYFUNCTION("""COMPUTED_VALUE"""),1077.1200000000001)</f>
        <v>1077.12</v>
      </c>
    </row>
    <row r="1026" ht="15.75" customHeight="1">
      <c r="A1026" s="94"/>
      <c r="B1026" s="94" t="str">
        <f>IFERROR(__xludf.DUMMYFUNCTION("""COMPUTED_VALUE"""),"C 4245")</f>
        <v>C 4245</v>
      </c>
      <c r="C1026" s="1429" t="str">
        <f>IFERROR(__xludf.DUMMYFUNCTION("""COMPUTED_VALUE"""),"ORBI")</f>
        <v>ORBI</v>
      </c>
      <c r="D1026" s="1432">
        <f>IFERROR(__xludf.DUMMYFUNCTION("""COMPUTED_VALUE"""),10.0)</f>
        <v>10</v>
      </c>
      <c r="E1026" s="1429">
        <f>IFERROR(__xludf.DUMMYFUNCTION("""COMPUTED_VALUE"""),45584.0)</f>
        <v>45584</v>
      </c>
      <c r="F1026" s="1429">
        <f>IFERROR(__xludf.DUMMYFUNCTION("""COMPUTED_VALUE"""),45587.0)</f>
        <v>45587</v>
      </c>
      <c r="G1026" s="1164">
        <f>IFERROR(__xludf.DUMMYFUNCTION("""COMPUTED_VALUE"""),3.0)</f>
        <v>3</v>
      </c>
      <c r="H1026" s="1430">
        <f>IFERROR(__xludf.DUMMYFUNCTION("""COMPUTED_VALUE"""),81.0)</f>
        <v>81</v>
      </c>
      <c r="I1026" s="94"/>
      <c r="J1026" s="94"/>
      <c r="K1026" s="94">
        <f>IFERROR(__xludf.DUMMYFUNCTION("""COMPUTED_VALUE"""),60.0)</f>
        <v>60</v>
      </c>
      <c r="L1026" s="94">
        <f>IFERROR(__xludf.DUMMYFUNCTION("""COMPUTED_VALUE"""),40.0)</f>
        <v>40</v>
      </c>
      <c r="M1026" s="94">
        <f>IFERROR(__xludf.DUMMYFUNCTION("""COMPUTED_VALUE"""),20.0)</f>
        <v>20</v>
      </c>
      <c r="N1026" s="94"/>
      <c r="O1026" s="1430">
        <f>IFERROR(__xludf.DUMMYFUNCTION("""COMPUTED_VALUE"""),20.0)</f>
        <v>20</v>
      </c>
      <c r="P1026" s="1431">
        <f>IFERROR(__xludf.DUMMYFUNCTION("""COMPUTED_VALUE"""),2.72)</f>
        <v>2.72</v>
      </c>
      <c r="Q1026" s="1432">
        <f>IFERROR(__xludf.DUMMYFUNCTION("""COMPUTED_VALUE"""),220.32000000000002)</f>
        <v>220.32</v>
      </c>
    </row>
    <row r="1027" ht="15.75" customHeight="1">
      <c r="A1027" s="94"/>
      <c r="B1027" s="94" t="str">
        <f>IFERROR(__xludf.DUMMYFUNCTION("""COMPUTED_VALUE"""),"WS Е804")</f>
        <v>WS Е804</v>
      </c>
      <c r="C1027" s="1429" t="str">
        <f>IFERROR(__xludf.DUMMYFUNCTION("""COMPUTED_VALUE"""),"WS")</f>
        <v>WS</v>
      </c>
      <c r="D1027" s="1432">
        <f>IFERROR(__xludf.DUMMYFUNCTION("""COMPUTED_VALUE"""),10.0)</f>
        <v>10</v>
      </c>
      <c r="E1027" s="1429">
        <f>IFERROR(__xludf.DUMMYFUNCTION("""COMPUTED_VALUE"""),45584.0)</f>
        <v>45584</v>
      </c>
      <c r="F1027" s="1429">
        <f>IFERROR(__xludf.DUMMYFUNCTION("""COMPUTED_VALUE"""),45587.0)</f>
        <v>45587</v>
      </c>
      <c r="G1027" s="1164">
        <f>IFERROR(__xludf.DUMMYFUNCTION("""COMPUTED_VALUE"""),3.0)</f>
        <v>3</v>
      </c>
      <c r="H1027" s="94"/>
      <c r="I1027" s="94">
        <f>IFERROR(__xludf.DUMMYFUNCTION("""COMPUTED_VALUE"""),390.0)</f>
        <v>390</v>
      </c>
      <c r="J1027" s="94">
        <f>IFERROR(__xludf.DUMMYFUNCTION("""COMPUTED_VALUE"""),30.0)</f>
        <v>30</v>
      </c>
      <c r="K1027" s="94">
        <f>IFERROR(__xludf.DUMMYFUNCTION("""COMPUTED_VALUE"""),60.0)</f>
        <v>60</v>
      </c>
      <c r="L1027" s="94">
        <f>IFERROR(__xludf.DUMMYFUNCTION("""COMPUTED_VALUE"""),30.0)</f>
        <v>30</v>
      </c>
      <c r="M1027" s="94">
        <f>IFERROR(__xludf.DUMMYFUNCTION("""COMPUTED_VALUE"""),30.0)</f>
        <v>30</v>
      </c>
      <c r="N1027" s="94"/>
      <c r="O1027" s="1430">
        <f>IFERROR(__xludf.DUMMYFUNCTION("""COMPUTED_VALUE"""),30.0)</f>
        <v>30</v>
      </c>
      <c r="P1027" s="1431">
        <f>IFERROR(__xludf.DUMMYFUNCTION("""COMPUTED_VALUE"""),2.72)</f>
        <v>2.72</v>
      </c>
      <c r="Q1027" s="1432">
        <f>IFERROR(__xludf.DUMMYFUNCTION("""COMPUTED_VALUE"""),390.0)</f>
        <v>390</v>
      </c>
    </row>
    <row r="1028" ht="15.75" customHeight="1">
      <c r="A1028" s="94"/>
      <c r="B1028" s="94" t="str">
        <f>IFERROR(__xludf.DUMMYFUNCTION("""COMPUTED_VALUE"""),"CM 1604")</f>
        <v>CM 1604</v>
      </c>
      <c r="C1028" s="1429" t="str">
        <f>IFERROR(__xludf.DUMMYFUNCTION("""COMPUTED_VALUE"""),"MAR")</f>
        <v>MAR</v>
      </c>
      <c r="D1028" s="1432">
        <f>IFERROR(__xludf.DUMMYFUNCTION("""COMPUTED_VALUE"""),10.0)</f>
        <v>10</v>
      </c>
      <c r="E1028" s="1429">
        <f>IFERROR(__xludf.DUMMYFUNCTION("""COMPUTED_VALUE"""),45584.0)</f>
        <v>45584</v>
      </c>
      <c r="F1028" s="1429">
        <f>IFERROR(__xludf.DUMMYFUNCTION("""COMPUTED_VALUE"""),45586.0)</f>
        <v>45586</v>
      </c>
      <c r="G1028" s="1164">
        <f>IFERROR(__xludf.DUMMYFUNCTION("""COMPUTED_VALUE"""),2.0)</f>
        <v>2</v>
      </c>
      <c r="H1028" s="1430">
        <f>IFERROR(__xludf.DUMMYFUNCTION("""COMPUTED_VALUE"""),95.0)</f>
        <v>95</v>
      </c>
      <c r="I1028" s="94"/>
      <c r="J1028" s="94"/>
      <c r="K1028" s="94">
        <f>IFERROR(__xludf.DUMMYFUNCTION("""COMPUTED_VALUE"""),60.0)</f>
        <v>60</v>
      </c>
      <c r="L1028" s="94">
        <f>IFERROR(__xludf.DUMMYFUNCTION("""COMPUTED_VALUE"""),40.0)</f>
        <v>40</v>
      </c>
      <c r="M1028" s="94">
        <f>IFERROR(__xludf.DUMMYFUNCTION("""COMPUTED_VALUE"""),20.0)</f>
        <v>20</v>
      </c>
      <c r="N1028" s="94"/>
      <c r="O1028" s="1430">
        <f>IFERROR(__xludf.DUMMYFUNCTION("""COMPUTED_VALUE"""),20.0)</f>
        <v>20</v>
      </c>
      <c r="P1028" s="1431">
        <f>IFERROR(__xludf.DUMMYFUNCTION("""COMPUTED_VALUE"""),2.72)</f>
        <v>2.72</v>
      </c>
      <c r="Q1028" s="1432">
        <f>IFERROR(__xludf.DUMMYFUNCTION("""COMPUTED_VALUE"""),258.40000000000003)</f>
        <v>258.4</v>
      </c>
    </row>
    <row r="1029" ht="15.75" customHeight="1">
      <c r="A1029" s="94"/>
      <c r="B1029" s="94" t="str">
        <f>IFERROR(__xludf.DUMMYFUNCTION("""COMPUTED_VALUE"""),"Пиросмани 162")</f>
        <v>Пиросмани 162</v>
      </c>
      <c r="C1029" s="1429" t="str">
        <f>IFERROR(__xludf.DUMMYFUNCTION("""COMPUTED_VALUE"""),"#N/A")</f>
        <v>#N/A</v>
      </c>
      <c r="D1029" s="1432">
        <f>IFERROR(__xludf.DUMMYFUNCTION("""COMPUTED_VALUE"""),10.0)</f>
        <v>10</v>
      </c>
      <c r="E1029" s="1429">
        <f>IFERROR(__xludf.DUMMYFUNCTION("""COMPUTED_VALUE"""),45585.0)</f>
        <v>45585</v>
      </c>
      <c r="F1029" s="1429">
        <f>IFERROR(__xludf.DUMMYFUNCTION("""COMPUTED_VALUE"""),45591.0)</f>
        <v>45591</v>
      </c>
      <c r="G1029" s="1164">
        <f>IFERROR(__xludf.DUMMYFUNCTION("""COMPUTED_VALUE"""),6.0)</f>
        <v>6</v>
      </c>
      <c r="H1029" s="1430">
        <f>IFERROR(__xludf.DUMMYFUNCTION("""COMPUTED_VALUE"""),115.0)</f>
        <v>115</v>
      </c>
      <c r="I1029" s="94"/>
      <c r="J1029" s="94"/>
      <c r="K1029" s="94">
        <f>IFERROR(__xludf.DUMMYFUNCTION("""COMPUTED_VALUE"""),60.0)</f>
        <v>60</v>
      </c>
      <c r="L1029" s="94">
        <f>IFERROR(__xludf.DUMMYFUNCTION("""COMPUTED_VALUE"""),30.0)</f>
        <v>30</v>
      </c>
      <c r="M1029" s="94">
        <f>IFERROR(__xludf.DUMMYFUNCTION("""COMPUTED_VALUE"""),30.0)</f>
        <v>30</v>
      </c>
      <c r="N1029" s="94"/>
      <c r="O1029" s="1430">
        <f>IFERROR(__xludf.DUMMYFUNCTION("""COMPUTED_VALUE"""),30.0)</f>
        <v>30</v>
      </c>
      <c r="P1029" s="1431">
        <f>IFERROR(__xludf.DUMMYFUNCTION("""COMPUTED_VALUE"""),2.72)</f>
        <v>2.72</v>
      </c>
      <c r="Q1029" s="1432">
        <f>IFERROR(__xludf.DUMMYFUNCTION("""COMPUTED_VALUE"""),312.8)</f>
        <v>312.8</v>
      </c>
    </row>
    <row r="1030" ht="15.75" customHeight="1">
      <c r="A1030" s="94" t="str">
        <f>IFERROR(__xludf.DUMMYFUNCTION("""COMPUTED_VALUE"""),"Итого неделя")</f>
        <v>Итого неделя</v>
      </c>
      <c r="B1030" s="94" t="str">
        <f>IFERROR(__xludf.DUMMYFUNCTION("""COMPUTED_VALUE"""),"42 неделя")</f>
        <v>42 неделя</v>
      </c>
      <c r="C1030" s="94"/>
      <c r="D1030" s="94"/>
      <c r="E1030" s="94"/>
      <c r="F1030" s="94"/>
      <c r="G1030" s="1164">
        <f>IFERROR(__xludf.DUMMYFUNCTION("""COMPUTED_VALUE"""),120.0)</f>
        <v>120</v>
      </c>
      <c r="H1030" s="1430">
        <f>IFERROR(__xludf.DUMMYFUNCTION("""COMPUTED_VALUE"""),2004.0)</f>
        <v>2004</v>
      </c>
      <c r="I1030" s="94">
        <f>IFERROR(__xludf.DUMMYFUNCTION("""COMPUTED_VALUE"""),390.0)</f>
        <v>390</v>
      </c>
      <c r="J1030" s="94">
        <f>IFERROR(__xludf.DUMMYFUNCTION("""COMPUTED_VALUE"""),30.0)</f>
        <v>30</v>
      </c>
      <c r="K1030" s="94">
        <f>IFERROR(__xludf.DUMMYFUNCTION("""COMPUTED_VALUE"""),600.0)</f>
        <v>600</v>
      </c>
      <c r="L1030" s="94">
        <f>IFERROR(__xludf.DUMMYFUNCTION("""COMPUTED_VALUE"""),340.0)</f>
        <v>340</v>
      </c>
      <c r="M1030" s="94">
        <f>IFERROR(__xludf.DUMMYFUNCTION("""COMPUTED_VALUE"""),260.0)</f>
        <v>260</v>
      </c>
      <c r="N1030" s="94"/>
      <c r="O1030" s="1430">
        <f>IFERROR(__xludf.DUMMYFUNCTION("""COMPUTED_VALUE"""),260.0)</f>
        <v>260</v>
      </c>
      <c r="P1030" s="94"/>
      <c r="Q1030" s="1432">
        <f>IFERROR(__xludf.DUMMYFUNCTION("""COMPUTED_VALUE"""),5840.88)</f>
        <v>5840.88</v>
      </c>
    </row>
    <row r="1031" ht="15.75" customHeight="1">
      <c r="A1031" s="94"/>
      <c r="B1031" s="94" t="str">
        <f>IFERROR(__xludf.DUMMYFUNCTION("""COMPUTED_VALUE"""),"CM 1931")</f>
        <v>CM 1931</v>
      </c>
      <c r="C1031" s="1429" t="str">
        <f>IFERROR(__xludf.DUMMYFUNCTION("""COMPUTED_VALUE"""),"MAR")</f>
        <v>MAR</v>
      </c>
      <c r="D1031" s="1432">
        <f>IFERROR(__xludf.DUMMYFUNCTION("""COMPUTED_VALUE"""),10.0)</f>
        <v>10</v>
      </c>
      <c r="E1031" s="1429">
        <f>IFERROR(__xludf.DUMMYFUNCTION("""COMPUTED_VALUE"""),45586.0)</f>
        <v>45586</v>
      </c>
      <c r="F1031" s="1429">
        <f>IFERROR(__xludf.DUMMYFUNCTION("""COMPUTED_VALUE"""),45591.0)</f>
        <v>45591</v>
      </c>
      <c r="G1031" s="1164">
        <f>IFERROR(__xludf.DUMMYFUNCTION("""COMPUTED_VALUE"""),5.0)</f>
        <v>5</v>
      </c>
      <c r="H1031" s="1430">
        <f>IFERROR(__xludf.DUMMYFUNCTION("""COMPUTED_VALUE"""),102.0)</f>
        <v>102</v>
      </c>
      <c r="I1031" s="94"/>
      <c r="J1031" s="94"/>
      <c r="K1031" s="94">
        <f>IFERROR(__xludf.DUMMYFUNCTION("""COMPUTED_VALUE"""),60.0)</f>
        <v>60</v>
      </c>
      <c r="L1031" s="94">
        <f>IFERROR(__xludf.DUMMYFUNCTION("""COMPUTED_VALUE"""),30.0)</f>
        <v>30</v>
      </c>
      <c r="M1031" s="94">
        <f>IFERROR(__xludf.DUMMYFUNCTION("""COMPUTED_VALUE"""),30.0)</f>
        <v>30</v>
      </c>
      <c r="N1031" s="94"/>
      <c r="O1031" s="1430">
        <f>IFERROR(__xludf.DUMMYFUNCTION("""COMPUTED_VALUE"""),30.0)</f>
        <v>30</v>
      </c>
      <c r="P1031" s="1431">
        <f>IFERROR(__xludf.DUMMYFUNCTION("""COMPUTED_VALUE"""),2.75)</f>
        <v>2.75</v>
      </c>
      <c r="Q1031" s="1432">
        <f>IFERROR(__xludf.DUMMYFUNCTION("""COMPUTED_VALUE"""),280.5)</f>
        <v>280.5</v>
      </c>
    </row>
    <row r="1032" ht="15.75" customHeight="1">
      <c r="A1032" s="94"/>
      <c r="B1032" s="94" t="str">
        <f>IFERROR(__xludf.DUMMYFUNCTION("""COMPUTED_VALUE"""),"CM 1604")</f>
        <v>CM 1604</v>
      </c>
      <c r="C1032" s="1429" t="str">
        <f>IFERROR(__xludf.DUMMYFUNCTION("""COMPUTED_VALUE"""),"MAR")</f>
        <v>MAR</v>
      </c>
      <c r="D1032" s="1432">
        <f>IFERROR(__xludf.DUMMYFUNCTION("""COMPUTED_VALUE"""),10.0)</f>
        <v>10</v>
      </c>
      <c r="E1032" s="1429">
        <f>IFERROR(__xludf.DUMMYFUNCTION("""COMPUTED_VALUE"""),45586.0)</f>
        <v>45586</v>
      </c>
      <c r="F1032" s="1429">
        <f>IFERROR(__xludf.DUMMYFUNCTION("""COMPUTED_VALUE"""),45588.0)</f>
        <v>45588</v>
      </c>
      <c r="G1032" s="1164">
        <f>IFERROR(__xludf.DUMMYFUNCTION("""COMPUTED_VALUE"""),2.0)</f>
        <v>2</v>
      </c>
      <c r="H1032" s="1430">
        <f>IFERROR(__xludf.DUMMYFUNCTION("""COMPUTED_VALUE"""),95.0)</f>
        <v>95</v>
      </c>
      <c r="I1032" s="94"/>
      <c r="J1032" s="94"/>
      <c r="K1032" s="94">
        <f>IFERROR(__xludf.DUMMYFUNCTION("""COMPUTED_VALUE"""),60.0)</f>
        <v>60</v>
      </c>
      <c r="L1032" s="94">
        <f>IFERROR(__xludf.DUMMYFUNCTION("""COMPUTED_VALUE"""),40.0)</f>
        <v>40</v>
      </c>
      <c r="M1032" s="94">
        <f>IFERROR(__xludf.DUMMYFUNCTION("""COMPUTED_VALUE"""),20.0)</f>
        <v>20</v>
      </c>
      <c r="N1032" s="94"/>
      <c r="O1032" s="1430">
        <f>IFERROR(__xludf.DUMMYFUNCTION("""COMPUTED_VALUE"""),20.0)</f>
        <v>20</v>
      </c>
      <c r="P1032" s="1431">
        <f>IFERROR(__xludf.DUMMYFUNCTION("""COMPUTED_VALUE"""),2.75)</f>
        <v>2.75</v>
      </c>
      <c r="Q1032" s="1432">
        <f>IFERROR(__xludf.DUMMYFUNCTION("""COMPUTED_VALUE"""),261.25)</f>
        <v>261.25</v>
      </c>
    </row>
    <row r="1033" ht="15.75" customHeight="1">
      <c r="A1033" s="94"/>
      <c r="B1033" s="94" t="str">
        <f>IFERROR(__xludf.DUMMYFUNCTION("""COMPUTED_VALUE"""),"BV206")</f>
        <v>BV206</v>
      </c>
      <c r="C1033" s="1429" t="str">
        <f>IFERROR(__xludf.DUMMYFUNCTION("""COMPUTED_VALUE"""),"Other")</f>
        <v>Other</v>
      </c>
      <c r="D1033" s="1432">
        <f>IFERROR(__xludf.DUMMYFUNCTION("""COMPUTED_VALUE"""),10.0)</f>
        <v>10</v>
      </c>
      <c r="E1033" s="1429">
        <f>IFERROR(__xludf.DUMMYFUNCTION("""COMPUTED_VALUE"""),45586.0)</f>
        <v>45586</v>
      </c>
      <c r="F1033" s="1429">
        <f>IFERROR(__xludf.DUMMYFUNCTION("""COMPUTED_VALUE"""),45627.0)</f>
        <v>45627</v>
      </c>
      <c r="G1033" s="1164">
        <f>IFERROR(__xludf.DUMMYFUNCTION("""COMPUTED_VALUE"""),41.0)</f>
        <v>41</v>
      </c>
      <c r="H1033" s="1430">
        <f>IFERROR(__xludf.DUMMYFUNCTION("""COMPUTED_VALUE"""),814.0)</f>
        <v>814</v>
      </c>
      <c r="I1033" s="94"/>
      <c r="J1033" s="94"/>
      <c r="K1033" s="94">
        <f>IFERROR(__xludf.DUMMYFUNCTION("""COMPUTED_VALUE"""),60.0)</f>
        <v>60</v>
      </c>
      <c r="L1033" s="94">
        <f>IFERROR(__xludf.DUMMYFUNCTION("""COMPUTED_VALUE"""),40.0)</f>
        <v>40</v>
      </c>
      <c r="M1033" s="94">
        <f>IFERROR(__xludf.DUMMYFUNCTION("""COMPUTED_VALUE"""),20.0)</f>
        <v>20</v>
      </c>
      <c r="N1033" s="94"/>
      <c r="O1033" s="1430">
        <f>IFERROR(__xludf.DUMMYFUNCTION("""COMPUTED_VALUE"""),20.0)</f>
        <v>20</v>
      </c>
      <c r="P1033" s="1431">
        <f>IFERROR(__xludf.DUMMYFUNCTION("""COMPUTED_VALUE"""),2.75)</f>
        <v>2.75</v>
      </c>
      <c r="Q1033" s="1432">
        <f>IFERROR(__xludf.DUMMYFUNCTION("""COMPUTED_VALUE"""),2238.5)</f>
        <v>2238.5</v>
      </c>
    </row>
    <row r="1034" ht="15.75" customHeight="1">
      <c r="A1034" s="94"/>
      <c r="B1034" s="94" t="str">
        <f>IFERROR(__xludf.DUMMYFUNCTION("""COMPUTED_VALUE"""),"WS  B 405")</f>
        <v>WS  B 405</v>
      </c>
      <c r="C1034" s="1429" t="str">
        <f>IFERROR(__xludf.DUMMYFUNCTION("""COMPUTED_VALUE"""),"WS")</f>
        <v>WS</v>
      </c>
      <c r="D1034" s="1432">
        <f>IFERROR(__xludf.DUMMYFUNCTION("""COMPUTED_VALUE"""),10.0)</f>
        <v>10</v>
      </c>
      <c r="E1034" s="1429">
        <f>IFERROR(__xludf.DUMMYFUNCTION("""COMPUTED_VALUE"""),45586.0)</f>
        <v>45586</v>
      </c>
      <c r="F1034" s="1429">
        <f>IFERROR(__xludf.DUMMYFUNCTION("""COMPUTED_VALUE"""),45617.0)</f>
        <v>45617</v>
      </c>
      <c r="G1034" s="1164">
        <f>IFERROR(__xludf.DUMMYFUNCTION("""COMPUTED_VALUE"""),31.0)</f>
        <v>31</v>
      </c>
      <c r="H1034" s="1430">
        <f>IFERROR(__xludf.DUMMYFUNCTION("""COMPUTED_VALUE"""),493.0)</f>
        <v>493</v>
      </c>
      <c r="I1034" s="94"/>
      <c r="J1034" s="94"/>
      <c r="K1034" s="94">
        <f>IFERROR(__xludf.DUMMYFUNCTION("""COMPUTED_VALUE"""),60.0)</f>
        <v>60</v>
      </c>
      <c r="L1034" s="94">
        <f>IFERROR(__xludf.DUMMYFUNCTION("""COMPUTED_VALUE"""),30.0)</f>
        <v>30</v>
      </c>
      <c r="M1034" s="94">
        <f>IFERROR(__xludf.DUMMYFUNCTION("""COMPUTED_VALUE"""),30.0)</f>
        <v>30</v>
      </c>
      <c r="N1034" s="94"/>
      <c r="O1034" s="1430">
        <f>IFERROR(__xludf.DUMMYFUNCTION("""COMPUTED_VALUE"""),30.0)</f>
        <v>30</v>
      </c>
      <c r="P1034" s="1431">
        <f>IFERROR(__xludf.DUMMYFUNCTION("""COMPUTED_VALUE"""),2.75)</f>
        <v>2.75</v>
      </c>
      <c r="Q1034" s="1432">
        <f>IFERROR(__xludf.DUMMYFUNCTION("""COMPUTED_VALUE"""),1355.75)</f>
        <v>1355.75</v>
      </c>
    </row>
    <row r="1035" ht="15.75" customHeight="1">
      <c r="A1035" s="94"/>
      <c r="B1035" s="94" t="str">
        <f>IFERROR(__xludf.DUMMYFUNCTION("""COMPUTED_VALUE"""),"WS В 503")</f>
        <v>WS В 503</v>
      </c>
      <c r="C1035" s="1429" t="str">
        <f>IFERROR(__xludf.DUMMYFUNCTION("""COMPUTED_VALUE"""),"WS")</f>
        <v>WS</v>
      </c>
      <c r="D1035" s="1432">
        <f>IFERROR(__xludf.DUMMYFUNCTION("""COMPUTED_VALUE"""),10.0)</f>
        <v>10</v>
      </c>
      <c r="E1035" s="1429">
        <f>IFERROR(__xludf.DUMMYFUNCTION("""COMPUTED_VALUE"""),45587.0)</f>
        <v>45587</v>
      </c>
      <c r="F1035" s="1429">
        <f>IFERROR(__xludf.DUMMYFUNCTION("""COMPUTED_VALUE"""),45594.0)</f>
        <v>45594</v>
      </c>
      <c r="G1035" s="1164">
        <f>IFERROR(__xludf.DUMMYFUNCTION("""COMPUTED_VALUE"""),7.0)</f>
        <v>7</v>
      </c>
      <c r="H1035" s="94"/>
      <c r="I1035" s="94">
        <f>IFERROR(__xludf.DUMMYFUNCTION("""COMPUTED_VALUE"""),1210.0)</f>
        <v>1210</v>
      </c>
      <c r="J1035" s="94"/>
      <c r="K1035" s="94">
        <f>IFERROR(__xludf.DUMMYFUNCTION("""COMPUTED_VALUE"""),60.0)</f>
        <v>60</v>
      </c>
      <c r="L1035" s="94">
        <f>IFERROR(__xludf.DUMMYFUNCTION("""COMPUTED_VALUE"""),40.0)</f>
        <v>40</v>
      </c>
      <c r="M1035" s="94">
        <f>IFERROR(__xludf.DUMMYFUNCTION("""COMPUTED_VALUE"""),20.0)</f>
        <v>20</v>
      </c>
      <c r="N1035" s="94"/>
      <c r="O1035" s="1430">
        <f>IFERROR(__xludf.DUMMYFUNCTION("""COMPUTED_VALUE"""),20.0)</f>
        <v>20</v>
      </c>
      <c r="P1035" s="1431">
        <f>IFERROR(__xludf.DUMMYFUNCTION("""COMPUTED_VALUE"""),2.75)</f>
        <v>2.75</v>
      </c>
      <c r="Q1035" s="1432">
        <f>IFERROR(__xludf.DUMMYFUNCTION("""COMPUTED_VALUE"""),1210.0)</f>
        <v>1210</v>
      </c>
    </row>
    <row r="1036" ht="15.75" customHeight="1">
      <c r="A1036" s="94"/>
      <c r="B1036" s="94" t="str">
        <f>IFERROR(__xludf.DUMMYFUNCTION("""COMPUTED_VALUE"""),"Wyn")</f>
        <v>Wyn</v>
      </c>
      <c r="C1036" s="1429" t="str">
        <f>IFERROR(__xludf.DUMMYFUNCTION("""COMPUTED_VALUE"""),"Other")</f>
        <v>Other</v>
      </c>
      <c r="D1036" s="1432">
        <f>IFERROR(__xludf.DUMMYFUNCTION("""COMPUTED_VALUE"""),10.0)</f>
        <v>10</v>
      </c>
      <c r="E1036" s="1429">
        <f>IFERROR(__xludf.DUMMYFUNCTION("""COMPUTED_VALUE"""),45587.0)</f>
        <v>45587</v>
      </c>
      <c r="F1036" s="1429">
        <f>IFERROR(__xludf.DUMMYFUNCTION("""COMPUTED_VALUE"""),45626.0)</f>
        <v>45626</v>
      </c>
      <c r="G1036" s="1164">
        <f>IFERROR(__xludf.DUMMYFUNCTION("""COMPUTED_VALUE"""),39.0)</f>
        <v>39</v>
      </c>
      <c r="H1036" s="1430">
        <f>IFERROR(__xludf.DUMMYFUNCTION("""COMPUTED_VALUE"""),785.0)</f>
        <v>785</v>
      </c>
      <c r="I1036" s="94">
        <f>IFERROR(__xludf.DUMMYFUNCTION("""COMPUTED_VALUE"""),0.0)</f>
        <v>0</v>
      </c>
      <c r="J1036" s="94"/>
      <c r="K1036" s="94">
        <f>IFERROR(__xludf.DUMMYFUNCTION("""COMPUTED_VALUE"""),60.0)</f>
        <v>60</v>
      </c>
      <c r="L1036" s="94">
        <f>IFERROR(__xludf.DUMMYFUNCTION("""COMPUTED_VALUE"""),40.0)</f>
        <v>40</v>
      </c>
      <c r="M1036" s="94">
        <f>IFERROR(__xludf.DUMMYFUNCTION("""COMPUTED_VALUE"""),20.0)</f>
        <v>20</v>
      </c>
      <c r="N1036" s="94"/>
      <c r="O1036" s="1430">
        <f>IFERROR(__xludf.DUMMYFUNCTION("""COMPUTED_VALUE"""),20.0)</f>
        <v>20</v>
      </c>
      <c r="P1036" s="1431">
        <f>IFERROR(__xludf.DUMMYFUNCTION("""COMPUTED_VALUE"""),2.75)</f>
        <v>2.75</v>
      </c>
      <c r="Q1036" s="1432">
        <f>IFERROR(__xludf.DUMMYFUNCTION("""COMPUTED_VALUE"""),2158.75)</f>
        <v>2158.75</v>
      </c>
    </row>
    <row r="1037" ht="15.75" customHeight="1">
      <c r="A1037" s="94"/>
      <c r="B1037" s="94" t="str">
        <f>IFERROR(__xludf.DUMMYFUNCTION("""COMPUTED_VALUE"""),"А 4049")</f>
        <v>А 4049</v>
      </c>
      <c r="C1037" s="1429" t="str">
        <f>IFERROR(__xludf.DUMMYFUNCTION("""COMPUTED_VALUE"""),"ORBI")</f>
        <v>ORBI</v>
      </c>
      <c r="D1037" s="1432">
        <f>IFERROR(__xludf.DUMMYFUNCTION("""COMPUTED_VALUE"""),10.0)</f>
        <v>10</v>
      </c>
      <c r="E1037" s="1429">
        <f>IFERROR(__xludf.DUMMYFUNCTION("""COMPUTED_VALUE"""),45587.0)</f>
        <v>45587</v>
      </c>
      <c r="F1037" s="1429">
        <f>IFERROR(__xludf.DUMMYFUNCTION("""COMPUTED_VALUE"""),45589.0)</f>
        <v>45589</v>
      </c>
      <c r="G1037" s="1164">
        <f>IFERROR(__xludf.DUMMYFUNCTION("""COMPUTED_VALUE"""),2.0)</f>
        <v>2</v>
      </c>
      <c r="H1037" s="1430">
        <f>IFERROR(__xludf.DUMMYFUNCTION("""COMPUTED_VALUE"""),50.0)</f>
        <v>50</v>
      </c>
      <c r="I1037" s="94">
        <f>IFERROR(__xludf.DUMMYFUNCTION("""COMPUTED_VALUE"""),0.0)</f>
        <v>0</v>
      </c>
      <c r="J1037" s="94"/>
      <c r="K1037" s="94">
        <f>IFERROR(__xludf.DUMMYFUNCTION("""COMPUTED_VALUE"""),60.0)</f>
        <v>60</v>
      </c>
      <c r="L1037" s="94">
        <f>IFERROR(__xludf.DUMMYFUNCTION("""COMPUTED_VALUE"""),30.0)</f>
        <v>30</v>
      </c>
      <c r="M1037" s="94">
        <f>IFERROR(__xludf.DUMMYFUNCTION("""COMPUTED_VALUE"""),30.0)</f>
        <v>30</v>
      </c>
      <c r="N1037" s="94"/>
      <c r="O1037" s="1430">
        <f>IFERROR(__xludf.DUMMYFUNCTION("""COMPUTED_VALUE"""),30.0)</f>
        <v>30</v>
      </c>
      <c r="P1037" s="1431">
        <f>IFERROR(__xludf.DUMMYFUNCTION("""COMPUTED_VALUE"""),2.75)</f>
        <v>2.75</v>
      </c>
      <c r="Q1037" s="1432">
        <f>IFERROR(__xludf.DUMMYFUNCTION("""COMPUTED_VALUE"""),137.5)</f>
        <v>137.5</v>
      </c>
    </row>
    <row r="1038" ht="15.75" customHeight="1">
      <c r="A1038" s="94"/>
      <c r="B1038" s="94" t="str">
        <f>IFERROR(__xludf.DUMMYFUNCTION("""COMPUTED_VALUE"""),"WS A907")</f>
        <v>WS A907</v>
      </c>
      <c r="C1038" s="1429" t="str">
        <f>IFERROR(__xludf.DUMMYFUNCTION("""COMPUTED_VALUE"""),"WS")</f>
        <v>WS</v>
      </c>
      <c r="D1038" s="1432">
        <f>IFERROR(__xludf.DUMMYFUNCTION("""COMPUTED_VALUE"""),10.0)</f>
        <v>10</v>
      </c>
      <c r="E1038" s="1429">
        <f>IFERROR(__xludf.DUMMYFUNCTION("""COMPUTED_VALUE"""),45588.0)</f>
        <v>45588</v>
      </c>
      <c r="F1038" s="1429">
        <f>IFERROR(__xludf.DUMMYFUNCTION("""COMPUTED_VALUE"""),45591.0)</f>
        <v>45591</v>
      </c>
      <c r="G1038" s="1164">
        <f>IFERROR(__xludf.DUMMYFUNCTION("""COMPUTED_VALUE"""),3.0)</f>
        <v>3</v>
      </c>
      <c r="H1038" s="94"/>
      <c r="I1038" s="94">
        <f>IFERROR(__xludf.DUMMYFUNCTION("""COMPUTED_VALUE"""),300.0)</f>
        <v>300</v>
      </c>
      <c r="J1038" s="94"/>
      <c r="K1038" s="94">
        <f>IFERROR(__xludf.DUMMYFUNCTION("""COMPUTED_VALUE"""),60.0)</f>
        <v>60</v>
      </c>
      <c r="L1038" s="94">
        <f>IFERROR(__xludf.DUMMYFUNCTION("""COMPUTED_VALUE"""),30.0)</f>
        <v>30</v>
      </c>
      <c r="M1038" s="94">
        <f>IFERROR(__xludf.DUMMYFUNCTION("""COMPUTED_VALUE"""),30.0)</f>
        <v>30</v>
      </c>
      <c r="N1038" s="94"/>
      <c r="O1038" s="1430">
        <f>IFERROR(__xludf.DUMMYFUNCTION("""COMPUTED_VALUE"""),30.0)</f>
        <v>30</v>
      </c>
      <c r="P1038" s="1431">
        <f>IFERROR(__xludf.DUMMYFUNCTION("""COMPUTED_VALUE"""),2.75)</f>
        <v>2.75</v>
      </c>
      <c r="Q1038" s="1432">
        <f>IFERROR(__xludf.DUMMYFUNCTION("""COMPUTED_VALUE"""),300.0)</f>
        <v>300</v>
      </c>
    </row>
    <row r="1039" ht="15.75" customHeight="1">
      <c r="A1039" s="94"/>
      <c r="B1039" s="94" t="str">
        <f>IFERROR(__xludf.DUMMYFUNCTION("""COMPUTED_VALUE"""),"C 4245")</f>
        <v>C 4245</v>
      </c>
      <c r="C1039" s="1429" t="str">
        <f>IFERROR(__xludf.DUMMYFUNCTION("""COMPUTED_VALUE"""),"ORBI")</f>
        <v>ORBI</v>
      </c>
      <c r="D1039" s="1432">
        <f>IFERROR(__xludf.DUMMYFUNCTION("""COMPUTED_VALUE"""),10.0)</f>
        <v>10</v>
      </c>
      <c r="E1039" s="1429">
        <f>IFERROR(__xludf.DUMMYFUNCTION("""COMPUTED_VALUE"""),45588.0)</f>
        <v>45588</v>
      </c>
      <c r="F1039" s="1429">
        <f>IFERROR(__xludf.DUMMYFUNCTION("""COMPUTED_VALUE"""),45590.0)</f>
        <v>45590</v>
      </c>
      <c r="G1039" s="1164">
        <f>IFERROR(__xludf.DUMMYFUNCTION("""COMPUTED_VALUE"""),2.0)</f>
        <v>2</v>
      </c>
      <c r="H1039" s="1430">
        <f>IFERROR(__xludf.DUMMYFUNCTION("""COMPUTED_VALUE"""),53.0)</f>
        <v>53</v>
      </c>
      <c r="I1039" s="94">
        <f>IFERROR(__xludf.DUMMYFUNCTION("""COMPUTED_VALUE"""),0.0)</f>
        <v>0</v>
      </c>
      <c r="J1039" s="94"/>
      <c r="K1039" s="94">
        <f>IFERROR(__xludf.DUMMYFUNCTION("""COMPUTED_VALUE"""),60.0)</f>
        <v>60</v>
      </c>
      <c r="L1039" s="94">
        <f>IFERROR(__xludf.DUMMYFUNCTION("""COMPUTED_VALUE"""),40.0)</f>
        <v>40</v>
      </c>
      <c r="M1039" s="94">
        <f>IFERROR(__xludf.DUMMYFUNCTION("""COMPUTED_VALUE"""),20.0)</f>
        <v>20</v>
      </c>
      <c r="N1039" s="94"/>
      <c r="O1039" s="1430">
        <f>IFERROR(__xludf.DUMMYFUNCTION("""COMPUTED_VALUE"""),20.0)</f>
        <v>20</v>
      </c>
      <c r="P1039" s="1431">
        <f>IFERROR(__xludf.DUMMYFUNCTION("""COMPUTED_VALUE"""),2.75)</f>
        <v>2.75</v>
      </c>
      <c r="Q1039" s="1432">
        <f>IFERROR(__xludf.DUMMYFUNCTION("""COMPUTED_VALUE"""),145.75)</f>
        <v>145.75</v>
      </c>
    </row>
    <row r="1040" ht="15.75" customHeight="1">
      <c r="A1040" s="94"/>
      <c r="B1040" s="94" t="str">
        <f>IFERROR(__xludf.DUMMYFUNCTION("""COMPUTED_VALUE"""),"CM 1606")</f>
        <v>CM 1606</v>
      </c>
      <c r="C1040" s="1429" t="str">
        <f>IFERROR(__xludf.DUMMYFUNCTION("""COMPUTED_VALUE"""),"MAR")</f>
        <v>MAR</v>
      </c>
      <c r="D1040" s="1432">
        <f>IFERROR(__xludf.DUMMYFUNCTION("""COMPUTED_VALUE"""),10.0)</f>
        <v>10</v>
      </c>
      <c r="E1040" s="1429">
        <f>IFERROR(__xludf.DUMMYFUNCTION("""COMPUTED_VALUE"""),45588.0)</f>
        <v>45588</v>
      </c>
      <c r="F1040" s="1429">
        <f>IFERROR(__xludf.DUMMYFUNCTION("""COMPUTED_VALUE"""),45590.0)</f>
        <v>45590</v>
      </c>
      <c r="G1040" s="1164">
        <f>IFERROR(__xludf.DUMMYFUNCTION("""COMPUTED_VALUE"""),2.0)</f>
        <v>2</v>
      </c>
      <c r="H1040" s="1430">
        <f>IFERROR(__xludf.DUMMYFUNCTION("""COMPUTED_VALUE"""),75.0)</f>
        <v>75</v>
      </c>
      <c r="I1040" s="94">
        <f>IFERROR(__xludf.DUMMYFUNCTION("""COMPUTED_VALUE"""),0.0)</f>
        <v>0</v>
      </c>
      <c r="J1040" s="94"/>
      <c r="K1040" s="94">
        <f>IFERROR(__xludf.DUMMYFUNCTION("""COMPUTED_VALUE"""),60.0)</f>
        <v>60</v>
      </c>
      <c r="L1040" s="94">
        <f>IFERROR(__xludf.DUMMYFUNCTION("""COMPUTED_VALUE"""),30.0)</f>
        <v>30</v>
      </c>
      <c r="M1040" s="94">
        <f>IFERROR(__xludf.DUMMYFUNCTION("""COMPUTED_VALUE"""),30.0)</f>
        <v>30</v>
      </c>
      <c r="N1040" s="94"/>
      <c r="O1040" s="1430">
        <f>IFERROR(__xludf.DUMMYFUNCTION("""COMPUTED_VALUE"""),30.0)</f>
        <v>30</v>
      </c>
      <c r="P1040" s="1431">
        <f>IFERROR(__xludf.DUMMYFUNCTION("""COMPUTED_VALUE"""),2.75)</f>
        <v>2.75</v>
      </c>
      <c r="Q1040" s="1432">
        <f>IFERROR(__xludf.DUMMYFUNCTION("""COMPUTED_VALUE"""),206.25)</f>
        <v>206.25</v>
      </c>
    </row>
    <row r="1041" ht="15.75" customHeight="1">
      <c r="A1041" s="94"/>
      <c r="B1041" s="94" t="str">
        <f>IFERROR(__xludf.DUMMYFUNCTION("""COMPUTED_VALUE"""),"14-411")</f>
        <v>14-411</v>
      </c>
      <c r="C1041" s="1429" t="str">
        <f>IFERROR(__xludf.DUMMYFUNCTION("""COMPUTED_VALUE"""),"DL")</f>
        <v>DL</v>
      </c>
      <c r="D1041" s="1432">
        <f>IFERROR(__xludf.DUMMYFUNCTION("""COMPUTED_VALUE"""),10.0)</f>
        <v>10</v>
      </c>
      <c r="E1041" s="1429">
        <f>IFERROR(__xludf.DUMMYFUNCTION("""COMPUTED_VALUE"""),45589.0)</f>
        <v>45589</v>
      </c>
      <c r="F1041" s="1429">
        <f>IFERROR(__xludf.DUMMYFUNCTION("""COMPUTED_VALUE"""),45594.0)</f>
        <v>45594</v>
      </c>
      <c r="G1041" s="1164">
        <f>IFERROR(__xludf.DUMMYFUNCTION("""COMPUTED_VALUE"""),5.0)</f>
        <v>5</v>
      </c>
      <c r="H1041" s="94"/>
      <c r="I1041" s="94">
        <f>IFERROR(__xludf.DUMMYFUNCTION("""COMPUTED_VALUE"""),596.0)</f>
        <v>596</v>
      </c>
      <c r="J1041" s="94"/>
      <c r="K1041" s="94">
        <f>IFERROR(__xludf.DUMMYFUNCTION("""COMPUTED_VALUE"""),90.0)</f>
        <v>90</v>
      </c>
      <c r="L1041" s="94">
        <f>IFERROR(__xludf.DUMMYFUNCTION("""COMPUTED_VALUE"""),90.0)</f>
        <v>90</v>
      </c>
      <c r="M1041" s="94">
        <f>IFERROR(__xludf.DUMMYFUNCTION("""COMPUTED_VALUE"""),0.0)</f>
        <v>0</v>
      </c>
      <c r="N1041" s="94"/>
      <c r="O1041" s="1430">
        <f>IFERROR(__xludf.DUMMYFUNCTION("""COMPUTED_VALUE"""),0.0)</f>
        <v>0</v>
      </c>
      <c r="P1041" s="1431">
        <f>IFERROR(__xludf.DUMMYFUNCTION("""COMPUTED_VALUE"""),2.75)</f>
        <v>2.75</v>
      </c>
      <c r="Q1041" s="1432">
        <f>IFERROR(__xludf.DUMMYFUNCTION("""COMPUTED_VALUE"""),596.0)</f>
        <v>596</v>
      </c>
    </row>
    <row r="1042" ht="15.75" customHeight="1">
      <c r="A1042" s="94"/>
      <c r="B1042" s="94" t="str">
        <f>IFERROR(__xludf.DUMMYFUNCTION("""COMPUTED_VALUE"""),"CM 1604")</f>
        <v>CM 1604</v>
      </c>
      <c r="C1042" s="1429" t="str">
        <f>IFERROR(__xludf.DUMMYFUNCTION("""COMPUTED_VALUE"""),"MAR")</f>
        <v>MAR</v>
      </c>
      <c r="D1042" s="1432">
        <f>IFERROR(__xludf.DUMMYFUNCTION("""COMPUTED_VALUE"""),10.0)</f>
        <v>10</v>
      </c>
      <c r="E1042" s="1429">
        <f>IFERROR(__xludf.DUMMYFUNCTION("""COMPUTED_VALUE"""),45589.0)</f>
        <v>45589</v>
      </c>
      <c r="F1042" s="1429">
        <f>IFERROR(__xludf.DUMMYFUNCTION("""COMPUTED_VALUE"""),45599.0)</f>
        <v>45599</v>
      </c>
      <c r="G1042" s="1164">
        <f>IFERROR(__xludf.DUMMYFUNCTION("""COMPUTED_VALUE"""),10.0)</f>
        <v>10</v>
      </c>
      <c r="H1042" s="1430">
        <f>IFERROR(__xludf.DUMMYFUNCTION("""COMPUTED_VALUE"""),450.0)</f>
        <v>450</v>
      </c>
      <c r="I1042" s="94">
        <f>IFERROR(__xludf.DUMMYFUNCTION("""COMPUTED_VALUE"""),0.0)</f>
        <v>0</v>
      </c>
      <c r="J1042" s="94"/>
      <c r="K1042" s="94">
        <f>IFERROR(__xludf.DUMMYFUNCTION("""COMPUTED_VALUE"""),60.0)</f>
        <v>60</v>
      </c>
      <c r="L1042" s="94">
        <f>IFERROR(__xludf.DUMMYFUNCTION("""COMPUTED_VALUE"""),40.0)</f>
        <v>40</v>
      </c>
      <c r="M1042" s="94">
        <f>IFERROR(__xludf.DUMMYFUNCTION("""COMPUTED_VALUE"""),20.0)</f>
        <v>20</v>
      </c>
      <c r="N1042" s="94"/>
      <c r="O1042" s="1430">
        <f>IFERROR(__xludf.DUMMYFUNCTION("""COMPUTED_VALUE"""),20.0)</f>
        <v>20</v>
      </c>
      <c r="P1042" s="1431">
        <f>IFERROR(__xludf.DUMMYFUNCTION("""COMPUTED_VALUE"""),2.75)</f>
        <v>2.75</v>
      </c>
      <c r="Q1042" s="1432">
        <f>IFERROR(__xludf.DUMMYFUNCTION("""COMPUTED_VALUE"""),1237.5)</f>
        <v>1237.5</v>
      </c>
    </row>
    <row r="1043" ht="15.75" customHeight="1">
      <c r="A1043" s="94"/>
      <c r="B1043" s="94" t="str">
        <f>IFERROR(__xludf.DUMMYFUNCTION("""COMPUTED_VALUE"""),"С 1443")</f>
        <v>С 1443</v>
      </c>
      <c r="C1043" s="1429" t="str">
        <f>IFERROR(__xludf.DUMMYFUNCTION("""COMPUTED_VALUE"""),"ORBI")</f>
        <v>ORBI</v>
      </c>
      <c r="D1043" s="1432">
        <f>IFERROR(__xludf.DUMMYFUNCTION("""COMPUTED_VALUE"""),10.0)</f>
        <v>10</v>
      </c>
      <c r="E1043" s="1429">
        <f>IFERROR(__xludf.DUMMYFUNCTION("""COMPUTED_VALUE"""),45590.0)</f>
        <v>45590</v>
      </c>
      <c r="F1043" s="1429">
        <f>IFERROR(__xludf.DUMMYFUNCTION("""COMPUTED_VALUE"""),45620.0)</f>
        <v>45620</v>
      </c>
      <c r="G1043" s="1164">
        <f>IFERROR(__xludf.DUMMYFUNCTION("""COMPUTED_VALUE"""),30.0)</f>
        <v>30</v>
      </c>
      <c r="H1043" s="1430">
        <f>IFERROR(__xludf.DUMMYFUNCTION("""COMPUTED_VALUE"""),550.0)</f>
        <v>550</v>
      </c>
      <c r="I1043" s="94">
        <f>IFERROR(__xludf.DUMMYFUNCTION("""COMPUTED_VALUE"""),0.0)</f>
        <v>0</v>
      </c>
      <c r="J1043" s="94"/>
      <c r="K1043" s="94">
        <f>IFERROR(__xludf.DUMMYFUNCTION("""COMPUTED_VALUE"""),60.0)</f>
        <v>60</v>
      </c>
      <c r="L1043" s="94">
        <f>IFERROR(__xludf.DUMMYFUNCTION("""COMPUTED_VALUE"""),40.0)</f>
        <v>40</v>
      </c>
      <c r="M1043" s="94">
        <f>IFERROR(__xludf.DUMMYFUNCTION("""COMPUTED_VALUE"""),20.0)</f>
        <v>20</v>
      </c>
      <c r="N1043" s="94"/>
      <c r="O1043" s="1430">
        <f>IFERROR(__xludf.DUMMYFUNCTION("""COMPUTED_VALUE"""),20.0)</f>
        <v>20</v>
      </c>
      <c r="P1043" s="1431">
        <f>IFERROR(__xludf.DUMMYFUNCTION("""COMPUTED_VALUE"""),2.75)</f>
        <v>2.75</v>
      </c>
      <c r="Q1043" s="1432">
        <f>IFERROR(__xludf.DUMMYFUNCTION("""COMPUTED_VALUE"""),1512.5)</f>
        <v>1512.5</v>
      </c>
    </row>
    <row r="1044" ht="15.75" customHeight="1">
      <c r="A1044" s="94"/>
      <c r="B1044" s="94" t="str">
        <f>IFERROR(__xludf.DUMMYFUNCTION("""COMPUTED_VALUE"""),"Пиросмани 181")</f>
        <v>Пиросмани 181</v>
      </c>
      <c r="C1044" s="1429" t="str">
        <f>IFERROR(__xludf.DUMMYFUNCTION("""COMPUTED_VALUE"""),"#N/A")</f>
        <v>#N/A</v>
      </c>
      <c r="D1044" s="1432">
        <f>IFERROR(__xludf.DUMMYFUNCTION("""COMPUTED_VALUE"""),10.0)</f>
        <v>10</v>
      </c>
      <c r="E1044" s="1429">
        <f>IFERROR(__xludf.DUMMYFUNCTION("""COMPUTED_VALUE"""),45591.0)</f>
        <v>45591</v>
      </c>
      <c r="F1044" s="1429">
        <f>IFERROR(__xludf.DUMMYFUNCTION("""COMPUTED_VALUE"""),45616.0)</f>
        <v>45616</v>
      </c>
      <c r="G1044" s="1164">
        <f>IFERROR(__xludf.DUMMYFUNCTION("""COMPUTED_VALUE"""),25.0)</f>
        <v>25</v>
      </c>
      <c r="H1044" s="1430">
        <f>IFERROR(__xludf.DUMMYFUNCTION("""COMPUTED_VALUE"""),750.0)</f>
        <v>750</v>
      </c>
      <c r="I1044" s="94">
        <f>IFERROR(__xludf.DUMMYFUNCTION("""COMPUTED_VALUE"""),0.0)</f>
        <v>0</v>
      </c>
      <c r="J1044" s="94"/>
      <c r="K1044" s="94">
        <f>IFERROR(__xludf.DUMMYFUNCTION("""COMPUTED_VALUE"""),60.0)</f>
        <v>60</v>
      </c>
      <c r="L1044" s="94">
        <f>IFERROR(__xludf.DUMMYFUNCTION("""COMPUTED_VALUE"""),40.0)</f>
        <v>40</v>
      </c>
      <c r="M1044" s="94">
        <f>IFERROR(__xludf.DUMMYFUNCTION("""COMPUTED_VALUE"""),20.0)</f>
        <v>20</v>
      </c>
      <c r="N1044" s="94"/>
      <c r="O1044" s="1430">
        <f>IFERROR(__xludf.DUMMYFUNCTION("""COMPUTED_VALUE"""),20.0)</f>
        <v>20</v>
      </c>
      <c r="P1044" s="1431">
        <f>IFERROR(__xludf.DUMMYFUNCTION("""COMPUTED_VALUE"""),2.75)</f>
        <v>2.75</v>
      </c>
      <c r="Q1044" s="1432">
        <f>IFERROR(__xludf.DUMMYFUNCTION("""COMPUTED_VALUE"""),2062.5)</f>
        <v>2062.5</v>
      </c>
    </row>
    <row r="1045" ht="15.75" customHeight="1">
      <c r="A1045" s="94"/>
      <c r="B1045" s="94" t="str">
        <f>IFERROR(__xludf.DUMMYFUNCTION("""COMPUTED_VALUE"""),"CM 1931")</f>
        <v>CM 1931</v>
      </c>
      <c r="C1045" s="1429" t="str">
        <f>IFERROR(__xludf.DUMMYFUNCTION("""COMPUTED_VALUE"""),"MAR")</f>
        <v>MAR</v>
      </c>
      <c r="D1045" s="1432">
        <f>IFERROR(__xludf.DUMMYFUNCTION("""COMPUTED_VALUE"""),10.0)</f>
        <v>10</v>
      </c>
      <c r="E1045" s="1429">
        <f>IFERROR(__xludf.DUMMYFUNCTION("""COMPUTED_VALUE"""),45591.0)</f>
        <v>45591</v>
      </c>
      <c r="F1045" s="1429">
        <f>IFERROR(__xludf.DUMMYFUNCTION("""COMPUTED_VALUE"""),45622.0)</f>
        <v>45622</v>
      </c>
      <c r="G1045" s="1164">
        <f>IFERROR(__xludf.DUMMYFUNCTION("""COMPUTED_VALUE"""),31.0)</f>
        <v>31</v>
      </c>
      <c r="H1045" s="1430">
        <f>IFERROR(__xludf.DUMMYFUNCTION("""COMPUTED_VALUE"""),408.0)</f>
        <v>408</v>
      </c>
      <c r="I1045" s="94">
        <f>IFERROR(__xludf.DUMMYFUNCTION("""COMPUTED_VALUE"""),0.0)</f>
        <v>0</v>
      </c>
      <c r="J1045" s="94"/>
      <c r="K1045" s="94">
        <f>IFERROR(__xludf.DUMMYFUNCTION("""COMPUTED_VALUE"""),60.0)</f>
        <v>60</v>
      </c>
      <c r="L1045" s="94">
        <f>IFERROR(__xludf.DUMMYFUNCTION("""COMPUTED_VALUE"""),30.0)</f>
        <v>30</v>
      </c>
      <c r="M1045" s="94">
        <f>IFERROR(__xludf.DUMMYFUNCTION("""COMPUTED_VALUE"""),30.0)</f>
        <v>30</v>
      </c>
      <c r="N1045" s="94"/>
      <c r="O1045" s="1430">
        <f>IFERROR(__xludf.DUMMYFUNCTION("""COMPUTED_VALUE"""),30.0)</f>
        <v>30</v>
      </c>
      <c r="P1045" s="1431">
        <f>IFERROR(__xludf.DUMMYFUNCTION("""COMPUTED_VALUE"""),2.75)</f>
        <v>2.75</v>
      </c>
      <c r="Q1045" s="1432">
        <f>IFERROR(__xludf.DUMMYFUNCTION("""COMPUTED_VALUE"""),1122.0)</f>
        <v>1122</v>
      </c>
    </row>
    <row r="1046" ht="15.75" customHeight="1">
      <c r="A1046" s="94"/>
      <c r="B1046" s="94" t="str">
        <f>IFERROR(__xludf.DUMMYFUNCTION("""COMPUTED_VALUE"""),"WS E 1202")</f>
        <v>WS E 1202</v>
      </c>
      <c r="C1046" s="1429" t="str">
        <f>IFERROR(__xludf.DUMMYFUNCTION("""COMPUTED_VALUE"""),"WS")</f>
        <v>WS</v>
      </c>
      <c r="D1046" s="1432">
        <f>IFERROR(__xludf.DUMMYFUNCTION("""COMPUTED_VALUE"""),10.0)</f>
        <v>10</v>
      </c>
      <c r="E1046" s="1429">
        <f>IFERROR(__xludf.DUMMYFUNCTION("""COMPUTED_VALUE"""),45592.0)</f>
        <v>45592</v>
      </c>
      <c r="F1046" s="1429">
        <f>IFERROR(__xludf.DUMMYFUNCTION("""COMPUTED_VALUE"""),45596.0)</f>
        <v>45596</v>
      </c>
      <c r="G1046" s="1164">
        <f>IFERROR(__xludf.DUMMYFUNCTION("""COMPUTED_VALUE"""),4.0)</f>
        <v>4</v>
      </c>
      <c r="H1046" s="1430">
        <f>IFERROR(__xludf.DUMMYFUNCTION("""COMPUTED_VALUE"""),267.0)</f>
        <v>267</v>
      </c>
      <c r="I1046" s="94">
        <f>IFERROR(__xludf.DUMMYFUNCTION("""COMPUTED_VALUE"""),0.0)</f>
        <v>0</v>
      </c>
      <c r="J1046" s="94"/>
      <c r="K1046" s="94">
        <f>IFERROR(__xludf.DUMMYFUNCTION("""COMPUTED_VALUE"""),60.0)</f>
        <v>60</v>
      </c>
      <c r="L1046" s="94">
        <f>IFERROR(__xludf.DUMMYFUNCTION("""COMPUTED_VALUE"""),40.0)</f>
        <v>40</v>
      </c>
      <c r="M1046" s="94">
        <f>IFERROR(__xludf.DUMMYFUNCTION("""COMPUTED_VALUE"""),20.0)</f>
        <v>20</v>
      </c>
      <c r="N1046" s="94"/>
      <c r="O1046" s="1430">
        <f>IFERROR(__xludf.DUMMYFUNCTION("""COMPUTED_VALUE"""),20.0)</f>
        <v>20</v>
      </c>
      <c r="P1046" s="1431">
        <f>IFERROR(__xludf.DUMMYFUNCTION("""COMPUTED_VALUE"""),2.75)</f>
        <v>2.75</v>
      </c>
      <c r="Q1046" s="1432">
        <f>IFERROR(__xludf.DUMMYFUNCTION("""COMPUTED_VALUE"""),734.25)</f>
        <v>734.25</v>
      </c>
    </row>
    <row r="1047" ht="15.75" customHeight="1">
      <c r="A1047" s="94" t="str">
        <f>IFERROR(__xludf.DUMMYFUNCTION("""COMPUTED_VALUE"""),"Итого неделя")</f>
        <v>Итого неделя</v>
      </c>
      <c r="B1047" s="94" t="str">
        <f>IFERROR(__xludf.DUMMYFUNCTION("""COMPUTED_VALUE"""),"43 неделя")</f>
        <v>43 неделя</v>
      </c>
      <c r="C1047" s="94"/>
      <c r="D1047" s="94"/>
      <c r="E1047" s="94"/>
      <c r="F1047" s="94"/>
      <c r="G1047" s="1164">
        <f>IFERROR(__xludf.DUMMYFUNCTION("""COMPUTED_VALUE"""),239.0)</f>
        <v>239</v>
      </c>
      <c r="H1047" s="1430">
        <f>IFERROR(__xludf.DUMMYFUNCTION("""COMPUTED_VALUE"""),4892.0)</f>
        <v>4892</v>
      </c>
      <c r="I1047" s="94">
        <f>IFERROR(__xludf.DUMMYFUNCTION("""COMPUTED_VALUE"""),2106.0)</f>
        <v>2106</v>
      </c>
      <c r="J1047" s="94">
        <f>IFERROR(__xludf.DUMMYFUNCTION("""COMPUTED_VALUE"""),0.0)</f>
        <v>0</v>
      </c>
      <c r="K1047" s="94">
        <f>IFERROR(__xludf.DUMMYFUNCTION("""COMPUTED_VALUE"""),990.0)</f>
        <v>990</v>
      </c>
      <c r="L1047" s="94">
        <f>IFERROR(__xludf.DUMMYFUNCTION("""COMPUTED_VALUE"""),630.0)</f>
        <v>630</v>
      </c>
      <c r="M1047" s="94">
        <f>IFERROR(__xludf.DUMMYFUNCTION("""COMPUTED_VALUE"""),360.0)</f>
        <v>360</v>
      </c>
      <c r="N1047" s="94">
        <f>IFERROR(__xludf.DUMMYFUNCTION("""COMPUTED_VALUE"""),0.0)</f>
        <v>0</v>
      </c>
      <c r="O1047" s="1430">
        <f>IFERROR(__xludf.DUMMYFUNCTION("""COMPUTED_VALUE"""),360.0)</f>
        <v>360</v>
      </c>
      <c r="P1047" s="94"/>
      <c r="Q1047" s="1432">
        <f>IFERROR(__xludf.DUMMYFUNCTION("""COMPUTED_VALUE"""),15559.0)</f>
        <v>15559</v>
      </c>
    </row>
    <row r="1048" ht="15.75" customHeight="1">
      <c r="A1048" s="94"/>
      <c r="B1048" s="94" t="str">
        <f>IFERROR(__xludf.DUMMYFUNCTION("""COMPUTED_VALUE"""),"C 4245")</f>
        <v>C 4245</v>
      </c>
      <c r="C1048" s="94"/>
      <c r="D1048" s="1432">
        <f>IFERROR(__xludf.DUMMYFUNCTION("""COMPUTED_VALUE"""),10.0)</f>
        <v>10</v>
      </c>
      <c r="E1048" s="1429">
        <f>IFERROR(__xludf.DUMMYFUNCTION("""COMPUTED_VALUE"""),45593.0)</f>
        <v>45593</v>
      </c>
      <c r="F1048" s="1429">
        <f>IFERROR(__xludf.DUMMYFUNCTION("""COMPUTED_VALUE"""),45597.0)</f>
        <v>45597</v>
      </c>
      <c r="G1048" s="1164">
        <f>IFERROR(__xludf.DUMMYFUNCTION("""COMPUTED_VALUE"""),4.0)</f>
        <v>4</v>
      </c>
      <c r="H1048" s="1430">
        <f>IFERROR(__xludf.DUMMYFUNCTION("""COMPUTED_VALUE"""),156.0)</f>
        <v>156</v>
      </c>
      <c r="I1048" s="94"/>
      <c r="J1048" s="94"/>
      <c r="K1048" s="94">
        <f>IFERROR(__xludf.DUMMYFUNCTION("""COMPUTED_VALUE"""),60.0)</f>
        <v>60</v>
      </c>
      <c r="L1048" s="94">
        <f>IFERROR(__xludf.DUMMYFUNCTION("""COMPUTED_VALUE"""),40.0)</f>
        <v>40</v>
      </c>
      <c r="M1048" s="94">
        <f>IFERROR(__xludf.DUMMYFUNCTION("""COMPUTED_VALUE"""),20.0)</f>
        <v>20</v>
      </c>
      <c r="N1048" s="94"/>
      <c r="O1048" s="1430">
        <f>IFERROR(__xludf.DUMMYFUNCTION("""COMPUTED_VALUE"""),20.0)</f>
        <v>20</v>
      </c>
      <c r="P1048" s="1431">
        <f>IFERROR(__xludf.DUMMYFUNCTION("""COMPUTED_VALUE"""),2.73)</f>
        <v>2.73</v>
      </c>
      <c r="Q1048" s="1432">
        <f>IFERROR(__xludf.DUMMYFUNCTION("""COMPUTED_VALUE"""),425.88)</f>
        <v>425.88</v>
      </c>
    </row>
    <row r="1049" ht="15.75" customHeight="1">
      <c r="A1049" s="94"/>
      <c r="B1049" s="94" t="str">
        <f>IFERROR(__xludf.DUMMYFUNCTION("""COMPUTED_VALUE"""),"CM 1606")</f>
        <v>CM 1606</v>
      </c>
      <c r="C1049" s="94"/>
      <c r="D1049" s="1432">
        <f>IFERROR(__xludf.DUMMYFUNCTION("""COMPUTED_VALUE"""),10.0)</f>
        <v>10</v>
      </c>
      <c r="E1049" s="1429">
        <f>IFERROR(__xludf.DUMMYFUNCTION("""COMPUTED_VALUE"""),45594.0)</f>
        <v>45594</v>
      </c>
      <c r="F1049" s="1429">
        <f>IFERROR(__xludf.DUMMYFUNCTION("""COMPUTED_VALUE"""),45598.0)</f>
        <v>45598</v>
      </c>
      <c r="G1049" s="1164">
        <f>IFERROR(__xludf.DUMMYFUNCTION("""COMPUTED_VALUE"""),4.0)</f>
        <v>4</v>
      </c>
      <c r="H1049" s="1430">
        <f>IFERROR(__xludf.DUMMYFUNCTION("""COMPUTED_VALUE"""),125.0)</f>
        <v>125</v>
      </c>
      <c r="I1049" s="94"/>
      <c r="J1049" s="94"/>
      <c r="K1049" s="94">
        <f>IFERROR(__xludf.DUMMYFUNCTION("""COMPUTED_VALUE"""),60.0)</f>
        <v>60</v>
      </c>
      <c r="L1049" s="94">
        <f>IFERROR(__xludf.DUMMYFUNCTION("""COMPUTED_VALUE"""),30.0)</f>
        <v>30</v>
      </c>
      <c r="M1049" s="94">
        <f>IFERROR(__xludf.DUMMYFUNCTION("""COMPUTED_VALUE"""),30.0)</f>
        <v>30</v>
      </c>
      <c r="N1049" s="94"/>
      <c r="O1049" s="1430">
        <f>IFERROR(__xludf.DUMMYFUNCTION("""COMPUTED_VALUE"""),30.0)</f>
        <v>30</v>
      </c>
      <c r="P1049" s="1431">
        <f>IFERROR(__xludf.DUMMYFUNCTION("""COMPUTED_VALUE"""),2.73)</f>
        <v>2.73</v>
      </c>
      <c r="Q1049" s="1432">
        <f>IFERROR(__xludf.DUMMYFUNCTION("""COMPUTED_VALUE"""),341.25)</f>
        <v>341.25</v>
      </c>
    </row>
    <row r="1050" ht="15.75" customHeight="1">
      <c r="A1050" s="94"/>
      <c r="B1050" s="94" t="str">
        <f>IFERROR(__xludf.DUMMYFUNCTION("""COMPUTED_VALUE"""),"WS В 212")</f>
        <v>WS В 212</v>
      </c>
      <c r="C1050" s="94"/>
      <c r="D1050" s="1432">
        <f>IFERROR(__xludf.DUMMYFUNCTION("""COMPUTED_VALUE"""),10.0)</f>
        <v>10</v>
      </c>
      <c r="E1050" s="1429">
        <f>IFERROR(__xludf.DUMMYFUNCTION("""COMPUTED_VALUE"""),45595.0)</f>
        <v>45595</v>
      </c>
      <c r="F1050" s="1429">
        <f>IFERROR(__xludf.DUMMYFUNCTION("""COMPUTED_VALUE"""),45598.0)</f>
        <v>45598</v>
      </c>
      <c r="G1050" s="1164">
        <f>IFERROR(__xludf.DUMMYFUNCTION("""COMPUTED_VALUE"""),3.0)</f>
        <v>3</v>
      </c>
      <c r="H1050" s="1430">
        <f>IFERROR(__xludf.DUMMYFUNCTION("""COMPUTED_VALUE"""),195.0)</f>
        <v>195</v>
      </c>
      <c r="I1050" s="94"/>
      <c r="J1050" s="94"/>
      <c r="K1050" s="94">
        <f>IFERROR(__xludf.DUMMYFUNCTION("""COMPUTED_VALUE"""),60.0)</f>
        <v>60</v>
      </c>
      <c r="L1050" s="94">
        <f>IFERROR(__xludf.DUMMYFUNCTION("""COMPUTED_VALUE"""),40.0)</f>
        <v>40</v>
      </c>
      <c r="M1050" s="94">
        <f>IFERROR(__xludf.DUMMYFUNCTION("""COMPUTED_VALUE"""),20.0)</f>
        <v>20</v>
      </c>
      <c r="N1050" s="94"/>
      <c r="O1050" s="1430">
        <f>IFERROR(__xludf.DUMMYFUNCTION("""COMPUTED_VALUE"""),20.0)</f>
        <v>20</v>
      </c>
      <c r="P1050" s="1431">
        <f>IFERROR(__xludf.DUMMYFUNCTION("""COMPUTED_VALUE"""),2.73)</f>
        <v>2.73</v>
      </c>
      <c r="Q1050" s="1432">
        <f>IFERROR(__xludf.DUMMYFUNCTION("""COMPUTED_VALUE"""),532.35)</f>
        <v>532.35</v>
      </c>
    </row>
    <row r="1051" ht="15.75" customHeight="1">
      <c r="A1051" s="94"/>
      <c r="B1051" s="94" t="str">
        <f>IFERROR(__xludf.DUMMYFUNCTION("""COMPUTED_VALUE"""),"WS А 908")</f>
        <v>WS А 908</v>
      </c>
      <c r="C1051" s="94"/>
      <c r="D1051" s="1432">
        <f>IFERROR(__xludf.DUMMYFUNCTION("""COMPUTED_VALUE"""),10.0)</f>
        <v>10</v>
      </c>
      <c r="E1051" s="1429">
        <f>IFERROR(__xludf.DUMMYFUNCTION("""COMPUTED_VALUE"""),45595.0)</f>
        <v>45595</v>
      </c>
      <c r="F1051" s="1429">
        <f>IFERROR(__xludf.DUMMYFUNCTION("""COMPUTED_VALUE"""),45599.0)</f>
        <v>45599</v>
      </c>
      <c r="G1051" s="1164">
        <f>IFERROR(__xludf.DUMMYFUNCTION("""COMPUTED_VALUE"""),4.0)</f>
        <v>4</v>
      </c>
      <c r="H1051" s="94"/>
      <c r="I1051" s="94">
        <f>IFERROR(__xludf.DUMMYFUNCTION("""COMPUTED_VALUE"""),316.0)</f>
        <v>316</v>
      </c>
      <c r="J1051" s="94"/>
      <c r="K1051" s="94">
        <f>IFERROR(__xludf.DUMMYFUNCTION("""COMPUTED_VALUE"""),60.0)</f>
        <v>60</v>
      </c>
      <c r="L1051" s="94">
        <f>IFERROR(__xludf.DUMMYFUNCTION("""COMPUTED_VALUE"""),30.0)</f>
        <v>30</v>
      </c>
      <c r="M1051" s="94">
        <f>IFERROR(__xludf.DUMMYFUNCTION("""COMPUTED_VALUE"""),30.0)</f>
        <v>30</v>
      </c>
      <c r="N1051" s="94"/>
      <c r="O1051" s="1430">
        <f>IFERROR(__xludf.DUMMYFUNCTION("""COMPUTED_VALUE"""),30.0)</f>
        <v>30</v>
      </c>
      <c r="P1051" s="1431">
        <f>IFERROR(__xludf.DUMMYFUNCTION("""COMPUTED_VALUE"""),2.73)</f>
        <v>2.73</v>
      </c>
      <c r="Q1051" s="1432">
        <f>IFERROR(__xludf.DUMMYFUNCTION("""COMPUTED_VALUE"""),316.0)</f>
        <v>316</v>
      </c>
    </row>
    <row r="1052" ht="15.75" customHeight="1">
      <c r="A1052" s="94"/>
      <c r="B1052" s="94" t="str">
        <f>IFERROR(__xludf.DUMMYFUNCTION("""COMPUTED_VALUE"""),"WS В 503")</f>
        <v>WS В 503</v>
      </c>
      <c r="C1052" s="94"/>
      <c r="D1052" s="1432">
        <f>IFERROR(__xludf.DUMMYFUNCTION("""COMPUTED_VALUE"""),10.0)</f>
        <v>10</v>
      </c>
      <c r="E1052" s="1429">
        <f>IFERROR(__xludf.DUMMYFUNCTION("""COMPUTED_VALUE"""),45595.0)</f>
        <v>45595</v>
      </c>
      <c r="F1052" s="1429">
        <f>IFERROR(__xludf.DUMMYFUNCTION("""COMPUTED_VALUE"""),45625.0)</f>
        <v>45625</v>
      </c>
      <c r="G1052" s="1164">
        <f>IFERROR(__xludf.DUMMYFUNCTION("""COMPUTED_VALUE"""),30.0)</f>
        <v>30</v>
      </c>
      <c r="H1052" s="1430">
        <f>IFERROR(__xludf.DUMMYFUNCTION("""COMPUTED_VALUE"""),750.0)</f>
        <v>750</v>
      </c>
      <c r="I1052" s="94"/>
      <c r="J1052" s="94"/>
      <c r="K1052" s="94"/>
      <c r="L1052" s="94"/>
      <c r="M1052" s="94">
        <f>IFERROR(__xludf.DUMMYFUNCTION("""COMPUTED_VALUE"""),0.0)</f>
        <v>0</v>
      </c>
      <c r="N1052" s="94"/>
      <c r="O1052" s="1430">
        <f>IFERROR(__xludf.DUMMYFUNCTION("""COMPUTED_VALUE"""),0.0)</f>
        <v>0</v>
      </c>
      <c r="P1052" s="1431">
        <f>IFERROR(__xludf.DUMMYFUNCTION("""COMPUTED_VALUE"""),2.73)</f>
        <v>2.73</v>
      </c>
      <c r="Q1052" s="1432">
        <f>IFERROR(__xludf.DUMMYFUNCTION("""COMPUTED_VALUE"""),2047.5)</f>
        <v>2047.5</v>
      </c>
    </row>
    <row r="1053" ht="15.75" customHeight="1">
      <c r="A1053" s="94"/>
      <c r="B1053" s="94" t="str">
        <f>IFERROR(__xludf.DUMMYFUNCTION("""COMPUTED_VALUE"""),"WS A 409")</f>
        <v>WS A 409</v>
      </c>
      <c r="C1053" s="94"/>
      <c r="D1053" s="1432">
        <f>IFERROR(__xludf.DUMMYFUNCTION("""COMPUTED_VALUE"""),10.0)</f>
        <v>10</v>
      </c>
      <c r="E1053" s="1429">
        <f>IFERROR(__xludf.DUMMYFUNCTION("""COMPUTED_VALUE"""),45596.0)</f>
        <v>45596</v>
      </c>
      <c r="F1053" s="1429">
        <f>IFERROR(__xludf.DUMMYFUNCTION("""COMPUTED_VALUE"""),45633.0)</f>
        <v>45633</v>
      </c>
      <c r="G1053" s="1164">
        <f>IFERROR(__xludf.DUMMYFUNCTION("""COMPUTED_VALUE"""),37.0)</f>
        <v>37</v>
      </c>
      <c r="H1053" s="1430">
        <f>IFERROR(__xludf.DUMMYFUNCTION("""COMPUTED_VALUE"""),570.0)</f>
        <v>570</v>
      </c>
      <c r="I1053" s="94"/>
      <c r="J1053" s="94"/>
      <c r="K1053" s="94">
        <f>IFERROR(__xludf.DUMMYFUNCTION("""COMPUTED_VALUE"""),60.0)</f>
        <v>60</v>
      </c>
      <c r="L1053" s="94">
        <f>IFERROR(__xludf.DUMMYFUNCTION("""COMPUTED_VALUE"""),30.0)</f>
        <v>30</v>
      </c>
      <c r="M1053" s="94">
        <f>IFERROR(__xludf.DUMMYFUNCTION("""COMPUTED_VALUE"""),30.0)</f>
        <v>30</v>
      </c>
      <c r="N1053" s="94"/>
      <c r="O1053" s="1430">
        <f>IFERROR(__xludf.DUMMYFUNCTION("""COMPUTED_VALUE"""),30.0)</f>
        <v>30</v>
      </c>
      <c r="P1053" s="1431">
        <f>IFERROR(__xludf.DUMMYFUNCTION("""COMPUTED_VALUE"""),2.73)</f>
        <v>2.73</v>
      </c>
      <c r="Q1053" s="1432">
        <f>IFERROR(__xludf.DUMMYFUNCTION("""COMPUTED_VALUE"""),1556.1)</f>
        <v>1556.1</v>
      </c>
    </row>
    <row r="1054" ht="15.75" customHeight="1">
      <c r="A1054" s="94"/>
      <c r="B1054" s="94" t="str">
        <f>IFERROR(__xludf.DUMMYFUNCTION("""COMPUTED_VALUE"""),"WS A907")</f>
        <v>WS A907</v>
      </c>
      <c r="C1054" s="94"/>
      <c r="D1054" s="1432">
        <f>IFERROR(__xludf.DUMMYFUNCTION("""COMPUTED_VALUE"""),10.0)</f>
        <v>10</v>
      </c>
      <c r="E1054" s="1429">
        <f>IFERROR(__xludf.DUMMYFUNCTION("""COMPUTED_VALUE"""),45596.0)</f>
        <v>45596</v>
      </c>
      <c r="F1054" s="1429">
        <f>IFERROR(__xludf.DUMMYFUNCTION("""COMPUTED_VALUE"""),45600.0)</f>
        <v>45600</v>
      </c>
      <c r="G1054" s="1164">
        <f>IFERROR(__xludf.DUMMYFUNCTION("""COMPUTED_VALUE"""),4.0)</f>
        <v>4</v>
      </c>
      <c r="H1054" s="1430">
        <f>IFERROR(__xludf.DUMMYFUNCTION("""COMPUTED_VALUE"""),136.0)</f>
        <v>136</v>
      </c>
      <c r="I1054" s="94"/>
      <c r="J1054" s="94"/>
      <c r="K1054" s="94">
        <f>IFERROR(__xludf.DUMMYFUNCTION("""COMPUTED_VALUE"""),60.0)</f>
        <v>60</v>
      </c>
      <c r="L1054" s="94">
        <f>IFERROR(__xludf.DUMMYFUNCTION("""COMPUTED_VALUE"""),30.0)</f>
        <v>30</v>
      </c>
      <c r="M1054" s="94">
        <f>IFERROR(__xludf.DUMMYFUNCTION("""COMPUTED_VALUE"""),30.0)</f>
        <v>30</v>
      </c>
      <c r="N1054" s="94"/>
      <c r="O1054" s="1430">
        <f>IFERROR(__xludf.DUMMYFUNCTION("""COMPUTED_VALUE"""),30.0)</f>
        <v>30</v>
      </c>
      <c r="P1054" s="1431">
        <f>IFERROR(__xludf.DUMMYFUNCTION("""COMPUTED_VALUE"""),2.73)</f>
        <v>2.73</v>
      </c>
      <c r="Q1054" s="1432">
        <f>IFERROR(__xludf.DUMMYFUNCTION("""COMPUTED_VALUE"""),371.28)</f>
        <v>371.28</v>
      </c>
    </row>
    <row r="1055" ht="15.75" customHeight="1">
      <c r="A1055" s="94"/>
      <c r="B1055" s="94" t="str">
        <f>IFERROR(__xludf.DUMMYFUNCTION("""COMPUTED_VALUE"""),"WS E 1202")</f>
        <v>WS E 1202</v>
      </c>
      <c r="C1055" s="94"/>
      <c r="D1055" s="1432">
        <f>IFERROR(__xludf.DUMMYFUNCTION("""COMPUTED_VALUE"""),10.0)</f>
        <v>10</v>
      </c>
      <c r="E1055" s="1429">
        <f>IFERROR(__xludf.DUMMYFUNCTION("""COMPUTED_VALUE"""),45596.0)</f>
        <v>45596</v>
      </c>
      <c r="F1055" s="1429">
        <f>IFERROR(__xludf.DUMMYFUNCTION("""COMPUTED_VALUE"""),45626.0)</f>
        <v>45626</v>
      </c>
      <c r="G1055" s="1164">
        <f>IFERROR(__xludf.DUMMYFUNCTION("""COMPUTED_VALUE"""),30.0)</f>
        <v>30</v>
      </c>
      <c r="H1055" s="1430">
        <f>IFERROR(__xludf.DUMMYFUNCTION("""COMPUTED_VALUE"""),886.0)</f>
        <v>886</v>
      </c>
      <c r="I1055" s="94"/>
      <c r="J1055" s="94"/>
      <c r="K1055" s="94">
        <f>IFERROR(__xludf.DUMMYFUNCTION("""COMPUTED_VALUE"""),60.0)</f>
        <v>60</v>
      </c>
      <c r="L1055" s="94">
        <f>IFERROR(__xludf.DUMMYFUNCTION("""COMPUTED_VALUE"""),40.0)</f>
        <v>40</v>
      </c>
      <c r="M1055" s="94">
        <f>IFERROR(__xludf.DUMMYFUNCTION("""COMPUTED_VALUE"""),20.0)</f>
        <v>20</v>
      </c>
      <c r="N1055" s="94"/>
      <c r="O1055" s="1430">
        <f>IFERROR(__xludf.DUMMYFUNCTION("""COMPUTED_VALUE"""),20.0)</f>
        <v>20</v>
      </c>
      <c r="P1055" s="1431">
        <f>IFERROR(__xludf.DUMMYFUNCTION("""COMPUTED_VALUE"""),2.73)</f>
        <v>2.73</v>
      </c>
      <c r="Q1055" s="1432">
        <f>IFERROR(__xludf.DUMMYFUNCTION("""COMPUTED_VALUE"""),2418.78)</f>
        <v>2418.78</v>
      </c>
    </row>
    <row r="1056" ht="15.75" customHeight="1">
      <c r="A1056" s="94"/>
      <c r="B1056" s="94" t="str">
        <f>IFERROR(__xludf.DUMMYFUNCTION("""COMPUTED_VALUE"""),"WS E704")</f>
        <v>WS E704</v>
      </c>
      <c r="C1056" s="94"/>
      <c r="D1056" s="1432">
        <f>IFERROR(__xludf.DUMMYFUNCTION("""COMPUTED_VALUE"""),11.0)</f>
        <v>11</v>
      </c>
      <c r="E1056" s="1429">
        <f>IFERROR(__xludf.DUMMYFUNCTION("""COMPUTED_VALUE"""),45597.0)</f>
        <v>45597</v>
      </c>
      <c r="F1056" s="1429">
        <f>IFERROR(__xludf.DUMMYFUNCTION("""COMPUTED_VALUE"""),45626.0)</f>
        <v>45626</v>
      </c>
      <c r="G1056" s="1164">
        <f>IFERROR(__xludf.DUMMYFUNCTION("""COMPUTED_VALUE"""),29.0)</f>
        <v>29</v>
      </c>
      <c r="H1056" s="1430">
        <f>IFERROR(__xludf.DUMMYFUNCTION("""COMPUTED_VALUE"""),450.0)</f>
        <v>450</v>
      </c>
      <c r="I1056" s="94"/>
      <c r="J1056" s="94"/>
      <c r="K1056" s="94">
        <f>IFERROR(__xludf.DUMMYFUNCTION("""COMPUTED_VALUE"""),60.0)</f>
        <v>60</v>
      </c>
      <c r="L1056" s="94">
        <f>IFERROR(__xludf.DUMMYFUNCTION("""COMPUTED_VALUE"""),30.0)</f>
        <v>30</v>
      </c>
      <c r="M1056" s="94">
        <f>IFERROR(__xludf.DUMMYFUNCTION("""COMPUTED_VALUE"""),30.0)</f>
        <v>30</v>
      </c>
      <c r="N1056" s="94"/>
      <c r="O1056" s="1430">
        <f>IFERROR(__xludf.DUMMYFUNCTION("""COMPUTED_VALUE"""),30.0)</f>
        <v>30</v>
      </c>
      <c r="P1056" s="1431">
        <f>IFERROR(__xludf.DUMMYFUNCTION("""COMPUTED_VALUE"""),2.73)</f>
        <v>2.73</v>
      </c>
      <c r="Q1056" s="1432">
        <f>IFERROR(__xludf.DUMMYFUNCTION("""COMPUTED_VALUE"""),1228.5)</f>
        <v>1228.5</v>
      </c>
    </row>
    <row r="1057" ht="15.75" customHeight="1">
      <c r="A1057" s="94"/>
      <c r="B1057" s="94" t="str">
        <f>IFERROR(__xludf.DUMMYFUNCTION("""COMPUTED_VALUE"""),"Int 2905")</f>
        <v>Int 2905</v>
      </c>
      <c r="C1057" s="94"/>
      <c r="D1057" s="1432">
        <f>IFERROR(__xludf.DUMMYFUNCTION("""COMPUTED_VALUE"""),11.0)</f>
        <v>11</v>
      </c>
      <c r="E1057" s="1429">
        <f>IFERROR(__xludf.DUMMYFUNCTION("""COMPUTED_VALUE"""),45597.0)</f>
        <v>45597</v>
      </c>
      <c r="F1057" s="1429">
        <f>IFERROR(__xludf.DUMMYFUNCTION("""COMPUTED_VALUE"""),45626.0)</f>
        <v>45626</v>
      </c>
      <c r="G1057" s="1164">
        <f>IFERROR(__xludf.DUMMYFUNCTION("""COMPUTED_VALUE"""),29.0)</f>
        <v>29</v>
      </c>
      <c r="H1057" s="1430">
        <f>IFERROR(__xludf.DUMMYFUNCTION("""COMPUTED_VALUE"""),550.0)</f>
        <v>550</v>
      </c>
      <c r="I1057" s="94"/>
      <c r="J1057" s="94"/>
      <c r="K1057" s="94"/>
      <c r="L1057" s="94"/>
      <c r="M1057" s="94">
        <f>IFERROR(__xludf.DUMMYFUNCTION("""COMPUTED_VALUE"""),0.0)</f>
        <v>0</v>
      </c>
      <c r="N1057" s="94"/>
      <c r="O1057" s="1430">
        <f>IFERROR(__xludf.DUMMYFUNCTION("""COMPUTED_VALUE"""),0.0)</f>
        <v>0</v>
      </c>
      <c r="P1057" s="1431">
        <f>IFERROR(__xludf.DUMMYFUNCTION("""COMPUTED_VALUE"""),2.73)</f>
        <v>2.73</v>
      </c>
      <c r="Q1057" s="1432">
        <f>IFERROR(__xludf.DUMMYFUNCTION("""COMPUTED_VALUE"""),1501.5)</f>
        <v>1501.5</v>
      </c>
    </row>
    <row r="1058" ht="15.75" customHeight="1">
      <c r="A1058" s="94"/>
      <c r="B1058" s="94" t="str">
        <f>IFERROR(__xludf.DUMMYFUNCTION("""COMPUTED_VALUE"""),"D2 1625")</f>
        <v>D2 1625</v>
      </c>
      <c r="C1058" s="94"/>
      <c r="D1058" s="1432">
        <f>IFERROR(__xludf.DUMMYFUNCTION("""COMPUTED_VALUE"""),11.0)</f>
        <v>11</v>
      </c>
      <c r="E1058" s="1429">
        <f>IFERROR(__xludf.DUMMYFUNCTION("""COMPUTED_VALUE"""),45597.0)</f>
        <v>45597</v>
      </c>
      <c r="F1058" s="1429">
        <f>IFERROR(__xludf.DUMMYFUNCTION("""COMPUTED_VALUE"""),45625.0)</f>
        <v>45625</v>
      </c>
      <c r="G1058" s="1164">
        <f>IFERROR(__xludf.DUMMYFUNCTION("""COMPUTED_VALUE"""),28.0)</f>
        <v>28</v>
      </c>
      <c r="H1058" s="1430">
        <f>IFERROR(__xludf.DUMMYFUNCTION("""COMPUTED_VALUE"""),310.0)</f>
        <v>310</v>
      </c>
      <c r="I1058" s="94"/>
      <c r="J1058" s="94"/>
      <c r="K1058" s="94">
        <f>IFERROR(__xludf.DUMMYFUNCTION("""COMPUTED_VALUE"""),60.0)</f>
        <v>60</v>
      </c>
      <c r="L1058" s="94">
        <f>IFERROR(__xludf.DUMMYFUNCTION("""COMPUTED_VALUE"""),40.0)</f>
        <v>40</v>
      </c>
      <c r="M1058" s="94">
        <f>IFERROR(__xludf.DUMMYFUNCTION("""COMPUTED_VALUE"""),20.0)</f>
        <v>20</v>
      </c>
      <c r="N1058" s="94"/>
      <c r="O1058" s="1430">
        <f>IFERROR(__xludf.DUMMYFUNCTION("""COMPUTED_VALUE"""),20.0)</f>
        <v>20</v>
      </c>
      <c r="P1058" s="1431">
        <f>IFERROR(__xludf.DUMMYFUNCTION("""COMPUTED_VALUE"""),2.73)</f>
        <v>2.73</v>
      </c>
      <c r="Q1058" s="1432">
        <f>IFERROR(__xludf.DUMMYFUNCTION("""COMPUTED_VALUE"""),846.3)</f>
        <v>846.3</v>
      </c>
    </row>
    <row r="1059" ht="15.75" customHeight="1">
      <c r="A1059" s="94"/>
      <c r="B1059" s="94" t="str">
        <f>IFERROR(__xludf.DUMMYFUNCTION("""COMPUTED_VALUE"""),"C 4245")</f>
        <v>C 4245</v>
      </c>
      <c r="C1059" s="94"/>
      <c r="D1059" s="1432">
        <f>IFERROR(__xludf.DUMMYFUNCTION("""COMPUTED_VALUE"""),11.0)</f>
        <v>11</v>
      </c>
      <c r="E1059" s="1438">
        <f>IFERROR(__xludf.DUMMYFUNCTION("""COMPUTED_VALUE"""),45597.0)</f>
        <v>45597</v>
      </c>
      <c r="F1059" s="1429">
        <f>IFERROR(__xludf.DUMMYFUNCTION("""COMPUTED_VALUE"""),45599.0)</f>
        <v>45599</v>
      </c>
      <c r="G1059" s="1164">
        <f>IFERROR(__xludf.DUMMYFUNCTION("""COMPUTED_VALUE"""),2.0)</f>
        <v>2</v>
      </c>
      <c r="H1059" s="1430">
        <f>IFERROR(__xludf.DUMMYFUNCTION("""COMPUTED_VALUE"""),90.0)</f>
        <v>90</v>
      </c>
      <c r="I1059" s="94"/>
      <c r="J1059" s="94"/>
      <c r="K1059" s="94">
        <f>IFERROR(__xludf.DUMMYFUNCTION("""COMPUTED_VALUE"""),60.0)</f>
        <v>60</v>
      </c>
      <c r="L1059" s="94">
        <f>IFERROR(__xludf.DUMMYFUNCTION("""COMPUTED_VALUE"""),40.0)</f>
        <v>40</v>
      </c>
      <c r="M1059" s="94">
        <f>IFERROR(__xludf.DUMMYFUNCTION("""COMPUTED_VALUE"""),20.0)</f>
        <v>20</v>
      </c>
      <c r="N1059" s="94"/>
      <c r="O1059" s="1430">
        <f>IFERROR(__xludf.DUMMYFUNCTION("""COMPUTED_VALUE"""),20.0)</f>
        <v>20</v>
      </c>
      <c r="P1059" s="1431">
        <f>IFERROR(__xludf.DUMMYFUNCTION("""COMPUTED_VALUE"""),2.73)</f>
        <v>2.73</v>
      </c>
      <c r="Q1059" s="1432">
        <f>IFERROR(__xludf.DUMMYFUNCTION("""COMPUTED_VALUE"""),245.7)</f>
        <v>245.7</v>
      </c>
    </row>
    <row r="1060" ht="15.75" customHeight="1">
      <c r="A1060" s="94"/>
      <c r="B1060" s="94" t="str">
        <f>IFERROR(__xludf.DUMMYFUNCTION("""COMPUTED_VALUE"""),"WS В 1510")</f>
        <v>WS В 1510</v>
      </c>
      <c r="C1060" s="94"/>
      <c r="D1060" s="1432">
        <f>IFERROR(__xludf.DUMMYFUNCTION("""COMPUTED_VALUE"""),11.0)</f>
        <v>11</v>
      </c>
      <c r="E1060" s="1429">
        <f>IFERROR(__xludf.DUMMYFUNCTION("""COMPUTED_VALUE"""),45598.0)</f>
        <v>45598</v>
      </c>
      <c r="F1060" s="1429">
        <f>IFERROR(__xludf.DUMMYFUNCTION("""COMPUTED_VALUE"""),45633.0)</f>
        <v>45633</v>
      </c>
      <c r="G1060" s="1164">
        <f>IFERROR(__xludf.DUMMYFUNCTION("""COMPUTED_VALUE"""),35.0)</f>
        <v>35</v>
      </c>
      <c r="H1060" s="1430">
        <f>IFERROR(__xludf.DUMMYFUNCTION("""COMPUTED_VALUE"""),540.0)</f>
        <v>540</v>
      </c>
      <c r="I1060" s="94"/>
      <c r="J1060" s="94"/>
      <c r="K1060" s="94">
        <f>IFERROR(__xludf.DUMMYFUNCTION("""COMPUTED_VALUE"""),60.0)</f>
        <v>60</v>
      </c>
      <c r="L1060" s="94">
        <f>IFERROR(__xludf.DUMMYFUNCTION("""COMPUTED_VALUE"""),30.0)</f>
        <v>30</v>
      </c>
      <c r="M1060" s="94">
        <f>IFERROR(__xludf.DUMMYFUNCTION("""COMPUTED_VALUE"""),30.0)</f>
        <v>30</v>
      </c>
      <c r="N1060" s="94"/>
      <c r="O1060" s="1430">
        <f>IFERROR(__xludf.DUMMYFUNCTION("""COMPUTED_VALUE"""),30.0)</f>
        <v>30</v>
      </c>
      <c r="P1060" s="1431">
        <f>IFERROR(__xludf.DUMMYFUNCTION("""COMPUTED_VALUE"""),2.73)</f>
        <v>2.73</v>
      </c>
      <c r="Q1060" s="1432">
        <f>IFERROR(__xludf.DUMMYFUNCTION("""COMPUTED_VALUE"""),1474.2)</f>
        <v>1474.2</v>
      </c>
    </row>
    <row r="1061" ht="15.75" customHeight="1">
      <c r="A1061" s="94"/>
      <c r="B1061" s="94" t="str">
        <f>IFERROR(__xludf.DUMMYFUNCTION("""COMPUTED_VALUE"""),"C 4245")</f>
        <v>C 4245</v>
      </c>
      <c r="C1061" s="94"/>
      <c r="D1061" s="1432">
        <f>IFERROR(__xludf.DUMMYFUNCTION("""COMPUTED_VALUE"""),11.0)</f>
        <v>11</v>
      </c>
      <c r="E1061" s="1429">
        <f>IFERROR(__xludf.DUMMYFUNCTION("""COMPUTED_VALUE"""),45599.0)</f>
        <v>45599</v>
      </c>
      <c r="F1061" s="1429">
        <f>IFERROR(__xludf.DUMMYFUNCTION("""COMPUTED_VALUE"""),45601.0)</f>
        <v>45601</v>
      </c>
      <c r="G1061" s="1164">
        <f>IFERROR(__xludf.DUMMYFUNCTION("""COMPUTED_VALUE"""),2.0)</f>
        <v>2</v>
      </c>
      <c r="H1061" s="1430">
        <f>IFERROR(__xludf.DUMMYFUNCTION("""COMPUTED_VALUE"""),53.0)</f>
        <v>53</v>
      </c>
      <c r="I1061" s="94"/>
      <c r="J1061" s="94"/>
      <c r="K1061" s="94">
        <f>IFERROR(__xludf.DUMMYFUNCTION("""COMPUTED_VALUE"""),60.0)</f>
        <v>60</v>
      </c>
      <c r="L1061" s="94">
        <f>IFERROR(__xludf.DUMMYFUNCTION("""COMPUTED_VALUE"""),40.0)</f>
        <v>40</v>
      </c>
      <c r="M1061" s="94">
        <f>IFERROR(__xludf.DUMMYFUNCTION("""COMPUTED_VALUE"""),20.0)</f>
        <v>20</v>
      </c>
      <c r="N1061" s="94"/>
      <c r="O1061" s="1430">
        <f>IFERROR(__xludf.DUMMYFUNCTION("""COMPUTED_VALUE"""),20.0)</f>
        <v>20</v>
      </c>
      <c r="P1061" s="1431">
        <f>IFERROR(__xludf.DUMMYFUNCTION("""COMPUTED_VALUE"""),2.73)</f>
        <v>2.73</v>
      </c>
      <c r="Q1061" s="1432">
        <f>IFERROR(__xludf.DUMMYFUNCTION("""COMPUTED_VALUE"""),144.69)</f>
        <v>144.69</v>
      </c>
    </row>
    <row r="1062" ht="15.75" customHeight="1">
      <c r="A1062" s="94"/>
      <c r="B1062" s="94" t="str">
        <f>IFERROR(__xludf.DUMMYFUNCTION("""COMPUTED_VALUE"""),"WS А 908")</f>
        <v>WS А 908</v>
      </c>
      <c r="C1062" s="94"/>
      <c r="D1062" s="1432">
        <f>IFERROR(__xludf.DUMMYFUNCTION("""COMPUTED_VALUE"""),11.0)</f>
        <v>11</v>
      </c>
      <c r="E1062" s="1429">
        <f>IFERROR(__xludf.DUMMYFUNCTION("""COMPUTED_VALUE"""),45599.0)</f>
        <v>45599</v>
      </c>
      <c r="F1062" s="1429">
        <f>IFERROR(__xludf.DUMMYFUNCTION("""COMPUTED_VALUE"""),45627.0)</f>
        <v>45627</v>
      </c>
      <c r="G1062" s="1164">
        <f>IFERROR(__xludf.DUMMYFUNCTION("""COMPUTED_VALUE"""),28.0)</f>
        <v>28</v>
      </c>
      <c r="H1062" s="1430">
        <f>IFERROR(__xludf.DUMMYFUNCTION("""COMPUTED_VALUE"""),453.0)</f>
        <v>453</v>
      </c>
      <c r="I1062" s="94"/>
      <c r="J1062" s="94"/>
      <c r="K1062" s="94">
        <f>IFERROR(__xludf.DUMMYFUNCTION("""COMPUTED_VALUE"""),60.0)</f>
        <v>60</v>
      </c>
      <c r="L1062" s="94">
        <f>IFERROR(__xludf.DUMMYFUNCTION("""COMPUTED_VALUE"""),30.0)</f>
        <v>30</v>
      </c>
      <c r="M1062" s="94">
        <f>IFERROR(__xludf.DUMMYFUNCTION("""COMPUTED_VALUE"""),30.0)</f>
        <v>30</v>
      </c>
      <c r="N1062" s="94"/>
      <c r="O1062" s="1430">
        <f>IFERROR(__xludf.DUMMYFUNCTION("""COMPUTED_VALUE"""),30.0)</f>
        <v>30</v>
      </c>
      <c r="P1062" s="1431">
        <f>IFERROR(__xludf.DUMMYFUNCTION("""COMPUTED_VALUE"""),2.73)</f>
        <v>2.73</v>
      </c>
      <c r="Q1062" s="1432">
        <f>IFERROR(__xludf.DUMMYFUNCTION("""COMPUTED_VALUE"""),1236.69)</f>
        <v>1236.69</v>
      </c>
    </row>
    <row r="1063" ht="15.75" customHeight="1">
      <c r="A1063" s="94"/>
      <c r="B1063" s="94" t="str">
        <f>IFERROR(__xludf.DUMMYFUNCTION("""COMPUTED_VALUE"""),"CM 1604")</f>
        <v>CM 1604</v>
      </c>
      <c r="C1063" s="94"/>
      <c r="D1063" s="1432">
        <f>IFERROR(__xludf.DUMMYFUNCTION("""COMPUTED_VALUE"""),11.0)</f>
        <v>11</v>
      </c>
      <c r="E1063" s="1429">
        <f>IFERROR(__xludf.DUMMYFUNCTION("""COMPUTED_VALUE"""),45600.0)</f>
        <v>45600</v>
      </c>
      <c r="F1063" s="1429">
        <f>IFERROR(__xludf.DUMMYFUNCTION("""COMPUTED_VALUE"""),45602.0)</f>
        <v>45602</v>
      </c>
      <c r="G1063" s="1164">
        <f>IFERROR(__xludf.DUMMYFUNCTION("""COMPUTED_VALUE"""),2.0)</f>
        <v>2</v>
      </c>
      <c r="H1063" s="1430">
        <f>IFERROR(__xludf.DUMMYFUNCTION("""COMPUTED_VALUE"""),90.0)</f>
        <v>90</v>
      </c>
      <c r="I1063" s="94"/>
      <c r="J1063" s="94"/>
      <c r="K1063" s="94">
        <f>IFERROR(__xludf.DUMMYFUNCTION("""COMPUTED_VALUE"""),60.0)</f>
        <v>60</v>
      </c>
      <c r="L1063" s="94">
        <f>IFERROR(__xludf.DUMMYFUNCTION("""COMPUTED_VALUE"""),40.0)</f>
        <v>40</v>
      </c>
      <c r="M1063" s="94">
        <f>IFERROR(__xludf.DUMMYFUNCTION("""COMPUTED_VALUE"""),20.0)</f>
        <v>20</v>
      </c>
      <c r="N1063" s="94"/>
      <c r="O1063" s="1430">
        <f>IFERROR(__xludf.DUMMYFUNCTION("""COMPUTED_VALUE"""),20.0)</f>
        <v>20</v>
      </c>
      <c r="P1063" s="1431">
        <f>IFERROR(__xludf.DUMMYFUNCTION("""COMPUTED_VALUE"""),2.73)</f>
        <v>2.73</v>
      </c>
      <c r="Q1063" s="1432">
        <f>IFERROR(__xludf.DUMMYFUNCTION("""COMPUTED_VALUE"""),245.7)</f>
        <v>245.7</v>
      </c>
    </row>
    <row r="1064" ht="15.75" customHeight="1">
      <c r="A1064" s="94"/>
      <c r="B1064" s="94" t="str">
        <f>IFERROR(__xludf.DUMMYFUNCTION("""COMPUTED_VALUE"""),"WS A907")</f>
        <v>WS A907</v>
      </c>
      <c r="C1064" s="94"/>
      <c r="D1064" s="1432">
        <f>IFERROR(__xludf.DUMMYFUNCTION("""COMPUTED_VALUE"""),11.0)</f>
        <v>11</v>
      </c>
      <c r="E1064" s="1429">
        <f>IFERROR(__xludf.DUMMYFUNCTION("""COMPUTED_VALUE"""),45600.0)</f>
        <v>45600</v>
      </c>
      <c r="F1064" s="1429">
        <f>IFERROR(__xludf.DUMMYFUNCTION("""COMPUTED_VALUE"""),45602.0)</f>
        <v>45602</v>
      </c>
      <c r="G1064" s="1164">
        <f>IFERROR(__xludf.DUMMYFUNCTION("""COMPUTED_VALUE"""),2.0)</f>
        <v>2</v>
      </c>
      <c r="H1064" s="94"/>
      <c r="I1064" s="94">
        <f>IFERROR(__xludf.DUMMYFUNCTION("""COMPUTED_VALUE"""),230.0)</f>
        <v>230</v>
      </c>
      <c r="J1064" s="94"/>
      <c r="K1064" s="94">
        <f>IFERROR(__xludf.DUMMYFUNCTION("""COMPUTED_VALUE"""),60.0)</f>
        <v>60</v>
      </c>
      <c r="L1064" s="94">
        <f>IFERROR(__xludf.DUMMYFUNCTION("""COMPUTED_VALUE"""),30.0)</f>
        <v>30</v>
      </c>
      <c r="M1064" s="94">
        <f>IFERROR(__xludf.DUMMYFUNCTION("""COMPUTED_VALUE"""),30.0)</f>
        <v>30</v>
      </c>
      <c r="N1064" s="94"/>
      <c r="O1064" s="1430">
        <f>IFERROR(__xludf.DUMMYFUNCTION("""COMPUTED_VALUE"""),30.0)</f>
        <v>30</v>
      </c>
      <c r="P1064" s="1431">
        <f>IFERROR(__xludf.DUMMYFUNCTION("""COMPUTED_VALUE"""),2.73)</f>
        <v>2.73</v>
      </c>
      <c r="Q1064" s="1432">
        <f>IFERROR(__xludf.DUMMYFUNCTION("""COMPUTED_VALUE"""),230.0)</f>
        <v>230</v>
      </c>
    </row>
    <row r="1065" ht="15.75" customHeight="1">
      <c r="A1065" s="94" t="str">
        <f>IFERROR(__xludf.DUMMYFUNCTION("""COMPUTED_VALUE"""),"Итого неделя")</f>
        <v>Итого неделя</v>
      </c>
      <c r="B1065" s="94" t="str">
        <f>IFERROR(__xludf.DUMMYFUNCTION("""COMPUTED_VALUE"""),"44 неделя")</f>
        <v>44 неделя</v>
      </c>
      <c r="C1065" s="94"/>
      <c r="D1065" s="94"/>
      <c r="E1065" s="94"/>
      <c r="F1065" s="94"/>
      <c r="G1065" s="1164">
        <f>IFERROR(__xludf.DUMMYFUNCTION("""COMPUTED_VALUE"""),273.0)</f>
        <v>273</v>
      </c>
      <c r="H1065" s="1430">
        <f>IFERROR(__xludf.DUMMYFUNCTION("""COMPUTED_VALUE"""),5354.0)</f>
        <v>5354</v>
      </c>
      <c r="I1065" s="94">
        <f>IFERROR(__xludf.DUMMYFUNCTION("""COMPUTED_VALUE"""),546.0)</f>
        <v>546</v>
      </c>
      <c r="J1065" s="94">
        <f>IFERROR(__xludf.DUMMYFUNCTION("""COMPUTED_VALUE"""),0.0)</f>
        <v>0</v>
      </c>
      <c r="K1065" s="94">
        <f>IFERROR(__xludf.DUMMYFUNCTION("""COMPUTED_VALUE"""),900.0)</f>
        <v>900</v>
      </c>
      <c r="L1065" s="94">
        <f>IFERROR(__xludf.DUMMYFUNCTION("""COMPUTED_VALUE"""),520.0)</f>
        <v>520</v>
      </c>
      <c r="M1065" s="94">
        <f>IFERROR(__xludf.DUMMYFUNCTION("""COMPUTED_VALUE"""),380.0)</f>
        <v>380</v>
      </c>
      <c r="N1065" s="94">
        <f>IFERROR(__xludf.DUMMYFUNCTION("""COMPUTED_VALUE"""),0.0)</f>
        <v>0</v>
      </c>
      <c r="O1065" s="1430">
        <f>IFERROR(__xludf.DUMMYFUNCTION("""COMPUTED_VALUE"""),380.0)</f>
        <v>380</v>
      </c>
      <c r="P1065" s="1431">
        <f>IFERROR(__xludf.DUMMYFUNCTION("""COMPUTED_VALUE"""),46.40999999999998)</f>
        <v>46.41</v>
      </c>
      <c r="Q1065" s="1432">
        <f>IFERROR(__xludf.DUMMYFUNCTION("""COMPUTED_VALUE"""),15162.420000000002)</f>
        <v>15162.42</v>
      </c>
    </row>
    <row r="1066" ht="15.75" customHeight="1">
      <c r="A1066" s="94"/>
      <c r="B1066" s="94" t="str">
        <f>IFERROR(__xludf.DUMMYFUNCTION("""COMPUTED_VALUE"""),"WS Е804")</f>
        <v>WS Е804</v>
      </c>
      <c r="C1066" s="94"/>
      <c r="D1066" s="1432">
        <f>IFERROR(__xludf.DUMMYFUNCTION("""COMPUTED_VALUE"""),11.0)</f>
        <v>11</v>
      </c>
      <c r="E1066" s="1429">
        <f>IFERROR(__xludf.DUMMYFUNCTION("""COMPUTED_VALUE"""),45601.0)</f>
        <v>45601</v>
      </c>
      <c r="F1066" s="1429">
        <f>IFERROR(__xludf.DUMMYFUNCTION("""COMPUTED_VALUE"""),45607.0)</f>
        <v>45607</v>
      </c>
      <c r="G1066" s="1164">
        <f>IFERROR(__xludf.DUMMYFUNCTION("""COMPUTED_VALUE"""),6.0)</f>
        <v>6</v>
      </c>
      <c r="H1066" s="1430">
        <f>IFERROR(__xludf.DUMMYFUNCTION("""COMPUTED_VALUE"""),240.0)</f>
        <v>240</v>
      </c>
      <c r="I1066" s="94"/>
      <c r="J1066" s="94"/>
      <c r="K1066" s="94">
        <f>IFERROR(__xludf.DUMMYFUNCTION("""COMPUTED_VALUE"""),60.0)</f>
        <v>60</v>
      </c>
      <c r="L1066" s="94">
        <f>IFERROR(__xludf.DUMMYFUNCTION("""COMPUTED_VALUE"""),30.0)</f>
        <v>30</v>
      </c>
      <c r="M1066" s="94">
        <f>IFERROR(__xludf.DUMMYFUNCTION("""COMPUTED_VALUE"""),30.0)</f>
        <v>30</v>
      </c>
      <c r="N1066" s="94"/>
      <c r="O1066" s="1430">
        <f>IFERROR(__xludf.DUMMYFUNCTION("""COMPUTED_VALUE"""),30.0)</f>
        <v>30</v>
      </c>
      <c r="P1066" s="1431">
        <f>IFERROR(__xludf.DUMMYFUNCTION("""COMPUTED_VALUE"""),2.73)</f>
        <v>2.73</v>
      </c>
      <c r="Q1066" s="1432">
        <f>IFERROR(__xludf.DUMMYFUNCTION("""COMPUTED_VALUE"""),655.2)</f>
        <v>655.2</v>
      </c>
    </row>
    <row r="1067" ht="15.75" customHeight="1">
      <c r="A1067" s="94"/>
      <c r="B1067" s="94" t="str">
        <f>IFERROR(__xludf.DUMMYFUNCTION("""COMPUTED_VALUE"""),"WS В 212")</f>
        <v>WS В 212</v>
      </c>
      <c r="C1067" s="94"/>
      <c r="D1067" s="1432">
        <f>IFERROR(__xludf.DUMMYFUNCTION("""COMPUTED_VALUE"""),11.0)</f>
        <v>11</v>
      </c>
      <c r="E1067" s="1429">
        <f>IFERROR(__xludf.DUMMYFUNCTION("""COMPUTED_VALUE"""),45601.0)</f>
        <v>45601</v>
      </c>
      <c r="F1067" s="1429">
        <f>IFERROR(__xludf.DUMMYFUNCTION("""COMPUTED_VALUE"""),45607.0)</f>
        <v>45607</v>
      </c>
      <c r="G1067" s="1164">
        <f>IFERROR(__xludf.DUMMYFUNCTION("""COMPUTED_VALUE"""),6.0)</f>
        <v>6</v>
      </c>
      <c r="H1067" s="1430">
        <f>IFERROR(__xludf.DUMMYFUNCTION("""COMPUTED_VALUE"""),536.0)</f>
        <v>536</v>
      </c>
      <c r="I1067" s="94"/>
      <c r="J1067" s="94"/>
      <c r="K1067" s="94">
        <f>IFERROR(__xludf.DUMMYFUNCTION("""COMPUTED_VALUE"""),60.0)</f>
        <v>60</v>
      </c>
      <c r="L1067" s="94">
        <f>IFERROR(__xludf.DUMMYFUNCTION("""COMPUTED_VALUE"""),40.0)</f>
        <v>40</v>
      </c>
      <c r="M1067" s="94">
        <f>IFERROR(__xludf.DUMMYFUNCTION("""COMPUTED_VALUE"""),20.0)</f>
        <v>20</v>
      </c>
      <c r="N1067" s="94"/>
      <c r="O1067" s="1430">
        <f>IFERROR(__xludf.DUMMYFUNCTION("""COMPUTED_VALUE"""),20.0)</f>
        <v>20</v>
      </c>
      <c r="P1067" s="1431">
        <f>IFERROR(__xludf.DUMMYFUNCTION("""COMPUTED_VALUE"""),2.73)</f>
        <v>2.73</v>
      </c>
      <c r="Q1067" s="1432">
        <f>IFERROR(__xludf.DUMMYFUNCTION("""COMPUTED_VALUE"""),1463.28)</f>
        <v>1463.28</v>
      </c>
    </row>
    <row r="1068" ht="15.75" customHeight="1">
      <c r="A1068" s="94"/>
      <c r="B1068" s="94" t="str">
        <f>IFERROR(__xludf.DUMMYFUNCTION("""COMPUTED_VALUE"""),"CM 1606")</f>
        <v>CM 1606</v>
      </c>
      <c r="C1068" s="94"/>
      <c r="D1068" s="1432">
        <f>IFERROR(__xludf.DUMMYFUNCTION("""COMPUTED_VALUE"""),11.0)</f>
        <v>11</v>
      </c>
      <c r="E1068" s="1429">
        <f>IFERROR(__xludf.DUMMYFUNCTION("""COMPUTED_VALUE"""),45602.0)</f>
        <v>45602</v>
      </c>
      <c r="F1068" s="1429">
        <f>IFERROR(__xludf.DUMMYFUNCTION("""COMPUTED_VALUE"""),45607.0)</f>
        <v>45607</v>
      </c>
      <c r="G1068" s="1164">
        <f>IFERROR(__xludf.DUMMYFUNCTION("""COMPUTED_VALUE"""),5.0)</f>
        <v>5</v>
      </c>
      <c r="H1068" s="1430">
        <f>IFERROR(__xludf.DUMMYFUNCTION("""COMPUTED_VALUE"""),135.0)</f>
        <v>135</v>
      </c>
      <c r="I1068" s="94"/>
      <c r="J1068" s="94"/>
      <c r="K1068" s="94">
        <f>IFERROR(__xludf.DUMMYFUNCTION("""COMPUTED_VALUE"""),60.0)</f>
        <v>60</v>
      </c>
      <c r="L1068" s="94">
        <f>IFERROR(__xludf.DUMMYFUNCTION("""COMPUTED_VALUE"""),30.0)</f>
        <v>30</v>
      </c>
      <c r="M1068" s="94">
        <f>IFERROR(__xludf.DUMMYFUNCTION("""COMPUTED_VALUE"""),30.0)</f>
        <v>30</v>
      </c>
      <c r="N1068" s="94"/>
      <c r="O1068" s="1430">
        <f>IFERROR(__xludf.DUMMYFUNCTION("""COMPUTED_VALUE"""),30.0)</f>
        <v>30</v>
      </c>
      <c r="P1068" s="1431">
        <f>IFERROR(__xludf.DUMMYFUNCTION("""COMPUTED_VALUE"""),2.73)</f>
        <v>2.73</v>
      </c>
      <c r="Q1068" s="1432">
        <f>IFERROR(__xludf.DUMMYFUNCTION("""COMPUTED_VALUE"""),368.55)</f>
        <v>368.55</v>
      </c>
    </row>
    <row r="1069" ht="15.75" customHeight="1">
      <c r="A1069" s="94"/>
      <c r="B1069" s="94" t="str">
        <f>IFERROR(__xludf.DUMMYFUNCTION("""COMPUTED_VALUE"""),"C 4245")</f>
        <v>C 4245</v>
      </c>
      <c r="C1069" s="94"/>
      <c r="D1069" s="1432">
        <f>IFERROR(__xludf.DUMMYFUNCTION("""COMPUTED_VALUE"""),11.0)</f>
        <v>11</v>
      </c>
      <c r="E1069" s="1429">
        <f>IFERROR(__xludf.DUMMYFUNCTION("""COMPUTED_VALUE"""),45602.0)</f>
        <v>45602</v>
      </c>
      <c r="F1069" s="1429">
        <f>IFERROR(__xludf.DUMMYFUNCTION("""COMPUTED_VALUE"""),45604.0)</f>
        <v>45604</v>
      </c>
      <c r="G1069" s="1164">
        <f>IFERROR(__xludf.DUMMYFUNCTION("""COMPUTED_VALUE"""),2.0)</f>
        <v>2</v>
      </c>
      <c r="H1069" s="1430">
        <f>IFERROR(__xludf.DUMMYFUNCTION("""COMPUTED_VALUE"""),53.0)</f>
        <v>53</v>
      </c>
      <c r="I1069" s="94"/>
      <c r="J1069" s="94"/>
      <c r="K1069" s="94">
        <f>IFERROR(__xludf.DUMMYFUNCTION("""COMPUTED_VALUE"""),60.0)</f>
        <v>60</v>
      </c>
      <c r="L1069" s="94">
        <f>IFERROR(__xludf.DUMMYFUNCTION("""COMPUTED_VALUE"""),40.0)</f>
        <v>40</v>
      </c>
      <c r="M1069" s="94">
        <f>IFERROR(__xludf.DUMMYFUNCTION("""COMPUTED_VALUE"""),20.0)</f>
        <v>20</v>
      </c>
      <c r="N1069" s="94"/>
      <c r="O1069" s="1430">
        <f>IFERROR(__xludf.DUMMYFUNCTION("""COMPUTED_VALUE"""),20.0)</f>
        <v>20</v>
      </c>
      <c r="P1069" s="1431">
        <f>IFERROR(__xludf.DUMMYFUNCTION("""COMPUTED_VALUE"""),2.73)</f>
        <v>2.73</v>
      </c>
      <c r="Q1069" s="1432">
        <f>IFERROR(__xludf.DUMMYFUNCTION("""COMPUTED_VALUE"""),144.69)</f>
        <v>144.69</v>
      </c>
    </row>
    <row r="1070" ht="15.75" customHeight="1">
      <c r="A1070" s="94"/>
      <c r="B1070" s="94" t="str">
        <f>IFERROR(__xludf.DUMMYFUNCTION("""COMPUTED_VALUE"""),"Шар 2505")</f>
        <v>Шар 2505</v>
      </c>
      <c r="C1070" s="94"/>
      <c r="D1070" s="1432">
        <f>IFERROR(__xludf.DUMMYFUNCTION("""COMPUTED_VALUE"""),11.0)</f>
        <v>11</v>
      </c>
      <c r="E1070" s="1429">
        <f>IFERROR(__xludf.DUMMYFUNCTION("""COMPUTED_VALUE"""),45604.0)</f>
        <v>45604</v>
      </c>
      <c r="F1070" s="1429">
        <f>IFERROR(__xludf.DUMMYFUNCTION("""COMPUTED_VALUE"""),45633.0)</f>
        <v>45633</v>
      </c>
      <c r="G1070" s="1164">
        <f>IFERROR(__xludf.DUMMYFUNCTION("""COMPUTED_VALUE"""),29.0)</f>
        <v>29</v>
      </c>
      <c r="H1070" s="1430">
        <f>IFERROR(__xludf.DUMMYFUNCTION("""COMPUTED_VALUE"""),500.0)</f>
        <v>500</v>
      </c>
      <c r="I1070" s="94"/>
      <c r="J1070" s="94"/>
      <c r="K1070" s="94">
        <f>IFERROR(__xludf.DUMMYFUNCTION("""COMPUTED_VALUE"""),60.0)</f>
        <v>60</v>
      </c>
      <c r="L1070" s="94">
        <f>IFERROR(__xludf.DUMMYFUNCTION("""COMPUTED_VALUE"""),40.0)</f>
        <v>40</v>
      </c>
      <c r="M1070" s="94">
        <f>IFERROR(__xludf.DUMMYFUNCTION("""COMPUTED_VALUE"""),20.0)</f>
        <v>20</v>
      </c>
      <c r="N1070" s="94"/>
      <c r="O1070" s="1430">
        <f>IFERROR(__xludf.DUMMYFUNCTION("""COMPUTED_VALUE"""),20.0)</f>
        <v>20</v>
      </c>
      <c r="P1070" s="1431">
        <f>IFERROR(__xludf.DUMMYFUNCTION("""COMPUTED_VALUE"""),2.73)</f>
        <v>2.73</v>
      </c>
      <c r="Q1070" s="1432">
        <f>IFERROR(__xludf.DUMMYFUNCTION("""COMPUTED_VALUE"""),1365.0)</f>
        <v>1365</v>
      </c>
    </row>
    <row r="1071" ht="15.75" customHeight="1">
      <c r="A1071" s="94"/>
      <c r="B1071" s="94" t="str">
        <f>IFERROR(__xludf.DUMMYFUNCTION("""COMPUTED_VALUE"""),"Вилла Ева")</f>
        <v>Вилла Ева</v>
      </c>
      <c r="C1071" s="94"/>
      <c r="D1071" s="1432">
        <f>IFERROR(__xludf.DUMMYFUNCTION("""COMPUTED_VALUE"""),11.0)</f>
        <v>11</v>
      </c>
      <c r="E1071" s="1429">
        <f>IFERROR(__xludf.DUMMYFUNCTION("""COMPUTED_VALUE"""),45604.0)</f>
        <v>45604</v>
      </c>
      <c r="F1071" s="1429">
        <f>IFERROR(__xludf.DUMMYFUNCTION("""COMPUTED_VALUE"""),45608.0)</f>
        <v>45608</v>
      </c>
      <c r="G1071" s="1164">
        <f>IFERROR(__xludf.DUMMYFUNCTION("""COMPUTED_VALUE"""),4.0)</f>
        <v>4</v>
      </c>
      <c r="H1071" s="1430">
        <f>IFERROR(__xludf.DUMMYFUNCTION("""COMPUTED_VALUE"""),26.0)</f>
        <v>26</v>
      </c>
      <c r="I1071" s="94"/>
      <c r="J1071" s="94"/>
      <c r="K1071" s="94"/>
      <c r="L1071" s="94"/>
      <c r="M1071" s="94">
        <f>IFERROR(__xludf.DUMMYFUNCTION("""COMPUTED_VALUE"""),0.0)</f>
        <v>0</v>
      </c>
      <c r="N1071" s="94"/>
      <c r="O1071" s="1430">
        <f>IFERROR(__xludf.DUMMYFUNCTION("""COMPUTED_VALUE"""),0.0)</f>
        <v>0</v>
      </c>
      <c r="P1071" s="1431">
        <f>IFERROR(__xludf.DUMMYFUNCTION("""COMPUTED_VALUE"""),2.73)</f>
        <v>2.73</v>
      </c>
      <c r="Q1071" s="1432">
        <f>IFERROR(__xludf.DUMMYFUNCTION("""COMPUTED_VALUE"""),70.98)</f>
        <v>70.98</v>
      </c>
    </row>
    <row r="1072" ht="15.75" customHeight="1">
      <c r="A1072" s="94"/>
      <c r="B1072" s="94" t="str">
        <f>IFERROR(__xludf.DUMMYFUNCTION("""COMPUTED_VALUE"""),"C 4245")</f>
        <v>C 4245</v>
      </c>
      <c r="C1072" s="94"/>
      <c r="D1072" s="1432">
        <f>IFERROR(__xludf.DUMMYFUNCTION("""COMPUTED_VALUE"""),11.0)</f>
        <v>11</v>
      </c>
      <c r="E1072" s="1429">
        <f>IFERROR(__xludf.DUMMYFUNCTION("""COMPUTED_VALUE"""),45604.0)</f>
        <v>45604</v>
      </c>
      <c r="F1072" s="1429">
        <f>IFERROR(__xludf.DUMMYFUNCTION("""COMPUTED_VALUE"""),45606.0)</f>
        <v>45606</v>
      </c>
      <c r="G1072" s="1164">
        <f>IFERROR(__xludf.DUMMYFUNCTION("""COMPUTED_VALUE"""),2.0)</f>
        <v>2</v>
      </c>
      <c r="H1072" s="1430">
        <f>IFERROR(__xludf.DUMMYFUNCTION("""COMPUTED_VALUE"""),62.0)</f>
        <v>62</v>
      </c>
      <c r="I1072" s="94"/>
      <c r="J1072" s="94"/>
      <c r="K1072" s="94">
        <f>IFERROR(__xludf.DUMMYFUNCTION("""COMPUTED_VALUE"""),60.0)</f>
        <v>60</v>
      </c>
      <c r="L1072" s="94">
        <f>IFERROR(__xludf.DUMMYFUNCTION("""COMPUTED_VALUE"""),40.0)</f>
        <v>40</v>
      </c>
      <c r="M1072" s="94">
        <f>IFERROR(__xludf.DUMMYFUNCTION("""COMPUTED_VALUE"""),20.0)</f>
        <v>20</v>
      </c>
      <c r="N1072" s="94"/>
      <c r="O1072" s="1430">
        <f>IFERROR(__xludf.DUMMYFUNCTION("""COMPUTED_VALUE"""),20.0)</f>
        <v>20</v>
      </c>
      <c r="P1072" s="1431">
        <f>IFERROR(__xludf.DUMMYFUNCTION("""COMPUTED_VALUE"""),2.73)</f>
        <v>2.73</v>
      </c>
      <c r="Q1072" s="1432">
        <f>IFERROR(__xludf.DUMMYFUNCTION("""COMPUTED_VALUE"""),169.26)</f>
        <v>169.26</v>
      </c>
    </row>
    <row r="1073" ht="15.75" customHeight="1">
      <c r="A1073" s="94"/>
      <c r="B1073" s="94" t="str">
        <f>IFERROR(__xludf.DUMMYFUNCTION("""COMPUTED_VALUE"""),"CM 1604")</f>
        <v>CM 1604</v>
      </c>
      <c r="C1073" s="94"/>
      <c r="D1073" s="1432">
        <f>IFERROR(__xludf.DUMMYFUNCTION("""COMPUTED_VALUE"""),11.0)</f>
        <v>11</v>
      </c>
      <c r="E1073" s="1429">
        <f>IFERROR(__xludf.DUMMYFUNCTION("""COMPUTED_VALUE"""),45605.0)</f>
        <v>45605</v>
      </c>
      <c r="F1073" s="1429">
        <f>IFERROR(__xludf.DUMMYFUNCTION("""COMPUTED_VALUE"""),45608.0)</f>
        <v>45608</v>
      </c>
      <c r="G1073" s="1164">
        <f>IFERROR(__xludf.DUMMYFUNCTION("""COMPUTED_VALUE"""),3.0)</f>
        <v>3</v>
      </c>
      <c r="H1073" s="1430">
        <f>IFERROR(__xludf.DUMMYFUNCTION("""COMPUTED_VALUE"""),157.0)</f>
        <v>157</v>
      </c>
      <c r="I1073" s="94"/>
      <c r="J1073" s="94"/>
      <c r="K1073" s="94">
        <f>IFERROR(__xludf.DUMMYFUNCTION("""COMPUTED_VALUE"""),60.0)</f>
        <v>60</v>
      </c>
      <c r="L1073" s="94">
        <f>IFERROR(__xludf.DUMMYFUNCTION("""COMPUTED_VALUE"""),40.0)</f>
        <v>40</v>
      </c>
      <c r="M1073" s="94">
        <f>IFERROR(__xludf.DUMMYFUNCTION("""COMPUTED_VALUE"""),20.0)</f>
        <v>20</v>
      </c>
      <c r="N1073" s="94"/>
      <c r="O1073" s="1430">
        <f>IFERROR(__xludf.DUMMYFUNCTION("""COMPUTED_VALUE"""),20.0)</f>
        <v>20</v>
      </c>
      <c r="P1073" s="1431">
        <f>IFERROR(__xludf.DUMMYFUNCTION("""COMPUTED_VALUE"""),2.73)</f>
        <v>2.73</v>
      </c>
      <c r="Q1073" s="1432">
        <f>IFERROR(__xludf.DUMMYFUNCTION("""COMPUTED_VALUE"""),428.61)</f>
        <v>428.61</v>
      </c>
    </row>
    <row r="1074" ht="15.75" customHeight="1">
      <c r="A1074" s="94"/>
      <c r="B1074" s="94" t="str">
        <f>IFERROR(__xludf.DUMMYFUNCTION("""COMPUTED_VALUE"""),"WS F 907")</f>
        <v>WS F 907</v>
      </c>
      <c r="C1074" s="94"/>
      <c r="D1074" s="1432">
        <f>IFERROR(__xludf.DUMMYFUNCTION("""COMPUTED_VALUE"""),11.0)</f>
        <v>11</v>
      </c>
      <c r="E1074" s="1429">
        <f>IFERROR(__xludf.DUMMYFUNCTION("""COMPUTED_VALUE"""),45606.0)</f>
        <v>45606</v>
      </c>
      <c r="F1074" s="1429">
        <f>IFERROR(__xludf.DUMMYFUNCTION("""COMPUTED_VALUE"""),45612.0)</f>
        <v>45612</v>
      </c>
      <c r="G1074" s="1164">
        <f>IFERROR(__xludf.DUMMYFUNCTION("""COMPUTED_VALUE"""),6.0)</f>
        <v>6</v>
      </c>
      <c r="H1074" s="1430">
        <f>IFERROR(__xludf.DUMMYFUNCTION("""COMPUTED_VALUE"""),105.0)</f>
        <v>105</v>
      </c>
      <c r="I1074" s="94"/>
      <c r="J1074" s="94"/>
      <c r="K1074" s="94">
        <f>IFERROR(__xludf.DUMMYFUNCTION("""COMPUTED_VALUE"""),60.0)</f>
        <v>60</v>
      </c>
      <c r="L1074" s="94">
        <f>IFERROR(__xludf.DUMMYFUNCTION("""COMPUTED_VALUE"""),30.0)</f>
        <v>30</v>
      </c>
      <c r="M1074" s="94">
        <f>IFERROR(__xludf.DUMMYFUNCTION("""COMPUTED_VALUE"""),30.0)</f>
        <v>30</v>
      </c>
      <c r="N1074" s="94"/>
      <c r="O1074" s="1430">
        <f>IFERROR(__xludf.DUMMYFUNCTION("""COMPUTED_VALUE"""),30.0)</f>
        <v>30</v>
      </c>
      <c r="P1074" s="1431">
        <f>IFERROR(__xludf.DUMMYFUNCTION("""COMPUTED_VALUE"""),2.73)</f>
        <v>2.73</v>
      </c>
      <c r="Q1074" s="1432">
        <f>IFERROR(__xludf.DUMMYFUNCTION("""COMPUTED_VALUE"""),286.65)</f>
        <v>286.65</v>
      </c>
    </row>
    <row r="1075" ht="15.75" customHeight="1">
      <c r="A1075" s="94"/>
      <c r="B1075" s="94" t="str">
        <f>IFERROR(__xludf.DUMMYFUNCTION("""COMPUTED_VALUE"""),"C 4245")</f>
        <v>C 4245</v>
      </c>
      <c r="C1075" s="94"/>
      <c r="D1075" s="1432">
        <f>IFERROR(__xludf.DUMMYFUNCTION("""COMPUTED_VALUE"""),11.0)</f>
        <v>11</v>
      </c>
      <c r="E1075" s="1429">
        <f>IFERROR(__xludf.DUMMYFUNCTION("""COMPUTED_VALUE"""),45606.0)</f>
        <v>45606</v>
      </c>
      <c r="F1075" s="1429">
        <f>IFERROR(__xludf.DUMMYFUNCTION("""COMPUTED_VALUE"""),45609.0)</f>
        <v>45609</v>
      </c>
      <c r="G1075" s="1164">
        <f>IFERROR(__xludf.DUMMYFUNCTION("""COMPUTED_VALUE"""),3.0)</f>
        <v>3</v>
      </c>
      <c r="H1075" s="1430">
        <f>IFERROR(__xludf.DUMMYFUNCTION("""COMPUTED_VALUE"""),80.0)</f>
        <v>80</v>
      </c>
      <c r="I1075" s="94"/>
      <c r="J1075" s="94"/>
      <c r="K1075" s="94">
        <f>IFERROR(__xludf.DUMMYFUNCTION("""COMPUTED_VALUE"""),60.0)</f>
        <v>60</v>
      </c>
      <c r="L1075" s="94">
        <f>IFERROR(__xludf.DUMMYFUNCTION("""COMPUTED_VALUE"""),40.0)</f>
        <v>40</v>
      </c>
      <c r="M1075" s="94">
        <f>IFERROR(__xludf.DUMMYFUNCTION("""COMPUTED_VALUE"""),20.0)</f>
        <v>20</v>
      </c>
      <c r="N1075" s="94"/>
      <c r="O1075" s="1430">
        <f>IFERROR(__xludf.DUMMYFUNCTION("""COMPUTED_VALUE"""),20.0)</f>
        <v>20</v>
      </c>
      <c r="P1075" s="1431">
        <f>IFERROR(__xludf.DUMMYFUNCTION("""COMPUTED_VALUE"""),2.73)</f>
        <v>2.73</v>
      </c>
      <c r="Q1075" s="1432">
        <f>IFERROR(__xludf.DUMMYFUNCTION("""COMPUTED_VALUE"""),218.4)</f>
        <v>218.4</v>
      </c>
    </row>
    <row r="1076" ht="15.75" customHeight="1">
      <c r="A1076" s="94"/>
      <c r="B1076" s="94" t="str">
        <f>IFERROR(__xludf.DUMMYFUNCTION("""COMPUTED_VALUE"""),"Steps 1108")</f>
        <v>Steps 1108</v>
      </c>
      <c r="C1076" s="94"/>
      <c r="D1076" s="1432">
        <f>IFERROR(__xludf.DUMMYFUNCTION("""COMPUTED_VALUE"""),11.0)</f>
        <v>11</v>
      </c>
      <c r="E1076" s="1429">
        <f>IFERROR(__xludf.DUMMYFUNCTION("""COMPUTED_VALUE"""),45606.0)</f>
        <v>45606</v>
      </c>
      <c r="F1076" s="1429">
        <f>IFERROR(__xludf.DUMMYFUNCTION("""COMPUTED_VALUE"""),45609.0)</f>
        <v>45609</v>
      </c>
      <c r="G1076" s="1164">
        <f>IFERROR(__xludf.DUMMYFUNCTION("""COMPUTED_VALUE"""),3.0)</f>
        <v>3</v>
      </c>
      <c r="H1076" s="1430">
        <f>IFERROR(__xludf.DUMMYFUNCTION("""COMPUTED_VALUE"""),60.0)</f>
        <v>60</v>
      </c>
      <c r="I1076" s="94"/>
      <c r="J1076" s="94"/>
      <c r="K1076" s="94">
        <f>IFERROR(__xludf.DUMMYFUNCTION("""COMPUTED_VALUE"""),60.0)</f>
        <v>60</v>
      </c>
      <c r="L1076" s="94">
        <f>IFERROR(__xludf.DUMMYFUNCTION("""COMPUTED_VALUE"""),30.0)</f>
        <v>30</v>
      </c>
      <c r="M1076" s="94">
        <f>IFERROR(__xludf.DUMMYFUNCTION("""COMPUTED_VALUE"""),30.0)</f>
        <v>30</v>
      </c>
      <c r="N1076" s="94"/>
      <c r="O1076" s="1430">
        <f>IFERROR(__xludf.DUMMYFUNCTION("""COMPUTED_VALUE"""),30.0)</f>
        <v>30</v>
      </c>
      <c r="P1076" s="1431">
        <f>IFERROR(__xludf.DUMMYFUNCTION("""COMPUTED_VALUE"""),2.73)</f>
        <v>2.73</v>
      </c>
      <c r="Q1076" s="1432">
        <f>IFERROR(__xludf.DUMMYFUNCTION("""COMPUTED_VALUE"""),163.8)</f>
        <v>163.8</v>
      </c>
    </row>
    <row r="1077" ht="15.75" customHeight="1">
      <c r="A1077" s="94"/>
      <c r="B1077" s="94" t="str">
        <f>IFERROR(__xludf.DUMMYFUNCTION("""COMPUTED_VALUE"""),"D 1321")</f>
        <v>D 1321</v>
      </c>
      <c r="C1077" s="94"/>
      <c r="D1077" s="1432">
        <f>IFERROR(__xludf.DUMMYFUNCTION("""COMPUTED_VALUE"""),11.0)</f>
        <v>11</v>
      </c>
      <c r="E1077" s="1429">
        <f>IFERROR(__xludf.DUMMYFUNCTION("""COMPUTED_VALUE"""),45606.0)</f>
        <v>45606</v>
      </c>
      <c r="F1077" s="1429">
        <f>IFERROR(__xludf.DUMMYFUNCTION("""COMPUTED_VALUE"""),45608.0)</f>
        <v>45608</v>
      </c>
      <c r="G1077" s="1164">
        <f>IFERROR(__xludf.DUMMYFUNCTION("""COMPUTED_VALUE"""),2.0)</f>
        <v>2</v>
      </c>
      <c r="H1077" s="1430">
        <f>IFERROR(__xludf.DUMMYFUNCTION("""COMPUTED_VALUE"""),53.0)</f>
        <v>53</v>
      </c>
      <c r="I1077" s="94"/>
      <c r="J1077" s="94"/>
      <c r="K1077" s="94">
        <f>IFERROR(__xludf.DUMMYFUNCTION("""COMPUTED_VALUE"""),60.0)</f>
        <v>60</v>
      </c>
      <c r="L1077" s="94">
        <f>IFERROR(__xludf.DUMMYFUNCTION("""COMPUTED_VALUE"""),30.0)</f>
        <v>30</v>
      </c>
      <c r="M1077" s="94">
        <f>IFERROR(__xludf.DUMMYFUNCTION("""COMPUTED_VALUE"""),30.0)</f>
        <v>30</v>
      </c>
      <c r="N1077" s="94"/>
      <c r="O1077" s="1430">
        <f>IFERROR(__xludf.DUMMYFUNCTION("""COMPUTED_VALUE"""),30.0)</f>
        <v>30</v>
      </c>
      <c r="P1077" s="1431">
        <f>IFERROR(__xludf.DUMMYFUNCTION("""COMPUTED_VALUE"""),2.73)</f>
        <v>2.73</v>
      </c>
      <c r="Q1077" s="1432">
        <f>IFERROR(__xludf.DUMMYFUNCTION("""COMPUTED_VALUE"""),144.69)</f>
        <v>144.69</v>
      </c>
    </row>
    <row r="1078" ht="15.75" customHeight="1">
      <c r="A1078" s="94" t="str">
        <f>IFERROR(__xludf.DUMMYFUNCTION("""COMPUTED_VALUE"""),"Итого неделя")</f>
        <v>Итого неделя</v>
      </c>
      <c r="B1078" s="94" t="str">
        <f>IFERROR(__xludf.DUMMYFUNCTION("""COMPUTED_VALUE"""),"45 неделя")</f>
        <v>45 неделя</v>
      </c>
      <c r="C1078" s="94"/>
      <c r="D1078" s="94"/>
      <c r="E1078" s="94"/>
      <c r="F1078" s="94"/>
      <c r="G1078" s="1164">
        <f>IFERROR(__xludf.DUMMYFUNCTION("""COMPUTED_VALUE"""),71.0)</f>
        <v>71</v>
      </c>
      <c r="H1078" s="1430">
        <f>IFERROR(__xludf.DUMMYFUNCTION("""COMPUTED_VALUE"""),2007.0)</f>
        <v>2007</v>
      </c>
      <c r="I1078" s="94">
        <f>IFERROR(__xludf.DUMMYFUNCTION("""COMPUTED_VALUE"""),0.0)</f>
        <v>0</v>
      </c>
      <c r="J1078" s="94">
        <f>IFERROR(__xludf.DUMMYFUNCTION("""COMPUTED_VALUE"""),0.0)</f>
        <v>0</v>
      </c>
      <c r="K1078" s="94">
        <f>IFERROR(__xludf.DUMMYFUNCTION("""COMPUTED_VALUE"""),660.0)</f>
        <v>660</v>
      </c>
      <c r="L1078" s="94">
        <f>IFERROR(__xludf.DUMMYFUNCTION("""COMPUTED_VALUE"""),390.0)</f>
        <v>390</v>
      </c>
      <c r="M1078" s="94">
        <f>IFERROR(__xludf.DUMMYFUNCTION("""COMPUTED_VALUE"""),270.0)</f>
        <v>270</v>
      </c>
      <c r="N1078" s="94">
        <f>IFERROR(__xludf.DUMMYFUNCTION("""COMPUTED_VALUE"""),0.0)</f>
        <v>0</v>
      </c>
      <c r="O1078" s="1430">
        <f>IFERROR(__xludf.DUMMYFUNCTION("""COMPUTED_VALUE"""),270.0)</f>
        <v>270</v>
      </c>
      <c r="P1078" s="1431">
        <f>IFERROR(__xludf.DUMMYFUNCTION("""COMPUTED_VALUE"""),32.76)</f>
        <v>32.76</v>
      </c>
      <c r="Q1078" s="1432">
        <f>IFERROR(__xludf.DUMMYFUNCTION("""COMPUTED_VALUE"""),5479.109999999999)</f>
        <v>5479.11</v>
      </c>
    </row>
    <row r="1079" ht="15.75" customHeight="1">
      <c r="A1079" s="94"/>
      <c r="B1079" s="94" t="str">
        <f>IFERROR(__xludf.DUMMYFUNCTION("""COMPUTED_VALUE"""),"CM 1604")</f>
        <v>CM 1604</v>
      </c>
      <c r="C1079" s="94"/>
      <c r="D1079" s="1432">
        <f>IFERROR(__xludf.DUMMYFUNCTION("""COMPUTED_VALUE"""),11.0)</f>
        <v>11</v>
      </c>
      <c r="E1079" s="1439">
        <f>IFERROR(__xludf.DUMMYFUNCTION("""COMPUTED_VALUE"""),45609.0)</f>
        <v>45609</v>
      </c>
      <c r="F1079" s="1429">
        <f>IFERROR(__xludf.DUMMYFUNCTION("""COMPUTED_VALUE"""),45616.0)</f>
        <v>45616</v>
      </c>
      <c r="G1079" s="1164">
        <f>IFERROR(__xludf.DUMMYFUNCTION("""COMPUTED_VALUE"""),7.0)</f>
        <v>7</v>
      </c>
      <c r="H1079" s="1430">
        <f>IFERROR(__xludf.DUMMYFUNCTION("""COMPUTED_VALUE"""),312.0)</f>
        <v>312</v>
      </c>
      <c r="I1079" s="94"/>
      <c r="J1079" s="94"/>
      <c r="K1079" s="94">
        <f>IFERROR(__xludf.DUMMYFUNCTION("""COMPUTED_VALUE"""),60.0)</f>
        <v>60</v>
      </c>
      <c r="L1079" s="94">
        <f>IFERROR(__xludf.DUMMYFUNCTION("""COMPUTED_VALUE"""),40.0)</f>
        <v>40</v>
      </c>
      <c r="M1079" s="94">
        <f>IFERROR(__xludf.DUMMYFUNCTION("""COMPUTED_VALUE"""),20.0)</f>
        <v>20</v>
      </c>
      <c r="N1079" s="94"/>
      <c r="O1079" s="1430">
        <f>IFERROR(__xludf.DUMMYFUNCTION("""COMPUTED_VALUE"""),20.0)</f>
        <v>20</v>
      </c>
      <c r="P1079" s="1431">
        <f>IFERROR(__xludf.DUMMYFUNCTION("""COMPUTED_VALUE"""),2.73)</f>
        <v>2.73</v>
      </c>
      <c r="Q1079" s="1432">
        <f>IFERROR(__xludf.DUMMYFUNCTION("""COMPUTED_VALUE"""),851.76)</f>
        <v>851.76</v>
      </c>
    </row>
    <row r="1080" ht="15.75" customHeight="1">
      <c r="A1080" s="94"/>
      <c r="B1080" s="94" t="str">
        <f>IFERROR(__xludf.DUMMYFUNCTION("""COMPUTED_VALUE"""),"WS A907")</f>
        <v>WS A907</v>
      </c>
      <c r="C1080" s="94"/>
      <c r="D1080" s="1432">
        <f>IFERROR(__xludf.DUMMYFUNCTION("""COMPUTED_VALUE"""),11.0)</f>
        <v>11</v>
      </c>
      <c r="E1080" s="1439">
        <f>IFERROR(__xludf.DUMMYFUNCTION("""COMPUTED_VALUE"""),45610.0)</f>
        <v>45610</v>
      </c>
      <c r="F1080" s="1429">
        <f>IFERROR(__xludf.DUMMYFUNCTION("""COMPUTED_VALUE"""),45702.0)</f>
        <v>45702</v>
      </c>
      <c r="G1080" s="1164">
        <f>IFERROR(__xludf.DUMMYFUNCTION("""COMPUTED_VALUE"""),92.0)</f>
        <v>92</v>
      </c>
      <c r="H1080" s="1430">
        <f>IFERROR(__xludf.DUMMYFUNCTION("""COMPUTED_VALUE"""),1458.0)</f>
        <v>1458</v>
      </c>
      <c r="I1080" s="94"/>
      <c r="J1080" s="94"/>
      <c r="K1080" s="94">
        <f>IFERROR(__xludf.DUMMYFUNCTION("""COMPUTED_VALUE"""),60.0)</f>
        <v>60</v>
      </c>
      <c r="L1080" s="94">
        <f>IFERROR(__xludf.DUMMYFUNCTION("""COMPUTED_VALUE"""),40.0)</f>
        <v>40</v>
      </c>
      <c r="M1080" s="94">
        <f>IFERROR(__xludf.DUMMYFUNCTION("""COMPUTED_VALUE"""),20.0)</f>
        <v>20</v>
      </c>
      <c r="N1080" s="94"/>
      <c r="O1080" s="1430">
        <f>IFERROR(__xludf.DUMMYFUNCTION("""COMPUTED_VALUE"""),20.0)</f>
        <v>20</v>
      </c>
      <c r="P1080" s="1431">
        <f>IFERROR(__xludf.DUMMYFUNCTION("""COMPUTED_VALUE"""),2.73)</f>
        <v>2.73</v>
      </c>
      <c r="Q1080" s="1432"/>
    </row>
    <row r="1081" ht="15.75" customHeight="1">
      <c r="A1081" s="94"/>
      <c r="B1081" s="94" t="str">
        <f>IFERROR(__xludf.DUMMYFUNCTION("""COMPUTED_VALUE"""),"D 1321")</f>
        <v>D 1321</v>
      </c>
      <c r="C1081" s="94"/>
      <c r="D1081" s="1432">
        <f>IFERROR(__xludf.DUMMYFUNCTION("""COMPUTED_VALUE"""),11.0)</f>
        <v>11</v>
      </c>
      <c r="E1081" s="1439">
        <f>IFERROR(__xludf.DUMMYFUNCTION("""COMPUTED_VALUE"""),45612.0)</f>
        <v>45612</v>
      </c>
      <c r="F1081" s="1429">
        <f>IFERROR(__xludf.DUMMYFUNCTION("""COMPUTED_VALUE"""),45614.0)</f>
        <v>45614</v>
      </c>
      <c r="G1081" s="1164">
        <f>IFERROR(__xludf.DUMMYFUNCTION("""COMPUTED_VALUE"""),2.0)</f>
        <v>2</v>
      </c>
      <c r="H1081" s="1430">
        <f>IFERROR(__xludf.DUMMYFUNCTION("""COMPUTED_VALUE"""),48.0)</f>
        <v>48</v>
      </c>
      <c r="I1081" s="94"/>
      <c r="J1081" s="94"/>
      <c r="K1081" s="94">
        <f>IFERROR(__xludf.DUMMYFUNCTION("""COMPUTED_VALUE"""),60.0)</f>
        <v>60</v>
      </c>
      <c r="L1081" s="94">
        <f>IFERROR(__xludf.DUMMYFUNCTION("""COMPUTED_VALUE"""),40.0)</f>
        <v>40</v>
      </c>
      <c r="M1081" s="94">
        <f>IFERROR(__xludf.DUMMYFUNCTION("""COMPUTED_VALUE"""),20.0)</f>
        <v>20</v>
      </c>
      <c r="N1081" s="94"/>
      <c r="O1081" s="1430">
        <f>IFERROR(__xludf.DUMMYFUNCTION("""COMPUTED_VALUE"""),20.0)</f>
        <v>20</v>
      </c>
      <c r="P1081" s="1431">
        <f>IFERROR(__xludf.DUMMYFUNCTION("""COMPUTED_VALUE"""),2.73)</f>
        <v>2.73</v>
      </c>
      <c r="Q1081" s="1432">
        <f>IFERROR(__xludf.DUMMYFUNCTION("""COMPUTED_VALUE"""),131.04)</f>
        <v>131.04</v>
      </c>
    </row>
    <row r="1082" ht="15.75" customHeight="1">
      <c r="A1082" s="94"/>
      <c r="B1082" s="94" t="str">
        <f>IFERROR(__xludf.DUMMYFUNCTION("""COMPUTED_VALUE"""),"C 4245")</f>
        <v>C 4245</v>
      </c>
      <c r="C1082" s="94"/>
      <c r="D1082" s="1432">
        <f>IFERROR(__xludf.DUMMYFUNCTION("""COMPUTED_VALUE"""),11.0)</f>
        <v>11</v>
      </c>
      <c r="E1082" s="1439">
        <f>IFERROR(__xludf.DUMMYFUNCTION("""COMPUTED_VALUE"""),45611.0)</f>
        <v>45611</v>
      </c>
      <c r="F1082" s="1429">
        <f>IFERROR(__xludf.DUMMYFUNCTION("""COMPUTED_VALUE"""),45613.0)</f>
        <v>45613</v>
      </c>
      <c r="G1082" s="1164">
        <f>IFERROR(__xludf.DUMMYFUNCTION("""COMPUTED_VALUE"""),2.0)</f>
        <v>2</v>
      </c>
      <c r="H1082" s="1430">
        <f>IFERROR(__xludf.DUMMYFUNCTION("""COMPUTED_VALUE"""),75.0)</f>
        <v>75</v>
      </c>
      <c r="I1082" s="94"/>
      <c r="J1082" s="94"/>
      <c r="K1082" s="94">
        <f>IFERROR(__xludf.DUMMYFUNCTION("""COMPUTED_VALUE"""),60.0)</f>
        <v>60</v>
      </c>
      <c r="L1082" s="94">
        <f>IFERROR(__xludf.DUMMYFUNCTION("""COMPUTED_VALUE"""),40.0)</f>
        <v>40</v>
      </c>
      <c r="M1082" s="94">
        <f>IFERROR(__xludf.DUMMYFUNCTION("""COMPUTED_VALUE"""),20.0)</f>
        <v>20</v>
      </c>
      <c r="N1082" s="94"/>
      <c r="O1082" s="1430">
        <f>IFERROR(__xludf.DUMMYFUNCTION("""COMPUTED_VALUE"""),20.0)</f>
        <v>20</v>
      </c>
      <c r="P1082" s="1431">
        <f>IFERROR(__xludf.DUMMYFUNCTION("""COMPUTED_VALUE"""),2.73)</f>
        <v>2.73</v>
      </c>
      <c r="Q1082" s="1432">
        <f>IFERROR(__xludf.DUMMYFUNCTION("""COMPUTED_VALUE"""),204.75)</f>
        <v>204.75</v>
      </c>
    </row>
    <row r="1083" ht="15.75" customHeight="1">
      <c r="A1083" s="94"/>
      <c r="B1083" s="94" t="str">
        <f>IFERROR(__xludf.DUMMYFUNCTION("""COMPUTED_VALUE"""),"С 1125")</f>
        <v>С 1125</v>
      </c>
      <c r="C1083" s="94"/>
      <c r="D1083" s="1432">
        <f>IFERROR(__xludf.DUMMYFUNCTION("""COMPUTED_VALUE"""),11.0)</f>
        <v>11</v>
      </c>
      <c r="E1083" s="1439">
        <f>IFERROR(__xludf.DUMMYFUNCTION("""COMPUTED_VALUE"""),45611.0)</f>
        <v>45611</v>
      </c>
      <c r="F1083" s="1429">
        <f>IFERROR(__xludf.DUMMYFUNCTION("""COMPUTED_VALUE"""),45613.0)</f>
        <v>45613</v>
      </c>
      <c r="G1083" s="1164">
        <f>IFERROR(__xludf.DUMMYFUNCTION("""COMPUTED_VALUE"""),2.0)</f>
        <v>2</v>
      </c>
      <c r="H1083" s="1430">
        <f>IFERROR(__xludf.DUMMYFUNCTION("""COMPUTED_VALUE"""),48.0)</f>
        <v>48</v>
      </c>
      <c r="I1083" s="94"/>
      <c r="J1083" s="94"/>
      <c r="K1083" s="94">
        <f>IFERROR(__xludf.DUMMYFUNCTION("""COMPUTED_VALUE"""),60.0)</f>
        <v>60</v>
      </c>
      <c r="L1083" s="94">
        <f>IFERROR(__xludf.DUMMYFUNCTION("""COMPUTED_VALUE"""),40.0)</f>
        <v>40</v>
      </c>
      <c r="M1083" s="94">
        <f>IFERROR(__xludf.DUMMYFUNCTION("""COMPUTED_VALUE"""),20.0)</f>
        <v>20</v>
      </c>
      <c r="N1083" s="94"/>
      <c r="O1083" s="1430">
        <f>IFERROR(__xludf.DUMMYFUNCTION("""COMPUTED_VALUE"""),20.0)</f>
        <v>20</v>
      </c>
      <c r="P1083" s="1431">
        <f>IFERROR(__xludf.DUMMYFUNCTION("""COMPUTED_VALUE"""),2.73)</f>
        <v>2.73</v>
      </c>
      <c r="Q1083" s="1432">
        <f>IFERROR(__xludf.DUMMYFUNCTION("""COMPUTED_VALUE"""),131.04)</f>
        <v>131.04</v>
      </c>
    </row>
    <row r="1084" ht="15.75" customHeight="1">
      <c r="A1084" s="94"/>
      <c r="B1084" s="94" t="str">
        <f>IFERROR(__xludf.DUMMYFUNCTION("""COMPUTED_VALUE"""),"CM 1606")</f>
        <v>CM 1606</v>
      </c>
      <c r="C1084" s="94"/>
      <c r="D1084" s="1432">
        <f>IFERROR(__xludf.DUMMYFUNCTION("""COMPUTED_VALUE"""),11.0)</f>
        <v>11</v>
      </c>
      <c r="E1084" s="1439">
        <f>IFERROR(__xludf.DUMMYFUNCTION("""COMPUTED_VALUE"""),45611.0)</f>
        <v>45611</v>
      </c>
      <c r="F1084" s="1429">
        <f>IFERROR(__xludf.DUMMYFUNCTION("""COMPUTED_VALUE"""),45614.0)</f>
        <v>45614</v>
      </c>
      <c r="G1084" s="1164">
        <f>IFERROR(__xludf.DUMMYFUNCTION("""COMPUTED_VALUE"""),3.0)</f>
        <v>3</v>
      </c>
      <c r="H1084" s="1430">
        <f>IFERROR(__xludf.DUMMYFUNCTION("""COMPUTED_VALUE"""),90.0)</f>
        <v>90</v>
      </c>
      <c r="I1084" s="94"/>
      <c r="J1084" s="94"/>
      <c r="K1084" s="94">
        <f>IFERROR(__xludf.DUMMYFUNCTION("""COMPUTED_VALUE"""),60.0)</f>
        <v>60</v>
      </c>
      <c r="L1084" s="94">
        <f>IFERROR(__xludf.DUMMYFUNCTION("""COMPUTED_VALUE"""),30.0)</f>
        <v>30</v>
      </c>
      <c r="M1084" s="94">
        <f>IFERROR(__xludf.DUMMYFUNCTION("""COMPUTED_VALUE"""),30.0)</f>
        <v>30</v>
      </c>
      <c r="N1084" s="94"/>
      <c r="O1084" s="1430">
        <f>IFERROR(__xludf.DUMMYFUNCTION("""COMPUTED_VALUE"""),30.0)</f>
        <v>30</v>
      </c>
      <c r="P1084" s="1431">
        <f>IFERROR(__xludf.DUMMYFUNCTION("""COMPUTED_VALUE"""),2.73)</f>
        <v>2.73</v>
      </c>
      <c r="Q1084" s="1432">
        <f>IFERROR(__xludf.DUMMYFUNCTION("""COMPUTED_VALUE"""),245.7)</f>
        <v>245.7</v>
      </c>
    </row>
    <row r="1085" ht="15.75" customHeight="1">
      <c r="A1085" s="94" t="str">
        <f>IFERROR(__xludf.DUMMYFUNCTION("""COMPUTED_VALUE"""),"Итого неделя")</f>
        <v>Итого неделя</v>
      </c>
      <c r="B1085" s="94" t="str">
        <f>IFERROR(__xludf.DUMMYFUNCTION("""COMPUTED_VALUE"""),"46 неделя")</f>
        <v>46 неделя</v>
      </c>
      <c r="C1085" s="94"/>
      <c r="D1085" s="94"/>
      <c r="E1085" s="94"/>
      <c r="F1085" s="94"/>
      <c r="G1085" s="1164">
        <f>IFERROR(__xludf.DUMMYFUNCTION("""COMPUTED_VALUE"""),108.0)</f>
        <v>108</v>
      </c>
      <c r="H1085" s="1430">
        <f>IFERROR(__xludf.DUMMYFUNCTION("""COMPUTED_VALUE"""),2031.0)</f>
        <v>2031</v>
      </c>
      <c r="I1085" s="94">
        <f>IFERROR(__xludf.DUMMYFUNCTION("""COMPUTED_VALUE"""),0.0)</f>
        <v>0</v>
      </c>
      <c r="J1085" s="94">
        <f>IFERROR(__xludf.DUMMYFUNCTION("""COMPUTED_VALUE"""),0.0)</f>
        <v>0</v>
      </c>
      <c r="K1085" s="94">
        <f>IFERROR(__xludf.DUMMYFUNCTION("""COMPUTED_VALUE"""),360.0)</f>
        <v>360</v>
      </c>
      <c r="L1085" s="94">
        <f>IFERROR(__xludf.DUMMYFUNCTION("""COMPUTED_VALUE"""),230.0)</f>
        <v>230</v>
      </c>
      <c r="M1085" s="94">
        <f>IFERROR(__xludf.DUMMYFUNCTION("""COMPUTED_VALUE"""),130.0)</f>
        <v>130</v>
      </c>
      <c r="N1085" s="94">
        <f>IFERROR(__xludf.DUMMYFUNCTION("""COMPUTED_VALUE"""),0.0)</f>
        <v>0</v>
      </c>
      <c r="O1085" s="1430">
        <f>IFERROR(__xludf.DUMMYFUNCTION("""COMPUTED_VALUE"""),130.0)</f>
        <v>130</v>
      </c>
      <c r="P1085" s="1431">
        <f>IFERROR(__xludf.DUMMYFUNCTION("""COMPUTED_VALUE"""),16.38)</f>
        <v>16.38</v>
      </c>
      <c r="Q1085" s="1432">
        <f>IFERROR(__xludf.DUMMYFUNCTION("""COMPUTED_VALUE"""),1564.29)</f>
        <v>1564.29</v>
      </c>
    </row>
    <row r="1086" ht="15.75" customHeight="1">
      <c r="A1086" s="94"/>
      <c r="B1086" s="94" t="str">
        <f>IFERROR(__xludf.DUMMYFUNCTION("""COMPUTED_VALUE"""),"WS A907")</f>
        <v>WS A907</v>
      </c>
      <c r="C1086" s="94"/>
      <c r="D1086" s="1432">
        <f>IFERROR(__xludf.DUMMYFUNCTION("""COMPUTED_VALUE"""),11.0)</f>
        <v>11</v>
      </c>
      <c r="E1086" s="1439">
        <f>IFERROR(__xludf.DUMMYFUNCTION("""COMPUTED_VALUE"""),45610.0)</f>
        <v>45610</v>
      </c>
      <c r="F1086" s="1429">
        <f>IFERROR(__xludf.DUMMYFUNCTION("""COMPUTED_VALUE"""),45627.0)</f>
        <v>45627</v>
      </c>
      <c r="G1086" s="1164">
        <f>IFERROR(__xludf.DUMMYFUNCTION("""COMPUTED_VALUE"""),17.0)</f>
        <v>17</v>
      </c>
      <c r="H1086" s="1430">
        <f>IFERROR(__xludf.DUMMYFUNCTION("""COMPUTED_VALUE"""),573.0)</f>
        <v>573</v>
      </c>
      <c r="I1086" s="94"/>
      <c r="J1086" s="94"/>
      <c r="K1086" s="94">
        <f>IFERROR(__xludf.DUMMYFUNCTION("""COMPUTED_VALUE"""),60.0)</f>
        <v>60</v>
      </c>
      <c r="L1086" s="94">
        <f>IFERROR(__xludf.DUMMYFUNCTION("""COMPUTED_VALUE"""),30.0)</f>
        <v>30</v>
      </c>
      <c r="M1086" s="94">
        <f>IFERROR(__xludf.DUMMYFUNCTION("""COMPUTED_VALUE"""),30.0)</f>
        <v>30</v>
      </c>
      <c r="N1086" s="94"/>
      <c r="O1086" s="1430">
        <f>IFERROR(__xludf.DUMMYFUNCTION("""COMPUTED_VALUE"""),30.0)</f>
        <v>30</v>
      </c>
      <c r="P1086" s="1431">
        <f>IFERROR(__xludf.DUMMYFUNCTION("""COMPUTED_VALUE"""),2.73)</f>
        <v>2.73</v>
      </c>
      <c r="Q1086" s="1432">
        <f>IFERROR(__xludf.DUMMYFUNCTION("""COMPUTED_VALUE"""),1564.29)</f>
        <v>1564.29</v>
      </c>
    </row>
    <row r="1087" ht="15.75" customHeight="1">
      <c r="A1087" s="94"/>
      <c r="B1087" s="94" t="str">
        <f>IFERROR(__xludf.DUMMYFUNCTION("""COMPUTED_VALUE"""),"WS F 907")</f>
        <v>WS F 907</v>
      </c>
      <c r="C1087" s="94"/>
      <c r="D1087" s="1432">
        <f>IFERROR(__xludf.DUMMYFUNCTION("""COMPUTED_VALUE"""),11.0)</f>
        <v>11</v>
      </c>
      <c r="E1087" s="1439">
        <f>IFERROR(__xludf.DUMMYFUNCTION("""COMPUTED_VALUE"""),45614.0)</f>
        <v>45614</v>
      </c>
      <c r="F1087" s="1429">
        <f>IFERROR(__xludf.DUMMYFUNCTION("""COMPUTED_VALUE"""),45618.0)</f>
        <v>45618</v>
      </c>
      <c r="G1087" s="1164">
        <f>IFERROR(__xludf.DUMMYFUNCTION("""COMPUTED_VALUE"""),4.0)</f>
        <v>4</v>
      </c>
      <c r="H1087" s="1430">
        <f>IFERROR(__xludf.DUMMYFUNCTION("""COMPUTED_VALUE"""),88.0)</f>
        <v>88</v>
      </c>
      <c r="I1087" s="94"/>
      <c r="J1087" s="94"/>
      <c r="K1087" s="94">
        <f>IFERROR(__xludf.DUMMYFUNCTION("""COMPUTED_VALUE"""),60.0)</f>
        <v>60</v>
      </c>
      <c r="L1087" s="94">
        <f>IFERROR(__xludf.DUMMYFUNCTION("""COMPUTED_VALUE"""),30.0)</f>
        <v>30</v>
      </c>
      <c r="M1087" s="94">
        <f>IFERROR(__xludf.DUMMYFUNCTION("""COMPUTED_VALUE"""),30.0)</f>
        <v>30</v>
      </c>
      <c r="N1087" s="94"/>
      <c r="O1087" s="1430">
        <f>IFERROR(__xludf.DUMMYFUNCTION("""COMPUTED_VALUE"""),30.0)</f>
        <v>30</v>
      </c>
      <c r="P1087" s="1431">
        <f>IFERROR(__xludf.DUMMYFUNCTION("""COMPUTED_VALUE"""),2.73)</f>
        <v>2.73</v>
      </c>
      <c r="Q1087" s="1432">
        <f>IFERROR(__xludf.DUMMYFUNCTION("""COMPUTED_VALUE"""),240.24)</f>
        <v>240.24</v>
      </c>
    </row>
    <row r="1088" ht="15.75" customHeight="1">
      <c r="A1088" s="94"/>
      <c r="B1088" s="94" t="str">
        <f>IFERROR(__xludf.DUMMYFUNCTION("""COMPUTED_VALUE"""),"CM 1606")</f>
        <v>CM 1606</v>
      </c>
      <c r="C1088" s="94"/>
      <c r="D1088" s="1432">
        <f>IFERROR(__xludf.DUMMYFUNCTION("""COMPUTED_VALUE"""),11.0)</f>
        <v>11</v>
      </c>
      <c r="E1088" s="1439">
        <f>IFERROR(__xludf.DUMMYFUNCTION("""COMPUTED_VALUE"""),45615.0)</f>
        <v>45615</v>
      </c>
      <c r="F1088" s="1429">
        <f>IFERROR(__xludf.DUMMYFUNCTION("""COMPUTED_VALUE"""),45667.0)</f>
        <v>45667</v>
      </c>
      <c r="G1088" s="1164">
        <f>IFERROR(__xludf.DUMMYFUNCTION("""COMPUTED_VALUE"""),52.0)</f>
        <v>52</v>
      </c>
      <c r="H1088" s="1430">
        <f>IFERROR(__xludf.DUMMYFUNCTION("""COMPUTED_VALUE"""),970.0)</f>
        <v>970</v>
      </c>
      <c r="I1088" s="94"/>
      <c r="J1088" s="94"/>
      <c r="K1088" s="94">
        <f>IFERROR(__xludf.DUMMYFUNCTION("""COMPUTED_VALUE"""),60.0)</f>
        <v>60</v>
      </c>
      <c r="L1088" s="94">
        <f>IFERROR(__xludf.DUMMYFUNCTION("""COMPUTED_VALUE"""),30.0)</f>
        <v>30</v>
      </c>
      <c r="M1088" s="94">
        <f>IFERROR(__xludf.DUMMYFUNCTION("""COMPUTED_VALUE"""),30.0)</f>
        <v>30</v>
      </c>
      <c r="N1088" s="94"/>
      <c r="O1088" s="1430">
        <f>IFERROR(__xludf.DUMMYFUNCTION("""COMPUTED_VALUE"""),30.0)</f>
        <v>30</v>
      </c>
      <c r="P1088" s="1431">
        <f>IFERROR(__xludf.DUMMYFUNCTION("""COMPUTED_VALUE"""),2.73)</f>
        <v>2.73</v>
      </c>
      <c r="Q1088" s="1432">
        <f>IFERROR(__xludf.DUMMYFUNCTION("""COMPUTED_VALUE"""),2648.1)</f>
        <v>2648.1</v>
      </c>
    </row>
    <row r="1089" ht="15.75" customHeight="1">
      <c r="A1089" s="94"/>
      <c r="B1089" s="94" t="str">
        <f>IFERROR(__xludf.DUMMYFUNCTION("""COMPUTED_VALUE"""),"Пиросмани 181")</f>
        <v>Пиросмани 181</v>
      </c>
      <c r="C1089" s="94"/>
      <c r="D1089" s="1432">
        <f>IFERROR(__xludf.DUMMYFUNCTION("""COMPUTED_VALUE"""),11.0)</f>
        <v>11</v>
      </c>
      <c r="E1089" s="1439">
        <f>IFERROR(__xludf.DUMMYFUNCTION("""COMPUTED_VALUE"""),45616.0)</f>
        <v>45616</v>
      </c>
      <c r="F1089" s="1429">
        <f>IFERROR(__xludf.DUMMYFUNCTION("""COMPUTED_VALUE"""),45624.0)</f>
        <v>45624</v>
      </c>
      <c r="G1089" s="1164">
        <f>IFERROR(__xludf.DUMMYFUNCTION("""COMPUTED_VALUE"""),8.0)</f>
        <v>8</v>
      </c>
      <c r="H1089" s="1430">
        <f>IFERROR(__xludf.DUMMYFUNCTION("""COMPUTED_VALUE"""),240.0)</f>
        <v>240</v>
      </c>
      <c r="I1089" s="94"/>
      <c r="J1089" s="94"/>
      <c r="K1089" s="94"/>
      <c r="L1089" s="94"/>
      <c r="M1089" s="94">
        <f>IFERROR(__xludf.DUMMYFUNCTION("""COMPUTED_VALUE"""),0.0)</f>
        <v>0</v>
      </c>
      <c r="N1089" s="94"/>
      <c r="O1089" s="1430">
        <f>IFERROR(__xludf.DUMMYFUNCTION("""COMPUTED_VALUE"""),0.0)</f>
        <v>0</v>
      </c>
      <c r="P1089" s="1431">
        <f>IFERROR(__xludf.DUMMYFUNCTION("""COMPUTED_VALUE"""),2.73)</f>
        <v>2.73</v>
      </c>
      <c r="Q1089" s="1432">
        <f>IFERROR(__xludf.DUMMYFUNCTION("""COMPUTED_VALUE"""),655.2)</f>
        <v>655.2</v>
      </c>
    </row>
    <row r="1090" ht="15.75" customHeight="1">
      <c r="A1090" s="94"/>
      <c r="B1090" s="94" t="str">
        <f>IFERROR(__xludf.DUMMYFUNCTION("""COMPUTED_VALUE"""),"C 4245")</f>
        <v>C 4245</v>
      </c>
      <c r="C1090" s="94"/>
      <c r="D1090" s="1432">
        <f>IFERROR(__xludf.DUMMYFUNCTION("""COMPUTED_VALUE"""),11.0)</f>
        <v>11</v>
      </c>
      <c r="E1090" s="1439">
        <f>IFERROR(__xludf.DUMMYFUNCTION("""COMPUTED_VALUE"""),45616.0)</f>
        <v>45616</v>
      </c>
      <c r="F1090" s="1429">
        <f>IFERROR(__xludf.DUMMYFUNCTION("""COMPUTED_VALUE"""),45618.0)</f>
        <v>45618</v>
      </c>
      <c r="G1090" s="1164">
        <f>IFERROR(__xludf.DUMMYFUNCTION("""COMPUTED_VALUE"""),2.0)</f>
        <v>2</v>
      </c>
      <c r="H1090" s="1430">
        <f>IFERROR(__xludf.DUMMYFUNCTION("""COMPUTED_VALUE"""),91.0)</f>
        <v>91</v>
      </c>
      <c r="I1090" s="94"/>
      <c r="J1090" s="94"/>
      <c r="K1090" s="94">
        <f>IFERROR(__xludf.DUMMYFUNCTION("""COMPUTED_VALUE"""),60.0)</f>
        <v>60</v>
      </c>
      <c r="L1090" s="94">
        <f>IFERROR(__xludf.DUMMYFUNCTION("""COMPUTED_VALUE"""),40.0)</f>
        <v>40</v>
      </c>
      <c r="M1090" s="94">
        <f>IFERROR(__xludf.DUMMYFUNCTION("""COMPUTED_VALUE"""),20.0)</f>
        <v>20</v>
      </c>
      <c r="N1090" s="94"/>
      <c r="O1090" s="1430">
        <f>IFERROR(__xludf.DUMMYFUNCTION("""COMPUTED_VALUE"""),20.0)</f>
        <v>20</v>
      </c>
      <c r="P1090" s="1431">
        <f>IFERROR(__xludf.DUMMYFUNCTION("""COMPUTED_VALUE"""),2.73)</f>
        <v>2.73</v>
      </c>
      <c r="Q1090" s="1432">
        <f>IFERROR(__xludf.DUMMYFUNCTION("""COMPUTED_VALUE"""),248.43)</f>
        <v>248.43</v>
      </c>
    </row>
    <row r="1091" ht="15.75" customHeight="1">
      <c r="A1091" s="94"/>
      <c r="B1091" s="94" t="str">
        <f>IFERROR(__xludf.DUMMYFUNCTION("""COMPUTED_VALUE"""),"С 1125")</f>
        <v>С 1125</v>
      </c>
      <c r="C1091" s="94"/>
      <c r="D1091" s="1432">
        <f>IFERROR(__xludf.DUMMYFUNCTION("""COMPUTED_VALUE"""),11.0)</f>
        <v>11</v>
      </c>
      <c r="E1091" s="1439">
        <f>IFERROR(__xludf.DUMMYFUNCTION("""COMPUTED_VALUE"""),45617.0)</f>
        <v>45617</v>
      </c>
      <c r="F1091" s="1429">
        <f>IFERROR(__xludf.DUMMYFUNCTION("""COMPUTED_VALUE"""),45620.0)</f>
        <v>45620</v>
      </c>
      <c r="G1091" s="1164">
        <f>IFERROR(__xludf.DUMMYFUNCTION("""COMPUTED_VALUE"""),3.0)</f>
        <v>3</v>
      </c>
      <c r="H1091" s="1430">
        <f>IFERROR(__xludf.DUMMYFUNCTION("""COMPUTED_VALUE"""),65.0)</f>
        <v>65</v>
      </c>
      <c r="I1091" s="94"/>
      <c r="J1091" s="94"/>
      <c r="K1091" s="94">
        <f>IFERROR(__xludf.DUMMYFUNCTION("""COMPUTED_VALUE"""),60.0)</f>
        <v>60</v>
      </c>
      <c r="L1091" s="94">
        <f>IFERROR(__xludf.DUMMYFUNCTION("""COMPUTED_VALUE"""),30.0)</f>
        <v>30</v>
      </c>
      <c r="M1091" s="94">
        <f>IFERROR(__xludf.DUMMYFUNCTION("""COMPUTED_VALUE"""),30.0)</f>
        <v>30</v>
      </c>
      <c r="N1091" s="94"/>
      <c r="O1091" s="1430">
        <f>IFERROR(__xludf.DUMMYFUNCTION("""COMPUTED_VALUE"""),30.0)</f>
        <v>30</v>
      </c>
      <c r="P1091" s="1431">
        <f>IFERROR(__xludf.DUMMYFUNCTION("""COMPUTED_VALUE"""),2.73)</f>
        <v>2.73</v>
      </c>
      <c r="Q1091" s="1432">
        <f>IFERROR(__xludf.DUMMYFUNCTION("""COMPUTED_VALUE"""),177.45)</f>
        <v>177.45</v>
      </c>
    </row>
    <row r="1092" ht="15.75" customHeight="1">
      <c r="A1092" s="94"/>
      <c r="B1092" s="94" t="str">
        <f>IFERROR(__xludf.DUMMYFUNCTION("""COMPUTED_VALUE"""),"WS  B 405")</f>
        <v>WS  B 405</v>
      </c>
      <c r="C1092" s="94"/>
      <c r="D1092" s="1432">
        <f>IFERROR(__xludf.DUMMYFUNCTION("""COMPUTED_VALUE"""),11.0)</f>
        <v>11</v>
      </c>
      <c r="E1092" s="1439">
        <f>IFERROR(__xludf.DUMMYFUNCTION("""COMPUTED_VALUE"""),45617.0)</f>
        <v>45617</v>
      </c>
      <c r="F1092" s="1429">
        <f>IFERROR(__xludf.DUMMYFUNCTION("""COMPUTED_VALUE"""),45647.0)</f>
        <v>45647</v>
      </c>
      <c r="G1092" s="1164">
        <f>IFERROR(__xludf.DUMMYFUNCTION("""COMPUTED_VALUE"""),30.0)</f>
        <v>30</v>
      </c>
      <c r="H1092" s="1430">
        <f>IFERROR(__xludf.DUMMYFUNCTION("""COMPUTED_VALUE"""),485.0)</f>
        <v>485</v>
      </c>
      <c r="I1092" s="94"/>
      <c r="J1092" s="94"/>
      <c r="K1092" s="94">
        <f>IFERROR(__xludf.DUMMYFUNCTION("""COMPUTED_VALUE"""),60.0)</f>
        <v>60</v>
      </c>
      <c r="L1092" s="94">
        <f>IFERROR(__xludf.DUMMYFUNCTION("""COMPUTED_VALUE"""),30.0)</f>
        <v>30</v>
      </c>
      <c r="M1092" s="94">
        <f>IFERROR(__xludf.DUMMYFUNCTION("""COMPUTED_VALUE"""),30.0)</f>
        <v>30</v>
      </c>
      <c r="N1092" s="94"/>
      <c r="O1092" s="1430">
        <f>IFERROR(__xludf.DUMMYFUNCTION("""COMPUTED_VALUE"""),30.0)</f>
        <v>30</v>
      </c>
      <c r="P1092" s="1431">
        <f>IFERROR(__xludf.DUMMYFUNCTION("""COMPUTED_VALUE"""),2.73)</f>
        <v>2.73</v>
      </c>
      <c r="Q1092" s="1432">
        <f>IFERROR(__xludf.DUMMYFUNCTION("""COMPUTED_VALUE"""),1324.05)</f>
        <v>1324.05</v>
      </c>
    </row>
    <row r="1093" ht="15.75" customHeight="1">
      <c r="A1093" s="94"/>
      <c r="B1093" s="94" t="str">
        <f>IFERROR(__xludf.DUMMYFUNCTION("""COMPUTED_VALUE"""),"BV1318")</f>
        <v>BV1318</v>
      </c>
      <c r="C1093" s="94"/>
      <c r="D1093" s="1432">
        <f>IFERROR(__xludf.DUMMYFUNCTION("""COMPUTED_VALUE"""),11.0)</f>
        <v>11</v>
      </c>
      <c r="E1093" s="1439">
        <f>IFERROR(__xludf.DUMMYFUNCTION("""COMPUTED_VALUE"""),45617.0)</f>
        <v>45617</v>
      </c>
      <c r="F1093" s="1429">
        <f>IFERROR(__xludf.DUMMYFUNCTION("""COMPUTED_VALUE"""),45619.0)</f>
        <v>45619</v>
      </c>
      <c r="G1093" s="1164">
        <f>IFERROR(__xludf.DUMMYFUNCTION("""COMPUTED_VALUE"""),2.0)</f>
        <v>2</v>
      </c>
      <c r="H1093" s="1430">
        <f>IFERROR(__xludf.DUMMYFUNCTION("""COMPUTED_VALUE"""),70.0)</f>
        <v>70</v>
      </c>
      <c r="I1093" s="94"/>
      <c r="J1093" s="94"/>
      <c r="K1093" s="94">
        <f>IFERROR(__xludf.DUMMYFUNCTION("""COMPUTED_VALUE"""),60.0)</f>
        <v>60</v>
      </c>
      <c r="L1093" s="94">
        <f>IFERROR(__xludf.DUMMYFUNCTION("""COMPUTED_VALUE"""),30.0)</f>
        <v>30</v>
      </c>
      <c r="M1093" s="94">
        <f>IFERROR(__xludf.DUMMYFUNCTION("""COMPUTED_VALUE"""),30.0)</f>
        <v>30</v>
      </c>
      <c r="N1093" s="94"/>
      <c r="O1093" s="1430">
        <f>IFERROR(__xludf.DUMMYFUNCTION("""COMPUTED_VALUE"""),30.0)</f>
        <v>30</v>
      </c>
      <c r="P1093" s="1431">
        <f>IFERROR(__xludf.DUMMYFUNCTION("""COMPUTED_VALUE"""),2.73)</f>
        <v>2.73</v>
      </c>
      <c r="Q1093" s="1432">
        <f>IFERROR(__xludf.DUMMYFUNCTION("""COMPUTED_VALUE"""),191.1)</f>
        <v>191.1</v>
      </c>
    </row>
    <row r="1094" ht="15.75" customHeight="1">
      <c r="A1094" s="94"/>
      <c r="B1094" s="94" t="str">
        <f>IFERROR(__xludf.DUMMYFUNCTION("""COMPUTED_VALUE"""),"WS В 212")</f>
        <v>WS В 212</v>
      </c>
      <c r="C1094" s="94"/>
      <c r="D1094" s="1432">
        <f>IFERROR(__xludf.DUMMYFUNCTION("""COMPUTED_VALUE"""),11.0)</f>
        <v>11</v>
      </c>
      <c r="E1094" s="1439">
        <f>IFERROR(__xludf.DUMMYFUNCTION("""COMPUTED_VALUE"""),45619.0)</f>
        <v>45619</v>
      </c>
      <c r="F1094" s="1429">
        <f>IFERROR(__xludf.DUMMYFUNCTION("""COMPUTED_VALUE"""),45624.0)</f>
        <v>45624</v>
      </c>
      <c r="G1094" s="1164">
        <f>IFERROR(__xludf.DUMMYFUNCTION("""COMPUTED_VALUE"""),5.0)</f>
        <v>5</v>
      </c>
      <c r="H1094" s="1430">
        <f>IFERROR(__xludf.DUMMYFUNCTION("""COMPUTED_VALUE"""),220.0)</f>
        <v>220</v>
      </c>
      <c r="I1094" s="94"/>
      <c r="J1094" s="94"/>
      <c r="K1094" s="94">
        <f>IFERROR(__xludf.DUMMYFUNCTION("""COMPUTED_VALUE"""),60.0)</f>
        <v>60</v>
      </c>
      <c r="L1094" s="94">
        <f>IFERROR(__xludf.DUMMYFUNCTION("""COMPUTED_VALUE"""),40.0)</f>
        <v>40</v>
      </c>
      <c r="M1094" s="94">
        <f>IFERROR(__xludf.DUMMYFUNCTION("""COMPUTED_VALUE"""),20.0)</f>
        <v>20</v>
      </c>
      <c r="N1094" s="94"/>
      <c r="O1094" s="1430">
        <f>IFERROR(__xludf.DUMMYFUNCTION("""COMPUTED_VALUE"""),20.0)</f>
        <v>20</v>
      </c>
      <c r="P1094" s="1431">
        <f>IFERROR(__xludf.DUMMYFUNCTION("""COMPUTED_VALUE"""),2.73)</f>
        <v>2.73</v>
      </c>
      <c r="Q1094" s="1432">
        <f>IFERROR(__xludf.DUMMYFUNCTION("""COMPUTED_VALUE"""),600.6)</f>
        <v>600.6</v>
      </c>
    </row>
    <row r="1095" ht="15.75" customHeight="1">
      <c r="A1095" s="94"/>
      <c r="B1095" s="94" t="str">
        <f>IFERROR(__xludf.DUMMYFUNCTION("""COMPUTED_VALUE"""),"CM 1604")</f>
        <v>CM 1604</v>
      </c>
      <c r="C1095" s="94"/>
      <c r="D1095" s="1432">
        <f>IFERROR(__xludf.DUMMYFUNCTION("""COMPUTED_VALUE"""),11.0)</f>
        <v>11</v>
      </c>
      <c r="E1095" s="1439">
        <f>IFERROR(__xludf.DUMMYFUNCTION("""COMPUTED_VALUE"""),45620.0)</f>
        <v>45620</v>
      </c>
      <c r="F1095" s="1429">
        <f>IFERROR(__xludf.DUMMYFUNCTION("""COMPUTED_VALUE"""),45633.0)</f>
        <v>45633</v>
      </c>
      <c r="G1095" s="1164">
        <f>IFERROR(__xludf.DUMMYFUNCTION("""COMPUTED_VALUE"""),13.0)</f>
        <v>13</v>
      </c>
      <c r="H1095" s="1430">
        <f>IFERROR(__xludf.DUMMYFUNCTION("""COMPUTED_VALUE"""),433.0)</f>
        <v>433</v>
      </c>
      <c r="I1095" s="94"/>
      <c r="J1095" s="94"/>
      <c r="K1095" s="94">
        <f>IFERROR(__xludf.DUMMYFUNCTION("""COMPUTED_VALUE"""),60.0)</f>
        <v>60</v>
      </c>
      <c r="L1095" s="94">
        <f>IFERROR(__xludf.DUMMYFUNCTION("""COMPUTED_VALUE"""),40.0)</f>
        <v>40</v>
      </c>
      <c r="M1095" s="94">
        <f>IFERROR(__xludf.DUMMYFUNCTION("""COMPUTED_VALUE"""),20.0)</f>
        <v>20</v>
      </c>
      <c r="N1095" s="94"/>
      <c r="O1095" s="1430">
        <f>IFERROR(__xludf.DUMMYFUNCTION("""COMPUTED_VALUE"""),20.0)</f>
        <v>20</v>
      </c>
      <c r="P1095" s="1431">
        <f>IFERROR(__xludf.DUMMYFUNCTION("""COMPUTED_VALUE"""),2.73)</f>
        <v>2.73</v>
      </c>
      <c r="Q1095" s="1432">
        <f>IFERROR(__xludf.DUMMYFUNCTION("""COMPUTED_VALUE"""),1182.09)</f>
        <v>1182.09</v>
      </c>
    </row>
    <row r="1096" ht="15.75" customHeight="1">
      <c r="A1096" s="94" t="str">
        <f>IFERROR(__xludf.DUMMYFUNCTION("""COMPUTED_VALUE"""),"Итого неделя")</f>
        <v>Итого неделя</v>
      </c>
      <c r="B1096" s="94" t="str">
        <f>IFERROR(__xludf.DUMMYFUNCTION("""COMPUTED_VALUE"""),"47 неделя")</f>
        <v>47 неделя</v>
      </c>
      <c r="C1096" s="94"/>
      <c r="D1096" s="94"/>
      <c r="E1096" s="94"/>
      <c r="F1096" s="94"/>
      <c r="G1096" s="1164">
        <f>IFERROR(__xludf.DUMMYFUNCTION("""COMPUTED_VALUE"""),136.0)</f>
        <v>136</v>
      </c>
      <c r="H1096" s="1430">
        <f>IFERROR(__xludf.DUMMYFUNCTION("""COMPUTED_VALUE"""),3235.0)</f>
        <v>3235</v>
      </c>
      <c r="I1096" s="94">
        <f>IFERROR(__xludf.DUMMYFUNCTION("""COMPUTED_VALUE"""),0.0)</f>
        <v>0</v>
      </c>
      <c r="J1096" s="94">
        <f>IFERROR(__xludf.DUMMYFUNCTION("""COMPUTED_VALUE"""),0.0)</f>
        <v>0</v>
      </c>
      <c r="K1096" s="94">
        <f>IFERROR(__xludf.DUMMYFUNCTION("""COMPUTED_VALUE"""),540.0)</f>
        <v>540</v>
      </c>
      <c r="L1096" s="94">
        <f>IFERROR(__xludf.DUMMYFUNCTION("""COMPUTED_VALUE"""),300.0)</f>
        <v>300</v>
      </c>
      <c r="M1096" s="94">
        <f>IFERROR(__xludf.DUMMYFUNCTION("""COMPUTED_VALUE"""),240.0)</f>
        <v>240</v>
      </c>
      <c r="N1096" s="94">
        <f>IFERROR(__xludf.DUMMYFUNCTION("""COMPUTED_VALUE"""),0.0)</f>
        <v>0</v>
      </c>
      <c r="O1096" s="1430">
        <f>IFERROR(__xludf.DUMMYFUNCTION("""COMPUTED_VALUE"""),240.0)</f>
        <v>240</v>
      </c>
      <c r="P1096" s="1431">
        <f>IFERROR(__xludf.DUMMYFUNCTION("""COMPUTED_VALUE"""),27.3)</f>
        <v>27.3</v>
      </c>
      <c r="Q1096" s="1432">
        <f>IFERROR(__xludf.DUMMYFUNCTION("""COMPUTED_VALUE"""),8831.550000000001)</f>
        <v>8831.55</v>
      </c>
    </row>
    <row r="1097" ht="15.75" customHeight="1">
      <c r="A1097" s="94"/>
      <c r="B1097" s="94" t="str">
        <f>IFERROR(__xludf.DUMMYFUNCTION("""COMPUTED_VALUE"""),"С 1443")</f>
        <v>С 1443</v>
      </c>
      <c r="C1097" s="94"/>
      <c r="D1097" s="1432">
        <f>IFERROR(__xludf.DUMMYFUNCTION("""COMPUTED_VALUE"""),11.0)</f>
        <v>11</v>
      </c>
      <c r="E1097" s="1439">
        <f>IFERROR(__xludf.DUMMYFUNCTION("""COMPUTED_VALUE"""),45621.0)</f>
        <v>45621</v>
      </c>
      <c r="F1097" s="1429">
        <f>IFERROR(__xludf.DUMMYFUNCTION("""COMPUTED_VALUE"""),45629.0)</f>
        <v>45629</v>
      </c>
      <c r="G1097" s="1164">
        <f>IFERROR(__xludf.DUMMYFUNCTION("""COMPUTED_VALUE"""),8.0)</f>
        <v>8</v>
      </c>
      <c r="H1097" s="1430">
        <f>IFERROR(__xludf.DUMMYFUNCTION("""COMPUTED_VALUE"""),156.0)</f>
        <v>156</v>
      </c>
      <c r="I1097" s="94"/>
      <c r="J1097" s="94"/>
      <c r="K1097" s="94">
        <f>IFERROR(__xludf.DUMMYFUNCTION("""COMPUTED_VALUE"""),60.0)</f>
        <v>60</v>
      </c>
      <c r="L1097" s="94">
        <f>IFERROR(__xludf.DUMMYFUNCTION("""COMPUTED_VALUE"""),40.0)</f>
        <v>40</v>
      </c>
      <c r="M1097" s="94">
        <f>IFERROR(__xludf.DUMMYFUNCTION("""COMPUTED_VALUE"""),20.0)</f>
        <v>20</v>
      </c>
      <c r="N1097" s="94"/>
      <c r="O1097" s="1430">
        <f>IFERROR(__xludf.DUMMYFUNCTION("""COMPUTED_VALUE"""),20.0)</f>
        <v>20</v>
      </c>
      <c r="P1097" s="1431">
        <f>IFERROR(__xludf.DUMMYFUNCTION("""COMPUTED_VALUE"""),2.75)</f>
        <v>2.75</v>
      </c>
      <c r="Q1097" s="1432">
        <f>IFERROR(__xludf.DUMMYFUNCTION("""COMPUTED_VALUE"""),429.0)</f>
        <v>429</v>
      </c>
    </row>
    <row r="1098" ht="15.75" customHeight="1">
      <c r="A1098" s="94"/>
      <c r="B1098" s="94" t="str">
        <f>IFERROR(__xludf.DUMMYFUNCTION("""COMPUTED_VALUE"""),"OST 1202")</f>
        <v>OST 1202</v>
      </c>
      <c r="C1098" s="94"/>
      <c r="D1098" s="1432">
        <f>IFERROR(__xludf.DUMMYFUNCTION("""COMPUTED_VALUE"""),11.0)</f>
        <v>11</v>
      </c>
      <c r="E1098" s="1429">
        <f>IFERROR(__xludf.DUMMYFUNCTION("""COMPUTED_VALUE"""),45621.0)</f>
        <v>45621</v>
      </c>
      <c r="F1098" s="1429">
        <f>IFERROR(__xludf.DUMMYFUNCTION("""COMPUTED_VALUE"""),45651.0)</f>
        <v>45651</v>
      </c>
      <c r="G1098" s="1164">
        <f>IFERROR(__xludf.DUMMYFUNCTION("""COMPUTED_VALUE"""),30.0)</f>
        <v>30</v>
      </c>
      <c r="H1098" s="1430">
        <f>IFERROR(__xludf.DUMMYFUNCTION("""COMPUTED_VALUE"""),307.0)</f>
        <v>307</v>
      </c>
      <c r="I1098" s="94"/>
      <c r="J1098" s="94"/>
      <c r="K1098" s="94">
        <f>IFERROR(__xludf.DUMMYFUNCTION("""COMPUTED_VALUE"""),60.0)</f>
        <v>60</v>
      </c>
      <c r="L1098" s="94">
        <f>IFERROR(__xludf.DUMMYFUNCTION("""COMPUTED_VALUE"""),30.0)</f>
        <v>30</v>
      </c>
      <c r="M1098" s="94">
        <f>IFERROR(__xludf.DUMMYFUNCTION("""COMPUTED_VALUE"""),30.0)</f>
        <v>30</v>
      </c>
      <c r="N1098" s="94"/>
      <c r="O1098" s="1430">
        <f>IFERROR(__xludf.DUMMYFUNCTION("""COMPUTED_VALUE"""),30.0)</f>
        <v>30</v>
      </c>
      <c r="P1098" s="1431">
        <f>IFERROR(__xludf.DUMMYFUNCTION("""COMPUTED_VALUE"""),2.75)</f>
        <v>2.75</v>
      </c>
      <c r="Q1098" s="1432">
        <f>IFERROR(__xludf.DUMMYFUNCTION("""COMPUTED_VALUE"""),844.25)</f>
        <v>844.25</v>
      </c>
    </row>
    <row r="1099" ht="15.75" customHeight="1">
      <c r="A1099" s="94"/>
      <c r="B1099" s="94" t="str">
        <f>IFERROR(__xludf.DUMMYFUNCTION("""COMPUTED_VALUE"""),"CM 1931")</f>
        <v>CM 1931</v>
      </c>
      <c r="C1099" s="94"/>
      <c r="D1099" s="1432">
        <f>IFERROR(__xludf.DUMMYFUNCTION("""COMPUTED_VALUE"""),11.0)</f>
        <v>11</v>
      </c>
      <c r="E1099" s="1429">
        <f>IFERROR(__xludf.DUMMYFUNCTION("""COMPUTED_VALUE"""),45622.0)</f>
        <v>45622</v>
      </c>
      <c r="F1099" s="1429">
        <f>IFERROR(__xludf.DUMMYFUNCTION("""COMPUTED_VALUE"""),45652.0)</f>
        <v>45652</v>
      </c>
      <c r="G1099" s="1164">
        <f>IFERROR(__xludf.DUMMYFUNCTION("""COMPUTED_VALUE"""),30.0)</f>
        <v>30</v>
      </c>
      <c r="H1099" s="1430">
        <f>IFERROR(__xludf.DUMMYFUNCTION("""COMPUTED_VALUE"""),395.0)</f>
        <v>395</v>
      </c>
      <c r="I1099" s="94"/>
      <c r="J1099" s="94"/>
      <c r="K1099" s="94">
        <f>IFERROR(__xludf.DUMMYFUNCTION("""COMPUTED_VALUE"""),60.0)</f>
        <v>60</v>
      </c>
      <c r="L1099" s="94">
        <f>IFERROR(__xludf.DUMMYFUNCTION("""COMPUTED_VALUE"""),30.0)</f>
        <v>30</v>
      </c>
      <c r="M1099" s="94">
        <f>IFERROR(__xludf.DUMMYFUNCTION("""COMPUTED_VALUE"""),30.0)</f>
        <v>30</v>
      </c>
      <c r="N1099" s="94"/>
      <c r="O1099" s="1430">
        <f>IFERROR(__xludf.DUMMYFUNCTION("""COMPUTED_VALUE"""),30.0)</f>
        <v>30</v>
      </c>
      <c r="P1099" s="1431">
        <f>IFERROR(__xludf.DUMMYFUNCTION("""COMPUTED_VALUE"""),2.75)</f>
        <v>2.75</v>
      </c>
      <c r="Q1099" s="1432">
        <f>IFERROR(__xludf.DUMMYFUNCTION("""COMPUTED_VALUE"""),1086.25)</f>
        <v>1086.25</v>
      </c>
    </row>
    <row r="1100" ht="15.75" customHeight="1">
      <c r="A1100" s="94"/>
      <c r="B1100" s="94" t="str">
        <f>IFERROR(__xludf.DUMMYFUNCTION("""COMPUTED_VALUE"""),"WS Е804")</f>
        <v>WS Е804</v>
      </c>
      <c r="C1100" s="94"/>
      <c r="D1100" s="1432">
        <f>IFERROR(__xludf.DUMMYFUNCTION("""COMPUTED_VALUE"""),11.0)</f>
        <v>11</v>
      </c>
      <c r="E1100" s="1429">
        <f>IFERROR(__xludf.DUMMYFUNCTION("""COMPUTED_VALUE"""),45622.0)</f>
        <v>45622</v>
      </c>
      <c r="F1100" s="1429">
        <f>IFERROR(__xludf.DUMMYFUNCTION("""COMPUTED_VALUE"""),45625.0)</f>
        <v>45625</v>
      </c>
      <c r="G1100" s="1164">
        <f>IFERROR(__xludf.DUMMYFUNCTION("""COMPUTED_VALUE"""),3.0)</f>
        <v>3</v>
      </c>
      <c r="H1100" s="1430">
        <f>IFERROR(__xludf.DUMMYFUNCTION("""COMPUTED_VALUE"""),90.0)</f>
        <v>90</v>
      </c>
      <c r="I1100" s="94"/>
      <c r="J1100" s="94"/>
      <c r="K1100" s="94">
        <f>IFERROR(__xludf.DUMMYFUNCTION("""COMPUTED_VALUE"""),60.0)</f>
        <v>60</v>
      </c>
      <c r="L1100" s="94">
        <f>IFERROR(__xludf.DUMMYFUNCTION("""COMPUTED_VALUE"""),30.0)</f>
        <v>30</v>
      </c>
      <c r="M1100" s="94">
        <f>IFERROR(__xludf.DUMMYFUNCTION("""COMPUTED_VALUE"""),30.0)</f>
        <v>30</v>
      </c>
      <c r="N1100" s="94"/>
      <c r="O1100" s="1430">
        <f>IFERROR(__xludf.DUMMYFUNCTION("""COMPUTED_VALUE"""),30.0)</f>
        <v>30</v>
      </c>
      <c r="P1100" s="1431">
        <f>IFERROR(__xludf.DUMMYFUNCTION("""COMPUTED_VALUE"""),2.75)</f>
        <v>2.75</v>
      </c>
      <c r="Q1100" s="1432">
        <f>IFERROR(__xludf.DUMMYFUNCTION("""COMPUTED_VALUE"""),247.5)</f>
        <v>247.5</v>
      </c>
    </row>
    <row r="1101" ht="15.75" customHeight="1">
      <c r="A1101" s="94"/>
      <c r="B1101" s="94" t="str">
        <f>IFERROR(__xludf.DUMMYFUNCTION("""COMPUTED_VALUE"""),"D 1321")</f>
        <v>D 1321</v>
      </c>
      <c r="C1101" s="94"/>
      <c r="D1101" s="1432">
        <f>IFERROR(__xludf.DUMMYFUNCTION("""COMPUTED_VALUE"""),11.0)</f>
        <v>11</v>
      </c>
      <c r="E1101" s="1429">
        <f>IFERROR(__xludf.DUMMYFUNCTION("""COMPUTED_VALUE"""),45622.0)</f>
        <v>45622</v>
      </c>
      <c r="F1101" s="1429">
        <f>IFERROR(__xludf.DUMMYFUNCTION("""COMPUTED_VALUE"""),45627.0)</f>
        <v>45627</v>
      </c>
      <c r="G1101" s="1164">
        <f>IFERROR(__xludf.DUMMYFUNCTION("""COMPUTED_VALUE"""),5.0)</f>
        <v>5</v>
      </c>
      <c r="H1101" s="1430">
        <f>IFERROR(__xludf.DUMMYFUNCTION("""COMPUTED_VALUE"""),86.0)</f>
        <v>86</v>
      </c>
      <c r="I1101" s="94"/>
      <c r="J1101" s="94"/>
      <c r="K1101" s="94">
        <f>IFERROR(__xludf.DUMMYFUNCTION("""COMPUTED_VALUE"""),60.0)</f>
        <v>60</v>
      </c>
      <c r="L1101" s="94">
        <f>IFERROR(__xludf.DUMMYFUNCTION("""COMPUTED_VALUE"""),30.0)</f>
        <v>30</v>
      </c>
      <c r="M1101" s="94">
        <f>IFERROR(__xludf.DUMMYFUNCTION("""COMPUTED_VALUE"""),30.0)</f>
        <v>30</v>
      </c>
      <c r="N1101" s="94"/>
      <c r="O1101" s="1430">
        <f>IFERROR(__xludf.DUMMYFUNCTION("""COMPUTED_VALUE"""),30.0)</f>
        <v>30</v>
      </c>
      <c r="P1101" s="1431">
        <f>IFERROR(__xludf.DUMMYFUNCTION("""COMPUTED_VALUE"""),2.75)</f>
        <v>2.75</v>
      </c>
      <c r="Q1101" s="1432">
        <f>IFERROR(__xludf.DUMMYFUNCTION("""COMPUTED_VALUE"""),236.5)</f>
        <v>236.5</v>
      </c>
    </row>
    <row r="1102" ht="15.75" customHeight="1">
      <c r="A1102" s="94"/>
      <c r="B1102" s="94" t="str">
        <f>IFERROR(__xludf.DUMMYFUNCTION("""COMPUTED_VALUE"""),"Steps 510")</f>
        <v>Steps 510</v>
      </c>
      <c r="C1102" s="94"/>
      <c r="D1102" s="1432">
        <f>IFERROR(__xludf.DUMMYFUNCTION("""COMPUTED_VALUE"""),11.0)</f>
        <v>11</v>
      </c>
      <c r="E1102" s="1429">
        <f>IFERROR(__xludf.DUMMYFUNCTION("""COMPUTED_VALUE"""),45625.0)</f>
        <v>45625</v>
      </c>
      <c r="F1102" s="1429">
        <f>IFERROR(__xludf.DUMMYFUNCTION("""COMPUTED_VALUE"""),45628.0)</f>
        <v>45628</v>
      </c>
      <c r="G1102" s="1164">
        <f>IFERROR(__xludf.DUMMYFUNCTION("""COMPUTED_VALUE"""),3.0)</f>
        <v>3</v>
      </c>
      <c r="H1102" s="1430">
        <f>IFERROR(__xludf.DUMMYFUNCTION("""COMPUTED_VALUE"""),75.0)</f>
        <v>75</v>
      </c>
      <c r="I1102" s="94"/>
      <c r="J1102" s="94"/>
      <c r="K1102" s="94">
        <f>IFERROR(__xludf.DUMMYFUNCTION("""COMPUTED_VALUE"""),60.0)</f>
        <v>60</v>
      </c>
      <c r="L1102" s="94">
        <f>IFERROR(__xludf.DUMMYFUNCTION("""COMPUTED_VALUE"""),30.0)</f>
        <v>30</v>
      </c>
      <c r="M1102" s="94">
        <f>IFERROR(__xludf.DUMMYFUNCTION("""COMPUTED_VALUE"""),30.0)</f>
        <v>30</v>
      </c>
      <c r="N1102" s="94"/>
      <c r="O1102" s="1430">
        <f>IFERROR(__xludf.DUMMYFUNCTION("""COMPUTED_VALUE"""),30.0)</f>
        <v>30</v>
      </c>
      <c r="P1102" s="1431">
        <f>IFERROR(__xludf.DUMMYFUNCTION("""COMPUTED_VALUE"""),2.75)</f>
        <v>2.75</v>
      </c>
      <c r="Q1102" s="1432">
        <f>IFERROR(__xludf.DUMMYFUNCTION("""COMPUTED_VALUE"""),206.25)</f>
        <v>206.25</v>
      </c>
    </row>
    <row r="1103" ht="15.75" customHeight="1">
      <c r="A1103" s="94"/>
      <c r="B1103" s="94" t="str">
        <f>IFERROR(__xludf.DUMMYFUNCTION("""COMPUTED_VALUE"""),"А 4049")</f>
        <v>А 4049</v>
      </c>
      <c r="C1103" s="94"/>
      <c r="D1103" s="1432">
        <f>IFERROR(__xludf.DUMMYFUNCTION("""COMPUTED_VALUE"""),11.0)</f>
        <v>11</v>
      </c>
      <c r="E1103" s="1429">
        <f>IFERROR(__xludf.DUMMYFUNCTION("""COMPUTED_VALUE"""),45625.0)</f>
        <v>45625</v>
      </c>
      <c r="F1103" s="1429">
        <f>IFERROR(__xludf.DUMMYFUNCTION("""COMPUTED_VALUE"""),45627.0)</f>
        <v>45627</v>
      </c>
      <c r="G1103" s="1164">
        <f>IFERROR(__xludf.DUMMYFUNCTION("""COMPUTED_VALUE"""),2.0)</f>
        <v>2</v>
      </c>
      <c r="H1103" s="1430">
        <f>IFERROR(__xludf.DUMMYFUNCTION("""COMPUTED_VALUE"""),43.0)</f>
        <v>43</v>
      </c>
      <c r="I1103" s="94"/>
      <c r="J1103" s="94"/>
      <c r="K1103" s="94">
        <f>IFERROR(__xludf.DUMMYFUNCTION("""COMPUTED_VALUE"""),60.0)</f>
        <v>60</v>
      </c>
      <c r="L1103" s="94">
        <f>IFERROR(__xludf.DUMMYFUNCTION("""COMPUTED_VALUE"""),30.0)</f>
        <v>30</v>
      </c>
      <c r="M1103" s="94">
        <f>IFERROR(__xludf.DUMMYFUNCTION("""COMPUTED_VALUE"""),30.0)</f>
        <v>30</v>
      </c>
      <c r="N1103" s="94"/>
      <c r="O1103" s="1430">
        <f>IFERROR(__xludf.DUMMYFUNCTION("""COMPUTED_VALUE"""),30.0)</f>
        <v>30</v>
      </c>
      <c r="P1103" s="1431">
        <f>IFERROR(__xludf.DUMMYFUNCTION("""COMPUTED_VALUE"""),2.75)</f>
        <v>2.75</v>
      </c>
      <c r="Q1103" s="1432">
        <f>IFERROR(__xludf.DUMMYFUNCTION("""COMPUTED_VALUE"""),118.25)</f>
        <v>118.25</v>
      </c>
    </row>
    <row r="1104" ht="15.75" customHeight="1">
      <c r="A1104" s="94"/>
      <c r="B1104" s="94" t="str">
        <f>IFERROR(__xludf.DUMMYFUNCTION("""COMPUTED_VALUE"""),"С 1125")</f>
        <v>С 1125</v>
      </c>
      <c r="C1104" s="94"/>
      <c r="D1104" s="1432">
        <f>IFERROR(__xludf.DUMMYFUNCTION("""COMPUTED_VALUE"""),11.0)</f>
        <v>11</v>
      </c>
      <c r="E1104" s="1429">
        <f>IFERROR(__xludf.DUMMYFUNCTION("""COMPUTED_VALUE"""),45625.0)</f>
        <v>45625</v>
      </c>
      <c r="F1104" s="1429">
        <f>IFERROR(__xludf.DUMMYFUNCTION("""COMPUTED_VALUE"""),45663.0)</f>
        <v>45663</v>
      </c>
      <c r="G1104" s="1164">
        <f>IFERROR(__xludf.DUMMYFUNCTION("""COMPUTED_VALUE"""),38.0)</f>
        <v>38</v>
      </c>
      <c r="H1104" s="1430">
        <f>IFERROR(__xludf.DUMMYFUNCTION("""COMPUTED_VALUE"""),350.0)</f>
        <v>350</v>
      </c>
      <c r="I1104" s="94"/>
      <c r="J1104" s="94"/>
      <c r="K1104" s="94">
        <f>IFERROR(__xludf.DUMMYFUNCTION("""COMPUTED_VALUE"""),60.0)</f>
        <v>60</v>
      </c>
      <c r="L1104" s="94">
        <f>IFERROR(__xludf.DUMMYFUNCTION("""COMPUTED_VALUE"""),30.0)</f>
        <v>30</v>
      </c>
      <c r="M1104" s="94">
        <f>IFERROR(__xludf.DUMMYFUNCTION("""COMPUTED_VALUE"""),30.0)</f>
        <v>30</v>
      </c>
      <c r="N1104" s="94"/>
      <c r="O1104" s="1430">
        <f>IFERROR(__xludf.DUMMYFUNCTION("""COMPUTED_VALUE"""),30.0)</f>
        <v>30</v>
      </c>
      <c r="P1104" s="1431">
        <f>IFERROR(__xludf.DUMMYFUNCTION("""COMPUTED_VALUE"""),2.75)</f>
        <v>2.75</v>
      </c>
      <c r="Q1104" s="1432">
        <f>IFERROR(__xludf.DUMMYFUNCTION("""COMPUTED_VALUE"""),962.5)</f>
        <v>962.5</v>
      </c>
    </row>
    <row r="1105" ht="15.75" customHeight="1">
      <c r="A1105" s="94"/>
      <c r="B1105" s="94" t="str">
        <f>IFERROR(__xludf.DUMMYFUNCTION("""COMPUTED_VALUE"""),"WS E 1202")</f>
        <v>WS E 1202</v>
      </c>
      <c r="C1105" s="94"/>
      <c r="D1105" s="1432">
        <f>IFERROR(__xludf.DUMMYFUNCTION("""COMPUTED_VALUE"""),11.0)</f>
        <v>11</v>
      </c>
      <c r="E1105" s="1429">
        <f>IFERROR(__xludf.DUMMYFUNCTION("""COMPUTED_VALUE"""),45626.0)</f>
        <v>45626</v>
      </c>
      <c r="F1105" s="1429">
        <f>IFERROR(__xludf.DUMMYFUNCTION("""COMPUTED_VALUE"""),45628.0)</f>
        <v>45628</v>
      </c>
      <c r="G1105" s="1164">
        <f>IFERROR(__xludf.DUMMYFUNCTION("""COMPUTED_VALUE"""),2.0)</f>
        <v>2</v>
      </c>
      <c r="H1105" s="1430">
        <f>IFERROR(__xludf.DUMMYFUNCTION("""COMPUTED_VALUE"""),56.0)</f>
        <v>56</v>
      </c>
      <c r="I1105" s="94"/>
      <c r="J1105" s="94"/>
      <c r="K1105" s="94">
        <f>IFERROR(__xludf.DUMMYFUNCTION("""COMPUTED_VALUE"""),60.0)</f>
        <v>60</v>
      </c>
      <c r="L1105" s="94">
        <f>IFERROR(__xludf.DUMMYFUNCTION("""COMPUTED_VALUE"""),40.0)</f>
        <v>40</v>
      </c>
      <c r="M1105" s="94">
        <f>IFERROR(__xludf.DUMMYFUNCTION("""COMPUTED_VALUE"""),20.0)</f>
        <v>20</v>
      </c>
      <c r="N1105" s="94"/>
      <c r="O1105" s="1430">
        <f>IFERROR(__xludf.DUMMYFUNCTION("""COMPUTED_VALUE"""),20.0)</f>
        <v>20</v>
      </c>
      <c r="P1105" s="1431">
        <f>IFERROR(__xludf.DUMMYFUNCTION("""COMPUTED_VALUE"""),2.75)</f>
        <v>2.75</v>
      </c>
      <c r="Q1105" s="1432">
        <f>IFERROR(__xludf.DUMMYFUNCTION("""COMPUTED_VALUE"""),154.0)</f>
        <v>154</v>
      </c>
    </row>
    <row r="1106" ht="15.75" customHeight="1">
      <c r="A1106" s="94"/>
      <c r="B1106" s="94" t="str">
        <f>IFERROR(__xludf.DUMMYFUNCTION("""COMPUTED_VALUE"""),"WS E704")</f>
        <v>WS E704</v>
      </c>
      <c r="C1106" s="94"/>
      <c r="D1106" s="1432">
        <f>IFERROR(__xludf.DUMMYFUNCTION("""COMPUTED_VALUE"""),11.0)</f>
        <v>11</v>
      </c>
      <c r="E1106" s="1429">
        <f>IFERROR(__xludf.DUMMYFUNCTION("""COMPUTED_VALUE"""),45626.0)</f>
        <v>45626</v>
      </c>
      <c r="F1106" s="1429">
        <f>IFERROR(__xludf.DUMMYFUNCTION("""COMPUTED_VALUE"""),45629.0)</f>
        <v>45629</v>
      </c>
      <c r="G1106" s="1164">
        <f>IFERROR(__xludf.DUMMYFUNCTION("""COMPUTED_VALUE"""),3.0)</f>
        <v>3</v>
      </c>
      <c r="H1106" s="1430">
        <f>IFERROR(__xludf.DUMMYFUNCTION("""COMPUTED_VALUE"""),60.0)</f>
        <v>60</v>
      </c>
      <c r="I1106" s="94"/>
      <c r="J1106" s="94"/>
      <c r="K1106" s="94">
        <f>IFERROR(__xludf.DUMMYFUNCTION("""COMPUTED_VALUE"""),60.0)</f>
        <v>60</v>
      </c>
      <c r="L1106" s="94">
        <f>IFERROR(__xludf.DUMMYFUNCTION("""COMPUTED_VALUE"""),30.0)</f>
        <v>30</v>
      </c>
      <c r="M1106" s="94">
        <f>IFERROR(__xludf.DUMMYFUNCTION("""COMPUTED_VALUE"""),30.0)</f>
        <v>30</v>
      </c>
      <c r="N1106" s="94"/>
      <c r="O1106" s="1430">
        <f>IFERROR(__xludf.DUMMYFUNCTION("""COMPUTED_VALUE"""),30.0)</f>
        <v>30</v>
      </c>
      <c r="P1106" s="1431">
        <f>IFERROR(__xludf.DUMMYFUNCTION("""COMPUTED_VALUE"""),2.75)</f>
        <v>2.75</v>
      </c>
      <c r="Q1106" s="1432">
        <f>IFERROR(__xludf.DUMMYFUNCTION("""COMPUTED_VALUE"""),165.0)</f>
        <v>165</v>
      </c>
    </row>
    <row r="1107" ht="15.75" customHeight="1">
      <c r="A1107" s="94"/>
      <c r="B1107" s="94" t="str">
        <f>IFERROR(__xludf.DUMMYFUNCTION("""COMPUTED_VALUE"""),"Wyn")</f>
        <v>Wyn</v>
      </c>
      <c r="C1107" s="94"/>
      <c r="D1107" s="1432">
        <f>IFERROR(__xludf.DUMMYFUNCTION("""COMPUTED_VALUE"""),11.0)</f>
        <v>11</v>
      </c>
      <c r="E1107" s="1429">
        <f>IFERROR(__xludf.DUMMYFUNCTION("""COMPUTED_VALUE"""),45626.0)</f>
        <v>45626</v>
      </c>
      <c r="F1107" s="1429">
        <f>IFERROR(__xludf.DUMMYFUNCTION("""COMPUTED_VALUE"""),45716.0)</f>
        <v>45716</v>
      </c>
      <c r="G1107" s="1164">
        <f>IFERROR(__xludf.DUMMYFUNCTION("""COMPUTED_VALUE"""),90.0)</f>
        <v>90</v>
      </c>
      <c r="H1107" s="1430">
        <f>IFERROR(__xludf.DUMMYFUNCTION("""COMPUTED_VALUE"""),597.0)</f>
        <v>597</v>
      </c>
      <c r="I1107" s="94"/>
      <c r="J1107" s="94"/>
      <c r="K1107" s="94">
        <f>IFERROR(__xludf.DUMMYFUNCTION("""COMPUTED_VALUE"""),60.0)</f>
        <v>60</v>
      </c>
      <c r="L1107" s="94">
        <f>IFERROR(__xludf.DUMMYFUNCTION("""COMPUTED_VALUE"""),40.0)</f>
        <v>40</v>
      </c>
      <c r="M1107" s="94">
        <f>IFERROR(__xludf.DUMMYFUNCTION("""COMPUTED_VALUE"""),20.0)</f>
        <v>20</v>
      </c>
      <c r="N1107" s="94"/>
      <c r="O1107" s="1430">
        <f>IFERROR(__xludf.DUMMYFUNCTION("""COMPUTED_VALUE"""),20.0)</f>
        <v>20</v>
      </c>
      <c r="P1107" s="1431">
        <f>IFERROR(__xludf.DUMMYFUNCTION("""COMPUTED_VALUE"""),2.75)</f>
        <v>2.75</v>
      </c>
      <c r="Q1107" s="1432">
        <f>IFERROR(__xludf.DUMMYFUNCTION("""COMPUTED_VALUE"""),1641.75)</f>
        <v>1641.75</v>
      </c>
    </row>
    <row r="1108" ht="15.75" customHeight="1">
      <c r="A1108" s="94"/>
      <c r="B1108" s="94" t="str">
        <f>IFERROR(__xludf.DUMMYFUNCTION("""COMPUTED_VALUE"""),"WS В 503")</f>
        <v>WS В 503</v>
      </c>
      <c r="C1108" s="94"/>
      <c r="D1108" s="1432">
        <f>IFERROR(__xludf.DUMMYFUNCTION("""COMPUTED_VALUE"""),11.0)</f>
        <v>11</v>
      </c>
      <c r="E1108" s="1429">
        <f>IFERROR(__xludf.DUMMYFUNCTION("""COMPUTED_VALUE"""),45626.0)</f>
        <v>45626</v>
      </c>
      <c r="F1108" s="1429">
        <f>IFERROR(__xludf.DUMMYFUNCTION("""COMPUTED_VALUE"""),45655.0)</f>
        <v>45655</v>
      </c>
      <c r="G1108" s="1164">
        <f>IFERROR(__xludf.DUMMYFUNCTION("""COMPUTED_VALUE"""),29.0)</f>
        <v>29</v>
      </c>
      <c r="H1108" s="1430">
        <f>IFERROR(__xludf.DUMMYFUNCTION("""COMPUTED_VALUE"""),750.0)</f>
        <v>750</v>
      </c>
      <c r="I1108" s="94"/>
      <c r="J1108" s="94"/>
      <c r="K1108" s="94"/>
      <c r="L1108" s="94"/>
      <c r="M1108" s="94">
        <f>IFERROR(__xludf.DUMMYFUNCTION("""COMPUTED_VALUE"""),0.0)</f>
        <v>0</v>
      </c>
      <c r="N1108" s="94"/>
      <c r="O1108" s="1430">
        <f>IFERROR(__xludf.DUMMYFUNCTION("""COMPUTED_VALUE"""),0.0)</f>
        <v>0</v>
      </c>
      <c r="P1108" s="1431">
        <f>IFERROR(__xludf.DUMMYFUNCTION("""COMPUTED_VALUE"""),2.75)</f>
        <v>2.75</v>
      </c>
      <c r="Q1108" s="1432">
        <f>IFERROR(__xludf.DUMMYFUNCTION("""COMPUTED_VALUE"""),2062.5)</f>
        <v>2062.5</v>
      </c>
    </row>
    <row r="1109" ht="15.75" customHeight="1">
      <c r="A1109" s="94"/>
      <c r="B1109" s="94" t="str">
        <f>IFERROR(__xludf.DUMMYFUNCTION("""COMPUTED_VALUE"""),"WS В 212")</f>
        <v>WS В 212</v>
      </c>
      <c r="C1109" s="94"/>
      <c r="D1109" s="1432">
        <f>IFERROR(__xludf.DUMMYFUNCTION("""COMPUTED_VALUE"""),12.0)</f>
        <v>12</v>
      </c>
      <c r="E1109" s="1429">
        <f>IFERROR(__xludf.DUMMYFUNCTION("""COMPUTED_VALUE"""),45627.0)</f>
        <v>45627</v>
      </c>
      <c r="F1109" s="1429">
        <f>IFERROR(__xludf.DUMMYFUNCTION("""COMPUTED_VALUE"""),45657.0)</f>
        <v>45657</v>
      </c>
      <c r="G1109" s="1164">
        <f>IFERROR(__xludf.DUMMYFUNCTION("""COMPUTED_VALUE"""),30.0)</f>
        <v>30</v>
      </c>
      <c r="H1109" s="1430">
        <f>IFERROR(__xludf.DUMMYFUNCTION("""COMPUTED_VALUE"""),950.0)</f>
        <v>950</v>
      </c>
      <c r="I1109" s="94"/>
      <c r="J1109" s="94"/>
      <c r="K1109" s="94"/>
      <c r="L1109" s="94"/>
      <c r="M1109" s="94">
        <f>IFERROR(__xludf.DUMMYFUNCTION("""COMPUTED_VALUE"""),0.0)</f>
        <v>0</v>
      </c>
      <c r="N1109" s="94"/>
      <c r="O1109" s="1430">
        <f>IFERROR(__xludf.DUMMYFUNCTION("""COMPUTED_VALUE"""),0.0)</f>
        <v>0</v>
      </c>
      <c r="P1109" s="1431">
        <f>IFERROR(__xludf.DUMMYFUNCTION("""COMPUTED_VALUE"""),2.75)</f>
        <v>2.75</v>
      </c>
      <c r="Q1109" s="1432">
        <f>IFERROR(__xludf.DUMMYFUNCTION("""COMPUTED_VALUE"""),2612.5)</f>
        <v>2612.5</v>
      </c>
    </row>
    <row r="1110" ht="15.75" customHeight="1">
      <c r="A1110" s="94"/>
      <c r="B1110" s="94" t="str">
        <f>IFERROR(__xludf.DUMMYFUNCTION("""COMPUTED_VALUE"""),"WS E 1202")</f>
        <v>WS E 1202</v>
      </c>
      <c r="C1110" s="94"/>
      <c r="D1110" s="1432">
        <f>IFERROR(__xludf.DUMMYFUNCTION("""COMPUTED_VALUE"""),12.0)</f>
        <v>12</v>
      </c>
      <c r="E1110" s="1429">
        <f>IFERROR(__xludf.DUMMYFUNCTION("""COMPUTED_VALUE"""),45627.0)</f>
        <v>45627</v>
      </c>
      <c r="F1110" s="1429">
        <f>IFERROR(__xludf.DUMMYFUNCTION("""COMPUTED_VALUE"""),45657.0)</f>
        <v>45657</v>
      </c>
      <c r="G1110" s="1164">
        <f>IFERROR(__xludf.DUMMYFUNCTION("""COMPUTED_VALUE"""),30.0)</f>
        <v>30</v>
      </c>
      <c r="H1110" s="1430">
        <f>IFERROR(__xludf.DUMMYFUNCTION("""COMPUTED_VALUE"""),910.7142857142858)</f>
        <v>910.7142857</v>
      </c>
      <c r="I1110" s="94"/>
      <c r="J1110" s="94"/>
      <c r="K1110" s="94"/>
      <c r="L1110" s="94"/>
      <c r="M1110" s="94">
        <f>IFERROR(__xludf.DUMMYFUNCTION("""COMPUTED_VALUE"""),0.0)</f>
        <v>0</v>
      </c>
      <c r="N1110" s="94"/>
      <c r="O1110" s="1430">
        <f>IFERROR(__xludf.DUMMYFUNCTION("""COMPUTED_VALUE"""),0.0)</f>
        <v>0</v>
      </c>
      <c r="P1110" s="1431">
        <f>IFERROR(__xludf.DUMMYFUNCTION("""COMPUTED_VALUE"""),2.75)</f>
        <v>2.75</v>
      </c>
      <c r="Q1110" s="1432">
        <f>IFERROR(__xludf.DUMMYFUNCTION("""COMPUTED_VALUE"""),2504.464285714286)</f>
        <v>2504.464286</v>
      </c>
    </row>
    <row r="1111" ht="15.75" customHeight="1">
      <c r="A1111" s="94"/>
      <c r="B1111" s="94" t="str">
        <f>IFERROR(__xludf.DUMMYFUNCTION("""COMPUTED_VALUE"""),"Int 2905")</f>
        <v>Int 2905</v>
      </c>
      <c r="C1111" s="94"/>
      <c r="D1111" s="1432">
        <f>IFERROR(__xludf.DUMMYFUNCTION("""COMPUTED_VALUE"""),12.0)</f>
        <v>12</v>
      </c>
      <c r="E1111" s="1429">
        <f>IFERROR(__xludf.DUMMYFUNCTION("""COMPUTED_VALUE"""),45627.0)</f>
        <v>45627</v>
      </c>
      <c r="F1111" s="1429">
        <f>IFERROR(__xludf.DUMMYFUNCTION("""COMPUTED_VALUE"""),45657.0)</f>
        <v>45657</v>
      </c>
      <c r="G1111" s="1164">
        <f>IFERROR(__xludf.DUMMYFUNCTION("""COMPUTED_VALUE"""),30.0)</f>
        <v>30</v>
      </c>
      <c r="H1111" s="1430">
        <f>IFERROR(__xludf.DUMMYFUNCTION("""COMPUTED_VALUE"""),550.0)</f>
        <v>550</v>
      </c>
      <c r="I1111" s="94"/>
      <c r="J1111" s="94"/>
      <c r="K1111" s="94"/>
      <c r="L1111" s="94"/>
      <c r="M1111" s="94">
        <f>IFERROR(__xludf.DUMMYFUNCTION("""COMPUTED_VALUE"""),0.0)</f>
        <v>0</v>
      </c>
      <c r="N1111" s="94"/>
      <c r="O1111" s="1430">
        <f>IFERROR(__xludf.DUMMYFUNCTION("""COMPUTED_VALUE"""),0.0)</f>
        <v>0</v>
      </c>
      <c r="P1111" s="1431">
        <f>IFERROR(__xludf.DUMMYFUNCTION("""COMPUTED_VALUE"""),2.75)</f>
        <v>2.75</v>
      </c>
      <c r="Q1111" s="1432">
        <f>IFERROR(__xludf.DUMMYFUNCTION("""COMPUTED_VALUE"""),1512.5)</f>
        <v>1512.5</v>
      </c>
    </row>
    <row r="1112" ht="15.75" customHeight="1">
      <c r="A1112" s="94"/>
      <c r="B1112" s="94" t="str">
        <f>IFERROR(__xludf.DUMMYFUNCTION("""COMPUTED_VALUE"""),"WS A 608")</f>
        <v>WS A 608</v>
      </c>
      <c r="C1112" s="94"/>
      <c r="D1112" s="1432">
        <f>IFERROR(__xludf.DUMMYFUNCTION("""COMPUTED_VALUE"""),12.0)</f>
        <v>12</v>
      </c>
      <c r="E1112" s="1429">
        <f>IFERROR(__xludf.DUMMYFUNCTION("""COMPUTED_VALUE"""),45627.0)</f>
        <v>45627</v>
      </c>
      <c r="F1112" s="1429">
        <f>IFERROR(__xludf.DUMMYFUNCTION("""COMPUTED_VALUE"""),45662.0)</f>
        <v>45662</v>
      </c>
      <c r="G1112" s="1164">
        <f>IFERROR(__xludf.DUMMYFUNCTION("""COMPUTED_VALUE"""),35.0)</f>
        <v>35</v>
      </c>
      <c r="H1112" s="1430">
        <f>IFERROR(__xludf.DUMMYFUNCTION("""COMPUTED_VALUE"""),584.0)</f>
        <v>584</v>
      </c>
      <c r="I1112" s="94"/>
      <c r="J1112" s="94"/>
      <c r="K1112" s="94">
        <f>IFERROR(__xludf.DUMMYFUNCTION("""COMPUTED_VALUE"""),60.0)</f>
        <v>60</v>
      </c>
      <c r="L1112" s="94">
        <f>IFERROR(__xludf.DUMMYFUNCTION("""COMPUTED_VALUE"""),30.0)</f>
        <v>30</v>
      </c>
      <c r="M1112" s="94">
        <f>IFERROR(__xludf.DUMMYFUNCTION("""COMPUTED_VALUE"""),30.0)</f>
        <v>30</v>
      </c>
      <c r="N1112" s="94"/>
      <c r="O1112" s="1430">
        <f>IFERROR(__xludf.DUMMYFUNCTION("""COMPUTED_VALUE"""),30.0)</f>
        <v>30</v>
      </c>
      <c r="P1112" s="1431">
        <f>IFERROR(__xludf.DUMMYFUNCTION("""COMPUTED_VALUE"""),2.75)</f>
        <v>2.75</v>
      </c>
      <c r="Q1112" s="1432">
        <f>IFERROR(__xludf.DUMMYFUNCTION("""COMPUTED_VALUE"""),1606.0)</f>
        <v>1606</v>
      </c>
    </row>
    <row r="1113" ht="15.75" customHeight="1">
      <c r="A1113" s="94" t="str">
        <f>IFERROR(__xludf.DUMMYFUNCTION("""COMPUTED_VALUE"""),"Итого неделя")</f>
        <v>Итого неделя</v>
      </c>
      <c r="B1113" s="94" t="str">
        <f>IFERROR(__xludf.DUMMYFUNCTION("""COMPUTED_VALUE"""),"48 неделя")</f>
        <v>48 неделя</v>
      </c>
      <c r="C1113" s="94"/>
      <c r="D1113" s="94"/>
      <c r="E1113" s="94"/>
      <c r="F1113" s="94"/>
      <c r="G1113" s="1164">
        <f>IFERROR(__xludf.DUMMYFUNCTION("""COMPUTED_VALUE"""),368.0)</f>
        <v>368</v>
      </c>
      <c r="H1113" s="1430">
        <f>IFERROR(__xludf.DUMMYFUNCTION("""COMPUTED_VALUE"""),5959.714285714286)</f>
        <v>5959.714286</v>
      </c>
      <c r="I1113" s="94">
        <f>IFERROR(__xludf.DUMMYFUNCTION("""COMPUTED_VALUE"""),0.0)</f>
        <v>0</v>
      </c>
      <c r="J1113" s="94">
        <f>IFERROR(__xludf.DUMMYFUNCTION("""COMPUTED_VALUE"""),0.0)</f>
        <v>0</v>
      </c>
      <c r="K1113" s="94">
        <f>IFERROR(__xludf.DUMMYFUNCTION("""COMPUTED_VALUE"""),720.0)</f>
        <v>720</v>
      </c>
      <c r="L1113" s="94">
        <f>IFERROR(__xludf.DUMMYFUNCTION("""COMPUTED_VALUE"""),390.0)</f>
        <v>390</v>
      </c>
      <c r="M1113" s="94">
        <f>IFERROR(__xludf.DUMMYFUNCTION("""COMPUTED_VALUE"""),330.0)</f>
        <v>330</v>
      </c>
      <c r="N1113" s="94">
        <f>IFERROR(__xludf.DUMMYFUNCTION("""COMPUTED_VALUE"""),0.0)</f>
        <v>0</v>
      </c>
      <c r="O1113" s="1430">
        <f>IFERROR(__xludf.DUMMYFUNCTION("""COMPUTED_VALUE"""),330.0)</f>
        <v>330</v>
      </c>
      <c r="P1113" s="1431">
        <f>IFERROR(__xludf.DUMMYFUNCTION("""COMPUTED_VALUE"""),44.0)</f>
        <v>44</v>
      </c>
      <c r="Q1113" s="1432">
        <f>IFERROR(__xludf.DUMMYFUNCTION("""COMPUTED_VALUE"""),16389.214285714286)</f>
        <v>16389.21429</v>
      </c>
    </row>
    <row r="1114" ht="15.75" customHeight="1">
      <c r="A1114" s="94"/>
      <c r="B1114" s="94" t="str">
        <f>IFERROR(__xludf.DUMMYFUNCTION("""COMPUTED_VALUE"""),"BV206")</f>
        <v>BV206</v>
      </c>
      <c r="C1114" s="94"/>
      <c r="D1114" s="1432">
        <f>IFERROR(__xludf.DUMMYFUNCTION("""COMPUTED_VALUE"""),12.0)</f>
        <v>12</v>
      </c>
      <c r="E1114" s="1429">
        <f>IFERROR(__xludf.DUMMYFUNCTION("""COMPUTED_VALUE"""),45628.0)</f>
        <v>45628</v>
      </c>
      <c r="F1114" s="1429">
        <f>IFERROR(__xludf.DUMMYFUNCTION("""COMPUTED_VALUE"""),45659.0)</f>
        <v>45659</v>
      </c>
      <c r="G1114" s="1164">
        <f>IFERROR(__xludf.DUMMYFUNCTION("""COMPUTED_VALUE"""),31.0)</f>
        <v>31</v>
      </c>
      <c r="H1114" s="1430">
        <f>IFERROR(__xludf.DUMMYFUNCTION("""COMPUTED_VALUE"""),905.0)</f>
        <v>905</v>
      </c>
      <c r="I1114" s="94"/>
      <c r="J1114" s="94"/>
      <c r="K1114" s="94">
        <f>IFERROR(__xludf.DUMMYFUNCTION("""COMPUTED_VALUE"""),60.0)</f>
        <v>60</v>
      </c>
      <c r="L1114" s="94">
        <f>IFERROR(__xludf.DUMMYFUNCTION("""COMPUTED_VALUE"""),40.0)</f>
        <v>40</v>
      </c>
      <c r="M1114" s="94">
        <f>IFERROR(__xludf.DUMMYFUNCTION("""COMPUTED_VALUE"""),20.0)</f>
        <v>20</v>
      </c>
      <c r="N1114" s="94"/>
      <c r="O1114" s="1430">
        <f>IFERROR(__xludf.DUMMYFUNCTION("""COMPUTED_VALUE"""),20.0)</f>
        <v>20</v>
      </c>
      <c r="P1114" s="1431">
        <f>IFERROR(__xludf.DUMMYFUNCTION("""COMPUTED_VALUE"""),2.75)</f>
        <v>2.75</v>
      </c>
      <c r="Q1114" s="1432">
        <f>IFERROR(__xludf.DUMMYFUNCTION("""COMPUTED_VALUE"""),2488.75)</f>
        <v>2488.75</v>
      </c>
    </row>
    <row r="1115" ht="15.75" customHeight="1">
      <c r="A1115" s="94"/>
      <c r="B1115" s="94" t="str">
        <f>IFERROR(__xludf.DUMMYFUNCTION("""COMPUTED_VALUE"""),"D 1321")</f>
        <v>D 1321</v>
      </c>
      <c r="C1115" s="94"/>
      <c r="D1115" s="1432">
        <f>IFERROR(__xludf.DUMMYFUNCTION("""COMPUTED_VALUE"""),12.0)</f>
        <v>12</v>
      </c>
      <c r="E1115" s="1429">
        <f>IFERROR(__xludf.DUMMYFUNCTION("""COMPUTED_VALUE"""),45628.0)</f>
        <v>45628</v>
      </c>
      <c r="F1115" s="1429">
        <f>IFERROR(__xludf.DUMMYFUNCTION("""COMPUTED_VALUE"""),45630.0)</f>
        <v>45630</v>
      </c>
      <c r="G1115" s="1164">
        <f>IFERROR(__xludf.DUMMYFUNCTION("""COMPUTED_VALUE"""),2.0)</f>
        <v>2</v>
      </c>
      <c r="H1115" s="1430">
        <f>IFERROR(__xludf.DUMMYFUNCTION("""COMPUTED_VALUE"""),42.0)</f>
        <v>42</v>
      </c>
      <c r="I1115" s="94"/>
      <c r="J1115" s="94"/>
      <c r="K1115" s="94">
        <f>IFERROR(__xludf.DUMMYFUNCTION("""COMPUTED_VALUE"""),60.0)</f>
        <v>60</v>
      </c>
      <c r="L1115" s="94">
        <f>IFERROR(__xludf.DUMMYFUNCTION("""COMPUTED_VALUE"""),30.0)</f>
        <v>30</v>
      </c>
      <c r="M1115" s="94">
        <f>IFERROR(__xludf.DUMMYFUNCTION("""COMPUTED_VALUE"""),30.0)</f>
        <v>30</v>
      </c>
      <c r="N1115" s="94"/>
      <c r="O1115" s="1430">
        <f>IFERROR(__xludf.DUMMYFUNCTION("""COMPUTED_VALUE"""),30.0)</f>
        <v>30</v>
      </c>
      <c r="P1115" s="1431">
        <f>IFERROR(__xludf.DUMMYFUNCTION("""COMPUTED_VALUE"""),2.75)</f>
        <v>2.75</v>
      </c>
      <c r="Q1115" s="1432">
        <f>IFERROR(__xludf.DUMMYFUNCTION("""COMPUTED_VALUE"""),115.5)</f>
        <v>115.5</v>
      </c>
    </row>
    <row r="1116" ht="15.75" customHeight="1">
      <c r="A1116" s="94"/>
      <c r="B1116" s="94" t="str">
        <f>IFERROR(__xludf.DUMMYFUNCTION("""COMPUTED_VALUE"""),"D2 1625")</f>
        <v>D2 1625</v>
      </c>
      <c r="C1116" s="94"/>
      <c r="D1116" s="1432">
        <f>IFERROR(__xludf.DUMMYFUNCTION("""COMPUTED_VALUE"""),12.0)</f>
        <v>12</v>
      </c>
      <c r="E1116" s="1429">
        <f>IFERROR(__xludf.DUMMYFUNCTION("""COMPUTED_VALUE"""),45628.0)</f>
        <v>45628</v>
      </c>
      <c r="F1116" s="1429">
        <f>IFERROR(__xludf.DUMMYFUNCTION("""COMPUTED_VALUE"""),45631.0)</f>
        <v>45631</v>
      </c>
      <c r="G1116" s="1164">
        <f>IFERROR(__xludf.DUMMYFUNCTION("""COMPUTED_VALUE"""),3.0)</f>
        <v>3</v>
      </c>
      <c r="H1116" s="1430">
        <f>IFERROR(__xludf.DUMMYFUNCTION("""COMPUTED_VALUE"""),75.0)</f>
        <v>75</v>
      </c>
      <c r="I1116" s="94"/>
      <c r="J1116" s="94"/>
      <c r="K1116" s="94">
        <f>IFERROR(__xludf.DUMMYFUNCTION("""COMPUTED_VALUE"""),60.0)</f>
        <v>60</v>
      </c>
      <c r="L1116" s="94">
        <f>IFERROR(__xludf.DUMMYFUNCTION("""COMPUTED_VALUE"""),40.0)</f>
        <v>40</v>
      </c>
      <c r="M1116" s="94">
        <f>IFERROR(__xludf.DUMMYFUNCTION("""COMPUTED_VALUE"""),20.0)</f>
        <v>20</v>
      </c>
      <c r="N1116" s="94"/>
      <c r="O1116" s="1430">
        <f>IFERROR(__xludf.DUMMYFUNCTION("""COMPUTED_VALUE"""),20.0)</f>
        <v>20</v>
      </c>
      <c r="P1116" s="1431">
        <f>IFERROR(__xludf.DUMMYFUNCTION("""COMPUTED_VALUE"""),2.75)</f>
        <v>2.75</v>
      </c>
      <c r="Q1116" s="1432">
        <f>IFERROR(__xludf.DUMMYFUNCTION("""COMPUTED_VALUE"""),206.25)</f>
        <v>206.25</v>
      </c>
    </row>
    <row r="1117" ht="15.75" customHeight="1">
      <c r="A1117" s="94"/>
      <c r="B1117" s="94" t="str">
        <f>IFERROR(__xludf.DUMMYFUNCTION("""COMPUTED_VALUE"""),"D2 3216")</f>
        <v>D2 3216</v>
      </c>
      <c r="C1117" s="94"/>
      <c r="D1117" s="1432">
        <f>IFERROR(__xludf.DUMMYFUNCTION("""COMPUTED_VALUE"""),12.0)</f>
        <v>12</v>
      </c>
      <c r="E1117" s="1429">
        <f>IFERROR(__xludf.DUMMYFUNCTION("""COMPUTED_VALUE"""),45629.0)</f>
        <v>45629</v>
      </c>
      <c r="F1117" s="1429">
        <f>IFERROR(__xludf.DUMMYFUNCTION("""COMPUTED_VALUE"""),45630.0)</f>
        <v>45630</v>
      </c>
      <c r="G1117" s="1164">
        <f>IFERROR(__xludf.DUMMYFUNCTION("""COMPUTED_VALUE"""),1.0)</f>
        <v>1</v>
      </c>
      <c r="H1117" s="1430">
        <f>IFERROR(__xludf.DUMMYFUNCTION("""COMPUTED_VALUE"""),40.0)</f>
        <v>40</v>
      </c>
      <c r="I1117" s="94"/>
      <c r="J1117" s="94"/>
      <c r="K1117" s="94">
        <f>IFERROR(__xludf.DUMMYFUNCTION("""COMPUTED_VALUE"""),60.0)</f>
        <v>60</v>
      </c>
      <c r="L1117" s="94">
        <f>IFERROR(__xludf.DUMMYFUNCTION("""COMPUTED_VALUE"""),40.0)</f>
        <v>40</v>
      </c>
      <c r="M1117" s="94">
        <f>IFERROR(__xludf.DUMMYFUNCTION("""COMPUTED_VALUE"""),20.0)</f>
        <v>20</v>
      </c>
      <c r="N1117" s="94"/>
      <c r="O1117" s="1430">
        <f>IFERROR(__xludf.DUMMYFUNCTION("""COMPUTED_VALUE"""),20.0)</f>
        <v>20</v>
      </c>
      <c r="P1117" s="1431">
        <f>IFERROR(__xludf.DUMMYFUNCTION("""COMPUTED_VALUE"""),2.75)</f>
        <v>2.75</v>
      </c>
      <c r="Q1117" s="1432">
        <f>IFERROR(__xludf.DUMMYFUNCTION("""COMPUTED_VALUE"""),110.0)</f>
        <v>110</v>
      </c>
    </row>
    <row r="1118" ht="15.75" customHeight="1">
      <c r="A1118" s="94"/>
      <c r="B1118" s="94" t="str">
        <f>IFERROR(__xludf.DUMMYFUNCTION("""COMPUTED_VALUE"""),"BV1318")</f>
        <v>BV1318</v>
      </c>
      <c r="C1118" s="94"/>
      <c r="D1118" s="1432">
        <f>IFERROR(__xludf.DUMMYFUNCTION("""COMPUTED_VALUE"""),12.0)</f>
        <v>12</v>
      </c>
      <c r="E1118" s="1429">
        <f>IFERROR(__xludf.DUMMYFUNCTION("""COMPUTED_VALUE"""),45630.0)</f>
        <v>45630</v>
      </c>
      <c r="F1118" s="1429">
        <f>IFERROR(__xludf.DUMMYFUNCTION("""COMPUTED_VALUE"""),45636.0)</f>
        <v>45636</v>
      </c>
      <c r="G1118" s="1164">
        <f>IFERROR(__xludf.DUMMYFUNCTION("""COMPUTED_VALUE"""),6.0)</f>
        <v>6</v>
      </c>
      <c r="H1118" s="1430">
        <f>IFERROR(__xludf.DUMMYFUNCTION("""COMPUTED_VALUE"""),175.0)</f>
        <v>175</v>
      </c>
      <c r="I1118" s="94"/>
      <c r="J1118" s="94"/>
      <c r="K1118" s="94">
        <f>IFERROR(__xludf.DUMMYFUNCTION("""COMPUTED_VALUE"""),60.0)</f>
        <v>60</v>
      </c>
      <c r="L1118" s="94">
        <f>IFERROR(__xludf.DUMMYFUNCTION("""COMPUTED_VALUE"""),30.0)</f>
        <v>30</v>
      </c>
      <c r="M1118" s="94">
        <f>IFERROR(__xludf.DUMMYFUNCTION("""COMPUTED_VALUE"""),30.0)</f>
        <v>30</v>
      </c>
      <c r="N1118" s="94"/>
      <c r="O1118" s="1430">
        <f>IFERROR(__xludf.DUMMYFUNCTION("""COMPUTED_VALUE"""),30.0)</f>
        <v>30</v>
      </c>
      <c r="P1118" s="1431">
        <f>IFERROR(__xludf.DUMMYFUNCTION("""COMPUTED_VALUE"""),2.75)</f>
        <v>2.75</v>
      </c>
      <c r="Q1118" s="1432">
        <f>IFERROR(__xludf.DUMMYFUNCTION("""COMPUTED_VALUE"""),481.25)</f>
        <v>481.25</v>
      </c>
    </row>
    <row r="1119" ht="15.75" customHeight="1">
      <c r="A1119" s="94"/>
      <c r="B1119" s="94" t="str">
        <f>IFERROR(__xludf.DUMMYFUNCTION("""COMPUTED_VALUE"""),"D 1321")</f>
        <v>D 1321</v>
      </c>
      <c r="C1119" s="94"/>
      <c r="D1119" s="1432">
        <f>IFERROR(__xludf.DUMMYFUNCTION("""COMPUTED_VALUE"""),12.0)</f>
        <v>12</v>
      </c>
      <c r="E1119" s="1429">
        <f>IFERROR(__xludf.DUMMYFUNCTION("""COMPUTED_VALUE"""),45630.0)</f>
        <v>45630</v>
      </c>
      <c r="F1119" s="1429">
        <f>IFERROR(__xludf.DUMMYFUNCTION("""COMPUTED_VALUE"""),45633.0)</f>
        <v>45633</v>
      </c>
      <c r="G1119" s="1164">
        <f>IFERROR(__xludf.DUMMYFUNCTION("""COMPUTED_VALUE"""),3.0)</f>
        <v>3</v>
      </c>
      <c r="H1119" s="1430">
        <f>IFERROR(__xludf.DUMMYFUNCTION("""COMPUTED_VALUE"""),57.0)</f>
        <v>57</v>
      </c>
      <c r="I1119" s="94"/>
      <c r="J1119" s="94"/>
      <c r="K1119" s="94">
        <f>IFERROR(__xludf.DUMMYFUNCTION("""COMPUTED_VALUE"""),60.0)</f>
        <v>60</v>
      </c>
      <c r="L1119" s="94">
        <f>IFERROR(__xludf.DUMMYFUNCTION("""COMPUTED_VALUE"""),30.0)</f>
        <v>30</v>
      </c>
      <c r="M1119" s="94">
        <f>IFERROR(__xludf.DUMMYFUNCTION("""COMPUTED_VALUE"""),30.0)</f>
        <v>30</v>
      </c>
      <c r="N1119" s="94"/>
      <c r="O1119" s="1430">
        <f>IFERROR(__xludf.DUMMYFUNCTION("""COMPUTED_VALUE"""),30.0)</f>
        <v>30</v>
      </c>
      <c r="P1119" s="1431">
        <f>IFERROR(__xludf.DUMMYFUNCTION("""COMPUTED_VALUE"""),2.75)</f>
        <v>2.75</v>
      </c>
      <c r="Q1119" s="1432">
        <f>IFERROR(__xludf.DUMMYFUNCTION("""COMPUTED_VALUE"""),156.75)</f>
        <v>156.75</v>
      </c>
    </row>
    <row r="1120" ht="15.75" customHeight="1">
      <c r="A1120" s="94"/>
      <c r="B1120" s="94" t="str">
        <f>IFERROR(__xludf.DUMMYFUNCTION("""COMPUTED_VALUE"""),"С 2756")</f>
        <v>С 2756</v>
      </c>
      <c r="C1120" s="94"/>
      <c r="D1120" s="1432">
        <f>IFERROR(__xludf.DUMMYFUNCTION("""COMPUTED_VALUE"""),12.0)</f>
        <v>12</v>
      </c>
      <c r="E1120" s="1429">
        <f>IFERROR(__xludf.DUMMYFUNCTION("""COMPUTED_VALUE"""),45630.0)</f>
        <v>45630</v>
      </c>
      <c r="F1120" s="1429">
        <f>IFERROR(__xludf.DUMMYFUNCTION("""COMPUTED_VALUE"""),45633.0)</f>
        <v>45633</v>
      </c>
      <c r="G1120" s="1164">
        <f>IFERROR(__xludf.DUMMYFUNCTION("""COMPUTED_VALUE"""),3.0)</f>
        <v>3</v>
      </c>
      <c r="H1120" s="1430">
        <f>IFERROR(__xludf.DUMMYFUNCTION("""COMPUTED_VALUE"""),54.0)</f>
        <v>54</v>
      </c>
      <c r="I1120" s="94"/>
      <c r="J1120" s="94"/>
      <c r="K1120" s="94">
        <f>IFERROR(__xludf.DUMMYFUNCTION("""COMPUTED_VALUE"""),60.0)</f>
        <v>60</v>
      </c>
      <c r="L1120" s="94">
        <f>IFERROR(__xludf.DUMMYFUNCTION("""COMPUTED_VALUE"""),30.0)</f>
        <v>30</v>
      </c>
      <c r="M1120" s="94">
        <f>IFERROR(__xludf.DUMMYFUNCTION("""COMPUTED_VALUE"""),30.0)</f>
        <v>30</v>
      </c>
      <c r="N1120" s="94"/>
      <c r="O1120" s="1430">
        <f>IFERROR(__xludf.DUMMYFUNCTION("""COMPUTED_VALUE"""),30.0)</f>
        <v>30</v>
      </c>
      <c r="P1120" s="1431">
        <f>IFERROR(__xludf.DUMMYFUNCTION("""COMPUTED_VALUE"""),2.75)</f>
        <v>2.75</v>
      </c>
      <c r="Q1120" s="1432">
        <f>IFERROR(__xludf.DUMMYFUNCTION("""COMPUTED_VALUE"""),148.5)</f>
        <v>148.5</v>
      </c>
    </row>
    <row r="1121" ht="15.75" customHeight="1">
      <c r="A1121" s="94"/>
      <c r="B1121" s="94" t="str">
        <f>IFERROR(__xludf.DUMMYFUNCTION("""COMPUTED_VALUE"""),"WS E704")</f>
        <v>WS E704</v>
      </c>
      <c r="C1121" s="94"/>
      <c r="D1121" s="1432">
        <f>IFERROR(__xludf.DUMMYFUNCTION("""COMPUTED_VALUE"""),12.0)</f>
        <v>12</v>
      </c>
      <c r="E1121" s="1429">
        <f>IFERROR(__xludf.DUMMYFUNCTION("""COMPUTED_VALUE"""),45631.0)</f>
        <v>45631</v>
      </c>
      <c r="F1121" s="1434">
        <f>IFERROR(__xludf.DUMMYFUNCTION("""COMPUTED_VALUE"""),45633.0)</f>
        <v>45633</v>
      </c>
      <c r="G1121" s="1164">
        <f>IFERROR(__xludf.DUMMYFUNCTION("""COMPUTED_VALUE"""),2.0)</f>
        <v>2</v>
      </c>
      <c r="H1121" s="1430">
        <f>IFERROR(__xludf.DUMMYFUNCTION("""COMPUTED_VALUE"""),47.0)</f>
        <v>47</v>
      </c>
      <c r="I1121" s="94"/>
      <c r="J1121" s="94"/>
      <c r="K1121" s="94">
        <f>IFERROR(__xludf.DUMMYFUNCTION("""COMPUTED_VALUE"""),60.0)</f>
        <v>60</v>
      </c>
      <c r="L1121" s="94">
        <f>IFERROR(__xludf.DUMMYFUNCTION("""COMPUTED_VALUE"""),30.0)</f>
        <v>30</v>
      </c>
      <c r="M1121" s="94">
        <f>IFERROR(__xludf.DUMMYFUNCTION("""COMPUTED_VALUE"""),30.0)</f>
        <v>30</v>
      </c>
      <c r="N1121" s="94"/>
      <c r="O1121" s="1430">
        <f>IFERROR(__xludf.DUMMYFUNCTION("""COMPUTED_VALUE"""),30.0)</f>
        <v>30</v>
      </c>
      <c r="P1121" s="1431">
        <f>IFERROR(__xludf.DUMMYFUNCTION("""COMPUTED_VALUE"""),2.75)</f>
        <v>2.75</v>
      </c>
      <c r="Q1121" s="1432">
        <f>IFERROR(__xludf.DUMMYFUNCTION("""COMPUTED_VALUE"""),129.25)</f>
        <v>129.25</v>
      </c>
    </row>
    <row r="1122" ht="15.75" customHeight="1">
      <c r="A1122" s="94"/>
      <c r="B1122" s="94" t="str">
        <f>IFERROR(__xludf.DUMMYFUNCTION("""COMPUTED_VALUE"""),"D2 1625")</f>
        <v>D2 1625</v>
      </c>
      <c r="C1122" s="94"/>
      <c r="D1122" s="1432">
        <f>IFERROR(__xludf.DUMMYFUNCTION("""COMPUTED_VALUE"""),12.0)</f>
        <v>12</v>
      </c>
      <c r="E1122" s="1429">
        <f>IFERROR(__xludf.DUMMYFUNCTION("""COMPUTED_VALUE"""),45631.0)</f>
        <v>45631</v>
      </c>
      <c r="F1122" s="1434">
        <f>IFERROR(__xludf.DUMMYFUNCTION("""COMPUTED_VALUE"""),45634.0)</f>
        <v>45634</v>
      </c>
      <c r="G1122" s="1164">
        <f>IFERROR(__xludf.DUMMYFUNCTION("""COMPUTED_VALUE"""),3.0)</f>
        <v>3</v>
      </c>
      <c r="H1122" s="1430">
        <f>IFERROR(__xludf.DUMMYFUNCTION("""COMPUTED_VALUE"""),90.0)</f>
        <v>90</v>
      </c>
      <c r="I1122" s="94"/>
      <c r="J1122" s="94"/>
      <c r="K1122" s="94">
        <f>IFERROR(__xludf.DUMMYFUNCTION("""COMPUTED_VALUE"""),60.0)</f>
        <v>60</v>
      </c>
      <c r="L1122" s="94">
        <f>IFERROR(__xludf.DUMMYFUNCTION("""COMPUTED_VALUE"""),40.0)</f>
        <v>40</v>
      </c>
      <c r="M1122" s="94">
        <f>IFERROR(__xludf.DUMMYFUNCTION("""COMPUTED_VALUE"""),20.0)</f>
        <v>20</v>
      </c>
      <c r="N1122" s="94"/>
      <c r="O1122" s="1430">
        <f>IFERROR(__xludf.DUMMYFUNCTION("""COMPUTED_VALUE"""),20.0)</f>
        <v>20</v>
      </c>
      <c r="P1122" s="1431">
        <f>IFERROR(__xludf.DUMMYFUNCTION("""COMPUTED_VALUE"""),2.75)</f>
        <v>2.75</v>
      </c>
      <c r="Q1122" s="1432">
        <f>IFERROR(__xludf.DUMMYFUNCTION("""COMPUTED_VALUE"""),247.5)</f>
        <v>247.5</v>
      </c>
    </row>
    <row r="1123" ht="15.75" customHeight="1">
      <c r="A1123" s="94"/>
      <c r="B1123" s="94" t="str">
        <f>IFERROR(__xludf.DUMMYFUNCTION("""COMPUTED_VALUE"""),"Пиросмани 181")</f>
        <v>Пиросмани 181</v>
      </c>
      <c r="C1123" s="94"/>
      <c r="D1123" s="1432">
        <f>IFERROR(__xludf.DUMMYFUNCTION("""COMPUTED_VALUE"""),12.0)</f>
        <v>12</v>
      </c>
      <c r="E1123" s="1429">
        <f>IFERROR(__xludf.DUMMYFUNCTION("""COMPUTED_VALUE"""),45632.0)</f>
        <v>45632</v>
      </c>
      <c r="F1123" s="1429">
        <f>IFERROR(__xludf.DUMMYFUNCTION("""COMPUTED_VALUE"""),45663.0)</f>
        <v>45663</v>
      </c>
      <c r="G1123" s="1164">
        <f>IFERROR(__xludf.DUMMYFUNCTION("""COMPUTED_VALUE"""),31.0)</f>
        <v>31</v>
      </c>
      <c r="H1123" s="1430">
        <f>IFERROR(__xludf.DUMMYFUNCTION("""COMPUTED_VALUE"""),900.0)</f>
        <v>900</v>
      </c>
      <c r="I1123" s="94"/>
      <c r="J1123" s="94"/>
      <c r="K1123" s="94">
        <f>IFERROR(__xludf.DUMMYFUNCTION("""COMPUTED_VALUE"""),60.0)</f>
        <v>60</v>
      </c>
      <c r="L1123" s="94">
        <f>IFERROR(__xludf.DUMMYFUNCTION("""COMPUTED_VALUE"""),60.0)</f>
        <v>60</v>
      </c>
      <c r="M1123" s="94">
        <f>IFERROR(__xludf.DUMMYFUNCTION("""COMPUTED_VALUE"""),0.0)</f>
        <v>0</v>
      </c>
      <c r="N1123" s="94"/>
      <c r="O1123" s="1430">
        <f>IFERROR(__xludf.DUMMYFUNCTION("""COMPUTED_VALUE"""),0.0)</f>
        <v>0</v>
      </c>
      <c r="P1123" s="1431">
        <f>IFERROR(__xludf.DUMMYFUNCTION("""COMPUTED_VALUE"""),2.75)</f>
        <v>2.75</v>
      </c>
      <c r="Q1123" s="1432">
        <f>IFERROR(__xludf.DUMMYFUNCTION("""COMPUTED_VALUE"""),2475.0)</f>
        <v>2475</v>
      </c>
    </row>
    <row r="1124" ht="15.75" customHeight="1">
      <c r="A1124" s="94"/>
      <c r="B1124" s="94" t="str">
        <f>IFERROR(__xludf.DUMMYFUNCTION("""COMPUTED_VALUE"""),"Steps 1108")</f>
        <v>Steps 1108</v>
      </c>
      <c r="C1124" s="94"/>
      <c r="D1124" s="1432">
        <f>IFERROR(__xludf.DUMMYFUNCTION("""COMPUTED_VALUE"""),12.0)</f>
        <v>12</v>
      </c>
      <c r="E1124" s="1429">
        <f>IFERROR(__xludf.DUMMYFUNCTION("""COMPUTED_VALUE"""),45632.0)</f>
        <v>45632</v>
      </c>
      <c r="F1124" s="1429">
        <f>IFERROR(__xludf.DUMMYFUNCTION("""COMPUTED_VALUE"""),45663.0)</f>
        <v>45663</v>
      </c>
      <c r="G1124" s="1164">
        <f>IFERROR(__xludf.DUMMYFUNCTION("""COMPUTED_VALUE"""),31.0)</f>
        <v>31</v>
      </c>
      <c r="H1124" s="1430">
        <f>IFERROR(__xludf.DUMMYFUNCTION("""COMPUTED_VALUE"""),395.0)</f>
        <v>395</v>
      </c>
      <c r="I1124" s="94"/>
      <c r="J1124" s="94"/>
      <c r="K1124" s="94">
        <f>IFERROR(__xludf.DUMMYFUNCTION("""COMPUTED_VALUE"""),60.0)</f>
        <v>60</v>
      </c>
      <c r="L1124" s="94">
        <f>IFERROR(__xludf.DUMMYFUNCTION("""COMPUTED_VALUE"""),30.0)</f>
        <v>30</v>
      </c>
      <c r="M1124" s="94">
        <f>IFERROR(__xludf.DUMMYFUNCTION("""COMPUTED_VALUE"""),30.0)</f>
        <v>30</v>
      </c>
      <c r="N1124" s="94"/>
      <c r="O1124" s="1430">
        <f>IFERROR(__xludf.DUMMYFUNCTION("""COMPUTED_VALUE"""),30.0)</f>
        <v>30</v>
      </c>
      <c r="P1124" s="1431">
        <f>IFERROR(__xludf.DUMMYFUNCTION("""COMPUTED_VALUE"""),2.75)</f>
        <v>2.75</v>
      </c>
      <c r="Q1124" s="1432">
        <f>IFERROR(__xludf.DUMMYFUNCTION("""COMPUTED_VALUE"""),1086.25)</f>
        <v>1086.25</v>
      </c>
    </row>
    <row r="1125" ht="15.75" customHeight="1">
      <c r="A1125" s="94"/>
      <c r="B1125" s="94" t="str">
        <f>IFERROR(__xludf.DUMMYFUNCTION("""COMPUTED_VALUE"""),"C 4245")</f>
        <v>C 4245</v>
      </c>
      <c r="C1125" s="94"/>
      <c r="D1125" s="1432">
        <f>IFERROR(__xludf.DUMMYFUNCTION("""COMPUTED_VALUE"""),12.0)</f>
        <v>12</v>
      </c>
      <c r="E1125" s="1429">
        <f>IFERROR(__xludf.DUMMYFUNCTION("""COMPUTED_VALUE"""),45632.0)</f>
        <v>45632</v>
      </c>
      <c r="F1125" s="1429">
        <f>IFERROR(__xludf.DUMMYFUNCTION("""COMPUTED_VALUE"""),45642.0)</f>
        <v>45642</v>
      </c>
      <c r="G1125" s="1164">
        <f>IFERROR(__xludf.DUMMYFUNCTION("""COMPUTED_VALUE"""),10.0)</f>
        <v>10</v>
      </c>
      <c r="H1125" s="1430">
        <f>IFERROR(__xludf.DUMMYFUNCTION("""COMPUTED_VALUE"""),235.0)</f>
        <v>235</v>
      </c>
      <c r="I1125" s="94"/>
      <c r="J1125" s="94"/>
      <c r="K1125" s="94">
        <f>IFERROR(__xludf.DUMMYFUNCTION("""COMPUTED_VALUE"""),60.0)</f>
        <v>60</v>
      </c>
      <c r="L1125" s="94">
        <f>IFERROR(__xludf.DUMMYFUNCTION("""COMPUTED_VALUE"""),40.0)</f>
        <v>40</v>
      </c>
      <c r="M1125" s="94">
        <f>IFERROR(__xludf.DUMMYFUNCTION("""COMPUTED_VALUE"""),20.0)</f>
        <v>20</v>
      </c>
      <c r="N1125" s="94"/>
      <c r="O1125" s="1430">
        <f>IFERROR(__xludf.DUMMYFUNCTION("""COMPUTED_VALUE"""),20.0)</f>
        <v>20</v>
      </c>
      <c r="P1125" s="1431">
        <f>IFERROR(__xludf.DUMMYFUNCTION("""COMPUTED_VALUE"""),2.75)</f>
        <v>2.75</v>
      </c>
      <c r="Q1125" s="1432">
        <f>IFERROR(__xludf.DUMMYFUNCTION("""COMPUTED_VALUE"""),646.25)</f>
        <v>646.25</v>
      </c>
    </row>
    <row r="1126" ht="15.75" customHeight="1">
      <c r="A1126" s="94"/>
      <c r="B1126" s="94" t="str">
        <f>IFERROR(__xludf.DUMMYFUNCTION("""COMPUTED_VALUE"""),"WS A907")</f>
        <v>WS A907</v>
      </c>
      <c r="C1126" s="94"/>
      <c r="D1126" s="1432">
        <f>IFERROR(__xludf.DUMMYFUNCTION("""COMPUTED_VALUE"""),12.0)</f>
        <v>12</v>
      </c>
      <c r="E1126" s="1429">
        <f>IFERROR(__xludf.DUMMYFUNCTION("""COMPUTED_VALUE"""),45632.0)</f>
        <v>45632</v>
      </c>
      <c r="F1126" s="1429">
        <f>IFERROR(__xludf.DUMMYFUNCTION("""COMPUTED_VALUE"""),45634.0)</f>
        <v>45634</v>
      </c>
      <c r="G1126" s="1164">
        <f>IFERROR(__xludf.DUMMYFUNCTION("""COMPUTED_VALUE"""),2.0)</f>
        <v>2</v>
      </c>
      <c r="H1126" s="1430">
        <f>IFERROR(__xludf.DUMMYFUNCTION("""COMPUTED_VALUE"""),67.0)</f>
        <v>67</v>
      </c>
      <c r="I1126" s="94"/>
      <c r="J1126" s="94"/>
      <c r="K1126" s="94">
        <f>IFERROR(__xludf.DUMMYFUNCTION("""COMPUTED_VALUE"""),60.0)</f>
        <v>60</v>
      </c>
      <c r="L1126" s="94">
        <f>IFERROR(__xludf.DUMMYFUNCTION("""COMPUTED_VALUE"""),30.0)</f>
        <v>30</v>
      </c>
      <c r="M1126" s="94">
        <f>IFERROR(__xludf.DUMMYFUNCTION("""COMPUTED_VALUE"""),30.0)</f>
        <v>30</v>
      </c>
      <c r="N1126" s="94"/>
      <c r="O1126" s="1430">
        <f>IFERROR(__xludf.DUMMYFUNCTION("""COMPUTED_VALUE"""),30.0)</f>
        <v>30</v>
      </c>
      <c r="P1126" s="1431">
        <f>IFERROR(__xludf.DUMMYFUNCTION("""COMPUTED_VALUE"""),2.75)</f>
        <v>2.75</v>
      </c>
      <c r="Q1126" s="1432">
        <f>IFERROR(__xludf.DUMMYFUNCTION("""COMPUTED_VALUE"""),184.25)</f>
        <v>184.25</v>
      </c>
    </row>
    <row r="1127" ht="15.75" customHeight="1">
      <c r="A1127" s="94"/>
      <c r="B1127" s="94" t="str">
        <f>IFERROR(__xludf.DUMMYFUNCTION("""COMPUTED_VALUE"""),"WS В 1510")</f>
        <v>WS В 1510</v>
      </c>
      <c r="C1127" s="94"/>
      <c r="D1127" s="1432">
        <f>IFERROR(__xludf.DUMMYFUNCTION("""COMPUTED_VALUE"""),12.0)</f>
        <v>12</v>
      </c>
      <c r="E1127" s="1429">
        <f>IFERROR(__xludf.DUMMYFUNCTION("""COMPUTED_VALUE"""),45633.0)</f>
        <v>45633</v>
      </c>
      <c r="F1127" s="1429">
        <f>IFERROR(__xludf.DUMMYFUNCTION("""COMPUTED_VALUE"""),45641.0)</f>
        <v>45641</v>
      </c>
      <c r="G1127" s="1164">
        <f>IFERROR(__xludf.DUMMYFUNCTION("""COMPUTED_VALUE"""),8.0)</f>
        <v>8</v>
      </c>
      <c r="H1127" s="1430">
        <f>IFERROR(__xludf.DUMMYFUNCTION("""COMPUTED_VALUE"""),191.0)</f>
        <v>191</v>
      </c>
      <c r="I1127" s="94"/>
      <c r="J1127" s="94"/>
      <c r="K1127" s="94">
        <f>IFERROR(__xludf.DUMMYFUNCTION("""COMPUTED_VALUE"""),60.0)</f>
        <v>60</v>
      </c>
      <c r="L1127" s="94">
        <f>IFERROR(__xludf.DUMMYFUNCTION("""COMPUTED_VALUE"""),30.0)</f>
        <v>30</v>
      </c>
      <c r="M1127" s="94">
        <f>IFERROR(__xludf.DUMMYFUNCTION("""COMPUTED_VALUE"""),30.0)</f>
        <v>30</v>
      </c>
      <c r="N1127" s="94"/>
      <c r="O1127" s="1430">
        <f>IFERROR(__xludf.DUMMYFUNCTION("""COMPUTED_VALUE"""),30.0)</f>
        <v>30</v>
      </c>
      <c r="P1127" s="1431">
        <f>IFERROR(__xludf.DUMMYFUNCTION("""COMPUTED_VALUE"""),2.75)</f>
        <v>2.75</v>
      </c>
      <c r="Q1127" s="1432">
        <f>IFERROR(__xludf.DUMMYFUNCTION("""COMPUTED_VALUE"""),525.25)</f>
        <v>525.25</v>
      </c>
    </row>
    <row r="1128" ht="15.75" customHeight="1">
      <c r="A1128" s="94"/>
      <c r="B1128" s="94" t="str">
        <f>IFERROR(__xludf.DUMMYFUNCTION("""COMPUTED_VALUE"""),"CM 1604")</f>
        <v>CM 1604</v>
      </c>
      <c r="C1128" s="94"/>
      <c r="D1128" s="1432">
        <f>IFERROR(__xludf.DUMMYFUNCTION("""COMPUTED_VALUE"""),12.0)</f>
        <v>12</v>
      </c>
      <c r="E1128" s="1429">
        <f>IFERROR(__xludf.DUMMYFUNCTION("""COMPUTED_VALUE"""),45633.0)</f>
        <v>45633</v>
      </c>
      <c r="F1128" s="1429">
        <f>IFERROR(__xludf.DUMMYFUNCTION("""COMPUTED_VALUE"""),45647.0)</f>
        <v>45647</v>
      </c>
      <c r="G1128" s="1164">
        <f>IFERROR(__xludf.DUMMYFUNCTION("""COMPUTED_VALUE"""),14.0)</f>
        <v>14</v>
      </c>
      <c r="H1128" s="1430">
        <f>IFERROR(__xludf.DUMMYFUNCTION("""COMPUTED_VALUE"""),340.0)</f>
        <v>340</v>
      </c>
      <c r="I1128" s="94"/>
      <c r="J1128" s="94"/>
      <c r="K1128" s="94">
        <f>IFERROR(__xludf.DUMMYFUNCTION("""COMPUTED_VALUE"""),60.0)</f>
        <v>60</v>
      </c>
      <c r="L1128" s="94">
        <f>IFERROR(__xludf.DUMMYFUNCTION("""COMPUTED_VALUE"""),40.0)</f>
        <v>40</v>
      </c>
      <c r="M1128" s="94">
        <f>IFERROR(__xludf.DUMMYFUNCTION("""COMPUTED_VALUE"""),20.0)</f>
        <v>20</v>
      </c>
      <c r="N1128" s="94"/>
      <c r="O1128" s="1430">
        <f>IFERROR(__xludf.DUMMYFUNCTION("""COMPUTED_VALUE"""),20.0)</f>
        <v>20</v>
      </c>
      <c r="P1128" s="1431">
        <f>IFERROR(__xludf.DUMMYFUNCTION("""COMPUTED_VALUE"""),2.75)</f>
        <v>2.75</v>
      </c>
      <c r="Q1128" s="1432">
        <f>IFERROR(__xludf.DUMMYFUNCTION("""COMPUTED_VALUE"""),935.0)</f>
        <v>935</v>
      </c>
    </row>
    <row r="1129" ht="15.75" customHeight="1">
      <c r="A1129" s="94"/>
      <c r="B1129" s="94" t="str">
        <f>IFERROR(__xludf.DUMMYFUNCTION("""COMPUTED_VALUE"""),"D2 1625")</f>
        <v>D2 1625</v>
      </c>
      <c r="C1129" s="94"/>
      <c r="D1129" s="1432">
        <f>IFERROR(__xludf.DUMMYFUNCTION("""COMPUTED_VALUE"""),12.0)</f>
        <v>12</v>
      </c>
      <c r="E1129" s="1429">
        <f>IFERROR(__xludf.DUMMYFUNCTION("""COMPUTED_VALUE"""),45634.0)</f>
        <v>45634</v>
      </c>
      <c r="F1129" s="1429">
        <f>IFERROR(__xludf.DUMMYFUNCTION("""COMPUTED_VALUE"""),45696.0)</f>
        <v>45696</v>
      </c>
      <c r="G1129" s="1164">
        <f>IFERROR(__xludf.DUMMYFUNCTION("""COMPUTED_VALUE"""),62.0)</f>
        <v>62</v>
      </c>
      <c r="H1129" s="1430">
        <f>IFERROR(__xludf.DUMMYFUNCTION("""COMPUTED_VALUE"""),520.0)</f>
        <v>520</v>
      </c>
      <c r="I1129" s="94"/>
      <c r="J1129" s="94"/>
      <c r="K1129" s="94">
        <f>IFERROR(__xludf.DUMMYFUNCTION("""COMPUTED_VALUE"""),60.0)</f>
        <v>60</v>
      </c>
      <c r="L1129" s="94">
        <f>IFERROR(__xludf.DUMMYFUNCTION("""COMPUTED_VALUE"""),40.0)</f>
        <v>40</v>
      </c>
      <c r="M1129" s="94">
        <f>IFERROR(__xludf.DUMMYFUNCTION("""COMPUTED_VALUE"""),20.0)</f>
        <v>20</v>
      </c>
      <c r="N1129" s="94"/>
      <c r="O1129" s="1430">
        <f>IFERROR(__xludf.DUMMYFUNCTION("""COMPUTED_VALUE"""),20.0)</f>
        <v>20</v>
      </c>
      <c r="P1129" s="1431">
        <f>IFERROR(__xludf.DUMMYFUNCTION("""COMPUTED_VALUE"""),2.75)</f>
        <v>2.75</v>
      </c>
      <c r="Q1129" s="1432">
        <f>IFERROR(__xludf.DUMMYFUNCTION("""COMPUTED_VALUE"""),1430.0)</f>
        <v>1430</v>
      </c>
    </row>
    <row r="1130" ht="15.75" customHeight="1">
      <c r="A1130" s="94"/>
      <c r="B1130" s="94" t="str">
        <f>IFERROR(__xludf.DUMMYFUNCTION("""COMPUTED_VALUE"""),"D 1321")</f>
        <v>D 1321</v>
      </c>
      <c r="C1130" s="94"/>
      <c r="D1130" s="1432">
        <f>IFERROR(__xludf.DUMMYFUNCTION("""COMPUTED_VALUE"""),12.0)</f>
        <v>12</v>
      </c>
      <c r="E1130" s="1429">
        <f>IFERROR(__xludf.DUMMYFUNCTION("""COMPUTED_VALUE"""),45634.0)</f>
        <v>45634</v>
      </c>
      <c r="F1130" s="1429">
        <f>IFERROR(__xludf.DUMMYFUNCTION("""COMPUTED_VALUE"""),45665.0)</f>
        <v>45665</v>
      </c>
      <c r="G1130" s="1164">
        <f>IFERROR(__xludf.DUMMYFUNCTION("""COMPUTED_VALUE"""),31.0)</f>
        <v>31</v>
      </c>
      <c r="H1130" s="1430">
        <f>IFERROR(__xludf.DUMMYFUNCTION("""COMPUTED_VALUE"""),455.0)</f>
        <v>455</v>
      </c>
      <c r="I1130" s="94"/>
      <c r="J1130" s="94"/>
      <c r="K1130" s="94">
        <f>IFERROR(__xludf.DUMMYFUNCTION("""COMPUTED_VALUE"""),60.0)</f>
        <v>60</v>
      </c>
      <c r="L1130" s="94">
        <f>IFERROR(__xludf.DUMMYFUNCTION("""COMPUTED_VALUE"""),30.0)</f>
        <v>30</v>
      </c>
      <c r="M1130" s="94">
        <f>IFERROR(__xludf.DUMMYFUNCTION("""COMPUTED_VALUE"""),30.0)</f>
        <v>30</v>
      </c>
      <c r="N1130" s="94"/>
      <c r="O1130" s="1430">
        <f>IFERROR(__xludf.DUMMYFUNCTION("""COMPUTED_VALUE"""),30.0)</f>
        <v>30</v>
      </c>
      <c r="P1130" s="1431">
        <f>IFERROR(__xludf.DUMMYFUNCTION("""COMPUTED_VALUE"""),2.75)</f>
        <v>2.75</v>
      </c>
      <c r="Q1130" s="1432">
        <f>IFERROR(__xludf.DUMMYFUNCTION("""COMPUTED_VALUE"""),1251.25)</f>
        <v>1251.25</v>
      </c>
    </row>
    <row r="1131" ht="15.75" customHeight="1">
      <c r="A1131" s="94"/>
      <c r="B1131" s="94" t="str">
        <f>IFERROR(__xludf.DUMMYFUNCTION("""COMPUTED_VALUE"""),"Шар 2505")</f>
        <v>Шар 2505</v>
      </c>
      <c r="C1131" s="94"/>
      <c r="D1131" s="1432">
        <f>IFERROR(__xludf.DUMMYFUNCTION("""COMPUTED_VALUE"""),12.0)</f>
        <v>12</v>
      </c>
      <c r="E1131" s="1429">
        <f>IFERROR(__xludf.DUMMYFUNCTION("""COMPUTED_VALUE"""),45634.0)</f>
        <v>45634</v>
      </c>
      <c r="F1131" s="1429">
        <f>IFERROR(__xludf.DUMMYFUNCTION("""COMPUTED_VALUE"""),45640.0)</f>
        <v>45640</v>
      </c>
      <c r="G1131" s="1164">
        <f>IFERROR(__xludf.DUMMYFUNCTION("""COMPUTED_VALUE"""),6.0)</f>
        <v>6</v>
      </c>
      <c r="H1131" s="1430">
        <f>IFERROR(__xludf.DUMMYFUNCTION("""COMPUTED_VALUE"""),144.0)</f>
        <v>144</v>
      </c>
      <c r="I1131" s="94"/>
      <c r="J1131" s="94"/>
      <c r="K1131" s="94"/>
      <c r="L1131" s="94"/>
      <c r="M1131" s="94">
        <f>IFERROR(__xludf.DUMMYFUNCTION("""COMPUTED_VALUE"""),0.0)</f>
        <v>0</v>
      </c>
      <c r="N1131" s="94"/>
      <c r="O1131" s="1430">
        <f>IFERROR(__xludf.DUMMYFUNCTION("""COMPUTED_VALUE"""),0.0)</f>
        <v>0</v>
      </c>
      <c r="P1131" s="1431">
        <f>IFERROR(__xludf.DUMMYFUNCTION("""COMPUTED_VALUE"""),2.75)</f>
        <v>2.75</v>
      </c>
      <c r="Q1131" s="1432">
        <f>IFERROR(__xludf.DUMMYFUNCTION("""COMPUTED_VALUE"""),396.0)</f>
        <v>396</v>
      </c>
    </row>
    <row r="1132" ht="15.75" customHeight="1">
      <c r="A1132" s="94" t="str">
        <f>IFERROR(__xludf.DUMMYFUNCTION("""COMPUTED_VALUE"""),"Итого неделя")</f>
        <v>Итого неделя</v>
      </c>
      <c r="B1132" s="94" t="str">
        <f>IFERROR(__xludf.DUMMYFUNCTION("""COMPUTED_VALUE"""),"49 неделя")</f>
        <v>49 неделя</v>
      </c>
      <c r="C1132" s="94"/>
      <c r="D1132" s="94"/>
      <c r="E1132" s="94"/>
      <c r="F1132" s="94"/>
      <c r="G1132" s="1164">
        <f>IFERROR(__xludf.DUMMYFUNCTION("""COMPUTED_VALUE"""),243.0)</f>
        <v>243</v>
      </c>
      <c r="H1132" s="1430">
        <f>IFERROR(__xludf.DUMMYFUNCTION("""COMPUTED_VALUE"""),4588.0)</f>
        <v>4588</v>
      </c>
      <c r="I1132" s="94">
        <f>IFERROR(__xludf.DUMMYFUNCTION("""COMPUTED_VALUE"""),0.0)</f>
        <v>0</v>
      </c>
      <c r="J1132" s="94">
        <f>IFERROR(__xludf.DUMMYFUNCTION("""COMPUTED_VALUE"""),0.0)</f>
        <v>0</v>
      </c>
      <c r="K1132" s="94">
        <f>IFERROR(__xludf.DUMMYFUNCTION("""COMPUTED_VALUE"""),1020.0)</f>
        <v>1020</v>
      </c>
      <c r="L1132" s="94">
        <f>IFERROR(__xludf.DUMMYFUNCTION("""COMPUTED_VALUE"""),610.0)</f>
        <v>610</v>
      </c>
      <c r="M1132" s="94">
        <f>IFERROR(__xludf.DUMMYFUNCTION("""COMPUTED_VALUE"""),410.0)</f>
        <v>410</v>
      </c>
      <c r="N1132" s="94">
        <f>IFERROR(__xludf.DUMMYFUNCTION("""COMPUTED_VALUE"""),0.0)</f>
        <v>0</v>
      </c>
      <c r="O1132" s="1430">
        <f>IFERROR(__xludf.DUMMYFUNCTION("""COMPUTED_VALUE"""),410.0)</f>
        <v>410</v>
      </c>
      <c r="P1132" s="1431">
        <f>IFERROR(__xludf.DUMMYFUNCTION("""COMPUTED_VALUE"""),46.75)</f>
        <v>46.75</v>
      </c>
      <c r="Q1132" s="1432">
        <f>IFERROR(__xludf.DUMMYFUNCTION("""COMPUTED_VALUE"""),12617.0)</f>
        <v>12617</v>
      </c>
    </row>
    <row r="1133" ht="15.75" customHeight="1">
      <c r="A1133" s="94"/>
      <c r="B1133" s="94" t="str">
        <f>IFERROR(__xludf.DUMMYFUNCTION("""COMPUTED_VALUE"""),"Пиросмани 162")</f>
        <v>Пиросмани 162</v>
      </c>
      <c r="C1133" s="94"/>
      <c r="D1133" s="1432">
        <f>IFERROR(__xludf.DUMMYFUNCTION("""COMPUTED_VALUE"""),12.0)</f>
        <v>12</v>
      </c>
      <c r="E1133" s="1429">
        <f>IFERROR(__xludf.DUMMYFUNCTION("""COMPUTED_VALUE"""),45636.0)</f>
        <v>45636</v>
      </c>
      <c r="F1133" s="1429">
        <f>IFERROR(__xludf.DUMMYFUNCTION("""COMPUTED_VALUE"""),45666.0)</f>
        <v>45666</v>
      </c>
      <c r="G1133" s="1164">
        <f>IFERROR(__xludf.DUMMYFUNCTION("""COMPUTED_VALUE"""),30.0)</f>
        <v>30</v>
      </c>
      <c r="H1133" s="94"/>
      <c r="I1133" s="94"/>
      <c r="J1133" s="94"/>
      <c r="K1133" s="94"/>
      <c r="L1133" s="94"/>
      <c r="M1133" s="94">
        <f>IFERROR(__xludf.DUMMYFUNCTION("""COMPUTED_VALUE"""),0.0)</f>
        <v>0</v>
      </c>
      <c r="N1133" s="94"/>
      <c r="O1133" s="94"/>
      <c r="P1133" s="94"/>
      <c r="Q1133" s="1432"/>
    </row>
    <row r="1134" ht="15.75" customHeight="1">
      <c r="A1134" s="94"/>
      <c r="B1134" s="94" t="str">
        <f>IFERROR(__xludf.DUMMYFUNCTION("""COMPUTED_VALUE"""),"А 4049")</f>
        <v>А 4049</v>
      </c>
      <c r="C1134" s="94"/>
      <c r="D1134" s="1432">
        <f>IFERROR(__xludf.DUMMYFUNCTION("""COMPUTED_VALUE"""),12.0)</f>
        <v>12</v>
      </c>
      <c r="E1134" s="1429">
        <f>IFERROR(__xludf.DUMMYFUNCTION("""COMPUTED_VALUE"""),45636.0)</f>
        <v>45636</v>
      </c>
      <c r="F1134" s="1429">
        <f>IFERROR(__xludf.DUMMYFUNCTION("""COMPUTED_VALUE"""),45640.0)</f>
        <v>45640</v>
      </c>
      <c r="G1134" s="1164">
        <f>IFERROR(__xludf.DUMMYFUNCTION("""COMPUTED_VALUE"""),4.0)</f>
        <v>4</v>
      </c>
      <c r="H1134" s="1430">
        <f>IFERROR(__xludf.DUMMYFUNCTION("""COMPUTED_VALUE"""),77.0)</f>
        <v>77</v>
      </c>
      <c r="I1134" s="94"/>
      <c r="J1134" s="94"/>
      <c r="K1134" s="94">
        <f>IFERROR(__xludf.DUMMYFUNCTION("""COMPUTED_VALUE"""),60.0)</f>
        <v>60</v>
      </c>
      <c r="L1134" s="94">
        <f>IFERROR(__xludf.DUMMYFUNCTION("""COMPUTED_VALUE"""),30.0)</f>
        <v>30</v>
      </c>
      <c r="M1134" s="94">
        <f>IFERROR(__xludf.DUMMYFUNCTION("""COMPUTED_VALUE"""),30.0)</f>
        <v>30</v>
      </c>
      <c r="N1134" s="94"/>
      <c r="O1134" s="1430">
        <f>IFERROR(__xludf.DUMMYFUNCTION("""COMPUTED_VALUE"""),30.0)</f>
        <v>30</v>
      </c>
      <c r="P1134" s="1431">
        <f>IFERROR(__xludf.DUMMYFUNCTION("""COMPUTED_VALUE"""),2.81)</f>
        <v>2.81</v>
      </c>
      <c r="Q1134" s="1432">
        <f>IFERROR(__xludf.DUMMYFUNCTION("""COMPUTED_VALUE"""),216.37)</f>
        <v>216.37</v>
      </c>
    </row>
    <row r="1135" ht="15.75" customHeight="1">
      <c r="A1135" s="94"/>
      <c r="B1135" s="94" t="str">
        <f>IFERROR(__xludf.DUMMYFUNCTION("""COMPUTED_VALUE"""),"BV1318")</f>
        <v>BV1318</v>
      </c>
      <c r="C1135" s="94"/>
      <c r="D1135" s="1432">
        <f>IFERROR(__xludf.DUMMYFUNCTION("""COMPUTED_VALUE"""),12.0)</f>
        <v>12</v>
      </c>
      <c r="E1135" s="1429">
        <f>IFERROR(__xludf.DUMMYFUNCTION("""COMPUTED_VALUE"""),45638.0)</f>
        <v>45638</v>
      </c>
      <c r="F1135" s="1429">
        <f>IFERROR(__xludf.DUMMYFUNCTION("""COMPUTED_VALUE"""),45645.0)</f>
        <v>45645</v>
      </c>
      <c r="G1135" s="1164">
        <f>IFERROR(__xludf.DUMMYFUNCTION("""COMPUTED_VALUE"""),7.0)</f>
        <v>7</v>
      </c>
      <c r="H1135" s="1430">
        <f>IFERROR(__xludf.DUMMYFUNCTION("""COMPUTED_VALUE"""),203.0)</f>
        <v>203</v>
      </c>
      <c r="I1135" s="94"/>
      <c r="J1135" s="94"/>
      <c r="K1135" s="94">
        <f>IFERROR(__xludf.DUMMYFUNCTION("""COMPUTED_VALUE"""),60.0)</f>
        <v>60</v>
      </c>
      <c r="L1135" s="94">
        <f>IFERROR(__xludf.DUMMYFUNCTION("""COMPUTED_VALUE"""),30.0)</f>
        <v>30</v>
      </c>
      <c r="M1135" s="94">
        <f>IFERROR(__xludf.DUMMYFUNCTION("""COMPUTED_VALUE"""),30.0)</f>
        <v>30</v>
      </c>
      <c r="N1135" s="94"/>
      <c r="O1135" s="1430">
        <f>IFERROR(__xludf.DUMMYFUNCTION("""COMPUTED_VALUE"""),30.0)</f>
        <v>30</v>
      </c>
      <c r="P1135" s="1431">
        <f>IFERROR(__xludf.DUMMYFUNCTION("""COMPUTED_VALUE"""),2.81)</f>
        <v>2.81</v>
      </c>
      <c r="Q1135" s="1432">
        <f>IFERROR(__xludf.DUMMYFUNCTION("""COMPUTED_VALUE"""),570.4300000000001)</f>
        <v>570.43</v>
      </c>
    </row>
    <row r="1136" ht="15.75" customHeight="1">
      <c r="A1136" s="94"/>
      <c r="B1136" s="94" t="str">
        <f>IFERROR(__xludf.DUMMYFUNCTION("""COMPUTED_VALUE"""),"WS А 908")</f>
        <v>WS А 908</v>
      </c>
      <c r="C1136" s="94"/>
      <c r="D1136" s="1432">
        <f>IFERROR(__xludf.DUMMYFUNCTION("""COMPUTED_VALUE"""),12.0)</f>
        <v>12</v>
      </c>
      <c r="E1136" s="1429">
        <f>IFERROR(__xludf.DUMMYFUNCTION("""COMPUTED_VALUE"""),45638.0)</f>
        <v>45638</v>
      </c>
      <c r="F1136" s="1429">
        <f>IFERROR(__xludf.DUMMYFUNCTION("""COMPUTED_VALUE"""),45640.0)</f>
        <v>45640</v>
      </c>
      <c r="G1136" s="1164">
        <f>IFERROR(__xludf.DUMMYFUNCTION("""COMPUTED_VALUE"""),2.0)</f>
        <v>2</v>
      </c>
      <c r="H1136" s="1430">
        <f>IFERROR(__xludf.DUMMYFUNCTION("""COMPUTED_VALUE"""),52.0)</f>
        <v>52</v>
      </c>
      <c r="I1136" s="94"/>
      <c r="J1136" s="94"/>
      <c r="K1136" s="94">
        <f>IFERROR(__xludf.DUMMYFUNCTION("""COMPUTED_VALUE"""),60.0)</f>
        <v>60</v>
      </c>
      <c r="L1136" s="94">
        <f>IFERROR(__xludf.DUMMYFUNCTION("""COMPUTED_VALUE"""),30.0)</f>
        <v>30</v>
      </c>
      <c r="M1136" s="94">
        <f>IFERROR(__xludf.DUMMYFUNCTION("""COMPUTED_VALUE"""),30.0)</f>
        <v>30</v>
      </c>
      <c r="N1136" s="94"/>
      <c r="O1136" s="1430">
        <f>IFERROR(__xludf.DUMMYFUNCTION("""COMPUTED_VALUE"""),30.0)</f>
        <v>30</v>
      </c>
      <c r="P1136" s="1431">
        <f>IFERROR(__xludf.DUMMYFUNCTION("""COMPUTED_VALUE"""),2.81)</f>
        <v>2.81</v>
      </c>
      <c r="Q1136" s="1432">
        <f>IFERROR(__xludf.DUMMYFUNCTION("""COMPUTED_VALUE"""),146.12)</f>
        <v>146.12</v>
      </c>
    </row>
    <row r="1137" ht="15.75" customHeight="1">
      <c r="A1137" s="94"/>
      <c r="B1137" s="94" t="str">
        <f>IFERROR(__xludf.DUMMYFUNCTION("""COMPUTED_VALUE"""),"С732")</f>
        <v>С732</v>
      </c>
      <c r="C1137" s="94"/>
      <c r="D1137" s="1432">
        <f>IFERROR(__xludf.DUMMYFUNCTION("""COMPUTED_VALUE"""),12.0)</f>
        <v>12</v>
      </c>
      <c r="E1137" s="1429">
        <f>IFERROR(__xludf.DUMMYFUNCTION("""COMPUTED_VALUE"""),45638.0)</f>
        <v>45638</v>
      </c>
      <c r="F1137" s="1429">
        <f>IFERROR(__xludf.DUMMYFUNCTION("""COMPUTED_VALUE"""),45701.0)</f>
        <v>45701</v>
      </c>
      <c r="G1137" s="1164">
        <f>IFERROR(__xludf.DUMMYFUNCTION("""COMPUTED_VALUE"""),63.0)</f>
        <v>63</v>
      </c>
      <c r="H1137" s="1430">
        <f>IFERROR(__xludf.DUMMYFUNCTION("""COMPUTED_VALUE"""),640.0)</f>
        <v>640</v>
      </c>
      <c r="I1137" s="94"/>
      <c r="J1137" s="94"/>
      <c r="K1137" s="94">
        <f>IFERROR(__xludf.DUMMYFUNCTION("""COMPUTED_VALUE"""),60.0)</f>
        <v>60</v>
      </c>
      <c r="L1137" s="94">
        <f>IFERROR(__xludf.DUMMYFUNCTION("""COMPUTED_VALUE"""),30.0)</f>
        <v>30</v>
      </c>
      <c r="M1137" s="94">
        <f>IFERROR(__xludf.DUMMYFUNCTION("""COMPUTED_VALUE"""),30.0)</f>
        <v>30</v>
      </c>
      <c r="N1137" s="94"/>
      <c r="O1137" s="1430">
        <f>IFERROR(__xludf.DUMMYFUNCTION("""COMPUTED_VALUE"""),30.0)</f>
        <v>30</v>
      </c>
      <c r="P1137" s="1431">
        <f>IFERROR(__xludf.DUMMYFUNCTION("""COMPUTED_VALUE"""),2.81)</f>
        <v>2.81</v>
      </c>
      <c r="Q1137" s="1432">
        <f>IFERROR(__xludf.DUMMYFUNCTION("""COMPUTED_VALUE"""),1798.4)</f>
        <v>1798.4</v>
      </c>
    </row>
    <row r="1138" ht="15.75" customHeight="1">
      <c r="A1138" s="94"/>
      <c r="B1138" s="94" t="str">
        <f>IFERROR(__xludf.DUMMYFUNCTION("""COMPUTED_VALUE"""),"С 2756")</f>
        <v>С 2756</v>
      </c>
      <c r="C1138" s="94"/>
      <c r="D1138" s="1432">
        <f>IFERROR(__xludf.DUMMYFUNCTION("""COMPUTED_VALUE"""),12.0)</f>
        <v>12</v>
      </c>
      <c r="E1138" s="1429">
        <f>IFERROR(__xludf.DUMMYFUNCTION("""COMPUTED_VALUE"""),45641.0)</f>
        <v>45641</v>
      </c>
      <c r="F1138" s="1429">
        <f>IFERROR(__xludf.DUMMYFUNCTION("""COMPUTED_VALUE"""),45648.0)</f>
        <v>45648</v>
      </c>
      <c r="G1138" s="1164">
        <f>IFERROR(__xludf.DUMMYFUNCTION("""COMPUTED_VALUE"""),7.0)</f>
        <v>7</v>
      </c>
      <c r="H1138" s="1430">
        <f>IFERROR(__xludf.DUMMYFUNCTION("""COMPUTED_VALUE"""),169.0)</f>
        <v>169</v>
      </c>
      <c r="I1138" s="94"/>
      <c r="J1138" s="94"/>
      <c r="K1138" s="94">
        <f>IFERROR(__xludf.DUMMYFUNCTION("""COMPUTED_VALUE"""),60.0)</f>
        <v>60</v>
      </c>
      <c r="L1138" s="94">
        <f>IFERROR(__xludf.DUMMYFUNCTION("""COMPUTED_VALUE"""),30.0)</f>
        <v>30</v>
      </c>
      <c r="M1138" s="94">
        <f>IFERROR(__xludf.DUMMYFUNCTION("""COMPUTED_VALUE"""),30.0)</f>
        <v>30</v>
      </c>
      <c r="N1138" s="94"/>
      <c r="O1138" s="1430">
        <f>IFERROR(__xludf.DUMMYFUNCTION("""COMPUTED_VALUE"""),30.0)</f>
        <v>30</v>
      </c>
      <c r="P1138" s="1431">
        <f>IFERROR(__xludf.DUMMYFUNCTION("""COMPUTED_VALUE"""),2.81)</f>
        <v>2.81</v>
      </c>
      <c r="Q1138" s="1432">
        <f>IFERROR(__xludf.DUMMYFUNCTION("""COMPUTED_VALUE"""),474.89)</f>
        <v>474.89</v>
      </c>
    </row>
    <row r="1139" ht="15.75" customHeight="1">
      <c r="A1139" s="94"/>
      <c r="B1139" s="94" t="str">
        <f>IFERROR(__xludf.DUMMYFUNCTION("""COMPUTED_VALUE"""),"С 1443")</f>
        <v>С 1443</v>
      </c>
      <c r="C1139" s="94"/>
      <c r="D1139" s="1432">
        <f>IFERROR(__xludf.DUMMYFUNCTION("""COMPUTED_VALUE"""),12.0)</f>
        <v>12</v>
      </c>
      <c r="E1139" s="1429">
        <f>IFERROR(__xludf.DUMMYFUNCTION("""COMPUTED_VALUE"""),45639.0)</f>
        <v>45639</v>
      </c>
      <c r="F1139" s="1429">
        <f>IFERROR(__xludf.DUMMYFUNCTION("""COMPUTED_VALUE"""),45642.0)</f>
        <v>45642</v>
      </c>
      <c r="G1139" s="1164">
        <f>IFERROR(__xludf.DUMMYFUNCTION("""COMPUTED_VALUE"""),3.0)</f>
        <v>3</v>
      </c>
      <c r="H1139" s="1430">
        <f>IFERROR(__xludf.DUMMYFUNCTION("""COMPUTED_VALUE"""),76.0)</f>
        <v>76</v>
      </c>
      <c r="I1139" s="94"/>
      <c r="J1139" s="94"/>
      <c r="K1139" s="94">
        <f>IFERROR(__xludf.DUMMYFUNCTION("""COMPUTED_VALUE"""),60.0)</f>
        <v>60</v>
      </c>
      <c r="L1139" s="94">
        <f>IFERROR(__xludf.DUMMYFUNCTION("""COMPUTED_VALUE"""),40.0)</f>
        <v>40</v>
      </c>
      <c r="M1139" s="94">
        <f>IFERROR(__xludf.DUMMYFUNCTION("""COMPUTED_VALUE"""),20.0)</f>
        <v>20</v>
      </c>
      <c r="N1139" s="94"/>
      <c r="O1139" s="1430">
        <f>IFERROR(__xludf.DUMMYFUNCTION("""COMPUTED_VALUE"""),20.0)</f>
        <v>20</v>
      </c>
      <c r="P1139" s="1431">
        <f>IFERROR(__xludf.DUMMYFUNCTION("""COMPUTED_VALUE"""),2.81)</f>
        <v>2.81</v>
      </c>
      <c r="Q1139" s="1432">
        <f>IFERROR(__xludf.DUMMYFUNCTION("""COMPUTED_VALUE"""),213.56)</f>
        <v>213.56</v>
      </c>
    </row>
    <row r="1140" ht="15.75" customHeight="1">
      <c r="A1140" s="94" t="str">
        <f>IFERROR(__xludf.DUMMYFUNCTION("""COMPUTED_VALUE"""),"Итого неделя")</f>
        <v>Итого неделя</v>
      </c>
      <c r="B1140" s="94" t="str">
        <f>IFERROR(__xludf.DUMMYFUNCTION("""COMPUTED_VALUE"""),"50 неделя")</f>
        <v>50 неделя</v>
      </c>
      <c r="C1140" s="94"/>
      <c r="D1140" s="94"/>
      <c r="E1140" s="94"/>
      <c r="F1140" s="94"/>
      <c r="G1140" s="1164">
        <f>IFERROR(__xludf.DUMMYFUNCTION("""COMPUTED_VALUE"""),116.0)</f>
        <v>116</v>
      </c>
      <c r="H1140" s="1430">
        <f>IFERROR(__xludf.DUMMYFUNCTION("""COMPUTED_VALUE"""),1217.0)</f>
        <v>1217</v>
      </c>
      <c r="I1140" s="94">
        <f>IFERROR(__xludf.DUMMYFUNCTION("""COMPUTED_VALUE"""),0.0)</f>
        <v>0</v>
      </c>
      <c r="J1140" s="94">
        <f>IFERROR(__xludf.DUMMYFUNCTION("""COMPUTED_VALUE"""),0.0)</f>
        <v>0</v>
      </c>
      <c r="K1140" s="94">
        <f>IFERROR(__xludf.DUMMYFUNCTION("""COMPUTED_VALUE"""),360.0)</f>
        <v>360</v>
      </c>
      <c r="L1140" s="94">
        <f>IFERROR(__xludf.DUMMYFUNCTION("""COMPUTED_VALUE"""),190.0)</f>
        <v>190</v>
      </c>
      <c r="M1140" s="94">
        <f>IFERROR(__xludf.DUMMYFUNCTION("""COMPUTED_VALUE"""),170.0)</f>
        <v>170</v>
      </c>
      <c r="N1140" s="94">
        <f>IFERROR(__xludf.DUMMYFUNCTION("""COMPUTED_VALUE"""),0.0)</f>
        <v>0</v>
      </c>
      <c r="O1140" s="1430">
        <f>IFERROR(__xludf.DUMMYFUNCTION("""COMPUTED_VALUE"""),170.0)</f>
        <v>170</v>
      </c>
      <c r="P1140" s="1431">
        <f>IFERROR(__xludf.DUMMYFUNCTION("""COMPUTED_VALUE"""),16.86)</f>
        <v>16.86</v>
      </c>
      <c r="Q1140" s="1432">
        <f>IFERROR(__xludf.DUMMYFUNCTION("""COMPUTED_VALUE"""),3419.77)</f>
        <v>3419.77</v>
      </c>
    </row>
    <row r="1141" ht="15.75" customHeight="1">
      <c r="A1141" s="94"/>
      <c r="B1141" s="94" t="str">
        <f>IFERROR(__xludf.DUMMYFUNCTION("""COMPUTED_VALUE"""),"А 4049")</f>
        <v>А 4049</v>
      </c>
      <c r="C1141" s="94"/>
      <c r="D1141" s="1432">
        <f>IFERROR(__xludf.DUMMYFUNCTION("""COMPUTED_VALUE"""),12.0)</f>
        <v>12</v>
      </c>
      <c r="E1141" s="1429">
        <f>IFERROR(__xludf.DUMMYFUNCTION("""COMPUTED_VALUE"""),45645.0)</f>
        <v>45645</v>
      </c>
      <c r="F1141" s="1429">
        <f>IFERROR(__xludf.DUMMYFUNCTION("""COMPUTED_VALUE"""),45650.0)</f>
        <v>45650</v>
      </c>
      <c r="G1141" s="1164">
        <f>IFERROR(__xludf.DUMMYFUNCTION("""COMPUTED_VALUE"""),5.0)</f>
        <v>5</v>
      </c>
      <c r="H1141" s="1430">
        <f>IFERROR(__xludf.DUMMYFUNCTION("""COMPUTED_VALUE"""),104.0)</f>
        <v>104</v>
      </c>
      <c r="I1141" s="94"/>
      <c r="J1141" s="94"/>
      <c r="K1141" s="94">
        <f>IFERROR(__xludf.DUMMYFUNCTION("""COMPUTED_VALUE"""),60.0)</f>
        <v>60</v>
      </c>
      <c r="L1141" s="94">
        <f>IFERROR(__xludf.DUMMYFUNCTION("""COMPUTED_VALUE"""),30.0)</f>
        <v>30</v>
      </c>
      <c r="M1141" s="94">
        <f>IFERROR(__xludf.DUMMYFUNCTION("""COMPUTED_VALUE"""),30.0)</f>
        <v>30</v>
      </c>
      <c r="N1141" s="94"/>
      <c r="O1141" s="1430">
        <f>IFERROR(__xludf.DUMMYFUNCTION("""COMPUTED_VALUE"""),30.0)</f>
        <v>30</v>
      </c>
      <c r="P1141" s="1431">
        <f>IFERROR(__xludf.DUMMYFUNCTION("""COMPUTED_VALUE"""),2.8)</f>
        <v>2.8</v>
      </c>
      <c r="Q1141" s="1432">
        <f>IFERROR(__xludf.DUMMYFUNCTION("""COMPUTED_VALUE"""),291.2)</f>
        <v>291.2</v>
      </c>
    </row>
    <row r="1142" ht="15.75" customHeight="1">
      <c r="A1142" s="94"/>
      <c r="B1142" s="94" t="str">
        <f>IFERROR(__xludf.DUMMYFUNCTION("""COMPUTED_VALUE"""),"Шар 2505")</f>
        <v>Шар 2505</v>
      </c>
      <c r="C1142" s="94"/>
      <c r="D1142" s="1432">
        <f>IFERROR(__xludf.DUMMYFUNCTION("""COMPUTED_VALUE"""),12.0)</f>
        <v>12</v>
      </c>
      <c r="E1142" s="1429">
        <f>IFERROR(__xludf.DUMMYFUNCTION("""COMPUTED_VALUE"""),45646.0)</f>
        <v>45646</v>
      </c>
      <c r="F1142" s="1429">
        <f>IFERROR(__xludf.DUMMYFUNCTION("""COMPUTED_VALUE"""),45660.0)</f>
        <v>45660</v>
      </c>
      <c r="G1142" s="1164">
        <f>IFERROR(__xludf.DUMMYFUNCTION("""COMPUTED_VALUE"""),14.0)</f>
        <v>14</v>
      </c>
      <c r="H1142" s="1430">
        <f>IFERROR(__xludf.DUMMYFUNCTION("""COMPUTED_VALUE"""),337.0)</f>
        <v>337</v>
      </c>
      <c r="I1142" s="94"/>
      <c r="J1142" s="94"/>
      <c r="K1142" s="94">
        <f>IFERROR(__xludf.DUMMYFUNCTION("""COMPUTED_VALUE"""),60.0)</f>
        <v>60</v>
      </c>
      <c r="L1142" s="94">
        <f>IFERROR(__xludf.DUMMYFUNCTION("""COMPUTED_VALUE"""),50.0)</f>
        <v>50</v>
      </c>
      <c r="M1142" s="94">
        <f>IFERROR(__xludf.DUMMYFUNCTION("""COMPUTED_VALUE"""),10.0)</f>
        <v>10</v>
      </c>
      <c r="N1142" s="94"/>
      <c r="O1142" s="1430">
        <f>IFERROR(__xludf.DUMMYFUNCTION("""COMPUTED_VALUE"""),10.0)</f>
        <v>10</v>
      </c>
      <c r="P1142" s="1431">
        <f>IFERROR(__xludf.DUMMYFUNCTION("""COMPUTED_VALUE"""),2.8)</f>
        <v>2.8</v>
      </c>
      <c r="Q1142" s="1432">
        <f>IFERROR(__xludf.DUMMYFUNCTION("""COMPUTED_VALUE"""),943.5999999999999)</f>
        <v>943.6</v>
      </c>
    </row>
    <row r="1143" ht="15.75" customHeight="1">
      <c r="A1143" s="94"/>
      <c r="B1143" s="94" t="str">
        <f>IFERROR(__xludf.DUMMYFUNCTION("""COMPUTED_VALUE"""),"BV1318")</f>
        <v>BV1318</v>
      </c>
      <c r="C1143" s="94"/>
      <c r="D1143" s="1432">
        <f>IFERROR(__xludf.DUMMYFUNCTION("""COMPUTED_VALUE"""),12.0)</f>
        <v>12</v>
      </c>
      <c r="E1143" s="1429">
        <f>IFERROR(__xludf.DUMMYFUNCTION("""COMPUTED_VALUE"""),45646.0)</f>
        <v>45646</v>
      </c>
      <c r="F1143" s="1429">
        <f>IFERROR(__xludf.DUMMYFUNCTION("""COMPUTED_VALUE"""),45654.0)</f>
        <v>45654</v>
      </c>
      <c r="G1143" s="1164">
        <f>IFERROR(__xludf.DUMMYFUNCTION("""COMPUTED_VALUE"""),8.0)</f>
        <v>8</v>
      </c>
      <c r="H1143" s="1430">
        <f>IFERROR(__xludf.DUMMYFUNCTION("""COMPUTED_VALUE"""),308.0)</f>
        <v>308</v>
      </c>
      <c r="I1143" s="94"/>
      <c r="J1143" s="94"/>
      <c r="K1143" s="94">
        <f>IFERROR(__xludf.DUMMYFUNCTION("""COMPUTED_VALUE"""),60.0)</f>
        <v>60</v>
      </c>
      <c r="L1143" s="94">
        <f>IFERROR(__xludf.DUMMYFUNCTION("""COMPUTED_VALUE"""),30.0)</f>
        <v>30</v>
      </c>
      <c r="M1143" s="94">
        <f>IFERROR(__xludf.DUMMYFUNCTION("""COMPUTED_VALUE"""),30.0)</f>
        <v>30</v>
      </c>
      <c r="N1143" s="94"/>
      <c r="O1143" s="1430">
        <f>IFERROR(__xludf.DUMMYFUNCTION("""COMPUTED_VALUE"""),30.0)</f>
        <v>30</v>
      </c>
      <c r="P1143" s="1431">
        <f>IFERROR(__xludf.DUMMYFUNCTION("""COMPUTED_VALUE"""),2.8)</f>
        <v>2.8</v>
      </c>
      <c r="Q1143" s="1432">
        <f>IFERROR(__xludf.DUMMYFUNCTION("""COMPUTED_VALUE"""),862.4)</f>
        <v>862.4</v>
      </c>
    </row>
    <row r="1144" ht="15.75" customHeight="1">
      <c r="A1144" s="94"/>
      <c r="B1144" s="94" t="str">
        <f>IFERROR(__xludf.DUMMYFUNCTION("""COMPUTED_VALUE"""),"CM 1604")</f>
        <v>CM 1604</v>
      </c>
      <c r="C1144" s="94"/>
      <c r="D1144" s="1432">
        <f>IFERROR(__xludf.DUMMYFUNCTION("""COMPUTED_VALUE"""),12.0)</f>
        <v>12</v>
      </c>
      <c r="E1144" s="1429">
        <f>IFERROR(__xludf.DUMMYFUNCTION("""COMPUTED_VALUE"""),45647.0)</f>
        <v>45647</v>
      </c>
      <c r="F1144" s="1429">
        <f>IFERROR(__xludf.DUMMYFUNCTION("""COMPUTED_VALUE"""),45668.0)</f>
        <v>45668</v>
      </c>
      <c r="G1144" s="1164">
        <f>IFERROR(__xludf.DUMMYFUNCTION("""COMPUTED_VALUE"""),21.0)</f>
        <v>21</v>
      </c>
      <c r="H1144" s="1430">
        <f>IFERROR(__xludf.DUMMYFUNCTION("""COMPUTED_VALUE"""),820.0)</f>
        <v>820</v>
      </c>
      <c r="I1144" s="94"/>
      <c r="J1144" s="94"/>
      <c r="K1144" s="94">
        <f>IFERROR(__xludf.DUMMYFUNCTION("""COMPUTED_VALUE"""),60.0)</f>
        <v>60</v>
      </c>
      <c r="L1144" s="94">
        <f>IFERROR(__xludf.DUMMYFUNCTION("""COMPUTED_VALUE"""),40.0)</f>
        <v>40</v>
      </c>
      <c r="M1144" s="94">
        <f>IFERROR(__xludf.DUMMYFUNCTION("""COMPUTED_VALUE"""),20.0)</f>
        <v>20</v>
      </c>
      <c r="N1144" s="94"/>
      <c r="O1144" s="1430">
        <f>IFERROR(__xludf.DUMMYFUNCTION("""COMPUTED_VALUE"""),20.0)</f>
        <v>20</v>
      </c>
      <c r="P1144" s="1431">
        <f>IFERROR(__xludf.DUMMYFUNCTION("""COMPUTED_VALUE"""),2.8)</f>
        <v>2.8</v>
      </c>
      <c r="Q1144" s="1432">
        <f>IFERROR(__xludf.DUMMYFUNCTION("""COMPUTED_VALUE"""),2296.0)</f>
        <v>2296</v>
      </c>
    </row>
    <row r="1145" ht="15.75" customHeight="1">
      <c r="A1145" s="94"/>
      <c r="B1145" s="94" t="str">
        <f>IFERROR(__xludf.DUMMYFUNCTION("""COMPUTED_VALUE"""),"С 1443")</f>
        <v>С 1443</v>
      </c>
      <c r="C1145" s="94"/>
      <c r="D1145" s="1432">
        <f>IFERROR(__xludf.DUMMYFUNCTION("""COMPUTED_VALUE"""),12.0)</f>
        <v>12</v>
      </c>
      <c r="E1145" s="1429">
        <f>IFERROR(__xludf.DUMMYFUNCTION("""COMPUTED_VALUE"""),45646.0)</f>
        <v>45646</v>
      </c>
      <c r="F1145" s="1429">
        <f>IFERROR(__xludf.DUMMYFUNCTION("""COMPUTED_VALUE"""),45649.0)</f>
        <v>45649</v>
      </c>
      <c r="G1145" s="1164">
        <f>IFERROR(__xludf.DUMMYFUNCTION("""COMPUTED_VALUE"""),3.0)</f>
        <v>3</v>
      </c>
      <c r="H1145" s="1430">
        <f>IFERROR(__xludf.DUMMYFUNCTION("""COMPUTED_VALUE"""),76.0)</f>
        <v>76</v>
      </c>
      <c r="I1145" s="94"/>
      <c r="J1145" s="94"/>
      <c r="K1145" s="94">
        <f>IFERROR(__xludf.DUMMYFUNCTION("""COMPUTED_VALUE"""),60.0)</f>
        <v>60</v>
      </c>
      <c r="L1145" s="94">
        <f>IFERROR(__xludf.DUMMYFUNCTION("""COMPUTED_VALUE"""),40.0)</f>
        <v>40</v>
      </c>
      <c r="M1145" s="94">
        <f>IFERROR(__xludf.DUMMYFUNCTION("""COMPUTED_VALUE"""),20.0)</f>
        <v>20</v>
      </c>
      <c r="N1145" s="94"/>
      <c r="O1145" s="1430">
        <f>IFERROR(__xludf.DUMMYFUNCTION("""COMPUTED_VALUE"""),20.0)</f>
        <v>20</v>
      </c>
      <c r="P1145" s="1431">
        <f>IFERROR(__xludf.DUMMYFUNCTION("""COMPUTED_VALUE"""),2.8)</f>
        <v>2.8</v>
      </c>
      <c r="Q1145" s="1432">
        <f>IFERROR(__xludf.DUMMYFUNCTION("""COMPUTED_VALUE"""),212.79999999999998)</f>
        <v>212.8</v>
      </c>
    </row>
    <row r="1146" ht="15.75" customHeight="1">
      <c r="A1146" s="94"/>
      <c r="B1146" s="94" t="str">
        <f>IFERROR(__xludf.DUMMYFUNCTION("""COMPUTED_VALUE"""),"WS  B 405")</f>
        <v>WS  B 405</v>
      </c>
      <c r="C1146" s="94"/>
      <c r="D1146" s="1432">
        <f>IFERROR(__xludf.DUMMYFUNCTION("""COMPUTED_VALUE"""),12.0)</f>
        <v>12</v>
      </c>
      <c r="E1146" s="1429">
        <f>IFERROR(__xludf.DUMMYFUNCTION("""COMPUTED_VALUE"""),45648.0)</f>
        <v>45648</v>
      </c>
      <c r="F1146" s="1429">
        <f>IFERROR(__xludf.DUMMYFUNCTION("""COMPUTED_VALUE"""),45654.0)</f>
        <v>45654</v>
      </c>
      <c r="G1146" s="1164">
        <f>IFERROR(__xludf.DUMMYFUNCTION("""COMPUTED_VALUE"""),6.0)</f>
        <v>6</v>
      </c>
      <c r="H1146" s="1430">
        <f>IFERROR(__xludf.DUMMYFUNCTION("""COMPUTED_VALUE"""),110.0)</f>
        <v>110</v>
      </c>
      <c r="I1146" s="94"/>
      <c r="J1146" s="94"/>
      <c r="K1146" s="94">
        <f>IFERROR(__xludf.DUMMYFUNCTION("""COMPUTED_VALUE"""),60.0)</f>
        <v>60</v>
      </c>
      <c r="L1146" s="94">
        <f>IFERROR(__xludf.DUMMYFUNCTION("""COMPUTED_VALUE"""),30.0)</f>
        <v>30</v>
      </c>
      <c r="M1146" s="94">
        <f>IFERROR(__xludf.DUMMYFUNCTION("""COMPUTED_VALUE"""),30.0)</f>
        <v>30</v>
      </c>
      <c r="N1146" s="94"/>
      <c r="O1146" s="1430">
        <f>IFERROR(__xludf.DUMMYFUNCTION("""COMPUTED_VALUE"""),30.0)</f>
        <v>30</v>
      </c>
      <c r="P1146" s="1431">
        <f>IFERROR(__xludf.DUMMYFUNCTION("""COMPUTED_VALUE"""),2.8)</f>
        <v>2.8</v>
      </c>
      <c r="Q1146" s="1432">
        <f>IFERROR(__xludf.DUMMYFUNCTION("""COMPUTED_VALUE"""),308.0)</f>
        <v>308</v>
      </c>
    </row>
    <row r="1147" ht="15.75" customHeight="1">
      <c r="A1147" s="94" t="str">
        <f>IFERROR(__xludf.DUMMYFUNCTION("""COMPUTED_VALUE"""),"Итого неделя")</f>
        <v>Итого неделя</v>
      </c>
      <c r="B1147" s="94" t="str">
        <f>IFERROR(__xludf.DUMMYFUNCTION("""COMPUTED_VALUE"""),"51 неделя")</f>
        <v>51 неделя</v>
      </c>
      <c r="C1147" s="94"/>
      <c r="D1147" s="94"/>
      <c r="E1147" s="94"/>
      <c r="F1147" s="94"/>
      <c r="G1147" s="1164">
        <f>IFERROR(__xludf.DUMMYFUNCTION("""COMPUTED_VALUE"""),57.0)</f>
        <v>57</v>
      </c>
      <c r="H1147" s="1430">
        <f>IFERROR(__xludf.DUMMYFUNCTION("""COMPUTED_VALUE"""),1755.0)</f>
        <v>1755</v>
      </c>
      <c r="I1147" s="94">
        <f>IFERROR(__xludf.DUMMYFUNCTION("""COMPUTED_VALUE"""),0.0)</f>
        <v>0</v>
      </c>
      <c r="J1147" s="94">
        <f>IFERROR(__xludf.DUMMYFUNCTION("""COMPUTED_VALUE"""),0.0)</f>
        <v>0</v>
      </c>
      <c r="K1147" s="94">
        <f>IFERROR(__xludf.DUMMYFUNCTION("""COMPUTED_VALUE"""),360.0)</f>
        <v>360</v>
      </c>
      <c r="L1147" s="94">
        <f>IFERROR(__xludf.DUMMYFUNCTION("""COMPUTED_VALUE"""),220.0)</f>
        <v>220</v>
      </c>
      <c r="M1147" s="94">
        <f>IFERROR(__xludf.DUMMYFUNCTION("""COMPUTED_VALUE"""),140.0)</f>
        <v>140</v>
      </c>
      <c r="N1147" s="94">
        <f>IFERROR(__xludf.DUMMYFUNCTION("""COMPUTED_VALUE"""),0.0)</f>
        <v>0</v>
      </c>
      <c r="O1147" s="1430">
        <f>IFERROR(__xludf.DUMMYFUNCTION("""COMPUTED_VALUE"""),140.0)</f>
        <v>140</v>
      </c>
      <c r="P1147" s="1431">
        <f>IFERROR(__xludf.DUMMYFUNCTION("""COMPUTED_VALUE"""),16.8)</f>
        <v>16.8</v>
      </c>
      <c r="Q1147" s="1432">
        <f>IFERROR(__xludf.DUMMYFUNCTION("""COMPUTED_VALUE"""),4914.0)</f>
        <v>4914</v>
      </c>
    </row>
    <row r="1148" ht="15.75" customHeight="1">
      <c r="A1148" s="94"/>
      <c r="B1148" s="94" t="str">
        <f>IFERROR(__xludf.DUMMYFUNCTION("""COMPUTED_VALUE"""),"CM 1604")</f>
        <v>CM 1604</v>
      </c>
      <c r="C1148" s="94"/>
      <c r="D1148" s="1432">
        <f>IFERROR(__xludf.DUMMYFUNCTION("""COMPUTED_VALUE"""),12.0)</f>
        <v>12</v>
      </c>
      <c r="E1148" s="94"/>
      <c r="F1148" s="94"/>
      <c r="G1148" s="1164">
        <f>IFERROR(__xludf.DUMMYFUNCTION("""COMPUTED_VALUE"""),0.0)</f>
        <v>0</v>
      </c>
      <c r="H1148" s="1430">
        <f>IFERROR(__xludf.DUMMYFUNCTION("""COMPUTED_VALUE"""),-400.0)</f>
        <v>-400</v>
      </c>
      <c r="I1148" s="94"/>
      <c r="J1148" s="94"/>
      <c r="K1148" s="94"/>
      <c r="L1148" s="94"/>
      <c r="M1148" s="94">
        <f>IFERROR(__xludf.DUMMYFUNCTION("""COMPUTED_VALUE"""),0.0)</f>
        <v>0</v>
      </c>
      <c r="N1148" s="94"/>
      <c r="O1148" s="1430">
        <f>IFERROR(__xludf.DUMMYFUNCTION("""COMPUTED_VALUE"""),0.0)</f>
        <v>0</v>
      </c>
      <c r="P1148" s="1431">
        <f>IFERROR(__xludf.DUMMYFUNCTION("""COMPUTED_VALUE"""),2.8)</f>
        <v>2.8</v>
      </c>
      <c r="Q1148" s="1432">
        <f>IFERROR(__xludf.DUMMYFUNCTION("""COMPUTED_VALUE"""),-1120.0)</f>
        <v>-1120</v>
      </c>
    </row>
    <row r="1149" ht="15.75" customHeight="1">
      <c r="A1149" s="94"/>
      <c r="B1149" s="94" t="str">
        <f>IFERROR(__xludf.DUMMYFUNCTION("""COMPUTED_VALUE"""),"С 1443")</f>
        <v>С 1443</v>
      </c>
      <c r="C1149" s="94"/>
      <c r="D1149" s="1432">
        <f>IFERROR(__xludf.DUMMYFUNCTION("""COMPUTED_VALUE"""),12.0)</f>
        <v>12</v>
      </c>
      <c r="E1149" s="1429">
        <f>IFERROR(__xludf.DUMMYFUNCTION("""COMPUTED_VALUE"""),45649.0)</f>
        <v>45649</v>
      </c>
      <c r="F1149" s="1429">
        <f>IFERROR(__xludf.DUMMYFUNCTION("""COMPUTED_VALUE"""),45662.0)</f>
        <v>45662</v>
      </c>
      <c r="G1149" s="1164">
        <f>IFERROR(__xludf.DUMMYFUNCTION("""COMPUTED_VALUE"""),13.0)</f>
        <v>13</v>
      </c>
      <c r="H1149" s="1430">
        <f>IFERROR(__xludf.DUMMYFUNCTION("""COMPUTED_VALUE"""),520.0)</f>
        <v>520</v>
      </c>
      <c r="I1149" s="94"/>
      <c r="J1149" s="94"/>
      <c r="K1149" s="94">
        <f>IFERROR(__xludf.DUMMYFUNCTION("""COMPUTED_VALUE"""),60.0)</f>
        <v>60</v>
      </c>
      <c r="L1149" s="94">
        <f>IFERROR(__xludf.DUMMYFUNCTION("""COMPUTED_VALUE"""),40.0)</f>
        <v>40</v>
      </c>
      <c r="M1149" s="94">
        <f>IFERROR(__xludf.DUMMYFUNCTION("""COMPUTED_VALUE"""),20.0)</f>
        <v>20</v>
      </c>
      <c r="N1149" s="94"/>
      <c r="O1149" s="1430">
        <f>IFERROR(__xludf.DUMMYFUNCTION("""COMPUTED_VALUE"""),20.0)</f>
        <v>20</v>
      </c>
      <c r="P1149" s="1431">
        <f>IFERROR(__xludf.DUMMYFUNCTION("""COMPUTED_VALUE"""),2.8)</f>
        <v>2.8</v>
      </c>
      <c r="Q1149" s="1432">
        <f>IFERROR(__xludf.DUMMYFUNCTION("""COMPUTED_VALUE"""),1456.0)</f>
        <v>1456</v>
      </c>
    </row>
    <row r="1150" ht="15.75" customHeight="1">
      <c r="A1150" s="94"/>
      <c r="B1150" s="94" t="str">
        <f>IFERROR(__xludf.DUMMYFUNCTION("""COMPUTED_VALUE"""),"С 2756")</f>
        <v>С 2756</v>
      </c>
      <c r="C1150" s="94"/>
      <c r="D1150" s="1432">
        <f>IFERROR(__xludf.DUMMYFUNCTION("""COMPUTED_VALUE"""),12.0)</f>
        <v>12</v>
      </c>
      <c r="E1150" s="1429">
        <f>IFERROR(__xludf.DUMMYFUNCTION("""COMPUTED_VALUE"""),45648.0)</f>
        <v>45648</v>
      </c>
      <c r="F1150" s="1429">
        <f>IFERROR(__xludf.DUMMYFUNCTION("""COMPUTED_VALUE"""),45650.0)</f>
        <v>45650</v>
      </c>
      <c r="G1150" s="1164">
        <f>IFERROR(__xludf.DUMMYFUNCTION("""COMPUTED_VALUE"""),2.0)</f>
        <v>2</v>
      </c>
      <c r="H1150" s="1430">
        <f>IFERROR(__xludf.DUMMYFUNCTION("""COMPUTED_VALUE"""),276.0)</f>
        <v>276</v>
      </c>
      <c r="I1150" s="94"/>
      <c r="J1150" s="94"/>
      <c r="K1150" s="94">
        <f>IFERROR(__xludf.DUMMYFUNCTION("""COMPUTED_VALUE"""),60.0)</f>
        <v>60</v>
      </c>
      <c r="L1150" s="94">
        <f>IFERROR(__xludf.DUMMYFUNCTION("""COMPUTED_VALUE"""),30.0)</f>
        <v>30</v>
      </c>
      <c r="M1150" s="94">
        <f>IFERROR(__xludf.DUMMYFUNCTION("""COMPUTED_VALUE"""),30.0)</f>
        <v>30</v>
      </c>
      <c r="N1150" s="94"/>
      <c r="O1150" s="1430">
        <f>IFERROR(__xludf.DUMMYFUNCTION("""COMPUTED_VALUE"""),30.0)</f>
        <v>30</v>
      </c>
      <c r="P1150" s="1431">
        <f>IFERROR(__xludf.DUMMYFUNCTION("""COMPUTED_VALUE"""),2.8)</f>
        <v>2.8</v>
      </c>
      <c r="Q1150" s="1432">
        <f>IFERROR(__xludf.DUMMYFUNCTION("""COMPUTED_VALUE"""),772.8)</f>
        <v>772.8</v>
      </c>
    </row>
    <row r="1151" ht="15.75" customHeight="1">
      <c r="A1151" s="94"/>
      <c r="B1151" s="94" t="str">
        <f>IFERROR(__xludf.DUMMYFUNCTION("""COMPUTED_VALUE"""),"C 4245")</f>
        <v>C 4245</v>
      </c>
      <c r="C1151" s="94"/>
      <c r="D1151" s="1432">
        <f>IFERROR(__xludf.DUMMYFUNCTION("""COMPUTED_VALUE"""),12.0)</f>
        <v>12</v>
      </c>
      <c r="E1151" s="1429">
        <f>IFERROR(__xludf.DUMMYFUNCTION("""COMPUTED_VALUE"""),45650.0)</f>
        <v>45650</v>
      </c>
      <c r="F1151" s="1429">
        <f>IFERROR(__xludf.DUMMYFUNCTION("""COMPUTED_VALUE"""),45654.0)</f>
        <v>45654</v>
      </c>
      <c r="G1151" s="1164">
        <f>IFERROR(__xludf.DUMMYFUNCTION("""COMPUTED_VALUE"""),4.0)</f>
        <v>4</v>
      </c>
      <c r="H1151" s="1430">
        <f>IFERROR(__xludf.DUMMYFUNCTION("""COMPUTED_VALUE"""),544.0)</f>
        <v>544</v>
      </c>
      <c r="I1151" s="94"/>
      <c r="J1151" s="94"/>
      <c r="K1151" s="94">
        <f>IFERROR(__xludf.DUMMYFUNCTION("""COMPUTED_VALUE"""),60.0)</f>
        <v>60</v>
      </c>
      <c r="L1151" s="94">
        <f>IFERROR(__xludf.DUMMYFUNCTION("""COMPUTED_VALUE"""),40.0)</f>
        <v>40</v>
      </c>
      <c r="M1151" s="94">
        <f>IFERROR(__xludf.DUMMYFUNCTION("""COMPUTED_VALUE"""),20.0)</f>
        <v>20</v>
      </c>
      <c r="N1151" s="94"/>
      <c r="O1151" s="1430">
        <f>IFERROR(__xludf.DUMMYFUNCTION("""COMPUTED_VALUE"""),20.0)</f>
        <v>20</v>
      </c>
      <c r="P1151" s="1431">
        <f>IFERROR(__xludf.DUMMYFUNCTION("""COMPUTED_VALUE"""),2.8)</f>
        <v>2.8</v>
      </c>
      <c r="Q1151" s="1432">
        <f>IFERROR(__xludf.DUMMYFUNCTION("""COMPUTED_VALUE"""),1523.1999999999998)</f>
        <v>1523.2</v>
      </c>
    </row>
    <row r="1152" ht="15.75" customHeight="1">
      <c r="A1152" s="94"/>
      <c r="B1152" s="94" t="str">
        <f>IFERROR(__xludf.DUMMYFUNCTION("""COMPUTED_VALUE"""),"WS А 908")</f>
        <v>WS А 908</v>
      </c>
      <c r="C1152" s="94"/>
      <c r="D1152" s="1432">
        <f>IFERROR(__xludf.DUMMYFUNCTION("""COMPUTED_VALUE"""),12.0)</f>
        <v>12</v>
      </c>
      <c r="E1152" s="1429">
        <f>IFERROR(__xludf.DUMMYFUNCTION("""COMPUTED_VALUE"""),45650.0)</f>
        <v>45650</v>
      </c>
      <c r="F1152" s="1429">
        <f>IFERROR(__xludf.DUMMYFUNCTION("""COMPUTED_VALUE"""),45654.0)</f>
        <v>45654</v>
      </c>
      <c r="G1152" s="1164">
        <f>IFERROR(__xludf.DUMMYFUNCTION("""COMPUTED_VALUE"""),4.0)</f>
        <v>4</v>
      </c>
      <c r="H1152" s="1430">
        <f>IFERROR(__xludf.DUMMYFUNCTION("""COMPUTED_VALUE"""),81.0)</f>
        <v>81</v>
      </c>
      <c r="I1152" s="94"/>
      <c r="J1152" s="94"/>
      <c r="K1152" s="94">
        <f>IFERROR(__xludf.DUMMYFUNCTION("""COMPUTED_VALUE"""),60.0)</f>
        <v>60</v>
      </c>
      <c r="L1152" s="94">
        <f>IFERROR(__xludf.DUMMYFUNCTION("""COMPUTED_VALUE"""),30.0)</f>
        <v>30</v>
      </c>
      <c r="M1152" s="94">
        <f>IFERROR(__xludf.DUMMYFUNCTION("""COMPUTED_VALUE"""),30.0)</f>
        <v>30</v>
      </c>
      <c r="N1152" s="94"/>
      <c r="O1152" s="1430">
        <f>IFERROR(__xludf.DUMMYFUNCTION("""COMPUTED_VALUE"""),30.0)</f>
        <v>30</v>
      </c>
      <c r="P1152" s="1431">
        <f>IFERROR(__xludf.DUMMYFUNCTION("""COMPUTED_VALUE"""),2.8)</f>
        <v>2.8</v>
      </c>
      <c r="Q1152" s="1432">
        <f>IFERROR(__xludf.DUMMYFUNCTION("""COMPUTED_VALUE"""),226.79999999999998)</f>
        <v>226.8</v>
      </c>
    </row>
    <row r="1153" ht="15.75" customHeight="1">
      <c r="A1153" s="94"/>
      <c r="B1153" s="94" t="str">
        <f>IFERROR(__xludf.DUMMYFUNCTION("""COMPUTED_VALUE"""),"WS В 1510")</f>
        <v>WS В 1510</v>
      </c>
      <c r="C1153" s="94"/>
      <c r="D1153" s="1432">
        <f>IFERROR(__xludf.DUMMYFUNCTION("""COMPUTED_VALUE"""),12.0)</f>
        <v>12</v>
      </c>
      <c r="E1153" s="1429">
        <f>IFERROR(__xludf.DUMMYFUNCTION("""COMPUTED_VALUE"""),45650.0)</f>
        <v>45650</v>
      </c>
      <c r="F1153" s="1429">
        <f>IFERROR(__xludf.DUMMYFUNCTION("""COMPUTED_VALUE"""),45652.0)</f>
        <v>45652</v>
      </c>
      <c r="G1153" s="1164">
        <f>IFERROR(__xludf.DUMMYFUNCTION("""COMPUTED_VALUE"""),2.0)</f>
        <v>2</v>
      </c>
      <c r="H1153" s="1430">
        <f>IFERROR(__xludf.DUMMYFUNCTION("""COMPUTED_VALUE"""),58.0)</f>
        <v>58</v>
      </c>
      <c r="I1153" s="94"/>
      <c r="J1153" s="94"/>
      <c r="K1153" s="94">
        <f>IFERROR(__xludf.DUMMYFUNCTION("""COMPUTED_VALUE"""),60.0)</f>
        <v>60</v>
      </c>
      <c r="L1153" s="94">
        <f>IFERROR(__xludf.DUMMYFUNCTION("""COMPUTED_VALUE"""),30.0)</f>
        <v>30</v>
      </c>
      <c r="M1153" s="94">
        <f>IFERROR(__xludf.DUMMYFUNCTION("""COMPUTED_VALUE"""),30.0)</f>
        <v>30</v>
      </c>
      <c r="N1153" s="94"/>
      <c r="O1153" s="1430">
        <f>IFERROR(__xludf.DUMMYFUNCTION("""COMPUTED_VALUE"""),30.0)</f>
        <v>30</v>
      </c>
      <c r="P1153" s="1431">
        <f>IFERROR(__xludf.DUMMYFUNCTION("""COMPUTED_VALUE"""),2.8)</f>
        <v>2.8</v>
      </c>
      <c r="Q1153" s="1432">
        <f>IFERROR(__xludf.DUMMYFUNCTION("""COMPUTED_VALUE"""),162.39999999999998)</f>
        <v>162.4</v>
      </c>
    </row>
    <row r="1154" ht="15.75" customHeight="1">
      <c r="A1154" s="94"/>
      <c r="B1154" s="94" t="str">
        <f>IFERROR(__xludf.DUMMYFUNCTION("""COMPUTED_VALUE"""),"D2 3216")</f>
        <v>D2 3216</v>
      </c>
      <c r="C1154" s="94"/>
      <c r="D1154" s="1432">
        <f>IFERROR(__xludf.DUMMYFUNCTION("""COMPUTED_VALUE"""),12.0)</f>
        <v>12</v>
      </c>
      <c r="E1154" s="1429">
        <f>IFERROR(__xludf.DUMMYFUNCTION("""COMPUTED_VALUE"""),45652.0)</f>
        <v>45652</v>
      </c>
      <c r="F1154" s="1429">
        <f>IFERROR(__xludf.DUMMYFUNCTION("""COMPUTED_VALUE"""),45661.0)</f>
        <v>45661</v>
      </c>
      <c r="G1154" s="1164">
        <f>IFERROR(__xludf.DUMMYFUNCTION("""COMPUTED_VALUE"""),9.0)</f>
        <v>9</v>
      </c>
      <c r="H1154" s="1430">
        <f>IFERROR(__xludf.DUMMYFUNCTION("""COMPUTED_VALUE"""),244.0)</f>
        <v>244</v>
      </c>
      <c r="I1154" s="94"/>
      <c r="J1154" s="94"/>
      <c r="K1154" s="94">
        <f>IFERROR(__xludf.DUMMYFUNCTION("""COMPUTED_VALUE"""),60.0)</f>
        <v>60</v>
      </c>
      <c r="L1154" s="94">
        <f>IFERROR(__xludf.DUMMYFUNCTION("""COMPUTED_VALUE"""),40.0)</f>
        <v>40</v>
      </c>
      <c r="M1154" s="94">
        <f>IFERROR(__xludf.DUMMYFUNCTION("""COMPUTED_VALUE"""),20.0)</f>
        <v>20</v>
      </c>
      <c r="N1154" s="94"/>
      <c r="O1154" s="1430">
        <f>IFERROR(__xludf.DUMMYFUNCTION("""COMPUTED_VALUE"""),20.0)</f>
        <v>20</v>
      </c>
      <c r="P1154" s="1431">
        <f>IFERROR(__xludf.DUMMYFUNCTION("""COMPUTED_VALUE"""),2.8)</f>
        <v>2.8</v>
      </c>
      <c r="Q1154" s="1432">
        <f>IFERROR(__xludf.DUMMYFUNCTION("""COMPUTED_VALUE"""),683.1999999999999)</f>
        <v>683.2</v>
      </c>
    </row>
    <row r="1155" ht="15.75" customHeight="1">
      <c r="A1155" s="94"/>
      <c r="B1155" s="94" t="str">
        <f>IFERROR(__xludf.DUMMYFUNCTION("""COMPUTED_VALUE"""),"WS Е804")</f>
        <v>WS Е804</v>
      </c>
      <c r="C1155" s="94"/>
      <c r="D1155" s="1432">
        <f>IFERROR(__xludf.DUMMYFUNCTION("""COMPUTED_VALUE"""),12.0)</f>
        <v>12</v>
      </c>
      <c r="E1155" s="1429">
        <f>IFERROR(__xludf.DUMMYFUNCTION("""COMPUTED_VALUE"""),45652.0)</f>
        <v>45652</v>
      </c>
      <c r="F1155" s="1429">
        <f>IFERROR(__xludf.DUMMYFUNCTION("""COMPUTED_VALUE"""),45656.0)</f>
        <v>45656</v>
      </c>
      <c r="G1155" s="1164">
        <f>IFERROR(__xludf.DUMMYFUNCTION("""COMPUTED_VALUE"""),4.0)</f>
        <v>4</v>
      </c>
      <c r="H1155" s="1430">
        <f>IFERROR(__xludf.DUMMYFUNCTION("""COMPUTED_VALUE"""),79.0)</f>
        <v>79</v>
      </c>
      <c r="I1155" s="94"/>
      <c r="J1155" s="94"/>
      <c r="K1155" s="94">
        <f>IFERROR(__xludf.DUMMYFUNCTION("""COMPUTED_VALUE"""),60.0)</f>
        <v>60</v>
      </c>
      <c r="L1155" s="94">
        <f>IFERROR(__xludf.DUMMYFUNCTION("""COMPUTED_VALUE"""),30.0)</f>
        <v>30</v>
      </c>
      <c r="M1155" s="94">
        <f>IFERROR(__xludf.DUMMYFUNCTION("""COMPUTED_VALUE"""),30.0)</f>
        <v>30</v>
      </c>
      <c r="N1155" s="94"/>
      <c r="O1155" s="1430">
        <f>IFERROR(__xludf.DUMMYFUNCTION("""COMPUTED_VALUE"""),30.0)</f>
        <v>30</v>
      </c>
      <c r="P1155" s="1431">
        <f>IFERROR(__xludf.DUMMYFUNCTION("""COMPUTED_VALUE"""),2.8)</f>
        <v>2.8</v>
      </c>
      <c r="Q1155" s="1432">
        <f>IFERROR(__xludf.DUMMYFUNCTION("""COMPUTED_VALUE"""),221.2)</f>
        <v>221.2</v>
      </c>
    </row>
    <row r="1156" ht="15.75" customHeight="1">
      <c r="A1156" s="94"/>
      <c r="B1156" s="94" t="str">
        <f>IFERROR(__xludf.DUMMYFUNCTION("""COMPUTED_VALUE"""),"WS A 409")</f>
        <v>WS A 409</v>
      </c>
      <c r="C1156" s="94"/>
      <c r="D1156" s="1432">
        <f>IFERROR(__xludf.DUMMYFUNCTION("""COMPUTED_VALUE"""),12.0)</f>
        <v>12</v>
      </c>
      <c r="E1156" s="1429">
        <f>IFERROR(__xludf.DUMMYFUNCTION("""COMPUTED_VALUE"""),45652.0)</f>
        <v>45652</v>
      </c>
      <c r="F1156" s="1429">
        <f>IFERROR(__xludf.DUMMYFUNCTION("""COMPUTED_VALUE"""),45659.0)</f>
        <v>45659</v>
      </c>
      <c r="G1156" s="1164">
        <f>IFERROR(__xludf.DUMMYFUNCTION("""COMPUTED_VALUE"""),7.0)</f>
        <v>7</v>
      </c>
      <c r="H1156" s="1430">
        <f>IFERROR(__xludf.DUMMYFUNCTION("""COMPUTED_VALUE"""),188.0)</f>
        <v>188</v>
      </c>
      <c r="I1156" s="94"/>
      <c r="J1156" s="94"/>
      <c r="K1156" s="94">
        <f>IFERROR(__xludf.DUMMYFUNCTION("""COMPUTED_VALUE"""),60.0)</f>
        <v>60</v>
      </c>
      <c r="L1156" s="94">
        <f>IFERROR(__xludf.DUMMYFUNCTION("""COMPUTED_VALUE"""),30.0)</f>
        <v>30</v>
      </c>
      <c r="M1156" s="94">
        <f>IFERROR(__xludf.DUMMYFUNCTION("""COMPUTED_VALUE"""),30.0)</f>
        <v>30</v>
      </c>
      <c r="N1156" s="94"/>
      <c r="O1156" s="1430">
        <f>IFERROR(__xludf.DUMMYFUNCTION("""COMPUTED_VALUE"""),30.0)</f>
        <v>30</v>
      </c>
      <c r="P1156" s="1431">
        <f>IFERROR(__xludf.DUMMYFUNCTION("""COMPUTED_VALUE"""),2.8)</f>
        <v>2.8</v>
      </c>
      <c r="Q1156" s="1432">
        <f>IFERROR(__xludf.DUMMYFUNCTION("""COMPUTED_VALUE"""),526.4)</f>
        <v>526.4</v>
      </c>
    </row>
    <row r="1157" ht="15.75" customHeight="1">
      <c r="A1157" s="94"/>
      <c r="B1157" s="94" t="str">
        <f>IFERROR(__xludf.DUMMYFUNCTION("""COMPUTED_VALUE"""),"WS В 1510")</f>
        <v>WS В 1510</v>
      </c>
      <c r="C1157" s="94"/>
      <c r="D1157" s="1432">
        <f>IFERROR(__xludf.DUMMYFUNCTION("""COMPUTED_VALUE"""),12.0)</f>
        <v>12</v>
      </c>
      <c r="E1157" s="1429">
        <f>IFERROR(__xludf.DUMMYFUNCTION("""COMPUTED_VALUE"""),45653.0)</f>
        <v>45653</v>
      </c>
      <c r="F1157" s="1429">
        <f>IFERROR(__xludf.DUMMYFUNCTION("""COMPUTED_VALUE"""),45655.0)</f>
        <v>45655</v>
      </c>
      <c r="G1157" s="1164">
        <f>IFERROR(__xludf.DUMMYFUNCTION("""COMPUTED_VALUE"""),2.0)</f>
        <v>2</v>
      </c>
      <c r="H1157" s="1430">
        <f>IFERROR(__xludf.DUMMYFUNCTION("""COMPUTED_VALUE"""),70.0)</f>
        <v>70</v>
      </c>
      <c r="I1157" s="94"/>
      <c r="J1157" s="94"/>
      <c r="K1157" s="94">
        <f>IFERROR(__xludf.DUMMYFUNCTION("""COMPUTED_VALUE"""),60.0)</f>
        <v>60</v>
      </c>
      <c r="L1157" s="94">
        <f>IFERROR(__xludf.DUMMYFUNCTION("""COMPUTED_VALUE"""),30.0)</f>
        <v>30</v>
      </c>
      <c r="M1157" s="94">
        <f>IFERROR(__xludf.DUMMYFUNCTION("""COMPUTED_VALUE"""),30.0)</f>
        <v>30</v>
      </c>
      <c r="N1157" s="94"/>
      <c r="O1157" s="1430">
        <f>IFERROR(__xludf.DUMMYFUNCTION("""COMPUTED_VALUE"""),30.0)</f>
        <v>30</v>
      </c>
      <c r="P1157" s="1431">
        <f>IFERROR(__xludf.DUMMYFUNCTION("""COMPUTED_VALUE"""),2.8)</f>
        <v>2.8</v>
      </c>
      <c r="Q1157" s="1432">
        <f>IFERROR(__xludf.DUMMYFUNCTION("""COMPUTED_VALUE"""),196.0)</f>
        <v>196</v>
      </c>
    </row>
    <row r="1158" ht="15.75" customHeight="1">
      <c r="A1158" s="94"/>
      <c r="B1158" s="94" t="str">
        <f>IFERROR(__xludf.DUMMYFUNCTION("""COMPUTED_VALUE"""),"WS E704")</f>
        <v>WS E704</v>
      </c>
      <c r="C1158" s="94"/>
      <c r="D1158" s="1432">
        <f>IFERROR(__xludf.DUMMYFUNCTION("""COMPUTED_VALUE"""),12.0)</f>
        <v>12</v>
      </c>
      <c r="E1158" s="1429">
        <f>IFERROR(__xludf.DUMMYFUNCTION("""COMPUTED_VALUE"""),45653.0)</f>
        <v>45653</v>
      </c>
      <c r="F1158" s="1429">
        <f>IFERROR(__xludf.DUMMYFUNCTION("""COMPUTED_VALUE"""),45656.0)</f>
        <v>45656</v>
      </c>
      <c r="G1158" s="1164">
        <f>IFERROR(__xludf.DUMMYFUNCTION("""COMPUTED_VALUE"""),3.0)</f>
        <v>3</v>
      </c>
      <c r="H1158" s="1430">
        <f>IFERROR(__xludf.DUMMYFUNCTION("""COMPUTED_VALUE"""),64.0)</f>
        <v>64</v>
      </c>
      <c r="I1158" s="94"/>
      <c r="J1158" s="94"/>
      <c r="K1158" s="94">
        <f>IFERROR(__xludf.DUMMYFUNCTION("""COMPUTED_VALUE"""),60.0)</f>
        <v>60</v>
      </c>
      <c r="L1158" s="94">
        <f>IFERROR(__xludf.DUMMYFUNCTION("""COMPUTED_VALUE"""),30.0)</f>
        <v>30</v>
      </c>
      <c r="M1158" s="94">
        <f>IFERROR(__xludf.DUMMYFUNCTION("""COMPUTED_VALUE"""),30.0)</f>
        <v>30</v>
      </c>
      <c r="N1158" s="94"/>
      <c r="O1158" s="1430">
        <f>IFERROR(__xludf.DUMMYFUNCTION("""COMPUTED_VALUE"""),30.0)</f>
        <v>30</v>
      </c>
      <c r="P1158" s="1431">
        <f>IFERROR(__xludf.DUMMYFUNCTION("""COMPUTED_VALUE"""),2.8)</f>
        <v>2.8</v>
      </c>
      <c r="Q1158" s="1432">
        <f>IFERROR(__xludf.DUMMYFUNCTION("""COMPUTED_VALUE"""),179.2)</f>
        <v>179.2</v>
      </c>
    </row>
    <row r="1159" ht="15.75" customHeight="1">
      <c r="A1159" s="94"/>
      <c r="B1159" s="94" t="str">
        <f>IFERROR(__xludf.DUMMYFUNCTION("""COMPUTED_VALUE"""),"BV1318")</f>
        <v>BV1318</v>
      </c>
      <c r="C1159" s="94"/>
      <c r="D1159" s="1432">
        <f>IFERROR(__xludf.DUMMYFUNCTION("""COMPUTED_VALUE"""),12.0)</f>
        <v>12</v>
      </c>
      <c r="E1159" s="1429">
        <f>IFERROR(__xludf.DUMMYFUNCTION("""COMPUTED_VALUE"""),45654.0)</f>
        <v>45654</v>
      </c>
      <c r="F1159" s="1429">
        <f>IFERROR(__xludf.DUMMYFUNCTION("""COMPUTED_VALUE"""),45655.0)</f>
        <v>45655</v>
      </c>
      <c r="G1159" s="1164">
        <f>IFERROR(__xludf.DUMMYFUNCTION("""COMPUTED_VALUE"""),1.0)</f>
        <v>1</v>
      </c>
      <c r="H1159" s="1430">
        <f>IFERROR(__xludf.DUMMYFUNCTION("""COMPUTED_VALUE"""),41.0)</f>
        <v>41</v>
      </c>
      <c r="I1159" s="94"/>
      <c r="J1159" s="94"/>
      <c r="K1159" s="94">
        <f>IFERROR(__xludf.DUMMYFUNCTION("""COMPUTED_VALUE"""),60.0)</f>
        <v>60</v>
      </c>
      <c r="L1159" s="94">
        <f>IFERROR(__xludf.DUMMYFUNCTION("""COMPUTED_VALUE"""),30.0)</f>
        <v>30</v>
      </c>
      <c r="M1159" s="94">
        <f>IFERROR(__xludf.DUMMYFUNCTION("""COMPUTED_VALUE"""),30.0)</f>
        <v>30</v>
      </c>
      <c r="N1159" s="94"/>
      <c r="O1159" s="1430">
        <f>IFERROR(__xludf.DUMMYFUNCTION("""COMPUTED_VALUE"""),30.0)</f>
        <v>30</v>
      </c>
      <c r="P1159" s="1431">
        <f>IFERROR(__xludf.DUMMYFUNCTION("""COMPUTED_VALUE"""),2.8)</f>
        <v>2.8</v>
      </c>
      <c r="Q1159" s="1432">
        <f>IFERROR(__xludf.DUMMYFUNCTION("""COMPUTED_VALUE"""),114.8)</f>
        <v>114.8</v>
      </c>
    </row>
    <row r="1160" ht="15.75" customHeight="1">
      <c r="A1160" s="94"/>
      <c r="B1160" s="94" t="str">
        <f>IFERROR(__xludf.DUMMYFUNCTION("""COMPUTED_VALUE"""),"WS А 908")</f>
        <v>WS А 908</v>
      </c>
      <c r="C1160" s="94"/>
      <c r="D1160" s="1432">
        <f>IFERROR(__xludf.DUMMYFUNCTION("""COMPUTED_VALUE"""),12.0)</f>
        <v>12</v>
      </c>
      <c r="E1160" s="1429">
        <f>IFERROR(__xludf.DUMMYFUNCTION("""COMPUTED_VALUE"""),45655.0)</f>
        <v>45655</v>
      </c>
      <c r="F1160" s="1429">
        <f>IFERROR(__xludf.DUMMYFUNCTION("""COMPUTED_VALUE"""),45660.0)</f>
        <v>45660</v>
      </c>
      <c r="G1160" s="1164">
        <f>IFERROR(__xludf.DUMMYFUNCTION("""COMPUTED_VALUE"""),5.0)</f>
        <v>5</v>
      </c>
      <c r="H1160" s="94"/>
      <c r="I1160" s="94">
        <f>IFERROR(__xludf.DUMMYFUNCTION("""COMPUTED_VALUE"""),450.0)</f>
        <v>450</v>
      </c>
      <c r="J1160" s="94"/>
      <c r="K1160" s="94">
        <f>IFERROR(__xludf.DUMMYFUNCTION("""COMPUTED_VALUE"""),60.0)</f>
        <v>60</v>
      </c>
      <c r="L1160" s="94">
        <f>IFERROR(__xludf.DUMMYFUNCTION("""COMPUTED_VALUE"""),30.0)</f>
        <v>30</v>
      </c>
      <c r="M1160" s="94">
        <f>IFERROR(__xludf.DUMMYFUNCTION("""COMPUTED_VALUE"""),30.0)</f>
        <v>30</v>
      </c>
      <c r="N1160" s="94"/>
      <c r="O1160" s="1430">
        <f>IFERROR(__xludf.DUMMYFUNCTION("""COMPUTED_VALUE"""),30.0)</f>
        <v>30</v>
      </c>
      <c r="P1160" s="1431">
        <f>IFERROR(__xludf.DUMMYFUNCTION("""COMPUTED_VALUE"""),2.8)</f>
        <v>2.8</v>
      </c>
      <c r="Q1160" s="1432">
        <f>IFERROR(__xludf.DUMMYFUNCTION("""COMPUTED_VALUE"""),450.0)</f>
        <v>450</v>
      </c>
    </row>
    <row r="1161" ht="15.75" customHeight="1">
      <c r="A1161" s="94"/>
      <c r="B1161" s="94" t="str">
        <f>IFERROR(__xludf.DUMMYFUNCTION("""COMPUTED_VALUE"""),"OST 1202")</f>
        <v>OST 1202</v>
      </c>
      <c r="C1161" s="94"/>
      <c r="D1161" s="1432">
        <f>IFERROR(__xludf.DUMMYFUNCTION("""COMPUTED_VALUE"""),12.0)</f>
        <v>12</v>
      </c>
      <c r="E1161" s="1429">
        <f>IFERROR(__xludf.DUMMYFUNCTION("""COMPUTED_VALUE"""),45655.0)</f>
        <v>45655</v>
      </c>
      <c r="F1161" s="1429">
        <f>IFERROR(__xludf.DUMMYFUNCTION("""COMPUTED_VALUE"""),45685.0)</f>
        <v>45685</v>
      </c>
      <c r="G1161" s="1164">
        <f>IFERROR(__xludf.DUMMYFUNCTION("""COMPUTED_VALUE"""),30.0)</f>
        <v>30</v>
      </c>
      <c r="H1161" s="1430">
        <f>IFERROR(__xludf.DUMMYFUNCTION("""COMPUTED_VALUE"""),350.0)</f>
        <v>350</v>
      </c>
      <c r="I1161" s="94"/>
      <c r="J1161" s="94"/>
      <c r="K1161" s="94">
        <f>IFERROR(__xludf.DUMMYFUNCTION("""COMPUTED_VALUE"""),60.0)</f>
        <v>60</v>
      </c>
      <c r="L1161" s="94">
        <f>IFERROR(__xludf.DUMMYFUNCTION("""COMPUTED_VALUE"""),40.0)</f>
        <v>40</v>
      </c>
      <c r="M1161" s="94">
        <f>IFERROR(__xludf.DUMMYFUNCTION("""COMPUTED_VALUE"""),20.0)</f>
        <v>20</v>
      </c>
      <c r="N1161" s="94"/>
      <c r="O1161" s="1430">
        <f>IFERROR(__xludf.DUMMYFUNCTION("""COMPUTED_VALUE"""),20.0)</f>
        <v>20</v>
      </c>
      <c r="P1161" s="1431">
        <f>IFERROR(__xludf.DUMMYFUNCTION("""COMPUTED_VALUE"""),2.8)</f>
        <v>2.8</v>
      </c>
      <c r="Q1161" s="1432">
        <f>IFERROR(__xludf.DUMMYFUNCTION("""COMPUTED_VALUE"""),979.9999999999999)</f>
        <v>980</v>
      </c>
    </row>
    <row r="1162" ht="15.75" customHeight="1">
      <c r="A1162" s="94"/>
      <c r="B1162" s="94" t="str">
        <f>IFERROR(__xludf.DUMMYFUNCTION("""COMPUTED_VALUE"""),"Вилла Ева")</f>
        <v>Вилла Ева</v>
      </c>
      <c r="C1162" s="94"/>
      <c r="D1162" s="1432">
        <f>IFERROR(__xludf.DUMMYFUNCTION("""COMPUTED_VALUE"""),12.0)</f>
        <v>12</v>
      </c>
      <c r="E1162" s="1429">
        <f>IFERROR(__xludf.DUMMYFUNCTION("""COMPUTED_VALUE"""),45655.0)</f>
        <v>45655</v>
      </c>
      <c r="F1162" s="1429">
        <f>IFERROR(__xludf.DUMMYFUNCTION("""COMPUTED_VALUE"""),45660.0)</f>
        <v>45660</v>
      </c>
      <c r="G1162" s="1164">
        <f>IFERROR(__xludf.DUMMYFUNCTION("""COMPUTED_VALUE"""),5.0)</f>
        <v>5</v>
      </c>
      <c r="H1162" s="1430">
        <f>IFERROR(__xludf.DUMMYFUNCTION("""COMPUTED_VALUE"""),34.0)</f>
        <v>34</v>
      </c>
      <c r="I1162" s="94"/>
      <c r="J1162" s="94"/>
      <c r="K1162" s="94"/>
      <c r="L1162" s="94"/>
      <c r="M1162" s="94">
        <f>IFERROR(__xludf.DUMMYFUNCTION("""COMPUTED_VALUE"""),0.0)</f>
        <v>0</v>
      </c>
      <c r="N1162" s="94"/>
      <c r="O1162" s="1430">
        <f>IFERROR(__xludf.DUMMYFUNCTION("""COMPUTED_VALUE"""),0.0)</f>
        <v>0</v>
      </c>
      <c r="P1162" s="1431">
        <f>IFERROR(__xludf.DUMMYFUNCTION("""COMPUTED_VALUE"""),2.8)</f>
        <v>2.8</v>
      </c>
      <c r="Q1162" s="1432">
        <f>IFERROR(__xludf.DUMMYFUNCTION("""COMPUTED_VALUE"""),95.19999999999999)</f>
        <v>95.2</v>
      </c>
    </row>
    <row r="1163" ht="15.75" customHeight="1">
      <c r="A1163" s="94" t="str">
        <f>IFERROR(__xludf.DUMMYFUNCTION("""COMPUTED_VALUE"""),"Итого неделя")</f>
        <v>Итого неделя</v>
      </c>
      <c r="B1163" s="94" t="str">
        <f>IFERROR(__xludf.DUMMYFUNCTION("""COMPUTED_VALUE"""),"52 неделя")</f>
        <v>52 неделя</v>
      </c>
      <c r="C1163" s="94"/>
      <c r="D1163" s="94"/>
      <c r="E1163" s="94"/>
      <c r="F1163" s="94"/>
      <c r="G1163" s="1164">
        <f>IFERROR(__xludf.DUMMYFUNCTION("""COMPUTED_VALUE"""),91.0)</f>
        <v>91</v>
      </c>
      <c r="H1163" s="1430">
        <f>IFERROR(__xludf.DUMMYFUNCTION("""COMPUTED_VALUE"""),2149.0)</f>
        <v>2149</v>
      </c>
      <c r="I1163" s="94">
        <f>IFERROR(__xludf.DUMMYFUNCTION("""COMPUTED_VALUE"""),450.0)</f>
        <v>450</v>
      </c>
      <c r="J1163" s="94">
        <f>IFERROR(__xludf.DUMMYFUNCTION("""COMPUTED_VALUE"""),0.0)</f>
        <v>0</v>
      </c>
      <c r="K1163" s="94">
        <f>IFERROR(__xludf.DUMMYFUNCTION("""COMPUTED_VALUE"""),780.0)</f>
        <v>780</v>
      </c>
      <c r="L1163" s="94">
        <f>IFERROR(__xludf.DUMMYFUNCTION("""COMPUTED_VALUE"""),430.0)</f>
        <v>430</v>
      </c>
      <c r="M1163" s="94">
        <f>IFERROR(__xludf.DUMMYFUNCTION("""COMPUTED_VALUE"""),350.0)</f>
        <v>350</v>
      </c>
      <c r="N1163" s="94">
        <f>IFERROR(__xludf.DUMMYFUNCTION("""COMPUTED_VALUE"""),0.0)</f>
        <v>0</v>
      </c>
      <c r="O1163" s="1430">
        <f>IFERROR(__xludf.DUMMYFUNCTION("""COMPUTED_VALUE"""),350.0)</f>
        <v>350</v>
      </c>
      <c r="P1163" s="1431">
        <f>IFERROR(__xludf.DUMMYFUNCTION("""COMPUTED_VALUE"""),41.99999999999999)</f>
        <v>42</v>
      </c>
      <c r="Q1163" s="1432">
        <f>IFERROR(__xludf.DUMMYFUNCTION("""COMPUTED_VALUE"""),6467.2)</f>
        <v>6467.2</v>
      </c>
    </row>
    <row r="1164" ht="15.75" customHeight="1">
      <c r="A1164" s="94"/>
      <c r="B1164" s="94"/>
      <c r="C1164" s="94"/>
      <c r="D1164" s="94"/>
      <c r="E1164" s="94"/>
      <c r="F1164" s="94"/>
      <c r="G1164" s="94"/>
      <c r="H1164" s="94"/>
      <c r="I1164" s="94"/>
      <c r="J1164" s="94"/>
      <c r="K1164" s="94"/>
      <c r="L1164" s="94"/>
      <c r="M1164" s="94">
        <f>IFERROR(__xludf.DUMMYFUNCTION("""COMPUTED_VALUE"""),0.0)</f>
        <v>0</v>
      </c>
      <c r="N1164" s="94"/>
      <c r="O1164" s="94"/>
      <c r="P1164" s="94"/>
      <c r="Q1164" s="1432"/>
    </row>
    <row r="1165" ht="15.75" customHeight="1">
      <c r="A1165" s="94"/>
      <c r="B1165" s="94"/>
      <c r="C1165" s="94"/>
      <c r="D1165" s="94"/>
      <c r="E1165" s="94"/>
      <c r="F1165" s="94"/>
      <c r="G1165" s="94"/>
      <c r="H1165" s="94"/>
      <c r="I1165" s="94"/>
      <c r="J1165" s="94"/>
      <c r="K1165" s="94"/>
      <c r="L1165" s="94"/>
      <c r="M1165" s="94">
        <f>IFERROR(__xludf.DUMMYFUNCTION("""COMPUTED_VALUE"""),0.0)</f>
        <v>0</v>
      </c>
      <c r="N1165" s="94"/>
      <c r="O1165" s="94"/>
      <c r="P1165" s="94"/>
      <c r="Q1165" s="1432"/>
    </row>
    <row r="1166" ht="15.75" customHeight="1">
      <c r="A1166" s="94"/>
      <c r="B1166" s="94"/>
      <c r="C1166" s="94"/>
      <c r="D1166" s="94"/>
      <c r="E1166" s="94"/>
      <c r="F1166" s="94"/>
      <c r="G1166" s="94"/>
      <c r="H1166" s="94"/>
      <c r="I1166" s="94"/>
      <c r="J1166" s="94"/>
      <c r="K1166" s="94"/>
      <c r="L1166" s="94"/>
      <c r="M1166" s="94">
        <f>IFERROR(__xludf.DUMMYFUNCTION("""COMPUTED_VALUE"""),0.0)</f>
        <v>0</v>
      </c>
      <c r="N1166" s="94"/>
      <c r="O1166" s="94"/>
      <c r="P1166" s="94"/>
      <c r="Q1166" s="1432"/>
    </row>
    <row r="1167" ht="15.75" customHeight="1">
      <c r="A1167" s="94"/>
      <c r="B1167" s="94"/>
      <c r="C1167" s="94"/>
      <c r="D1167" s="94"/>
      <c r="E1167" s="94"/>
      <c r="F1167" s="94"/>
      <c r="G1167" s="94"/>
      <c r="H1167" s="94"/>
      <c r="I1167" s="94"/>
      <c r="J1167" s="94"/>
      <c r="K1167" s="94"/>
      <c r="L1167" s="94"/>
      <c r="M1167" s="94">
        <f>IFERROR(__xludf.DUMMYFUNCTION("""COMPUTED_VALUE"""),0.0)</f>
        <v>0</v>
      </c>
      <c r="N1167" s="94"/>
      <c r="O1167" s="94"/>
      <c r="P1167" s="94"/>
      <c r="Q1167" s="1432"/>
    </row>
    <row r="1168" ht="15.75" customHeight="1">
      <c r="A1168" s="94"/>
      <c r="B1168" s="94"/>
      <c r="C1168" s="94"/>
      <c r="D1168" s="94"/>
      <c r="E1168" s="94"/>
      <c r="F1168" s="94"/>
      <c r="G1168" s="94"/>
      <c r="H1168" s="94"/>
      <c r="I1168" s="94"/>
      <c r="J1168" s="94"/>
      <c r="K1168" s="94"/>
      <c r="L1168" s="94"/>
      <c r="M1168" s="94">
        <f>IFERROR(__xludf.DUMMYFUNCTION("""COMPUTED_VALUE"""),0.0)</f>
        <v>0</v>
      </c>
      <c r="N1168" s="94"/>
      <c r="O1168" s="94"/>
      <c r="P1168" s="94"/>
      <c r="Q1168" s="1432"/>
    </row>
    <row r="1169" ht="15.75" customHeight="1">
      <c r="A1169" s="94"/>
      <c r="B1169" s="94"/>
      <c r="C1169" s="94"/>
      <c r="D1169" s="94"/>
      <c r="E1169" s="94"/>
      <c r="F1169" s="94"/>
      <c r="G1169" s="94"/>
      <c r="H1169" s="94"/>
      <c r="I1169" s="94"/>
      <c r="J1169" s="94"/>
      <c r="K1169" s="94"/>
      <c r="L1169" s="94"/>
      <c r="M1169" s="94">
        <f>IFERROR(__xludf.DUMMYFUNCTION("""COMPUTED_VALUE"""),0.0)</f>
        <v>0</v>
      </c>
      <c r="N1169" s="94"/>
      <c r="O1169" s="94"/>
      <c r="P1169" s="94"/>
      <c r="Q1169" s="1432"/>
    </row>
    <row r="1170" ht="15.75" customHeight="1">
      <c r="A1170" s="94"/>
      <c r="B1170" s="94"/>
      <c r="C1170" s="94"/>
      <c r="D1170" s="94"/>
      <c r="E1170" s="94"/>
      <c r="F1170" s="94"/>
      <c r="G1170" s="94"/>
      <c r="H1170" s="94"/>
      <c r="I1170" s="94"/>
      <c r="J1170" s="94"/>
      <c r="K1170" s="94"/>
      <c r="L1170" s="94"/>
      <c r="M1170" s="94">
        <f>IFERROR(__xludf.DUMMYFUNCTION("""COMPUTED_VALUE"""),0.0)</f>
        <v>0</v>
      </c>
      <c r="N1170" s="94"/>
      <c r="O1170" s="94"/>
      <c r="P1170" s="94"/>
      <c r="Q1170" s="1432"/>
    </row>
    <row r="1171" ht="15.75" customHeight="1">
      <c r="A1171" s="94"/>
      <c r="B1171" s="94"/>
      <c r="C1171" s="94"/>
      <c r="D1171" s="94"/>
      <c r="E1171" s="94"/>
      <c r="F1171" s="94"/>
      <c r="G1171" s="94"/>
      <c r="H1171" s="94"/>
      <c r="I1171" s="94"/>
      <c r="J1171" s="94"/>
      <c r="K1171" s="94"/>
      <c r="L1171" s="94"/>
      <c r="M1171" s="94">
        <f>IFERROR(__xludf.DUMMYFUNCTION("""COMPUTED_VALUE"""),0.0)</f>
        <v>0</v>
      </c>
      <c r="N1171" s="94"/>
      <c r="O1171" s="94"/>
      <c r="P1171" s="94"/>
      <c r="Q1171" s="1432"/>
    </row>
    <row r="1172" ht="15.75" customHeight="1">
      <c r="A1172" s="94"/>
      <c r="B1172" s="94"/>
      <c r="C1172" s="94"/>
      <c r="D1172" s="94"/>
      <c r="E1172" s="94"/>
      <c r="F1172" s="94"/>
      <c r="G1172" s="94"/>
      <c r="H1172" s="94"/>
      <c r="I1172" s="94"/>
      <c r="J1172" s="94"/>
      <c r="K1172" s="94"/>
      <c r="L1172" s="94"/>
      <c r="M1172" s="94">
        <f>IFERROR(__xludf.DUMMYFUNCTION("""COMPUTED_VALUE"""),0.0)</f>
        <v>0</v>
      </c>
      <c r="N1172" s="94"/>
      <c r="O1172" s="94"/>
      <c r="P1172" s="94"/>
      <c r="Q1172" s="1432"/>
    </row>
    <row r="1173" ht="15.75" customHeight="1">
      <c r="A1173" s="94"/>
      <c r="B1173" s="94"/>
      <c r="C1173" s="94"/>
      <c r="D1173" s="94"/>
      <c r="E1173" s="94"/>
      <c r="F1173" s="94"/>
      <c r="G1173" s="94"/>
      <c r="H1173" s="94"/>
      <c r="I1173" s="94"/>
      <c r="J1173" s="94"/>
      <c r="K1173" s="94"/>
      <c r="L1173" s="94"/>
      <c r="M1173" s="94">
        <f>IFERROR(__xludf.DUMMYFUNCTION("""COMPUTED_VALUE"""),0.0)</f>
        <v>0</v>
      </c>
      <c r="N1173" s="94"/>
      <c r="O1173" s="94"/>
      <c r="P1173" s="94"/>
      <c r="Q1173" s="1432"/>
    </row>
    <row r="1174" ht="15.75" customHeight="1">
      <c r="A1174" s="94"/>
      <c r="B1174" s="94"/>
      <c r="C1174" s="94"/>
      <c r="D1174" s="94"/>
      <c r="E1174" s="94"/>
      <c r="F1174" s="94"/>
      <c r="G1174" s="94"/>
      <c r="H1174" s="94"/>
      <c r="I1174" s="94"/>
      <c r="J1174" s="94"/>
      <c r="K1174" s="94"/>
      <c r="L1174" s="94"/>
      <c r="M1174" s="94">
        <f>IFERROR(__xludf.DUMMYFUNCTION("""COMPUTED_VALUE"""),0.0)</f>
        <v>0</v>
      </c>
      <c r="N1174" s="94"/>
      <c r="O1174" s="94"/>
      <c r="P1174" s="94"/>
      <c r="Q1174" s="1432"/>
    </row>
    <row r="1175" ht="15.75" customHeight="1">
      <c r="A1175" s="94"/>
      <c r="B1175" s="94"/>
      <c r="C1175" s="94"/>
      <c r="D1175" s="94"/>
      <c r="E1175" s="94"/>
      <c r="F1175" s="94"/>
      <c r="G1175" s="94"/>
      <c r="H1175" s="94"/>
      <c r="I1175" s="94"/>
      <c r="J1175" s="94"/>
      <c r="K1175" s="94"/>
      <c r="L1175" s="94"/>
      <c r="M1175" s="94">
        <f>IFERROR(__xludf.DUMMYFUNCTION("""COMPUTED_VALUE"""),0.0)</f>
        <v>0</v>
      </c>
      <c r="N1175" s="94"/>
      <c r="O1175" s="94"/>
      <c r="P1175" s="94"/>
      <c r="Q1175" s="1432"/>
    </row>
    <row r="1176" ht="15.75" customHeight="1">
      <c r="A1176" s="94"/>
      <c r="B1176" s="94"/>
      <c r="C1176" s="94"/>
      <c r="D1176" s="94"/>
      <c r="E1176" s="94"/>
      <c r="F1176" s="94"/>
      <c r="G1176" s="94"/>
      <c r="H1176" s="94"/>
      <c r="I1176" s="94"/>
      <c r="J1176" s="94"/>
      <c r="K1176" s="94"/>
      <c r="L1176" s="94"/>
      <c r="M1176" s="94">
        <f>IFERROR(__xludf.DUMMYFUNCTION("""COMPUTED_VALUE"""),0.0)</f>
        <v>0</v>
      </c>
      <c r="N1176" s="94"/>
      <c r="O1176" s="94"/>
      <c r="P1176" s="94"/>
      <c r="Q1176" s="1432"/>
    </row>
    <row r="1177" ht="15.75" customHeight="1">
      <c r="A1177" s="94"/>
      <c r="B1177" s="94"/>
      <c r="C1177" s="94"/>
      <c r="D1177" s="94"/>
      <c r="E1177" s="94"/>
      <c r="F1177" s="94"/>
      <c r="G1177" s="94"/>
      <c r="H1177" s="94"/>
      <c r="I1177" s="94"/>
      <c r="J1177" s="94"/>
      <c r="K1177" s="94"/>
      <c r="L1177" s="94"/>
      <c r="M1177" s="94">
        <f>IFERROR(__xludf.DUMMYFUNCTION("""COMPUTED_VALUE"""),0.0)</f>
        <v>0</v>
      </c>
      <c r="N1177" s="94"/>
      <c r="O1177" s="94"/>
      <c r="P1177" s="94"/>
      <c r="Q1177" s="1432"/>
    </row>
    <row r="1178" ht="15.75" customHeight="1">
      <c r="A1178" s="94"/>
      <c r="B1178" s="94"/>
      <c r="C1178" s="94"/>
      <c r="D1178" s="94"/>
      <c r="E1178" s="94"/>
      <c r="F1178" s="94"/>
      <c r="G1178" s="94"/>
      <c r="H1178" s="94"/>
      <c r="I1178" s="94"/>
      <c r="J1178" s="94"/>
      <c r="K1178" s="94"/>
      <c r="L1178" s="94"/>
      <c r="M1178" s="94">
        <f>IFERROR(__xludf.DUMMYFUNCTION("""COMPUTED_VALUE"""),0.0)</f>
        <v>0</v>
      </c>
      <c r="N1178" s="94"/>
      <c r="O1178" s="94"/>
      <c r="P1178" s="94"/>
      <c r="Q1178" s="1432"/>
    </row>
    <row r="1179" ht="15.75" customHeight="1">
      <c r="A1179" s="94"/>
      <c r="B1179" s="94"/>
      <c r="C1179" s="94"/>
      <c r="D1179" s="94"/>
      <c r="E1179" s="94"/>
      <c r="F1179" s="94"/>
      <c r="G1179" s="94"/>
      <c r="H1179" s="94"/>
      <c r="I1179" s="94"/>
      <c r="J1179" s="94"/>
      <c r="K1179" s="94"/>
      <c r="L1179" s="94"/>
      <c r="M1179" s="94">
        <f>IFERROR(__xludf.DUMMYFUNCTION("""COMPUTED_VALUE"""),0.0)</f>
        <v>0</v>
      </c>
      <c r="N1179" s="94"/>
      <c r="O1179" s="94"/>
      <c r="P1179" s="94"/>
      <c r="Q1179" s="1432"/>
    </row>
    <row r="1180" ht="15.75" customHeight="1">
      <c r="A1180" s="94"/>
      <c r="B1180" s="94"/>
      <c r="C1180" s="94"/>
      <c r="D1180" s="94"/>
      <c r="E1180" s="94"/>
      <c r="F1180" s="94"/>
      <c r="G1180" s="94"/>
      <c r="H1180" s="94"/>
      <c r="I1180" s="94"/>
      <c r="J1180" s="94"/>
      <c r="K1180" s="94"/>
      <c r="L1180" s="94"/>
      <c r="M1180" s="94">
        <f>IFERROR(__xludf.DUMMYFUNCTION("""COMPUTED_VALUE"""),0.0)</f>
        <v>0</v>
      </c>
      <c r="N1180" s="94"/>
      <c r="O1180" s="94"/>
      <c r="P1180" s="94"/>
      <c r="Q1180" s="1432"/>
    </row>
    <row r="1181" ht="15.75" customHeight="1">
      <c r="A1181" s="94"/>
      <c r="B1181" s="94"/>
      <c r="C1181" s="94"/>
      <c r="D1181" s="94"/>
      <c r="E1181" s="94"/>
      <c r="F1181" s="94"/>
      <c r="G1181" s="94"/>
      <c r="H1181" s="94"/>
      <c r="I1181" s="94"/>
      <c r="J1181" s="94"/>
      <c r="K1181" s="94"/>
      <c r="L1181" s="94"/>
      <c r="M1181" s="94">
        <f>IFERROR(__xludf.DUMMYFUNCTION("""COMPUTED_VALUE"""),0.0)</f>
        <v>0</v>
      </c>
      <c r="N1181" s="94"/>
      <c r="O1181" s="94"/>
      <c r="P1181" s="94"/>
      <c r="Q1181" s="1432"/>
    </row>
    <row r="1182" ht="15.75" customHeight="1">
      <c r="A1182" s="94"/>
      <c r="B1182" s="94"/>
      <c r="C1182" s="94"/>
      <c r="D1182" s="94"/>
      <c r="E1182" s="94"/>
      <c r="F1182" s="94"/>
      <c r="G1182" s="94"/>
      <c r="H1182" s="94"/>
      <c r="I1182" s="94"/>
      <c r="J1182" s="94"/>
      <c r="K1182" s="94"/>
      <c r="L1182" s="94"/>
      <c r="M1182" s="94">
        <f>IFERROR(__xludf.DUMMYFUNCTION("""COMPUTED_VALUE"""),0.0)</f>
        <v>0</v>
      </c>
      <c r="N1182" s="94"/>
      <c r="O1182" s="94"/>
      <c r="P1182" s="94"/>
      <c r="Q1182" s="1432"/>
    </row>
    <row r="1183" ht="15.75" customHeight="1">
      <c r="A1183" s="94"/>
      <c r="B1183" s="94"/>
      <c r="C1183" s="94"/>
      <c r="D1183" s="94"/>
      <c r="E1183" s="94"/>
      <c r="F1183" s="94"/>
      <c r="G1183" s="94"/>
      <c r="H1183" s="94"/>
      <c r="I1183" s="94"/>
      <c r="J1183" s="94"/>
      <c r="K1183" s="94"/>
      <c r="L1183" s="94"/>
      <c r="M1183" s="94">
        <f>IFERROR(__xludf.DUMMYFUNCTION("""COMPUTED_VALUE"""),0.0)</f>
        <v>0</v>
      </c>
      <c r="N1183" s="94"/>
      <c r="O1183" s="94"/>
      <c r="P1183" s="94"/>
      <c r="Q1183" s="1432"/>
    </row>
    <row r="1184" ht="15.75" customHeight="1">
      <c r="A1184" s="94"/>
      <c r="B1184" s="94"/>
      <c r="C1184" s="94"/>
      <c r="D1184" s="94"/>
      <c r="E1184" s="94"/>
      <c r="F1184" s="94"/>
      <c r="G1184" s="94"/>
      <c r="H1184" s="94"/>
      <c r="I1184" s="94"/>
      <c r="J1184" s="94"/>
      <c r="K1184" s="94"/>
      <c r="L1184" s="94"/>
      <c r="M1184" s="94">
        <f>IFERROR(__xludf.DUMMYFUNCTION("""COMPUTED_VALUE"""),0.0)</f>
        <v>0</v>
      </c>
      <c r="N1184" s="94"/>
      <c r="O1184" s="94"/>
      <c r="P1184" s="94"/>
      <c r="Q1184" s="1432"/>
    </row>
    <row r="1185" ht="15.75" customHeight="1">
      <c r="A1185" s="94"/>
      <c r="B1185" s="94"/>
      <c r="C1185" s="94"/>
      <c r="D1185" s="94"/>
      <c r="E1185" s="94"/>
      <c r="F1185" s="94"/>
      <c r="G1185" s="94"/>
      <c r="H1185" s="94"/>
      <c r="I1185" s="94"/>
      <c r="J1185" s="94"/>
      <c r="K1185" s="94"/>
      <c r="L1185" s="94"/>
      <c r="M1185" s="94">
        <f>IFERROR(__xludf.DUMMYFUNCTION("""COMPUTED_VALUE"""),0.0)</f>
        <v>0</v>
      </c>
      <c r="N1185" s="94"/>
      <c r="O1185" s="94"/>
      <c r="P1185" s="94"/>
      <c r="Q1185" s="1432"/>
    </row>
    <row r="1186" ht="15.75" customHeight="1">
      <c r="A1186" s="94"/>
      <c r="B1186" s="94"/>
      <c r="C1186" s="94"/>
      <c r="D1186" s="94"/>
      <c r="E1186" s="94"/>
      <c r="F1186" s="94"/>
      <c r="G1186" s="94"/>
      <c r="H1186" s="94"/>
      <c r="I1186" s="94"/>
      <c r="J1186" s="94"/>
      <c r="K1186" s="94"/>
      <c r="L1186" s="94"/>
      <c r="M1186" s="94">
        <f>IFERROR(__xludf.DUMMYFUNCTION("""COMPUTED_VALUE"""),0.0)</f>
        <v>0</v>
      </c>
      <c r="N1186" s="94"/>
      <c r="O1186" s="94"/>
      <c r="P1186" s="94"/>
      <c r="Q1186" s="1432"/>
    </row>
    <row r="1187" ht="15.75" customHeight="1">
      <c r="A1187" s="94"/>
      <c r="B1187" s="94"/>
      <c r="C1187" s="94"/>
      <c r="D1187" s="94"/>
      <c r="E1187" s="94"/>
      <c r="F1187" s="94"/>
      <c r="G1187" s="94"/>
      <c r="H1187" s="94"/>
      <c r="I1187" s="94"/>
      <c r="J1187" s="94"/>
      <c r="K1187" s="94"/>
      <c r="L1187" s="94"/>
      <c r="M1187" s="94">
        <f>IFERROR(__xludf.DUMMYFUNCTION("""COMPUTED_VALUE"""),0.0)</f>
        <v>0</v>
      </c>
      <c r="N1187" s="94"/>
      <c r="O1187" s="94"/>
      <c r="P1187" s="94"/>
      <c r="Q1187" s="1432"/>
    </row>
    <row r="1188" ht="15.75" customHeight="1">
      <c r="A1188" s="94"/>
      <c r="B1188" s="94"/>
      <c r="C1188" s="94"/>
      <c r="D1188" s="94"/>
      <c r="E1188" s="94"/>
      <c r="F1188" s="94"/>
      <c r="G1188" s="94"/>
      <c r="H1188" s="94"/>
      <c r="I1188" s="94"/>
      <c r="J1188" s="94"/>
      <c r="K1188" s="94"/>
      <c r="L1188" s="94"/>
      <c r="M1188" s="94">
        <f>IFERROR(__xludf.DUMMYFUNCTION("""COMPUTED_VALUE"""),0.0)</f>
        <v>0</v>
      </c>
      <c r="N1188" s="94"/>
      <c r="O1188" s="94"/>
      <c r="P1188" s="94"/>
      <c r="Q1188" s="1432"/>
    </row>
    <row r="1189" ht="15.75" customHeight="1">
      <c r="A1189" s="94"/>
      <c r="B1189" s="94"/>
      <c r="C1189" s="94"/>
      <c r="D1189" s="94"/>
      <c r="E1189" s="94"/>
      <c r="F1189" s="94"/>
      <c r="G1189" s="94"/>
      <c r="H1189" s="94"/>
      <c r="I1189" s="94"/>
      <c r="J1189" s="94"/>
      <c r="K1189" s="94"/>
      <c r="L1189" s="94"/>
      <c r="M1189" s="94">
        <f>IFERROR(__xludf.DUMMYFUNCTION("""COMPUTED_VALUE"""),0.0)</f>
        <v>0</v>
      </c>
      <c r="N1189" s="94"/>
      <c r="O1189" s="94"/>
      <c r="P1189" s="94"/>
      <c r="Q1189" s="1432"/>
    </row>
    <row r="1190" ht="15.75" customHeight="1">
      <c r="A1190" s="94"/>
      <c r="B1190" s="94"/>
      <c r="C1190" s="94"/>
      <c r="D1190" s="94"/>
      <c r="E1190" s="94"/>
      <c r="F1190" s="94"/>
      <c r="G1190" s="94"/>
      <c r="H1190" s="94"/>
      <c r="I1190" s="94"/>
      <c r="J1190" s="94"/>
      <c r="K1190" s="94"/>
      <c r="L1190" s="94"/>
      <c r="M1190" s="94">
        <f>IFERROR(__xludf.DUMMYFUNCTION("""COMPUTED_VALUE"""),0.0)</f>
        <v>0</v>
      </c>
      <c r="N1190" s="94"/>
      <c r="O1190" s="94"/>
      <c r="P1190" s="94"/>
      <c r="Q1190" s="1432"/>
    </row>
    <row r="1191" ht="15.75" customHeight="1">
      <c r="A1191" s="94"/>
      <c r="B1191" s="94"/>
      <c r="C1191" s="94"/>
      <c r="D1191" s="94"/>
      <c r="E1191" s="94"/>
      <c r="F1191" s="94"/>
      <c r="G1191" s="94"/>
      <c r="H1191" s="94"/>
      <c r="I1191" s="94"/>
      <c r="J1191" s="94"/>
      <c r="K1191" s="94"/>
      <c r="L1191" s="94"/>
      <c r="M1191" s="94">
        <f>IFERROR(__xludf.DUMMYFUNCTION("""COMPUTED_VALUE"""),0.0)</f>
        <v>0</v>
      </c>
      <c r="N1191" s="94"/>
      <c r="O1191" s="94"/>
      <c r="P1191" s="94"/>
      <c r="Q1191" s="1432"/>
    </row>
    <row r="1192" ht="15.75" customHeight="1">
      <c r="A1192" s="94"/>
      <c r="B1192" s="94"/>
      <c r="C1192" s="94"/>
      <c r="D1192" s="94"/>
      <c r="E1192" s="94"/>
      <c r="F1192" s="94"/>
      <c r="G1192" s="94"/>
      <c r="H1192" s="94"/>
      <c r="I1192" s="94"/>
      <c r="J1192" s="94"/>
      <c r="K1192" s="94"/>
      <c r="L1192" s="94"/>
      <c r="M1192" s="94">
        <f>IFERROR(__xludf.DUMMYFUNCTION("""COMPUTED_VALUE"""),0.0)</f>
        <v>0</v>
      </c>
      <c r="N1192" s="94"/>
      <c r="O1192" s="94"/>
      <c r="P1192" s="94"/>
      <c r="Q1192" s="1432"/>
    </row>
    <row r="1193" ht="15.75" customHeight="1">
      <c r="A1193" s="94"/>
      <c r="B1193" s="94"/>
      <c r="C1193" s="94"/>
      <c r="D1193" s="94"/>
      <c r="E1193" s="94"/>
      <c r="F1193" s="94"/>
      <c r="G1193" s="94"/>
      <c r="H1193" s="94"/>
      <c r="I1193" s="94"/>
      <c r="J1193" s="94"/>
      <c r="K1193" s="94"/>
      <c r="L1193" s="94"/>
      <c r="M1193" s="94">
        <f>IFERROR(__xludf.DUMMYFUNCTION("""COMPUTED_VALUE"""),0.0)</f>
        <v>0</v>
      </c>
      <c r="N1193" s="94"/>
      <c r="O1193" s="94"/>
      <c r="P1193" s="94"/>
      <c r="Q1193" s="1432"/>
    </row>
    <row r="1194" ht="15.75" customHeight="1">
      <c r="A1194" s="94"/>
      <c r="B1194" s="94"/>
      <c r="C1194" s="94"/>
      <c r="D1194" s="94"/>
      <c r="E1194" s="94"/>
      <c r="F1194" s="94"/>
      <c r="G1194" s="94"/>
      <c r="H1194" s="94"/>
      <c r="I1194" s="94"/>
      <c r="J1194" s="94"/>
      <c r="K1194" s="94"/>
      <c r="L1194" s="94"/>
      <c r="M1194" s="94"/>
      <c r="N1194" s="94"/>
      <c r="O1194" s="94"/>
      <c r="P1194" s="94"/>
      <c r="Q1194" s="1432"/>
    </row>
    <row r="1195" ht="15.75" customHeight="1">
      <c r="A1195" s="94"/>
      <c r="B1195" s="94"/>
      <c r="C1195" s="94"/>
      <c r="D1195" s="94"/>
      <c r="E1195" s="94"/>
      <c r="F1195" s="94"/>
      <c r="G1195" s="94"/>
      <c r="H1195" s="94"/>
      <c r="I1195" s="94"/>
      <c r="J1195" s="94"/>
      <c r="K1195" s="94"/>
      <c r="L1195" s="94"/>
      <c r="M1195" s="94"/>
      <c r="N1195" s="94"/>
      <c r="O1195" s="94"/>
      <c r="P1195" s="94"/>
      <c r="Q1195" s="1432"/>
    </row>
    <row r="1196" ht="15.75" customHeight="1">
      <c r="A1196" s="94"/>
      <c r="B1196" s="94"/>
      <c r="C1196" s="94"/>
      <c r="D1196" s="94"/>
      <c r="E1196" s="94"/>
      <c r="F1196" s="94"/>
      <c r="G1196" s="94"/>
      <c r="H1196" s="94"/>
      <c r="I1196" s="94"/>
      <c r="J1196" s="94"/>
      <c r="K1196" s="94"/>
      <c r="L1196" s="94"/>
      <c r="M1196" s="94"/>
      <c r="N1196" s="94"/>
      <c r="O1196" s="94"/>
      <c r="P1196" s="94"/>
      <c r="Q1196" s="1432"/>
    </row>
    <row r="1197" ht="15.75" customHeight="1">
      <c r="A1197" s="94"/>
      <c r="B1197" s="94"/>
      <c r="C1197" s="94"/>
      <c r="D1197" s="94"/>
      <c r="E1197" s="94"/>
      <c r="F1197" s="94"/>
      <c r="G1197" s="94"/>
      <c r="H1197" s="94"/>
      <c r="I1197" s="94"/>
      <c r="J1197" s="94"/>
      <c r="K1197" s="94"/>
      <c r="L1197" s="94"/>
      <c r="M1197" s="94"/>
      <c r="N1197" s="94"/>
      <c r="O1197" s="94"/>
      <c r="P1197" s="94"/>
      <c r="Q1197" s="1432"/>
    </row>
    <row r="1198" ht="15.75" customHeight="1">
      <c r="A1198" s="94"/>
      <c r="B1198" s="94"/>
      <c r="C1198" s="94"/>
      <c r="D1198" s="94"/>
      <c r="E1198" s="94"/>
      <c r="F1198" s="94"/>
      <c r="G1198" s="94"/>
      <c r="H1198" s="94"/>
      <c r="I1198" s="94"/>
      <c r="J1198" s="94"/>
      <c r="K1198" s="94"/>
      <c r="L1198" s="94"/>
      <c r="M1198" s="94"/>
      <c r="N1198" s="94"/>
      <c r="O1198" s="94"/>
      <c r="P1198" s="94"/>
      <c r="Q1198" s="1432"/>
    </row>
    <row r="1199" ht="15.75" customHeight="1">
      <c r="A1199" s="94"/>
      <c r="B1199" s="94"/>
      <c r="C1199" s="94"/>
      <c r="D1199" s="94"/>
      <c r="E1199" s="94"/>
      <c r="F1199" s="94"/>
      <c r="G1199" s="94"/>
      <c r="H1199" s="94"/>
      <c r="I1199" s="94"/>
      <c r="J1199" s="94"/>
      <c r="K1199" s="94"/>
      <c r="L1199" s="94"/>
      <c r="M1199" s="94"/>
      <c r="N1199" s="94"/>
      <c r="O1199" s="94"/>
      <c r="P1199" s="94"/>
      <c r="Q1199" s="1432"/>
    </row>
    <row r="1200" ht="15.75" customHeight="1">
      <c r="A1200" s="94"/>
      <c r="B1200" s="94"/>
      <c r="C1200" s="94"/>
      <c r="D1200" s="94"/>
      <c r="E1200" s="94"/>
      <c r="F1200" s="94"/>
      <c r="G1200" s="94"/>
      <c r="H1200" s="94"/>
      <c r="I1200" s="94"/>
      <c r="J1200" s="94"/>
      <c r="K1200" s="94"/>
      <c r="L1200" s="94"/>
      <c r="M1200" s="94"/>
      <c r="N1200" s="94"/>
      <c r="O1200" s="94"/>
      <c r="P1200" s="94"/>
      <c r="Q1200" s="1432"/>
    </row>
    <row r="1201" ht="15.75" customHeight="1">
      <c r="A1201" s="94"/>
      <c r="B1201" s="94"/>
      <c r="C1201" s="94"/>
      <c r="D1201" s="94"/>
      <c r="E1201" s="94"/>
      <c r="F1201" s="94"/>
      <c r="G1201" s="94"/>
      <c r="H1201" s="94"/>
      <c r="I1201" s="94"/>
      <c r="J1201" s="94"/>
      <c r="K1201" s="94"/>
      <c r="L1201" s="94"/>
      <c r="M1201" s="94"/>
      <c r="N1201" s="94"/>
      <c r="O1201" s="94"/>
      <c r="P1201" s="94"/>
      <c r="Q1201" s="1432"/>
    </row>
    <row r="1202" ht="15.75" customHeight="1">
      <c r="A1202" s="94"/>
      <c r="B1202" s="94"/>
      <c r="C1202" s="94"/>
      <c r="D1202" s="94"/>
      <c r="E1202" s="94"/>
      <c r="F1202" s="94"/>
      <c r="G1202" s="94"/>
      <c r="H1202" s="94"/>
      <c r="I1202" s="94"/>
      <c r="J1202" s="94"/>
      <c r="K1202" s="94"/>
      <c r="L1202" s="94"/>
      <c r="M1202" s="94"/>
      <c r="N1202" s="94"/>
      <c r="O1202" s="94"/>
      <c r="P1202" s="94"/>
      <c r="Q1202" s="1432"/>
    </row>
    <row r="1203" ht="15.75" customHeight="1">
      <c r="A1203" s="94"/>
      <c r="B1203" s="94"/>
      <c r="C1203" s="94"/>
      <c r="D1203" s="94"/>
      <c r="E1203" s="94"/>
      <c r="F1203" s="94"/>
      <c r="G1203" s="94"/>
      <c r="H1203" s="94"/>
      <c r="I1203" s="94"/>
      <c r="J1203" s="94"/>
      <c r="K1203" s="94"/>
      <c r="L1203" s="94"/>
      <c r="M1203" s="94"/>
      <c r="N1203" s="94"/>
      <c r="O1203" s="94"/>
      <c r="P1203" s="94"/>
      <c r="Q1203" s="1432"/>
    </row>
    <row r="1204" ht="15.75" customHeight="1">
      <c r="A1204" s="94"/>
      <c r="B1204" s="94"/>
      <c r="C1204" s="94"/>
      <c r="D1204" s="94"/>
      <c r="E1204" s="94"/>
      <c r="F1204" s="94"/>
      <c r="G1204" s="94"/>
      <c r="H1204" s="94"/>
      <c r="I1204" s="94"/>
      <c r="J1204" s="94"/>
      <c r="K1204" s="94"/>
      <c r="L1204" s="94"/>
      <c r="M1204" s="94"/>
      <c r="N1204" s="94"/>
      <c r="O1204" s="94"/>
      <c r="P1204" s="94"/>
      <c r="Q1204" s="1432"/>
    </row>
    <row r="1205" ht="15.75" customHeight="1">
      <c r="A1205" s="94"/>
      <c r="B1205" s="94"/>
      <c r="C1205" s="94"/>
      <c r="D1205" s="94"/>
      <c r="E1205" s="94"/>
      <c r="F1205" s="94"/>
      <c r="G1205" s="94"/>
      <c r="H1205" s="94"/>
      <c r="I1205" s="94"/>
      <c r="J1205" s="94"/>
      <c r="K1205" s="94"/>
      <c r="L1205" s="94"/>
      <c r="M1205" s="94"/>
      <c r="N1205" s="94"/>
      <c r="O1205" s="94"/>
      <c r="P1205" s="94"/>
      <c r="Q1205" s="1432"/>
    </row>
    <row r="1206" ht="15.75" customHeight="1">
      <c r="A1206" s="94"/>
      <c r="B1206" s="94"/>
      <c r="C1206" s="94"/>
      <c r="D1206" s="94"/>
      <c r="E1206" s="94"/>
      <c r="F1206" s="94"/>
      <c r="G1206" s="94"/>
      <c r="H1206" s="94"/>
      <c r="I1206" s="94"/>
      <c r="J1206" s="94"/>
      <c r="K1206" s="94"/>
      <c r="L1206" s="94"/>
      <c r="M1206" s="94"/>
      <c r="N1206" s="94"/>
      <c r="O1206" s="94"/>
      <c r="P1206" s="94"/>
      <c r="Q1206" s="1432"/>
    </row>
    <row r="1207" ht="15.75" customHeight="1">
      <c r="A1207" s="94"/>
      <c r="B1207" s="94"/>
      <c r="C1207" s="94"/>
      <c r="D1207" s="94"/>
      <c r="E1207" s="94"/>
      <c r="F1207" s="94"/>
      <c r="G1207" s="94"/>
      <c r="H1207" s="94"/>
      <c r="I1207" s="94"/>
      <c r="J1207" s="94"/>
      <c r="K1207" s="94"/>
      <c r="L1207" s="94"/>
      <c r="M1207" s="94"/>
      <c r="N1207" s="94"/>
      <c r="O1207" s="94"/>
      <c r="P1207" s="94"/>
      <c r="Q1207" s="1432"/>
    </row>
    <row r="1208" ht="15.75" customHeight="1">
      <c r="A1208" s="94"/>
      <c r="B1208" s="94"/>
      <c r="C1208" s="94"/>
      <c r="D1208" s="94"/>
      <c r="E1208" s="94"/>
      <c r="F1208" s="94"/>
      <c r="G1208" s="94"/>
      <c r="H1208" s="94"/>
      <c r="I1208" s="94"/>
      <c r="J1208" s="94"/>
      <c r="K1208" s="94"/>
      <c r="L1208" s="94"/>
      <c r="M1208" s="94"/>
      <c r="N1208" s="94"/>
      <c r="O1208" s="94"/>
      <c r="P1208" s="94"/>
      <c r="Q1208" s="1432"/>
    </row>
    <row r="1209" ht="15.75" customHeight="1">
      <c r="A1209" s="94"/>
      <c r="B1209" s="94"/>
      <c r="C1209" s="94"/>
      <c r="D1209" s="94"/>
      <c r="E1209" s="94"/>
      <c r="F1209" s="94"/>
      <c r="G1209" s="94"/>
      <c r="H1209" s="94"/>
      <c r="I1209" s="94"/>
      <c r="J1209" s="94"/>
      <c r="K1209" s="94"/>
      <c r="L1209" s="94"/>
      <c r="M1209" s="94"/>
      <c r="N1209" s="94"/>
      <c r="O1209" s="94"/>
      <c r="P1209" s="94"/>
      <c r="Q1209" s="1432"/>
    </row>
    <row r="1210" ht="15.75" customHeight="1">
      <c r="A1210" s="94"/>
      <c r="B1210" s="94"/>
      <c r="C1210" s="94"/>
      <c r="D1210" s="94"/>
      <c r="E1210" s="94"/>
      <c r="F1210" s="94"/>
      <c r="G1210" s="94"/>
      <c r="H1210" s="94"/>
      <c r="I1210" s="94"/>
      <c r="J1210" s="94"/>
      <c r="K1210" s="94"/>
      <c r="L1210" s="94"/>
      <c r="M1210" s="94"/>
      <c r="N1210" s="94"/>
      <c r="O1210" s="94"/>
      <c r="P1210" s="94"/>
      <c r="Q1210" s="1432"/>
    </row>
    <row r="1211" ht="15.75" customHeight="1">
      <c r="A1211" s="94"/>
      <c r="B1211" s="94"/>
      <c r="C1211" s="94"/>
      <c r="D1211" s="94"/>
      <c r="E1211" s="94"/>
      <c r="F1211" s="94"/>
      <c r="G1211" s="94"/>
      <c r="H1211" s="94"/>
      <c r="I1211" s="94"/>
      <c r="J1211" s="94"/>
      <c r="K1211" s="94"/>
      <c r="L1211" s="94"/>
      <c r="M1211" s="94"/>
      <c r="N1211" s="94"/>
      <c r="O1211" s="94"/>
      <c r="P1211" s="94"/>
      <c r="Q1211" s="1432"/>
    </row>
    <row r="1212" ht="15.75" customHeight="1">
      <c r="A1212" s="94"/>
      <c r="B1212" s="94"/>
      <c r="C1212" s="94"/>
      <c r="D1212" s="94"/>
      <c r="E1212" s="94"/>
      <c r="F1212" s="94"/>
      <c r="G1212" s="94"/>
      <c r="H1212" s="94"/>
      <c r="I1212" s="94"/>
      <c r="J1212" s="94"/>
      <c r="K1212" s="94"/>
      <c r="L1212" s="94"/>
      <c r="M1212" s="94"/>
      <c r="N1212" s="94"/>
      <c r="O1212" s="94"/>
      <c r="P1212" s="94"/>
      <c r="Q1212" s="1432"/>
    </row>
    <row r="1213" ht="15.75" customHeight="1">
      <c r="A1213" s="94"/>
      <c r="B1213" s="94"/>
      <c r="C1213" s="94"/>
      <c r="D1213" s="94"/>
      <c r="E1213" s="94"/>
      <c r="F1213" s="94"/>
      <c r="G1213" s="94"/>
      <c r="H1213" s="94"/>
      <c r="I1213" s="94"/>
      <c r="J1213" s="94"/>
      <c r="K1213" s="94"/>
      <c r="L1213" s="94"/>
      <c r="M1213" s="94"/>
      <c r="N1213" s="94"/>
      <c r="O1213" s="94"/>
      <c r="P1213" s="94"/>
      <c r="Q1213" s="1432"/>
    </row>
    <row r="1214" ht="15.75" customHeight="1">
      <c r="A1214" s="94"/>
      <c r="B1214" s="94"/>
      <c r="C1214" s="94"/>
      <c r="D1214" s="94"/>
      <c r="E1214" s="94"/>
      <c r="F1214" s="94"/>
      <c r="G1214" s="94"/>
      <c r="H1214" s="94"/>
      <c r="I1214" s="94"/>
      <c r="J1214" s="94"/>
      <c r="K1214" s="94"/>
      <c r="L1214" s="94"/>
      <c r="M1214" s="94"/>
      <c r="N1214" s="94"/>
      <c r="O1214" s="94"/>
      <c r="P1214" s="94"/>
      <c r="Q1214" s="1432"/>
    </row>
    <row r="1215" ht="15.75" customHeight="1">
      <c r="A1215" s="94"/>
      <c r="B1215" s="94"/>
      <c r="C1215" s="94"/>
      <c r="D1215" s="94"/>
      <c r="E1215" s="94"/>
      <c r="F1215" s="94"/>
      <c r="G1215" s="94"/>
      <c r="H1215" s="94"/>
      <c r="I1215" s="94"/>
      <c r="J1215" s="94"/>
      <c r="K1215" s="94"/>
      <c r="L1215" s="94"/>
      <c r="M1215" s="94"/>
      <c r="N1215" s="94"/>
      <c r="O1215" s="94"/>
      <c r="P1215" s="94"/>
      <c r="Q1215" s="1432"/>
    </row>
    <row r="1216" ht="15.75" customHeight="1">
      <c r="A1216" s="94"/>
      <c r="B1216" s="94"/>
      <c r="C1216" s="94"/>
      <c r="D1216" s="94"/>
      <c r="E1216" s="94"/>
      <c r="F1216" s="94"/>
      <c r="G1216" s="94"/>
      <c r="H1216" s="94"/>
      <c r="I1216" s="94"/>
      <c r="J1216" s="94"/>
      <c r="K1216" s="94"/>
      <c r="L1216" s="94"/>
      <c r="M1216" s="94"/>
      <c r="N1216" s="94"/>
      <c r="O1216" s="94"/>
      <c r="P1216" s="94"/>
      <c r="Q1216" s="1432"/>
    </row>
    <row r="1217" ht="15.75" customHeight="1">
      <c r="A1217" s="94"/>
      <c r="B1217" s="94"/>
      <c r="C1217" s="94"/>
      <c r="D1217" s="94"/>
      <c r="E1217" s="94"/>
      <c r="F1217" s="94"/>
      <c r="G1217" s="94"/>
      <c r="H1217" s="94"/>
      <c r="I1217" s="94"/>
      <c r="J1217" s="94"/>
      <c r="K1217" s="94"/>
      <c r="L1217" s="94"/>
      <c r="M1217" s="94"/>
      <c r="N1217" s="94"/>
      <c r="O1217" s="94"/>
      <c r="P1217" s="94"/>
      <c r="Q1217" s="1432"/>
    </row>
    <row r="1218" ht="15.75" customHeight="1">
      <c r="A1218" s="94"/>
      <c r="B1218" s="94"/>
      <c r="C1218" s="94"/>
      <c r="D1218" s="94"/>
      <c r="E1218" s="94"/>
      <c r="F1218" s="94"/>
      <c r="G1218" s="94"/>
      <c r="H1218" s="94"/>
      <c r="I1218" s="94"/>
      <c r="J1218" s="94"/>
      <c r="K1218" s="94"/>
      <c r="L1218" s="94"/>
      <c r="M1218" s="94"/>
      <c r="N1218" s="94"/>
      <c r="O1218" s="94"/>
      <c r="P1218" s="94"/>
      <c r="Q1218" s="1432"/>
    </row>
    <row r="1219" ht="15.75" customHeight="1">
      <c r="A1219" s="94"/>
      <c r="B1219" s="94"/>
      <c r="C1219" s="94"/>
      <c r="D1219" s="94"/>
      <c r="E1219" s="94"/>
      <c r="F1219" s="94"/>
      <c r="G1219" s="94"/>
      <c r="H1219" s="94"/>
      <c r="I1219" s="94"/>
      <c r="J1219" s="94"/>
      <c r="K1219" s="94"/>
      <c r="L1219" s="94"/>
      <c r="M1219" s="94"/>
      <c r="N1219" s="94"/>
      <c r="O1219" s="94"/>
      <c r="P1219" s="94"/>
      <c r="Q1219" s="1432"/>
    </row>
    <row r="1220" ht="15.75" customHeight="1">
      <c r="A1220" s="94"/>
      <c r="B1220" s="94"/>
      <c r="C1220" s="94"/>
      <c r="D1220" s="94"/>
      <c r="E1220" s="94"/>
      <c r="F1220" s="94"/>
      <c r="G1220" s="94"/>
      <c r="H1220" s="94"/>
      <c r="I1220" s="94"/>
      <c r="J1220" s="94"/>
      <c r="K1220" s="94"/>
      <c r="L1220" s="94"/>
      <c r="M1220" s="94"/>
      <c r="N1220" s="94"/>
      <c r="O1220" s="94"/>
      <c r="P1220" s="94"/>
      <c r="Q1220" s="1432"/>
    </row>
    <row r="1221" ht="15.75" customHeight="1">
      <c r="A1221" s="94"/>
      <c r="B1221" s="94"/>
      <c r="C1221" s="94"/>
      <c r="D1221" s="94"/>
      <c r="E1221" s="94"/>
      <c r="F1221" s="94"/>
      <c r="G1221" s="94"/>
      <c r="H1221" s="94"/>
      <c r="I1221" s="94"/>
      <c r="J1221" s="94"/>
      <c r="K1221" s="94"/>
      <c r="L1221" s="94"/>
      <c r="M1221" s="94"/>
      <c r="N1221" s="94"/>
      <c r="O1221" s="94"/>
      <c r="P1221" s="94"/>
      <c r="Q1221" s="1432"/>
    </row>
    <row r="1222" ht="15.75" customHeight="1">
      <c r="A1222" s="94"/>
      <c r="B1222" s="94"/>
      <c r="C1222" s="94"/>
      <c r="D1222" s="94"/>
      <c r="E1222" s="94"/>
      <c r="F1222" s="94"/>
      <c r="G1222" s="94"/>
      <c r="H1222" s="94"/>
      <c r="I1222" s="94"/>
      <c r="J1222" s="94"/>
      <c r="K1222" s="94"/>
      <c r="L1222" s="94"/>
      <c r="M1222" s="94"/>
      <c r="N1222" s="94"/>
      <c r="O1222" s="94"/>
      <c r="P1222" s="94"/>
      <c r="Q1222" s="1432"/>
    </row>
    <row r="1223" ht="15.75" customHeight="1">
      <c r="A1223" s="94"/>
      <c r="B1223" s="94"/>
      <c r="C1223" s="94"/>
      <c r="D1223" s="94"/>
      <c r="E1223" s="94"/>
      <c r="F1223" s="94"/>
      <c r="G1223" s="94"/>
      <c r="H1223" s="94"/>
      <c r="I1223" s="94"/>
      <c r="J1223" s="94"/>
      <c r="K1223" s="94"/>
      <c r="L1223" s="94"/>
      <c r="M1223" s="94"/>
      <c r="N1223" s="94"/>
      <c r="O1223" s="94"/>
      <c r="P1223" s="94"/>
      <c r="Q1223" s="1432"/>
    </row>
    <row r="1224" ht="15.75" customHeight="1">
      <c r="A1224" s="94"/>
      <c r="B1224" s="94"/>
      <c r="C1224" s="94"/>
      <c r="D1224" s="94"/>
      <c r="E1224" s="94"/>
      <c r="F1224" s="94"/>
      <c r="G1224" s="94"/>
      <c r="H1224" s="94"/>
      <c r="I1224" s="94"/>
      <c r="J1224" s="94"/>
      <c r="K1224" s="94"/>
      <c r="L1224" s="94"/>
      <c r="M1224" s="94"/>
      <c r="N1224" s="94"/>
      <c r="O1224" s="94"/>
      <c r="P1224" s="94"/>
      <c r="Q1224" s="1432"/>
    </row>
    <row r="1225" ht="15.75" customHeight="1">
      <c r="A1225" s="94"/>
      <c r="B1225" s="94"/>
      <c r="C1225" s="94"/>
      <c r="D1225" s="94"/>
      <c r="E1225" s="94"/>
      <c r="F1225" s="94"/>
      <c r="G1225" s="94"/>
      <c r="H1225" s="94"/>
      <c r="I1225" s="94"/>
      <c r="J1225" s="94"/>
      <c r="K1225" s="94"/>
      <c r="L1225" s="94"/>
      <c r="M1225" s="94"/>
      <c r="N1225" s="94"/>
      <c r="O1225" s="94"/>
      <c r="P1225" s="94"/>
      <c r="Q1225" s="1432"/>
    </row>
    <row r="1226" ht="15.75" customHeight="1">
      <c r="A1226" s="94"/>
      <c r="B1226" s="94"/>
      <c r="C1226" s="94"/>
      <c r="D1226" s="94"/>
      <c r="E1226" s="94"/>
      <c r="F1226" s="94"/>
      <c r="G1226" s="94"/>
      <c r="H1226" s="94"/>
      <c r="I1226" s="94"/>
      <c r="J1226" s="94"/>
      <c r="K1226" s="94"/>
      <c r="L1226" s="94"/>
      <c r="M1226" s="94"/>
      <c r="N1226" s="94"/>
      <c r="O1226" s="94"/>
      <c r="P1226" s="94"/>
      <c r="Q1226" s="1432"/>
    </row>
    <row r="1227" ht="15.75" customHeight="1">
      <c r="A1227" s="94"/>
      <c r="B1227" s="94"/>
      <c r="C1227" s="94"/>
      <c r="D1227" s="94"/>
      <c r="E1227" s="94"/>
      <c r="F1227" s="94"/>
      <c r="G1227" s="94"/>
      <c r="H1227" s="94"/>
      <c r="I1227" s="94"/>
      <c r="J1227" s="94"/>
      <c r="K1227" s="94"/>
      <c r="L1227" s="94"/>
      <c r="M1227" s="94"/>
      <c r="N1227" s="94"/>
      <c r="O1227" s="94"/>
      <c r="P1227" s="94"/>
      <c r="Q1227" s="1432"/>
    </row>
    <row r="1228" ht="15.75" customHeight="1">
      <c r="A1228" s="94"/>
      <c r="B1228" s="94"/>
      <c r="C1228" s="94"/>
      <c r="D1228" s="94"/>
      <c r="E1228" s="94"/>
      <c r="F1228" s="94"/>
      <c r="G1228" s="94"/>
      <c r="H1228" s="94"/>
      <c r="I1228" s="94"/>
      <c r="J1228" s="94"/>
      <c r="K1228" s="94"/>
      <c r="L1228" s="94"/>
      <c r="M1228" s="94"/>
      <c r="N1228" s="94"/>
      <c r="O1228" s="94"/>
      <c r="P1228" s="94"/>
      <c r="Q1228" s="1432"/>
    </row>
    <row r="1229" ht="15.75" customHeight="1">
      <c r="A1229" s="94"/>
      <c r="B1229" s="94"/>
      <c r="C1229" s="94"/>
      <c r="D1229" s="94"/>
      <c r="E1229" s="94"/>
      <c r="F1229" s="94"/>
      <c r="G1229" s="94"/>
      <c r="H1229" s="94"/>
      <c r="I1229" s="94"/>
      <c r="J1229" s="94"/>
      <c r="K1229" s="94"/>
      <c r="L1229" s="94"/>
      <c r="M1229" s="94"/>
      <c r="N1229" s="94"/>
      <c r="O1229" s="94"/>
      <c r="P1229" s="94"/>
      <c r="Q1229" s="1432"/>
    </row>
    <row r="1230" ht="15.75" customHeight="1">
      <c r="A1230" s="94"/>
      <c r="B1230" s="94"/>
      <c r="C1230" s="94"/>
      <c r="D1230" s="94"/>
      <c r="E1230" s="94"/>
      <c r="F1230" s="94"/>
      <c r="G1230" s="94"/>
      <c r="H1230" s="94"/>
      <c r="I1230" s="94"/>
      <c r="J1230" s="94"/>
      <c r="K1230" s="94"/>
      <c r="L1230" s="94"/>
      <c r="M1230" s="94"/>
      <c r="N1230" s="94"/>
      <c r="O1230" s="94"/>
      <c r="P1230" s="94"/>
      <c r="Q1230" s="1432"/>
    </row>
    <row r="1231" ht="15.75" customHeight="1">
      <c r="A1231" s="94"/>
      <c r="B1231" s="94"/>
      <c r="C1231" s="94"/>
      <c r="D1231" s="94"/>
      <c r="E1231" s="94"/>
      <c r="F1231" s="94"/>
      <c r="G1231" s="94"/>
      <c r="H1231" s="94"/>
      <c r="I1231" s="94"/>
      <c r="J1231" s="94"/>
      <c r="K1231" s="94"/>
      <c r="L1231" s="94"/>
      <c r="M1231" s="94"/>
      <c r="N1231" s="94"/>
      <c r="O1231" s="94"/>
      <c r="P1231" s="94"/>
      <c r="Q1231" s="1432"/>
    </row>
    <row r="1232" ht="15.75" customHeight="1">
      <c r="A1232" s="94"/>
      <c r="B1232" s="94"/>
      <c r="C1232" s="94"/>
      <c r="D1232" s="94"/>
      <c r="E1232" s="94"/>
      <c r="F1232" s="94"/>
      <c r="G1232" s="94"/>
      <c r="H1232" s="94"/>
      <c r="I1232" s="94"/>
      <c r="J1232" s="94"/>
      <c r="K1232" s="94"/>
      <c r="L1232" s="94"/>
      <c r="M1232" s="94"/>
      <c r="N1232" s="94"/>
      <c r="O1232" s="94"/>
      <c r="P1232" s="94"/>
      <c r="Q1232" s="1432"/>
    </row>
    <row r="1233" ht="15.75" customHeight="1">
      <c r="A1233" s="94"/>
      <c r="B1233" s="94"/>
      <c r="C1233" s="94"/>
      <c r="D1233" s="94"/>
      <c r="E1233" s="94"/>
      <c r="F1233" s="94"/>
      <c r="G1233" s="94"/>
      <c r="H1233" s="94"/>
      <c r="I1233" s="94"/>
      <c r="J1233" s="94"/>
      <c r="K1233" s="94"/>
      <c r="L1233" s="94"/>
      <c r="M1233" s="94"/>
      <c r="N1233" s="94"/>
      <c r="O1233" s="94"/>
      <c r="P1233" s="94"/>
      <c r="Q1233" s="1432"/>
    </row>
    <row r="1234" ht="15.75" customHeight="1">
      <c r="A1234" s="94"/>
      <c r="B1234" s="94"/>
      <c r="C1234" s="94"/>
      <c r="D1234" s="94"/>
      <c r="E1234" s="94"/>
      <c r="F1234" s="94"/>
      <c r="G1234" s="94"/>
      <c r="H1234" s="94"/>
      <c r="I1234" s="94"/>
      <c r="J1234" s="94"/>
      <c r="K1234" s="94"/>
      <c r="L1234" s="94"/>
      <c r="M1234" s="94"/>
      <c r="N1234" s="94"/>
      <c r="O1234" s="94"/>
      <c r="P1234" s="94"/>
      <c r="Q1234" s="1432"/>
    </row>
    <row r="1235" ht="15.75" customHeight="1">
      <c r="A1235" s="94"/>
      <c r="B1235" s="94"/>
      <c r="C1235" s="94"/>
      <c r="D1235" s="94"/>
      <c r="E1235" s="94"/>
      <c r="F1235" s="94"/>
      <c r="G1235" s="94"/>
      <c r="H1235" s="94"/>
      <c r="I1235" s="94"/>
      <c r="J1235" s="94"/>
      <c r="K1235" s="94"/>
      <c r="L1235" s="94"/>
      <c r="M1235" s="94"/>
      <c r="N1235" s="94"/>
      <c r="O1235" s="94"/>
      <c r="P1235" s="94"/>
      <c r="Q1235" s="1432"/>
    </row>
    <row r="1236" ht="15.75" customHeight="1">
      <c r="A1236" s="94"/>
      <c r="B1236" s="94"/>
      <c r="C1236" s="94"/>
      <c r="D1236" s="94"/>
      <c r="E1236" s="94"/>
      <c r="F1236" s="94"/>
      <c r="G1236" s="94"/>
      <c r="H1236" s="94"/>
      <c r="I1236" s="94"/>
      <c r="J1236" s="94"/>
      <c r="K1236" s="94"/>
      <c r="L1236" s="94"/>
      <c r="M1236" s="94"/>
      <c r="N1236" s="94"/>
      <c r="O1236" s="94"/>
      <c r="P1236" s="94"/>
      <c r="Q1236" s="1432"/>
    </row>
    <row r="1237" ht="15.75" customHeight="1">
      <c r="A1237" s="94"/>
      <c r="B1237" s="94"/>
      <c r="C1237" s="94"/>
      <c r="D1237" s="94"/>
      <c r="E1237" s="94"/>
      <c r="F1237" s="94"/>
      <c r="G1237" s="94"/>
      <c r="H1237" s="94"/>
      <c r="I1237" s="94"/>
      <c r="J1237" s="94"/>
      <c r="K1237" s="94"/>
      <c r="L1237" s="94"/>
      <c r="M1237" s="94"/>
      <c r="N1237" s="94"/>
      <c r="O1237" s="94"/>
      <c r="P1237" s="94"/>
      <c r="Q1237" s="1432"/>
    </row>
    <row r="1238" ht="15.75" customHeight="1">
      <c r="A1238" s="94"/>
      <c r="B1238" s="94"/>
      <c r="C1238" s="94"/>
      <c r="D1238" s="94"/>
      <c r="E1238" s="94"/>
      <c r="F1238" s="94"/>
      <c r="G1238" s="94"/>
      <c r="H1238" s="94"/>
      <c r="I1238" s="94"/>
      <c r="J1238" s="94"/>
      <c r="K1238" s="94"/>
      <c r="L1238" s="94"/>
      <c r="M1238" s="94"/>
      <c r="N1238" s="94"/>
      <c r="O1238" s="94"/>
      <c r="P1238" s="94"/>
      <c r="Q1238" s="1432"/>
    </row>
    <row r="1239" ht="15.75" customHeight="1">
      <c r="A1239" s="94"/>
      <c r="B1239" s="94"/>
      <c r="C1239" s="94"/>
      <c r="D1239" s="94"/>
      <c r="E1239" s="94"/>
      <c r="F1239" s="94"/>
      <c r="G1239" s="94"/>
      <c r="H1239" s="94"/>
      <c r="I1239" s="94"/>
      <c r="J1239" s="94"/>
      <c r="K1239" s="94"/>
      <c r="L1239" s="94"/>
      <c r="M1239" s="94"/>
      <c r="N1239" s="94"/>
      <c r="O1239" s="94"/>
      <c r="P1239" s="94"/>
      <c r="Q1239" s="1432"/>
    </row>
    <row r="1240" ht="15.75" customHeight="1">
      <c r="A1240" s="94"/>
      <c r="B1240" s="94"/>
      <c r="C1240" s="94"/>
      <c r="D1240" s="94"/>
      <c r="E1240" s="94"/>
      <c r="F1240" s="94"/>
      <c r="G1240" s="94"/>
      <c r="H1240" s="94"/>
      <c r="I1240" s="94"/>
      <c r="J1240" s="94"/>
      <c r="K1240" s="94"/>
      <c r="L1240" s="94"/>
      <c r="M1240" s="94"/>
      <c r="N1240" s="94"/>
      <c r="O1240" s="94"/>
      <c r="P1240" s="94"/>
      <c r="Q1240" s="1432"/>
    </row>
    <row r="1241" ht="15.75" customHeight="1">
      <c r="A1241" s="94"/>
      <c r="B1241" s="94"/>
      <c r="C1241" s="94"/>
      <c r="D1241" s="94"/>
      <c r="E1241" s="94"/>
      <c r="F1241" s="94"/>
      <c r="G1241" s="94"/>
      <c r="H1241" s="94"/>
      <c r="I1241" s="94"/>
      <c r="J1241" s="94"/>
      <c r="K1241" s="94"/>
      <c r="L1241" s="94"/>
      <c r="M1241" s="94"/>
      <c r="N1241" s="94"/>
      <c r="O1241" s="94"/>
      <c r="P1241" s="94"/>
      <c r="Q1241" s="1432"/>
    </row>
    <row r="1242" ht="15.75" customHeight="1">
      <c r="A1242" s="94"/>
      <c r="B1242" s="94"/>
      <c r="C1242" s="94"/>
      <c r="D1242" s="94"/>
      <c r="E1242" s="94"/>
      <c r="F1242" s="94"/>
      <c r="G1242" s="94"/>
      <c r="H1242" s="94"/>
      <c r="I1242" s="94"/>
      <c r="J1242" s="94"/>
      <c r="K1242" s="94"/>
      <c r="L1242" s="94"/>
      <c r="M1242" s="94"/>
      <c r="N1242" s="94"/>
      <c r="O1242" s="94"/>
      <c r="P1242" s="94"/>
      <c r="Q1242" s="1432"/>
    </row>
    <row r="1243" ht="15.75" customHeight="1">
      <c r="A1243" s="94"/>
      <c r="B1243" s="94"/>
      <c r="C1243" s="94"/>
      <c r="D1243" s="94"/>
      <c r="E1243" s="94"/>
      <c r="F1243" s="94"/>
      <c r="G1243" s="94"/>
      <c r="H1243" s="94"/>
      <c r="I1243" s="94"/>
      <c r="J1243" s="94"/>
      <c r="K1243" s="94"/>
      <c r="L1243" s="94"/>
      <c r="M1243" s="94"/>
      <c r="N1243" s="94"/>
      <c r="O1243" s="94"/>
      <c r="P1243" s="94"/>
      <c r="Q1243" s="1432"/>
    </row>
    <row r="1244" ht="15.75" customHeight="1">
      <c r="A1244" s="94"/>
      <c r="B1244" s="94"/>
      <c r="C1244" s="94"/>
      <c r="D1244" s="94"/>
      <c r="E1244" s="94"/>
      <c r="F1244" s="94"/>
      <c r="G1244" s="94"/>
      <c r="H1244" s="94"/>
      <c r="I1244" s="94"/>
      <c r="J1244" s="94"/>
      <c r="K1244" s="94"/>
      <c r="L1244" s="94"/>
      <c r="M1244" s="94"/>
      <c r="N1244" s="94"/>
      <c r="O1244" s="94"/>
      <c r="P1244" s="94"/>
      <c r="Q1244" s="1432"/>
    </row>
    <row r="1245" ht="15.75" customHeight="1">
      <c r="A1245" s="94"/>
      <c r="B1245" s="94"/>
      <c r="C1245" s="94"/>
      <c r="D1245" s="94"/>
      <c r="E1245" s="94"/>
      <c r="F1245" s="94"/>
      <c r="G1245" s="94"/>
      <c r="H1245" s="94"/>
      <c r="I1245" s="94"/>
      <c r="J1245" s="94"/>
      <c r="K1245" s="94"/>
      <c r="L1245" s="94"/>
      <c r="M1245" s="94"/>
      <c r="N1245" s="94"/>
      <c r="O1245" s="94"/>
      <c r="P1245" s="94"/>
      <c r="Q1245" s="1432"/>
    </row>
    <row r="1246" ht="15.75" customHeight="1">
      <c r="A1246" s="94"/>
      <c r="B1246" s="94"/>
      <c r="C1246" s="94"/>
      <c r="D1246" s="94"/>
      <c r="E1246" s="94"/>
      <c r="F1246" s="94"/>
      <c r="G1246" s="94"/>
      <c r="H1246" s="94"/>
      <c r="I1246" s="94"/>
      <c r="J1246" s="94"/>
      <c r="K1246" s="94"/>
      <c r="L1246" s="94"/>
      <c r="M1246" s="94"/>
      <c r="N1246" s="94"/>
      <c r="O1246" s="94"/>
      <c r="P1246" s="94"/>
      <c r="Q1246" s="1432"/>
    </row>
    <row r="1247" ht="15.75" customHeight="1">
      <c r="A1247" s="94"/>
      <c r="B1247" s="94"/>
      <c r="C1247" s="94"/>
      <c r="D1247" s="94"/>
      <c r="E1247" s="94"/>
      <c r="F1247" s="94"/>
      <c r="G1247" s="94"/>
      <c r="H1247" s="94"/>
      <c r="I1247" s="94"/>
      <c r="J1247" s="94"/>
      <c r="K1247" s="94"/>
      <c r="L1247" s="94"/>
      <c r="M1247" s="94"/>
      <c r="N1247" s="94"/>
      <c r="O1247" s="94"/>
      <c r="P1247" s="94"/>
      <c r="Q1247" s="1432"/>
    </row>
    <row r="1248" ht="15.75" customHeight="1">
      <c r="A1248" s="94"/>
      <c r="B1248" s="94"/>
      <c r="C1248" s="94"/>
      <c r="D1248" s="94"/>
      <c r="E1248" s="94"/>
      <c r="F1248" s="94"/>
      <c r="G1248" s="94"/>
      <c r="H1248" s="94"/>
      <c r="I1248" s="94"/>
      <c r="J1248" s="94"/>
      <c r="K1248" s="94"/>
      <c r="L1248" s="94"/>
      <c r="M1248" s="94"/>
      <c r="N1248" s="94"/>
      <c r="O1248" s="94"/>
      <c r="P1248" s="94"/>
      <c r="Q1248" s="1432"/>
    </row>
    <row r="1249" ht="15.75" customHeight="1">
      <c r="A1249" s="94"/>
      <c r="B1249" s="94"/>
      <c r="C1249" s="94"/>
      <c r="D1249" s="94"/>
      <c r="E1249" s="94"/>
      <c r="F1249" s="94"/>
      <c r="G1249" s="94"/>
      <c r="H1249" s="94"/>
      <c r="I1249" s="94"/>
      <c r="J1249" s="94"/>
      <c r="K1249" s="94"/>
      <c r="L1249" s="94"/>
      <c r="M1249" s="94"/>
      <c r="N1249" s="94"/>
      <c r="O1249" s="94"/>
      <c r="P1249" s="94"/>
      <c r="Q1249" s="1432"/>
    </row>
    <row r="1250" ht="15.75" customHeight="1">
      <c r="A1250" s="94"/>
      <c r="B1250" s="94"/>
      <c r="C1250" s="94"/>
      <c r="D1250" s="94"/>
      <c r="E1250" s="94"/>
      <c r="F1250" s="94"/>
      <c r="G1250" s="94"/>
      <c r="H1250" s="94"/>
      <c r="I1250" s="94"/>
      <c r="J1250" s="94"/>
      <c r="K1250" s="94"/>
      <c r="L1250" s="94"/>
      <c r="M1250" s="94"/>
      <c r="N1250" s="94"/>
      <c r="O1250" s="94"/>
      <c r="P1250" s="94"/>
      <c r="Q1250" s="1432"/>
    </row>
    <row r="1251" ht="15.75" customHeight="1">
      <c r="A1251" s="94"/>
      <c r="B1251" s="94"/>
      <c r="C1251" s="94"/>
      <c r="D1251" s="94"/>
      <c r="E1251" s="94"/>
      <c r="F1251" s="94"/>
      <c r="G1251" s="94"/>
      <c r="H1251" s="94"/>
      <c r="I1251" s="94"/>
      <c r="J1251" s="94"/>
      <c r="K1251" s="94"/>
      <c r="L1251" s="94"/>
      <c r="M1251" s="94"/>
      <c r="N1251" s="94"/>
      <c r="O1251" s="94"/>
      <c r="P1251" s="94"/>
      <c r="Q1251" s="1432"/>
    </row>
    <row r="1252" ht="15.75" customHeight="1">
      <c r="A1252" s="94"/>
      <c r="B1252" s="94"/>
      <c r="C1252" s="94"/>
      <c r="D1252" s="94"/>
      <c r="E1252" s="94"/>
      <c r="F1252" s="94"/>
      <c r="G1252" s="94"/>
      <c r="H1252" s="94"/>
      <c r="I1252" s="94"/>
      <c r="J1252" s="94"/>
      <c r="K1252" s="94"/>
      <c r="L1252" s="94"/>
      <c r="M1252" s="94"/>
      <c r="N1252" s="94"/>
      <c r="O1252" s="94"/>
      <c r="P1252" s="94"/>
      <c r="Q1252" s="1432"/>
    </row>
    <row r="1253" ht="15.75" customHeight="1">
      <c r="A1253" s="94"/>
      <c r="B1253" s="94"/>
      <c r="C1253" s="94"/>
      <c r="D1253" s="94"/>
      <c r="E1253" s="94"/>
      <c r="F1253" s="94"/>
      <c r="G1253" s="94"/>
      <c r="H1253" s="94"/>
      <c r="I1253" s="94"/>
      <c r="J1253" s="94"/>
      <c r="K1253" s="94"/>
      <c r="L1253" s="94"/>
      <c r="M1253" s="94"/>
      <c r="N1253" s="94"/>
      <c r="O1253" s="94"/>
      <c r="P1253" s="94"/>
      <c r="Q1253" s="1432"/>
    </row>
    <row r="1254" ht="15.75" customHeight="1">
      <c r="A1254" s="94"/>
      <c r="B1254" s="94"/>
      <c r="C1254" s="94"/>
      <c r="D1254" s="94"/>
      <c r="E1254" s="94"/>
      <c r="F1254" s="94"/>
      <c r="G1254" s="94"/>
      <c r="H1254" s="94"/>
      <c r="I1254" s="94"/>
      <c r="J1254" s="94"/>
      <c r="K1254" s="94"/>
      <c r="L1254" s="94"/>
      <c r="M1254" s="94"/>
      <c r="N1254" s="94"/>
      <c r="O1254" s="94"/>
      <c r="P1254" s="94"/>
      <c r="Q1254" s="1432"/>
    </row>
    <row r="1255" ht="15.75" customHeight="1">
      <c r="A1255" s="94"/>
      <c r="B1255" s="94"/>
      <c r="C1255" s="94"/>
      <c r="D1255" s="94"/>
      <c r="E1255" s="94"/>
      <c r="F1255" s="94"/>
      <c r="G1255" s="94"/>
      <c r="H1255" s="94"/>
      <c r="I1255" s="94"/>
      <c r="J1255" s="94"/>
      <c r="K1255" s="94"/>
      <c r="L1255" s="94"/>
      <c r="M1255" s="94"/>
      <c r="N1255" s="94"/>
      <c r="O1255" s="94"/>
      <c r="P1255" s="94"/>
      <c r="Q1255" s="1432"/>
    </row>
    <row r="1256" ht="15.75" customHeight="1">
      <c r="A1256" s="94"/>
      <c r="B1256" s="94"/>
      <c r="C1256" s="94"/>
      <c r="D1256" s="94"/>
      <c r="E1256" s="94"/>
      <c r="F1256" s="94"/>
      <c r="G1256" s="94"/>
      <c r="H1256" s="94"/>
      <c r="I1256" s="94"/>
      <c r="J1256" s="94"/>
      <c r="K1256" s="94"/>
      <c r="L1256" s="94"/>
      <c r="M1256" s="94"/>
      <c r="N1256" s="94"/>
      <c r="O1256" s="94"/>
      <c r="P1256" s="94"/>
      <c r="Q1256" s="1432"/>
    </row>
    <row r="1257" ht="15.75" customHeight="1">
      <c r="A1257" s="94"/>
      <c r="B1257" s="94"/>
      <c r="C1257" s="94"/>
      <c r="D1257" s="94"/>
      <c r="E1257" s="94"/>
      <c r="F1257" s="94"/>
      <c r="G1257" s="94"/>
      <c r="H1257" s="94"/>
      <c r="I1257" s="94"/>
      <c r="J1257" s="94"/>
      <c r="K1257" s="94"/>
      <c r="L1257" s="94"/>
      <c r="M1257" s="94"/>
      <c r="N1257" s="94"/>
      <c r="O1257" s="94"/>
      <c r="P1257" s="94"/>
      <c r="Q1257" s="1432"/>
    </row>
    <row r="1258" ht="15.75" customHeight="1">
      <c r="A1258" s="94"/>
      <c r="B1258" s="94"/>
      <c r="C1258" s="94"/>
      <c r="D1258" s="94"/>
      <c r="E1258" s="94"/>
      <c r="F1258" s="94"/>
      <c r="G1258" s="94"/>
      <c r="H1258" s="94"/>
      <c r="I1258" s="94"/>
      <c r="J1258" s="94"/>
      <c r="K1258" s="94"/>
      <c r="L1258" s="94"/>
      <c r="M1258" s="94"/>
      <c r="N1258" s="94"/>
      <c r="O1258" s="94"/>
      <c r="P1258" s="94"/>
      <c r="Q1258" s="1432"/>
    </row>
    <row r="1259" ht="15.75" customHeight="1">
      <c r="A1259" s="94"/>
      <c r="B1259" s="94"/>
      <c r="C1259" s="94"/>
      <c r="D1259" s="94"/>
      <c r="E1259" s="94"/>
      <c r="F1259" s="94"/>
      <c r="G1259" s="94"/>
      <c r="H1259" s="94"/>
      <c r="I1259" s="94"/>
      <c r="J1259" s="94"/>
      <c r="K1259" s="94"/>
      <c r="L1259" s="94"/>
      <c r="M1259" s="94"/>
      <c r="N1259" s="94"/>
      <c r="O1259" s="94"/>
      <c r="P1259" s="94"/>
      <c r="Q1259" s="1432"/>
    </row>
    <row r="1260" ht="15.75" customHeight="1">
      <c r="A1260" s="94"/>
      <c r="B1260" s="94"/>
      <c r="C1260" s="94"/>
      <c r="D1260" s="94"/>
      <c r="E1260" s="94"/>
      <c r="F1260" s="94"/>
      <c r="G1260" s="94"/>
      <c r="H1260" s="94"/>
      <c r="I1260" s="94"/>
      <c r="J1260" s="94"/>
      <c r="K1260" s="94"/>
      <c r="L1260" s="94"/>
      <c r="M1260" s="94"/>
      <c r="N1260" s="94"/>
      <c r="O1260" s="94"/>
      <c r="P1260" s="94"/>
      <c r="Q1260" s="1432"/>
    </row>
    <row r="1261" ht="15.75" customHeight="1">
      <c r="A1261" s="94"/>
      <c r="B1261" s="94"/>
      <c r="C1261" s="94"/>
      <c r="D1261" s="94"/>
      <c r="E1261" s="94"/>
      <c r="F1261" s="94"/>
      <c r="G1261" s="94"/>
      <c r="H1261" s="94"/>
      <c r="I1261" s="94"/>
      <c r="J1261" s="94"/>
      <c r="K1261" s="94"/>
      <c r="L1261" s="94"/>
      <c r="M1261" s="94"/>
      <c r="N1261" s="94"/>
      <c r="O1261" s="94"/>
      <c r="P1261" s="94"/>
      <c r="Q1261" s="1432"/>
    </row>
    <row r="1262" ht="15.75" customHeight="1">
      <c r="A1262" s="94"/>
      <c r="B1262" s="94"/>
      <c r="C1262" s="94"/>
      <c r="D1262" s="94"/>
      <c r="E1262" s="94"/>
      <c r="F1262" s="94"/>
      <c r="G1262" s="94"/>
      <c r="H1262" s="94"/>
      <c r="I1262" s="94"/>
      <c r="J1262" s="94"/>
      <c r="K1262" s="94"/>
      <c r="L1262" s="94"/>
      <c r="M1262" s="94"/>
      <c r="N1262" s="94"/>
      <c r="O1262" s="94"/>
      <c r="P1262" s="94"/>
      <c r="Q1262" s="1432"/>
    </row>
    <row r="1263" ht="15.75" customHeight="1">
      <c r="A1263" s="94"/>
      <c r="B1263" s="94"/>
      <c r="C1263" s="94"/>
      <c r="D1263" s="94"/>
      <c r="E1263" s="94"/>
      <c r="F1263" s="94"/>
      <c r="G1263" s="94"/>
      <c r="H1263" s="94"/>
      <c r="I1263" s="94"/>
      <c r="J1263" s="94"/>
      <c r="K1263" s="94"/>
      <c r="L1263" s="94"/>
      <c r="M1263" s="94"/>
      <c r="N1263" s="94"/>
      <c r="O1263" s="94"/>
      <c r="P1263" s="94"/>
      <c r="Q1263" s="1432"/>
    </row>
    <row r="1264" ht="15.75" customHeight="1">
      <c r="A1264" s="94"/>
      <c r="B1264" s="94"/>
      <c r="C1264" s="94"/>
      <c r="D1264" s="94"/>
      <c r="E1264" s="94"/>
      <c r="F1264" s="94"/>
      <c r="G1264" s="94"/>
      <c r="H1264" s="94"/>
      <c r="I1264" s="94"/>
      <c r="J1264" s="94"/>
      <c r="K1264" s="94"/>
      <c r="L1264" s="94"/>
      <c r="M1264" s="94"/>
      <c r="N1264" s="94"/>
      <c r="O1264" s="94"/>
      <c r="P1264" s="94"/>
      <c r="Q1264" s="1432"/>
    </row>
    <row r="1265" ht="15.75" customHeight="1">
      <c r="A1265" s="94"/>
      <c r="B1265" s="94"/>
      <c r="C1265" s="94"/>
      <c r="D1265" s="94"/>
      <c r="E1265" s="94"/>
      <c r="F1265" s="94"/>
      <c r="G1265" s="94"/>
      <c r="H1265" s="94"/>
      <c r="I1265" s="94"/>
      <c r="J1265" s="94"/>
      <c r="K1265" s="94"/>
      <c r="L1265" s="94"/>
      <c r="M1265" s="94"/>
      <c r="N1265" s="94"/>
      <c r="O1265" s="94"/>
      <c r="P1265" s="94"/>
      <c r="Q1265" s="1432"/>
    </row>
    <row r="1266" ht="15.75" customHeight="1">
      <c r="A1266" s="94"/>
      <c r="B1266" s="94"/>
      <c r="C1266" s="94"/>
      <c r="D1266" s="94"/>
      <c r="E1266" s="94"/>
      <c r="F1266" s="94"/>
      <c r="G1266" s="94"/>
      <c r="H1266" s="94"/>
      <c r="I1266" s="94"/>
      <c r="J1266" s="94"/>
      <c r="K1266" s="94"/>
      <c r="L1266" s="94"/>
      <c r="M1266" s="94"/>
      <c r="N1266" s="94"/>
      <c r="O1266" s="94"/>
      <c r="P1266" s="94"/>
      <c r="Q1266" s="1432"/>
    </row>
    <row r="1267" ht="15.75" customHeight="1">
      <c r="A1267" s="94"/>
      <c r="B1267" s="94"/>
      <c r="C1267" s="94"/>
      <c r="D1267" s="94"/>
      <c r="E1267" s="94"/>
      <c r="F1267" s="94"/>
      <c r="G1267" s="94"/>
      <c r="H1267" s="94"/>
      <c r="I1267" s="94"/>
      <c r="J1267" s="94"/>
      <c r="K1267" s="94"/>
      <c r="L1267" s="94"/>
      <c r="M1267" s="94"/>
      <c r="N1267" s="94"/>
      <c r="O1267" s="94"/>
      <c r="P1267" s="94"/>
      <c r="Q1267" s="1432"/>
    </row>
    <row r="1268" ht="15.75" customHeight="1">
      <c r="A1268" s="94"/>
      <c r="B1268" s="94"/>
      <c r="C1268" s="94"/>
      <c r="D1268" s="94"/>
      <c r="E1268" s="94"/>
      <c r="F1268" s="94"/>
      <c r="G1268" s="94"/>
      <c r="H1268" s="94"/>
      <c r="I1268" s="94"/>
      <c r="J1268" s="94"/>
      <c r="K1268" s="94"/>
      <c r="L1268" s="94"/>
      <c r="M1268" s="94"/>
      <c r="N1268" s="94"/>
      <c r="O1268" s="94"/>
      <c r="P1268" s="94"/>
      <c r="Q1268" s="1432"/>
    </row>
    <row r="1269" ht="15.75" customHeight="1">
      <c r="A1269" s="94"/>
      <c r="B1269" s="94"/>
      <c r="C1269" s="94"/>
      <c r="D1269" s="94"/>
      <c r="E1269" s="94"/>
      <c r="F1269" s="94"/>
      <c r="G1269" s="94"/>
      <c r="H1269" s="94"/>
      <c r="I1269" s="94"/>
      <c r="J1269" s="94"/>
      <c r="K1269" s="94"/>
      <c r="L1269" s="94"/>
      <c r="M1269" s="94"/>
      <c r="N1269" s="94"/>
      <c r="O1269" s="94"/>
      <c r="P1269" s="94"/>
      <c r="Q1269" s="1432"/>
    </row>
    <row r="1270" ht="15.75" customHeight="1">
      <c r="A1270" s="94"/>
      <c r="B1270" s="94"/>
      <c r="C1270" s="94"/>
      <c r="D1270" s="94"/>
      <c r="E1270" s="94"/>
      <c r="F1270" s="94"/>
      <c r="G1270" s="94"/>
      <c r="H1270" s="94"/>
      <c r="I1270" s="94"/>
      <c r="J1270" s="94"/>
      <c r="K1270" s="94"/>
      <c r="L1270" s="94"/>
      <c r="M1270" s="94"/>
      <c r="N1270" s="94"/>
      <c r="O1270" s="94"/>
      <c r="P1270" s="94"/>
      <c r="Q1270" s="1432"/>
    </row>
    <row r="1271" ht="15.75" customHeight="1">
      <c r="A1271" s="94"/>
      <c r="B1271" s="94"/>
      <c r="C1271" s="94"/>
      <c r="D1271" s="94"/>
      <c r="E1271" s="94"/>
      <c r="F1271" s="94"/>
      <c r="G1271" s="94"/>
      <c r="H1271" s="94"/>
      <c r="I1271" s="94"/>
      <c r="J1271" s="94"/>
      <c r="K1271" s="94"/>
      <c r="L1271" s="94"/>
      <c r="M1271" s="94"/>
      <c r="N1271" s="94"/>
      <c r="O1271" s="94"/>
      <c r="P1271" s="94"/>
      <c r="Q1271" s="1432"/>
    </row>
    <row r="1272" ht="15.75" customHeight="1">
      <c r="A1272" s="94"/>
      <c r="B1272" s="94"/>
      <c r="C1272" s="94"/>
      <c r="D1272" s="94"/>
      <c r="E1272" s="94"/>
      <c r="F1272" s="94"/>
      <c r="G1272" s="94"/>
      <c r="H1272" s="94"/>
      <c r="I1272" s="94"/>
      <c r="J1272" s="94"/>
      <c r="K1272" s="94"/>
      <c r="L1272" s="94"/>
      <c r="M1272" s="94"/>
      <c r="N1272" s="94"/>
      <c r="O1272" s="94"/>
      <c r="P1272" s="94"/>
      <c r="Q1272" s="1432"/>
    </row>
    <row r="1273" ht="15.75" customHeight="1">
      <c r="A1273" s="94"/>
      <c r="B1273" s="94"/>
      <c r="C1273" s="94"/>
      <c r="D1273" s="94"/>
      <c r="E1273" s="94"/>
      <c r="F1273" s="94"/>
      <c r="G1273" s="94"/>
      <c r="H1273" s="94"/>
      <c r="I1273" s="94"/>
      <c r="J1273" s="94"/>
      <c r="K1273" s="94"/>
      <c r="L1273" s="94"/>
      <c r="M1273" s="94"/>
      <c r="N1273" s="94"/>
      <c r="O1273" s="94"/>
      <c r="P1273" s="94"/>
      <c r="Q1273" s="1432"/>
    </row>
    <row r="1274" ht="15.75" customHeight="1">
      <c r="A1274" s="94"/>
      <c r="B1274" s="94"/>
      <c r="C1274" s="94"/>
      <c r="D1274" s="94"/>
      <c r="E1274" s="94"/>
      <c r="F1274" s="94"/>
      <c r="G1274" s="94"/>
      <c r="H1274" s="94"/>
      <c r="I1274" s="94"/>
      <c r="J1274" s="94"/>
      <c r="K1274" s="94"/>
      <c r="L1274" s="94"/>
      <c r="M1274" s="94"/>
      <c r="N1274" s="94"/>
      <c r="O1274" s="94"/>
      <c r="P1274" s="94"/>
      <c r="Q1274" s="1432"/>
    </row>
    <row r="1275" ht="15.75" customHeight="1">
      <c r="A1275" s="94"/>
      <c r="B1275" s="94"/>
      <c r="C1275" s="94"/>
      <c r="D1275" s="94"/>
      <c r="E1275" s="94"/>
      <c r="F1275" s="94"/>
      <c r="G1275" s="94"/>
      <c r="H1275" s="94"/>
      <c r="I1275" s="94"/>
      <c r="J1275" s="94"/>
      <c r="K1275" s="94"/>
      <c r="L1275" s="94"/>
      <c r="M1275" s="94"/>
      <c r="N1275" s="94"/>
      <c r="O1275" s="94"/>
      <c r="P1275" s="94"/>
      <c r="Q1275" s="1432"/>
    </row>
    <row r="1276" ht="15.75" customHeight="1">
      <c r="A1276" s="94"/>
      <c r="B1276" s="94"/>
      <c r="C1276" s="94"/>
      <c r="D1276" s="94"/>
      <c r="E1276" s="94"/>
      <c r="F1276" s="94"/>
      <c r="G1276" s="94"/>
      <c r="H1276" s="94"/>
      <c r="I1276" s="94"/>
      <c r="J1276" s="94"/>
      <c r="K1276" s="94"/>
      <c r="L1276" s="94"/>
      <c r="M1276" s="94"/>
      <c r="N1276" s="94"/>
      <c r="O1276" s="94"/>
      <c r="P1276" s="94"/>
      <c r="Q1276" s="1432"/>
    </row>
    <row r="1277" ht="15.75" customHeight="1">
      <c r="A1277" s="94"/>
      <c r="B1277" s="94"/>
      <c r="C1277" s="94"/>
      <c r="D1277" s="94"/>
      <c r="E1277" s="94"/>
      <c r="F1277" s="94"/>
      <c r="G1277" s="94"/>
      <c r="H1277" s="94"/>
      <c r="I1277" s="94"/>
      <c r="J1277" s="94"/>
      <c r="K1277" s="94"/>
      <c r="L1277" s="94"/>
      <c r="M1277" s="94"/>
      <c r="N1277" s="94"/>
      <c r="O1277" s="94"/>
      <c r="P1277" s="94"/>
      <c r="Q1277" s="1432"/>
    </row>
    <row r="1278" ht="15.75" customHeight="1">
      <c r="A1278" s="94"/>
      <c r="B1278" s="94"/>
      <c r="C1278" s="94"/>
      <c r="D1278" s="94"/>
      <c r="E1278" s="94"/>
      <c r="F1278" s="94"/>
      <c r="G1278" s="94"/>
      <c r="H1278" s="94"/>
      <c r="I1278" s="94"/>
      <c r="J1278" s="94"/>
      <c r="K1278" s="94"/>
      <c r="L1278" s="94"/>
      <c r="M1278" s="94"/>
      <c r="N1278" s="94"/>
      <c r="O1278" s="94"/>
      <c r="P1278" s="94"/>
      <c r="Q1278" s="1432"/>
    </row>
    <row r="1279" ht="15.75" customHeight="1">
      <c r="A1279" s="94"/>
      <c r="B1279" s="94"/>
      <c r="C1279" s="94"/>
      <c r="D1279" s="94"/>
      <c r="E1279" s="94"/>
      <c r="F1279" s="94"/>
      <c r="G1279" s="94"/>
      <c r="H1279" s="94"/>
      <c r="I1279" s="94"/>
      <c r="J1279" s="94"/>
      <c r="K1279" s="94"/>
      <c r="L1279" s="94"/>
      <c r="M1279" s="94"/>
      <c r="N1279" s="94"/>
      <c r="O1279" s="94"/>
      <c r="P1279" s="94"/>
      <c r="Q1279" s="1432"/>
    </row>
    <row r="1280" ht="15.75" customHeight="1">
      <c r="A1280" s="94"/>
      <c r="B1280" s="94"/>
      <c r="C1280" s="94"/>
      <c r="D1280" s="94"/>
      <c r="E1280" s="94"/>
      <c r="F1280" s="94"/>
      <c r="G1280" s="94"/>
      <c r="H1280" s="94"/>
      <c r="I1280" s="94"/>
      <c r="J1280" s="94"/>
      <c r="K1280" s="94"/>
      <c r="L1280" s="94"/>
      <c r="M1280" s="94"/>
      <c r="N1280" s="94"/>
      <c r="O1280" s="94"/>
      <c r="P1280" s="94"/>
      <c r="Q1280" s="1432"/>
    </row>
    <row r="1281" ht="15.75" customHeight="1">
      <c r="A1281" s="94"/>
      <c r="B1281" s="94"/>
      <c r="C1281" s="94"/>
      <c r="D1281" s="94"/>
      <c r="E1281" s="94"/>
      <c r="F1281" s="94"/>
      <c r="G1281" s="94"/>
      <c r="H1281" s="94"/>
      <c r="I1281" s="94"/>
      <c r="J1281" s="94"/>
      <c r="K1281" s="94"/>
      <c r="L1281" s="94"/>
      <c r="M1281" s="94"/>
      <c r="N1281" s="94"/>
      <c r="O1281" s="94"/>
      <c r="P1281" s="94"/>
      <c r="Q1281" s="1432"/>
    </row>
    <row r="1282" ht="15.75" customHeight="1">
      <c r="A1282" s="94"/>
      <c r="B1282" s="94"/>
      <c r="C1282" s="94"/>
      <c r="D1282" s="94"/>
      <c r="E1282" s="94"/>
      <c r="F1282" s="94"/>
      <c r="G1282" s="94"/>
      <c r="H1282" s="94"/>
      <c r="I1282" s="94"/>
      <c r="J1282" s="94"/>
      <c r="K1282" s="94"/>
      <c r="L1282" s="94"/>
      <c r="M1282" s="94"/>
      <c r="N1282" s="94"/>
      <c r="O1282" s="94"/>
      <c r="P1282" s="94"/>
      <c r="Q1282" s="1432"/>
    </row>
    <row r="1283" ht="15.75" customHeight="1">
      <c r="A1283" s="94"/>
      <c r="B1283" s="94"/>
      <c r="C1283" s="94"/>
      <c r="D1283" s="94"/>
      <c r="E1283" s="94"/>
      <c r="F1283" s="94"/>
      <c r="G1283" s="94"/>
      <c r="H1283" s="94"/>
      <c r="I1283" s="94"/>
      <c r="J1283" s="94"/>
      <c r="K1283" s="94"/>
      <c r="L1283" s="94"/>
      <c r="M1283" s="94"/>
      <c r="N1283" s="94"/>
      <c r="O1283" s="94"/>
      <c r="P1283" s="94"/>
      <c r="Q1283" s="1432"/>
    </row>
    <row r="1284" ht="15.75" customHeight="1">
      <c r="A1284" s="94"/>
      <c r="B1284" s="94"/>
      <c r="C1284" s="94"/>
      <c r="D1284" s="94"/>
      <c r="E1284" s="94"/>
      <c r="F1284" s="94"/>
      <c r="G1284" s="94"/>
      <c r="H1284" s="94"/>
      <c r="I1284" s="94"/>
      <c r="J1284" s="94"/>
      <c r="K1284" s="94"/>
      <c r="L1284" s="94"/>
      <c r="M1284" s="94"/>
      <c r="N1284" s="94"/>
      <c r="O1284" s="94"/>
      <c r="P1284" s="94"/>
      <c r="Q1284" s="1432"/>
    </row>
    <row r="1285" ht="15.75" customHeight="1">
      <c r="A1285" s="94"/>
      <c r="B1285" s="94"/>
      <c r="C1285" s="94"/>
      <c r="D1285" s="94"/>
      <c r="E1285" s="94"/>
      <c r="F1285" s="94"/>
      <c r="G1285" s="94"/>
      <c r="H1285" s="94"/>
      <c r="I1285" s="94"/>
      <c r="J1285" s="94"/>
      <c r="K1285" s="94"/>
      <c r="L1285" s="94"/>
      <c r="M1285" s="94"/>
      <c r="N1285" s="94"/>
      <c r="O1285" s="94"/>
      <c r="P1285" s="94"/>
      <c r="Q1285" s="1432"/>
    </row>
    <row r="1286" ht="15.75" customHeight="1">
      <c r="A1286" s="94"/>
      <c r="B1286" s="94"/>
      <c r="C1286" s="94"/>
      <c r="D1286" s="94"/>
      <c r="E1286" s="94"/>
      <c r="F1286" s="94"/>
      <c r="G1286" s="94"/>
      <c r="H1286" s="94"/>
      <c r="I1286" s="94"/>
      <c r="J1286" s="94"/>
      <c r="K1286" s="94"/>
      <c r="L1286" s="94"/>
      <c r="M1286" s="94"/>
      <c r="N1286" s="94"/>
      <c r="O1286" s="94"/>
      <c r="P1286" s="94"/>
      <c r="Q1286" s="1432"/>
    </row>
    <row r="1287" ht="15.75" customHeight="1">
      <c r="A1287" s="94"/>
      <c r="B1287" s="94"/>
      <c r="C1287" s="94"/>
      <c r="D1287" s="94"/>
      <c r="E1287" s="94"/>
      <c r="F1287" s="94"/>
      <c r="G1287" s="94"/>
      <c r="H1287" s="94"/>
      <c r="I1287" s="94"/>
      <c r="J1287" s="94"/>
      <c r="K1287" s="94"/>
      <c r="L1287" s="94"/>
      <c r="M1287" s="94"/>
      <c r="N1287" s="94"/>
      <c r="O1287" s="94"/>
      <c r="P1287" s="94"/>
      <c r="Q1287" s="1432"/>
    </row>
    <row r="1288" ht="15.75" customHeight="1">
      <c r="A1288" s="94"/>
      <c r="B1288" s="94"/>
      <c r="C1288" s="94"/>
      <c r="D1288" s="94"/>
      <c r="E1288" s="94"/>
      <c r="F1288" s="94"/>
      <c r="G1288" s="94"/>
      <c r="H1288" s="94"/>
      <c r="I1288" s="94"/>
      <c r="J1288" s="94"/>
      <c r="K1288" s="94"/>
      <c r="L1288" s="94"/>
      <c r="M1288" s="94"/>
      <c r="N1288" s="94"/>
      <c r="O1288" s="94"/>
      <c r="P1288" s="94"/>
      <c r="Q1288" s="1432"/>
    </row>
    <row r="1289" ht="15.75" customHeight="1">
      <c r="A1289" s="94"/>
      <c r="B1289" s="94"/>
      <c r="C1289" s="94"/>
      <c r="D1289" s="94"/>
      <c r="E1289" s="94"/>
      <c r="F1289" s="94"/>
      <c r="G1289" s="94"/>
      <c r="H1289" s="94"/>
      <c r="I1289" s="94"/>
      <c r="J1289" s="94"/>
      <c r="K1289" s="94"/>
      <c r="L1289" s="94"/>
      <c r="M1289" s="94"/>
      <c r="N1289" s="94"/>
      <c r="O1289" s="94"/>
      <c r="P1289" s="94"/>
      <c r="Q1289" s="1432"/>
    </row>
    <row r="1290" ht="15.75" customHeight="1">
      <c r="A1290" s="94"/>
      <c r="B1290" s="94"/>
      <c r="C1290" s="94"/>
      <c r="D1290" s="94"/>
      <c r="E1290" s="94"/>
      <c r="F1290" s="94"/>
      <c r="G1290" s="94"/>
      <c r="H1290" s="94"/>
      <c r="I1290" s="94"/>
      <c r="J1290" s="94"/>
      <c r="K1290" s="94"/>
      <c r="L1290" s="94"/>
      <c r="M1290" s="94"/>
      <c r="N1290" s="94"/>
      <c r="O1290" s="94"/>
      <c r="P1290" s="94"/>
      <c r="Q1290" s="1432"/>
    </row>
    <row r="1291" ht="15.75" customHeight="1">
      <c r="A1291" s="94"/>
      <c r="B1291" s="94"/>
      <c r="C1291" s="94"/>
      <c r="D1291" s="94"/>
      <c r="E1291" s="94"/>
      <c r="F1291" s="94"/>
      <c r="G1291" s="94"/>
      <c r="H1291" s="94"/>
      <c r="I1291" s="94"/>
      <c r="J1291" s="94"/>
      <c r="K1291" s="94"/>
      <c r="L1291" s="94"/>
      <c r="M1291" s="94"/>
      <c r="N1291" s="94"/>
      <c r="O1291" s="94"/>
      <c r="P1291" s="94"/>
      <c r="Q1291" s="1432"/>
    </row>
    <row r="1292" ht="15.75" customHeight="1">
      <c r="A1292" s="94"/>
      <c r="B1292" s="94"/>
      <c r="C1292" s="94"/>
      <c r="D1292" s="94"/>
      <c r="E1292" s="94"/>
      <c r="F1292" s="94"/>
      <c r="G1292" s="94"/>
      <c r="H1292" s="94"/>
      <c r="I1292" s="94"/>
      <c r="J1292" s="94"/>
      <c r="K1292" s="94"/>
      <c r="L1292" s="94"/>
      <c r="M1292" s="94"/>
      <c r="N1292" s="94"/>
      <c r="O1292" s="94"/>
      <c r="P1292" s="94"/>
      <c r="Q1292" s="1432"/>
    </row>
    <row r="1293" ht="15.75" customHeight="1">
      <c r="A1293" s="94"/>
      <c r="B1293" s="94"/>
      <c r="C1293" s="94"/>
      <c r="D1293" s="94"/>
      <c r="E1293" s="94"/>
      <c r="F1293" s="94"/>
      <c r="G1293" s="94"/>
      <c r="H1293" s="94"/>
      <c r="I1293" s="94"/>
      <c r="J1293" s="94"/>
      <c r="K1293" s="94"/>
      <c r="L1293" s="94"/>
      <c r="M1293" s="94"/>
      <c r="N1293" s="94"/>
      <c r="O1293" s="94"/>
      <c r="P1293" s="94"/>
      <c r="Q1293" s="1432"/>
    </row>
    <row r="1294" ht="15.75" customHeight="1">
      <c r="A1294" s="94"/>
      <c r="B1294" s="94"/>
      <c r="C1294" s="94"/>
      <c r="D1294" s="94"/>
      <c r="E1294" s="94"/>
      <c r="F1294" s="94"/>
      <c r="G1294" s="94"/>
      <c r="H1294" s="94"/>
      <c r="I1294" s="94"/>
      <c r="J1294" s="94"/>
      <c r="K1294" s="94"/>
      <c r="L1294" s="94"/>
      <c r="M1294" s="94"/>
      <c r="N1294" s="94"/>
      <c r="O1294" s="94"/>
      <c r="P1294" s="94"/>
      <c r="Q1294" s="1432"/>
    </row>
    <row r="1295" ht="15.75" customHeight="1">
      <c r="A1295" s="94"/>
      <c r="B1295" s="94"/>
      <c r="C1295" s="94"/>
      <c r="D1295" s="94"/>
      <c r="E1295" s="94"/>
      <c r="F1295" s="94"/>
      <c r="G1295" s="94"/>
      <c r="H1295" s="94"/>
      <c r="I1295" s="94"/>
      <c r="J1295" s="94"/>
      <c r="K1295" s="94"/>
      <c r="L1295" s="94"/>
      <c r="M1295" s="94"/>
      <c r="N1295" s="94"/>
      <c r="O1295" s="94"/>
      <c r="P1295" s="94"/>
      <c r="Q1295" s="1432"/>
    </row>
    <row r="1296" ht="15.75" customHeight="1">
      <c r="A1296" s="94"/>
      <c r="B1296" s="94"/>
      <c r="C1296" s="94"/>
      <c r="D1296" s="94"/>
      <c r="E1296" s="94"/>
      <c r="F1296" s="94"/>
      <c r="G1296" s="94"/>
      <c r="H1296" s="94"/>
      <c r="I1296" s="94"/>
      <c r="J1296" s="94"/>
      <c r="K1296" s="94"/>
      <c r="L1296" s="94"/>
      <c r="M1296" s="94"/>
      <c r="N1296" s="94"/>
      <c r="O1296" s="94"/>
      <c r="P1296" s="94"/>
      <c r="Q1296" s="1432"/>
    </row>
    <row r="1297" ht="15.75" customHeight="1">
      <c r="A1297" s="94"/>
      <c r="B1297" s="94"/>
      <c r="C1297" s="94"/>
      <c r="D1297" s="94"/>
      <c r="E1297" s="94"/>
      <c r="F1297" s="94"/>
      <c r="G1297" s="94"/>
      <c r="H1297" s="94"/>
      <c r="I1297" s="94"/>
      <c r="J1297" s="94"/>
      <c r="K1297" s="94"/>
      <c r="L1297" s="94"/>
      <c r="M1297" s="94"/>
      <c r="N1297" s="94"/>
      <c r="O1297" s="94"/>
      <c r="P1297" s="94"/>
      <c r="Q1297" s="1432"/>
    </row>
    <row r="1298" ht="15.75" customHeight="1">
      <c r="A1298" s="94"/>
      <c r="B1298" s="94"/>
      <c r="C1298" s="94"/>
      <c r="D1298" s="94"/>
      <c r="E1298" s="94"/>
      <c r="F1298" s="94"/>
      <c r="G1298" s="94"/>
      <c r="H1298" s="94"/>
      <c r="I1298" s="94"/>
      <c r="J1298" s="94"/>
      <c r="K1298" s="94"/>
      <c r="L1298" s="94"/>
      <c r="M1298" s="94"/>
      <c r="N1298" s="94"/>
      <c r="O1298" s="94"/>
      <c r="P1298" s="94"/>
      <c r="Q1298" s="1432"/>
    </row>
    <row r="1299" ht="15.75" customHeight="1">
      <c r="A1299" s="94"/>
      <c r="B1299" s="94"/>
      <c r="C1299" s="94"/>
      <c r="D1299" s="94"/>
      <c r="E1299" s="94"/>
      <c r="F1299" s="94"/>
      <c r="G1299" s="94"/>
      <c r="H1299" s="94"/>
      <c r="I1299" s="94"/>
      <c r="J1299" s="94"/>
      <c r="K1299" s="94"/>
      <c r="L1299" s="94"/>
      <c r="M1299" s="94"/>
      <c r="N1299" s="94"/>
      <c r="O1299" s="94"/>
      <c r="P1299" s="94"/>
      <c r="Q1299" s="1432"/>
    </row>
    <row r="1300" ht="15.75" customHeight="1">
      <c r="A1300" s="94"/>
      <c r="B1300" s="94"/>
      <c r="C1300" s="94"/>
      <c r="D1300" s="94"/>
      <c r="E1300" s="94"/>
      <c r="F1300" s="94"/>
      <c r="G1300" s="94"/>
      <c r="H1300" s="94"/>
      <c r="I1300" s="94"/>
      <c r="J1300" s="94"/>
      <c r="K1300" s="94"/>
      <c r="L1300" s="94"/>
      <c r="M1300" s="94"/>
      <c r="N1300" s="94"/>
      <c r="O1300" s="94"/>
      <c r="P1300" s="94"/>
      <c r="Q1300" s="1432"/>
    </row>
    <row r="1301" ht="15.75" customHeight="1">
      <c r="A1301" s="94"/>
      <c r="B1301" s="94"/>
      <c r="C1301" s="94"/>
      <c r="D1301" s="94"/>
      <c r="E1301" s="94"/>
      <c r="F1301" s="94"/>
      <c r="G1301" s="94"/>
      <c r="H1301" s="94"/>
      <c r="I1301" s="94"/>
      <c r="J1301" s="94"/>
      <c r="K1301" s="94"/>
      <c r="L1301" s="94"/>
      <c r="M1301" s="94"/>
      <c r="N1301" s="94"/>
      <c r="O1301" s="94"/>
      <c r="P1301" s="94"/>
      <c r="Q1301" s="1432"/>
    </row>
    <row r="1302" ht="15.75" customHeight="1">
      <c r="A1302" s="94"/>
      <c r="B1302" s="94"/>
      <c r="C1302" s="94"/>
      <c r="D1302" s="94"/>
      <c r="E1302" s="94"/>
      <c r="F1302" s="94"/>
      <c r="G1302" s="94"/>
      <c r="H1302" s="94"/>
      <c r="I1302" s="94"/>
      <c r="J1302" s="94"/>
      <c r="K1302" s="94"/>
      <c r="L1302" s="94"/>
      <c r="M1302" s="94"/>
      <c r="N1302" s="94"/>
      <c r="O1302" s="94"/>
      <c r="P1302" s="94"/>
      <c r="Q1302" s="1432"/>
    </row>
    <row r="1303" ht="15.75" customHeight="1">
      <c r="A1303" s="94"/>
      <c r="B1303" s="94"/>
      <c r="C1303" s="94"/>
      <c r="D1303" s="94"/>
      <c r="E1303" s="94"/>
      <c r="F1303" s="94"/>
      <c r="G1303" s="94"/>
      <c r="H1303" s="94"/>
      <c r="I1303" s="94"/>
      <c r="J1303" s="94"/>
      <c r="K1303" s="94"/>
      <c r="L1303" s="94"/>
      <c r="M1303" s="94"/>
      <c r="N1303" s="94"/>
      <c r="O1303" s="94"/>
      <c r="P1303" s="94"/>
      <c r="Q1303" s="1432"/>
    </row>
    <row r="1304" ht="15.75" customHeight="1">
      <c r="A1304" s="94"/>
      <c r="B1304" s="94"/>
      <c r="C1304" s="94"/>
      <c r="D1304" s="94"/>
      <c r="E1304" s="94"/>
      <c r="F1304" s="94"/>
      <c r="G1304" s="94"/>
      <c r="H1304" s="94"/>
      <c r="I1304" s="94"/>
      <c r="J1304" s="94"/>
      <c r="K1304" s="94"/>
      <c r="L1304" s="94"/>
      <c r="M1304" s="94"/>
      <c r="N1304" s="94"/>
      <c r="O1304" s="94"/>
      <c r="P1304" s="94"/>
      <c r="Q1304" s="1432"/>
    </row>
    <row r="1305" ht="15.75" customHeight="1">
      <c r="A1305" s="94"/>
      <c r="B1305" s="94"/>
      <c r="C1305" s="94"/>
      <c r="D1305" s="94"/>
      <c r="E1305" s="94"/>
      <c r="F1305" s="94"/>
      <c r="G1305" s="94"/>
      <c r="H1305" s="94"/>
      <c r="I1305" s="94"/>
      <c r="J1305" s="94"/>
      <c r="K1305" s="94"/>
      <c r="L1305" s="94"/>
      <c r="M1305" s="94"/>
      <c r="N1305" s="94"/>
      <c r="O1305" s="94"/>
      <c r="P1305" s="94"/>
      <c r="Q1305" s="1432"/>
    </row>
    <row r="1306" ht="15.75" customHeight="1">
      <c r="A1306" s="94"/>
      <c r="B1306" s="94"/>
      <c r="C1306" s="94"/>
      <c r="D1306" s="94"/>
      <c r="E1306" s="94"/>
      <c r="F1306" s="94"/>
      <c r="G1306" s="94"/>
      <c r="H1306" s="94"/>
      <c r="I1306" s="94"/>
      <c r="J1306" s="94"/>
      <c r="K1306" s="94"/>
      <c r="L1306" s="94"/>
      <c r="M1306" s="94"/>
      <c r="N1306" s="94"/>
      <c r="O1306" s="94"/>
      <c r="P1306" s="94"/>
      <c r="Q1306" s="1432"/>
    </row>
    <row r="1307" ht="15.75" customHeight="1">
      <c r="A1307" s="94"/>
      <c r="B1307" s="94"/>
      <c r="C1307" s="94"/>
      <c r="D1307" s="94"/>
      <c r="E1307" s="94"/>
      <c r="F1307" s="94"/>
      <c r="G1307" s="94"/>
      <c r="H1307" s="94"/>
      <c r="I1307" s="94"/>
      <c r="J1307" s="94"/>
      <c r="K1307" s="94"/>
      <c r="L1307" s="94"/>
      <c r="M1307" s="94"/>
      <c r="N1307" s="94"/>
      <c r="O1307" s="94"/>
      <c r="P1307" s="94"/>
      <c r="Q1307" s="1432"/>
    </row>
    <row r="1308" ht="15.75" customHeight="1">
      <c r="A1308" s="94"/>
      <c r="B1308" s="94"/>
      <c r="C1308" s="94"/>
      <c r="D1308" s="94"/>
      <c r="E1308" s="94"/>
      <c r="F1308" s="94"/>
      <c r="G1308" s="94"/>
      <c r="H1308" s="94"/>
      <c r="I1308" s="94"/>
      <c r="J1308" s="94"/>
      <c r="K1308" s="94"/>
      <c r="L1308" s="94"/>
      <c r="M1308" s="94"/>
      <c r="N1308" s="94"/>
      <c r="O1308" s="94"/>
      <c r="P1308" s="94"/>
      <c r="Q1308" s="1432"/>
    </row>
    <row r="1309" ht="15.75" customHeight="1">
      <c r="A1309" s="94"/>
      <c r="B1309" s="94"/>
      <c r="C1309" s="94"/>
      <c r="D1309" s="94"/>
      <c r="E1309" s="94"/>
      <c r="F1309" s="94"/>
      <c r="G1309" s="94"/>
      <c r="H1309" s="94"/>
      <c r="I1309" s="94"/>
      <c r="J1309" s="94"/>
      <c r="K1309" s="94"/>
      <c r="L1309" s="94"/>
      <c r="M1309" s="94"/>
      <c r="N1309" s="94"/>
      <c r="O1309" s="94"/>
      <c r="P1309" s="94"/>
      <c r="Q1309" s="1432"/>
    </row>
    <row r="1310" ht="15.75" customHeight="1">
      <c r="A1310" s="94"/>
      <c r="B1310" s="94"/>
      <c r="C1310" s="94"/>
      <c r="D1310" s="94"/>
      <c r="E1310" s="94"/>
      <c r="F1310" s="94"/>
      <c r="G1310" s="94"/>
      <c r="H1310" s="94"/>
      <c r="I1310" s="94"/>
      <c r="J1310" s="94"/>
      <c r="K1310" s="94"/>
      <c r="L1310" s="94"/>
      <c r="M1310" s="94"/>
      <c r="N1310" s="94"/>
      <c r="O1310" s="94"/>
      <c r="P1310" s="94"/>
      <c r="Q1310" s="1432"/>
    </row>
    <row r="1311" ht="15.75" customHeight="1">
      <c r="A1311" s="94"/>
      <c r="B1311" s="94"/>
      <c r="C1311" s="94"/>
      <c r="D1311" s="94"/>
      <c r="E1311" s="94"/>
      <c r="F1311" s="94"/>
      <c r="G1311" s="94"/>
      <c r="H1311" s="94"/>
      <c r="I1311" s="94"/>
      <c r="J1311" s="94"/>
      <c r="K1311" s="94"/>
      <c r="L1311" s="94"/>
      <c r="M1311" s="94"/>
      <c r="N1311" s="94"/>
      <c r="O1311" s="94"/>
      <c r="P1311" s="94"/>
      <c r="Q1311" s="1432"/>
    </row>
    <row r="1312" ht="15.75" customHeight="1">
      <c r="A1312" s="94"/>
      <c r="B1312" s="94"/>
      <c r="C1312" s="94"/>
      <c r="D1312" s="94"/>
      <c r="E1312" s="94"/>
      <c r="F1312" s="94"/>
      <c r="G1312" s="94"/>
      <c r="H1312" s="94"/>
      <c r="I1312" s="94"/>
      <c r="J1312" s="94"/>
      <c r="K1312" s="94"/>
      <c r="L1312" s="94"/>
      <c r="M1312" s="94"/>
      <c r="N1312" s="94"/>
      <c r="O1312" s="94"/>
      <c r="P1312" s="94"/>
      <c r="Q1312" s="1432"/>
    </row>
    <row r="1313" ht="15.75" customHeight="1">
      <c r="A1313" s="94"/>
      <c r="B1313" s="94"/>
      <c r="C1313" s="94"/>
      <c r="D1313" s="94"/>
      <c r="E1313" s="94"/>
      <c r="F1313" s="94"/>
      <c r="G1313" s="94"/>
      <c r="H1313" s="94"/>
      <c r="I1313" s="94"/>
      <c r="J1313" s="94"/>
      <c r="K1313" s="94"/>
      <c r="L1313" s="94"/>
      <c r="M1313" s="94"/>
      <c r="N1313" s="94"/>
      <c r="O1313" s="94"/>
      <c r="P1313" s="94"/>
      <c r="Q1313" s="1432"/>
    </row>
    <row r="1314" ht="15.75" customHeight="1">
      <c r="A1314" s="94"/>
      <c r="B1314" s="94"/>
      <c r="C1314" s="94"/>
      <c r="D1314" s="94"/>
      <c r="E1314" s="94"/>
      <c r="F1314" s="94"/>
      <c r="G1314" s="94"/>
      <c r="H1314" s="94"/>
      <c r="I1314" s="94"/>
      <c r="J1314" s="94"/>
      <c r="K1314" s="94"/>
      <c r="L1314" s="94"/>
      <c r="M1314" s="94"/>
      <c r="N1314" s="94"/>
      <c r="O1314" s="94"/>
      <c r="P1314" s="94"/>
      <c r="Q1314" s="1432"/>
    </row>
    <row r="1315" ht="15.75" customHeight="1">
      <c r="A1315" s="94"/>
      <c r="B1315" s="94"/>
      <c r="C1315" s="94"/>
      <c r="D1315" s="94"/>
      <c r="E1315" s="94"/>
      <c r="F1315" s="94"/>
      <c r="G1315" s="94"/>
      <c r="H1315" s="94"/>
      <c r="I1315" s="94"/>
      <c r="J1315" s="94"/>
      <c r="K1315" s="94"/>
      <c r="L1315" s="94"/>
      <c r="M1315" s="94"/>
      <c r="N1315" s="94"/>
      <c r="O1315" s="94"/>
      <c r="P1315" s="94"/>
      <c r="Q1315" s="1432"/>
    </row>
    <row r="1316" ht="15.75" customHeight="1">
      <c r="A1316" s="94"/>
      <c r="B1316" s="94"/>
      <c r="C1316" s="94"/>
      <c r="D1316" s="94"/>
      <c r="E1316" s="94"/>
      <c r="F1316" s="94"/>
      <c r="G1316" s="94"/>
      <c r="H1316" s="94"/>
      <c r="I1316" s="94"/>
      <c r="J1316" s="94"/>
      <c r="K1316" s="94"/>
      <c r="L1316" s="94"/>
      <c r="M1316" s="94"/>
      <c r="N1316" s="94"/>
      <c r="O1316" s="94"/>
      <c r="P1316" s="94"/>
      <c r="Q1316" s="1432"/>
    </row>
    <row r="1317" ht="15.75" customHeight="1">
      <c r="A1317" s="94"/>
      <c r="B1317" s="94"/>
      <c r="C1317" s="94"/>
      <c r="D1317" s="94"/>
      <c r="E1317" s="94"/>
      <c r="F1317" s="94"/>
      <c r="G1317" s="94"/>
      <c r="H1317" s="94"/>
      <c r="I1317" s="94"/>
      <c r="J1317" s="94"/>
      <c r="K1317" s="94"/>
      <c r="L1317" s="94"/>
      <c r="M1317" s="94"/>
      <c r="N1317" s="94"/>
      <c r="O1317" s="94"/>
      <c r="P1317" s="94"/>
      <c r="Q1317" s="1432"/>
    </row>
    <row r="1318" ht="15.75" customHeight="1">
      <c r="A1318" s="94"/>
      <c r="B1318" s="94"/>
      <c r="C1318" s="94"/>
      <c r="D1318" s="94"/>
      <c r="E1318" s="94"/>
      <c r="F1318" s="94"/>
      <c r="G1318" s="94"/>
      <c r="H1318" s="94"/>
      <c r="I1318" s="94"/>
      <c r="J1318" s="94"/>
      <c r="K1318" s="94"/>
      <c r="L1318" s="94"/>
      <c r="M1318" s="94"/>
      <c r="N1318" s="94"/>
      <c r="O1318" s="94"/>
      <c r="P1318" s="94"/>
      <c r="Q1318" s="1432"/>
    </row>
    <row r="1319" ht="15.75" customHeight="1">
      <c r="A1319" s="94"/>
      <c r="B1319" s="94"/>
      <c r="C1319" s="94"/>
      <c r="D1319" s="94"/>
      <c r="E1319" s="94"/>
      <c r="F1319" s="94"/>
      <c r="G1319" s="94"/>
      <c r="H1319" s="94"/>
      <c r="I1319" s="94"/>
      <c r="J1319" s="94"/>
      <c r="K1319" s="94"/>
      <c r="L1319" s="94"/>
      <c r="M1319" s="94"/>
      <c r="N1319" s="94"/>
      <c r="O1319" s="94"/>
      <c r="P1319" s="94"/>
      <c r="Q1319" s="1432"/>
    </row>
    <row r="1320" ht="15.75" customHeight="1">
      <c r="A1320" s="94"/>
      <c r="B1320" s="94"/>
      <c r="C1320" s="94"/>
      <c r="D1320" s="94"/>
      <c r="E1320" s="94"/>
      <c r="F1320" s="94"/>
      <c r="G1320" s="94"/>
      <c r="H1320" s="94"/>
      <c r="I1320" s="94"/>
      <c r="J1320" s="94"/>
      <c r="K1320" s="94"/>
      <c r="L1320" s="94"/>
      <c r="M1320" s="94"/>
      <c r="N1320" s="94"/>
      <c r="O1320" s="94"/>
      <c r="P1320" s="94"/>
      <c r="Q1320" s="1432"/>
    </row>
    <row r="1321" ht="15.75" customHeight="1">
      <c r="A1321" s="94"/>
      <c r="B1321" s="94"/>
      <c r="C1321" s="94"/>
      <c r="D1321" s="94"/>
      <c r="E1321" s="94"/>
      <c r="F1321" s="94"/>
      <c r="G1321" s="94"/>
      <c r="H1321" s="94"/>
      <c r="I1321" s="94"/>
      <c r="J1321" s="94"/>
      <c r="K1321" s="94"/>
      <c r="L1321" s="94"/>
      <c r="M1321" s="94"/>
      <c r="N1321" s="94"/>
      <c r="O1321" s="94"/>
      <c r="P1321" s="94"/>
      <c r="Q1321" s="1432"/>
    </row>
    <row r="1322" ht="15.75" customHeight="1">
      <c r="A1322" s="94"/>
      <c r="B1322" s="94"/>
      <c r="C1322" s="94"/>
      <c r="D1322" s="94"/>
      <c r="E1322" s="94"/>
      <c r="F1322" s="94"/>
      <c r="G1322" s="94"/>
      <c r="H1322" s="94"/>
      <c r="I1322" s="94"/>
      <c r="J1322" s="94"/>
      <c r="K1322" s="94"/>
      <c r="L1322" s="94"/>
      <c r="M1322" s="94"/>
      <c r="N1322" s="94"/>
      <c r="O1322" s="94"/>
      <c r="P1322" s="94"/>
      <c r="Q1322" s="1432"/>
    </row>
    <row r="1323" ht="15.75" customHeight="1">
      <c r="A1323" s="94"/>
      <c r="B1323" s="94"/>
      <c r="C1323" s="94"/>
      <c r="D1323" s="94"/>
      <c r="E1323" s="94"/>
      <c r="F1323" s="94"/>
      <c r="G1323" s="94"/>
      <c r="H1323" s="94"/>
      <c r="I1323" s="94"/>
      <c r="J1323" s="94"/>
      <c r="K1323" s="94"/>
      <c r="L1323" s="94"/>
      <c r="M1323" s="94"/>
      <c r="N1323" s="94"/>
      <c r="O1323" s="94"/>
      <c r="P1323" s="94"/>
      <c r="Q1323" s="1432"/>
    </row>
    <row r="1324" ht="15.75" customHeight="1">
      <c r="A1324" s="94"/>
      <c r="B1324" s="94"/>
      <c r="C1324" s="94"/>
      <c r="D1324" s="94"/>
      <c r="E1324" s="94"/>
      <c r="F1324" s="94"/>
      <c r="G1324" s="94"/>
      <c r="H1324" s="94"/>
      <c r="I1324" s="94"/>
      <c r="J1324" s="94"/>
      <c r="K1324" s="94"/>
      <c r="L1324" s="94"/>
      <c r="M1324" s="94"/>
      <c r="N1324" s="94"/>
      <c r="O1324" s="94"/>
      <c r="P1324" s="94"/>
      <c r="Q1324" s="1432"/>
    </row>
    <row r="1325" ht="15.75" customHeight="1">
      <c r="A1325" s="94"/>
      <c r="B1325" s="94"/>
      <c r="C1325" s="94"/>
      <c r="D1325" s="94"/>
      <c r="E1325" s="94"/>
      <c r="F1325" s="94"/>
      <c r="G1325" s="94"/>
      <c r="H1325" s="94"/>
      <c r="I1325" s="94"/>
      <c r="J1325" s="94"/>
      <c r="K1325" s="94"/>
      <c r="L1325" s="94"/>
      <c r="M1325" s="94"/>
      <c r="N1325" s="94"/>
      <c r="O1325" s="94"/>
      <c r="P1325" s="94"/>
      <c r="Q1325" s="1432"/>
    </row>
    <row r="1326" ht="15.75" customHeight="1">
      <c r="A1326" s="94"/>
      <c r="B1326" s="94"/>
      <c r="C1326" s="94"/>
      <c r="D1326" s="94"/>
      <c r="E1326" s="94"/>
      <c r="F1326" s="94"/>
      <c r="G1326" s="94"/>
      <c r="H1326" s="94"/>
      <c r="I1326" s="94"/>
      <c r="J1326" s="94"/>
      <c r="K1326" s="94"/>
      <c r="L1326" s="94"/>
      <c r="M1326" s="94"/>
      <c r="N1326" s="94"/>
      <c r="O1326" s="94"/>
      <c r="P1326" s="94"/>
      <c r="Q1326" s="1432"/>
    </row>
    <row r="1327" ht="15.75" customHeight="1">
      <c r="A1327" s="94"/>
      <c r="B1327" s="94"/>
      <c r="C1327" s="94"/>
      <c r="D1327" s="94"/>
      <c r="E1327" s="94"/>
      <c r="F1327" s="94"/>
      <c r="G1327" s="94"/>
      <c r="H1327" s="94"/>
      <c r="I1327" s="94"/>
      <c r="J1327" s="94"/>
      <c r="K1327" s="94"/>
      <c r="L1327" s="94"/>
      <c r="M1327" s="94"/>
      <c r="N1327" s="94"/>
      <c r="O1327" s="94"/>
      <c r="P1327" s="94"/>
      <c r="Q1327" s="1432"/>
    </row>
    <row r="1328" ht="15.75" customHeight="1">
      <c r="A1328" s="94"/>
      <c r="B1328" s="94"/>
      <c r="C1328" s="94"/>
      <c r="D1328" s="94"/>
      <c r="E1328" s="94"/>
      <c r="F1328" s="94"/>
      <c r="G1328" s="94"/>
      <c r="H1328" s="94"/>
      <c r="I1328" s="94"/>
      <c r="J1328" s="94"/>
      <c r="K1328" s="94"/>
      <c r="L1328" s="94"/>
      <c r="M1328" s="94"/>
      <c r="N1328" s="94"/>
      <c r="O1328" s="94"/>
      <c r="P1328" s="94"/>
      <c r="Q1328" s="1432"/>
    </row>
    <row r="1329" ht="15.75" customHeight="1">
      <c r="A1329" s="94"/>
      <c r="B1329" s="94"/>
      <c r="C1329" s="94"/>
      <c r="D1329" s="94"/>
      <c r="E1329" s="94"/>
      <c r="F1329" s="94"/>
      <c r="G1329" s="94"/>
      <c r="H1329" s="94"/>
      <c r="I1329" s="94"/>
      <c r="J1329" s="94"/>
      <c r="K1329" s="94"/>
      <c r="L1329" s="94"/>
      <c r="M1329" s="94"/>
      <c r="N1329" s="94"/>
      <c r="O1329" s="94"/>
      <c r="P1329" s="94"/>
      <c r="Q1329" s="1432"/>
    </row>
    <row r="1330" ht="15.75" customHeight="1">
      <c r="A1330" s="94"/>
      <c r="B1330" s="94"/>
      <c r="C1330" s="94"/>
      <c r="D1330" s="94"/>
      <c r="E1330" s="94"/>
      <c r="F1330" s="94"/>
      <c r="G1330" s="94"/>
      <c r="H1330" s="94"/>
      <c r="I1330" s="94"/>
      <c r="J1330" s="94"/>
      <c r="K1330" s="94"/>
      <c r="L1330" s="94"/>
      <c r="M1330" s="94"/>
      <c r="N1330" s="94"/>
      <c r="O1330" s="94"/>
      <c r="P1330" s="94"/>
      <c r="Q1330" s="1432"/>
    </row>
    <row r="1331" ht="15.75" customHeight="1">
      <c r="A1331" s="94"/>
      <c r="B1331" s="94"/>
      <c r="C1331" s="94"/>
      <c r="D1331" s="94"/>
      <c r="E1331" s="94"/>
      <c r="F1331" s="94"/>
      <c r="G1331" s="94"/>
      <c r="H1331" s="94"/>
      <c r="I1331" s="94"/>
      <c r="J1331" s="94"/>
      <c r="K1331" s="94"/>
      <c r="L1331" s="94"/>
      <c r="M1331" s="94"/>
      <c r="N1331" s="94"/>
      <c r="O1331" s="94"/>
      <c r="P1331" s="94"/>
      <c r="Q1331" s="1432"/>
    </row>
    <row r="1332" ht="15.75" customHeight="1">
      <c r="A1332" s="94"/>
      <c r="B1332" s="94"/>
      <c r="C1332" s="94"/>
      <c r="D1332" s="94"/>
      <c r="E1332" s="94"/>
      <c r="F1332" s="94"/>
      <c r="G1332" s="94"/>
      <c r="H1332" s="94"/>
      <c r="I1332" s="94"/>
      <c r="J1332" s="94"/>
      <c r="K1332" s="94"/>
      <c r="L1332" s="94"/>
      <c r="M1332" s="94"/>
      <c r="N1332" s="94"/>
      <c r="O1332" s="94"/>
      <c r="P1332" s="94"/>
      <c r="Q1332" s="1432"/>
    </row>
    <row r="1333" ht="15.75" customHeight="1">
      <c r="A1333" s="94"/>
      <c r="B1333" s="94"/>
      <c r="C1333" s="94"/>
      <c r="D1333" s="94"/>
      <c r="E1333" s="94"/>
      <c r="F1333" s="94"/>
      <c r="G1333" s="94"/>
      <c r="H1333" s="94"/>
      <c r="I1333" s="94"/>
      <c r="J1333" s="94"/>
      <c r="K1333" s="94"/>
      <c r="L1333" s="94"/>
      <c r="M1333" s="94"/>
      <c r="N1333" s="94"/>
      <c r="O1333" s="94"/>
      <c r="P1333" s="94"/>
      <c r="Q1333" s="1432"/>
    </row>
    <row r="1334" ht="15.75" customHeight="1">
      <c r="A1334" s="94"/>
      <c r="B1334" s="94"/>
      <c r="C1334" s="94"/>
      <c r="D1334" s="94"/>
      <c r="E1334" s="94"/>
      <c r="F1334" s="94"/>
      <c r="G1334" s="94"/>
      <c r="H1334" s="94"/>
      <c r="I1334" s="94"/>
      <c r="J1334" s="94"/>
      <c r="K1334" s="94"/>
      <c r="L1334" s="94"/>
      <c r="M1334" s="94"/>
      <c r="N1334" s="94"/>
      <c r="O1334" s="94"/>
      <c r="P1334" s="94"/>
      <c r="Q1334" s="1432"/>
    </row>
    <row r="1335" ht="15.75" customHeight="1">
      <c r="A1335" s="94"/>
      <c r="B1335" s="94"/>
      <c r="C1335" s="94"/>
      <c r="D1335" s="94"/>
      <c r="E1335" s="94"/>
      <c r="F1335" s="94"/>
      <c r="G1335" s="94"/>
      <c r="H1335" s="94"/>
      <c r="I1335" s="94"/>
      <c r="J1335" s="94"/>
      <c r="K1335" s="94"/>
      <c r="L1335" s="94"/>
      <c r="M1335" s="94"/>
      <c r="N1335" s="94"/>
      <c r="O1335" s="94"/>
      <c r="P1335" s="94"/>
      <c r="Q1335" s="1432"/>
    </row>
    <row r="1336" ht="15.75" customHeight="1">
      <c r="A1336" s="94"/>
      <c r="B1336" s="94"/>
      <c r="C1336" s="94"/>
      <c r="D1336" s="94"/>
      <c r="E1336" s="94"/>
      <c r="F1336" s="94"/>
      <c r="G1336" s="94"/>
      <c r="H1336" s="94"/>
      <c r="I1336" s="94"/>
      <c r="J1336" s="94"/>
      <c r="K1336" s="94"/>
      <c r="L1336" s="94"/>
      <c r="M1336" s="94"/>
      <c r="N1336" s="94"/>
      <c r="O1336" s="94"/>
      <c r="P1336" s="94"/>
      <c r="Q1336" s="1432"/>
    </row>
    <row r="1337" ht="15.75" customHeight="1">
      <c r="A1337" s="94"/>
      <c r="B1337" s="94"/>
      <c r="C1337" s="94"/>
      <c r="D1337" s="94"/>
      <c r="E1337" s="94"/>
      <c r="F1337" s="94"/>
      <c r="G1337" s="94"/>
      <c r="H1337" s="94"/>
      <c r="I1337" s="94"/>
      <c r="J1337" s="94"/>
      <c r="K1337" s="94"/>
      <c r="L1337" s="94"/>
      <c r="M1337" s="94"/>
      <c r="N1337" s="94"/>
      <c r="O1337" s="94"/>
      <c r="P1337" s="94"/>
      <c r="Q1337" s="1432"/>
    </row>
    <row r="1338" ht="15.75" customHeight="1">
      <c r="A1338" s="94"/>
      <c r="B1338" s="94"/>
      <c r="C1338" s="94"/>
      <c r="D1338" s="94"/>
      <c r="E1338" s="94"/>
      <c r="F1338" s="94"/>
      <c r="G1338" s="94"/>
      <c r="H1338" s="94"/>
      <c r="I1338" s="94"/>
      <c r="J1338" s="94"/>
      <c r="K1338" s="94"/>
      <c r="L1338" s="94"/>
      <c r="M1338" s="94"/>
      <c r="N1338" s="94"/>
      <c r="O1338" s="94"/>
      <c r="P1338" s="94"/>
      <c r="Q1338" s="1432"/>
    </row>
    <row r="1339" ht="15.75" customHeight="1">
      <c r="A1339" s="94"/>
      <c r="B1339" s="94"/>
      <c r="C1339" s="94"/>
      <c r="D1339" s="94"/>
      <c r="E1339" s="94"/>
      <c r="F1339" s="94"/>
      <c r="G1339" s="94"/>
      <c r="H1339" s="94"/>
      <c r="I1339" s="94"/>
      <c r="J1339" s="94"/>
      <c r="K1339" s="94"/>
      <c r="L1339" s="94"/>
      <c r="M1339" s="94"/>
      <c r="N1339" s="94"/>
      <c r="O1339" s="94"/>
      <c r="P1339" s="94"/>
      <c r="Q1339" s="1432"/>
    </row>
    <row r="1340" ht="15.75" customHeight="1">
      <c r="A1340" s="94"/>
      <c r="B1340" s="94"/>
      <c r="C1340" s="94"/>
      <c r="D1340" s="94"/>
      <c r="E1340" s="94"/>
      <c r="F1340" s="94"/>
      <c r="G1340" s="94"/>
      <c r="H1340" s="94"/>
      <c r="I1340" s="94"/>
      <c r="J1340" s="94"/>
      <c r="K1340" s="94"/>
      <c r="L1340" s="94"/>
      <c r="M1340" s="94"/>
      <c r="N1340" s="94"/>
      <c r="O1340" s="94"/>
      <c r="P1340" s="94"/>
      <c r="Q1340" s="1432"/>
    </row>
    <row r="1341" ht="15.75" customHeight="1">
      <c r="A1341" s="94"/>
      <c r="B1341" s="94"/>
      <c r="C1341" s="94"/>
      <c r="D1341" s="94"/>
      <c r="E1341" s="94"/>
      <c r="F1341" s="94"/>
      <c r="G1341" s="94"/>
      <c r="H1341" s="94"/>
      <c r="I1341" s="94"/>
      <c r="J1341" s="94"/>
      <c r="K1341" s="94"/>
      <c r="L1341" s="94"/>
      <c r="M1341" s="94"/>
      <c r="N1341" s="94"/>
      <c r="O1341" s="94"/>
      <c r="P1341" s="94"/>
      <c r="Q1341" s="1432"/>
    </row>
    <row r="1342" ht="15.75" customHeight="1">
      <c r="A1342" s="94"/>
      <c r="B1342" s="94"/>
      <c r="C1342" s="94"/>
      <c r="D1342" s="94"/>
      <c r="E1342" s="94"/>
      <c r="F1342" s="94"/>
      <c r="G1342" s="94"/>
      <c r="H1342" s="94"/>
      <c r="I1342" s="94"/>
      <c r="J1342" s="94"/>
      <c r="K1342" s="94"/>
      <c r="L1342" s="94"/>
      <c r="M1342" s="94"/>
      <c r="N1342" s="94"/>
      <c r="O1342" s="94"/>
      <c r="P1342" s="94"/>
      <c r="Q1342" s="1432"/>
    </row>
    <row r="1343" ht="15.75" customHeight="1">
      <c r="A1343" s="94"/>
      <c r="B1343" s="94"/>
      <c r="C1343" s="94"/>
      <c r="D1343" s="94"/>
      <c r="E1343" s="94"/>
      <c r="F1343" s="94"/>
      <c r="G1343" s="94"/>
      <c r="H1343" s="94"/>
      <c r="I1343" s="94"/>
      <c r="J1343" s="94"/>
      <c r="K1343" s="94"/>
      <c r="L1343" s="94"/>
      <c r="M1343" s="94"/>
      <c r="N1343" s="94"/>
      <c r="O1343" s="94"/>
      <c r="P1343" s="94"/>
      <c r="Q1343" s="1432"/>
    </row>
    <row r="1344" ht="15.75" customHeight="1">
      <c r="A1344" s="94"/>
      <c r="B1344" s="94"/>
      <c r="C1344" s="94"/>
      <c r="D1344" s="94"/>
      <c r="E1344" s="94"/>
      <c r="F1344" s="94"/>
      <c r="G1344" s="94"/>
      <c r="H1344" s="94"/>
      <c r="I1344" s="94"/>
      <c r="J1344" s="94"/>
      <c r="K1344" s="94"/>
      <c r="L1344" s="94"/>
      <c r="M1344" s="94"/>
      <c r="N1344" s="94"/>
      <c r="O1344" s="94"/>
      <c r="P1344" s="94"/>
      <c r="Q1344" s="1432"/>
    </row>
    <row r="1345" ht="15.75" customHeight="1">
      <c r="A1345" s="94"/>
      <c r="B1345" s="94"/>
      <c r="C1345" s="94"/>
      <c r="D1345" s="94"/>
      <c r="E1345" s="94"/>
      <c r="F1345" s="94"/>
      <c r="G1345" s="94"/>
      <c r="H1345" s="94"/>
      <c r="I1345" s="94"/>
      <c r="J1345" s="94"/>
      <c r="K1345" s="94"/>
      <c r="L1345" s="94"/>
      <c r="M1345" s="94"/>
      <c r="N1345" s="94"/>
      <c r="O1345" s="94"/>
      <c r="P1345" s="94"/>
      <c r="Q1345" s="1432"/>
    </row>
    <row r="1346" ht="15.75" customHeight="1">
      <c r="A1346" s="94"/>
      <c r="B1346" s="94"/>
      <c r="C1346" s="94"/>
      <c r="D1346" s="94"/>
      <c r="E1346" s="94"/>
      <c r="F1346" s="94"/>
      <c r="G1346" s="94"/>
      <c r="H1346" s="94"/>
      <c r="I1346" s="94"/>
      <c r="J1346" s="94"/>
      <c r="K1346" s="94"/>
      <c r="L1346" s="94"/>
      <c r="M1346" s="94"/>
      <c r="N1346" s="94"/>
      <c r="O1346" s="94"/>
      <c r="P1346" s="94"/>
      <c r="Q1346" s="1432"/>
    </row>
    <row r="1347" ht="15.75" customHeight="1">
      <c r="A1347" s="94"/>
      <c r="B1347" s="94"/>
      <c r="C1347" s="94"/>
      <c r="D1347" s="94"/>
      <c r="E1347" s="94"/>
      <c r="F1347" s="94"/>
      <c r="G1347" s="94"/>
      <c r="H1347" s="94"/>
      <c r="I1347" s="94"/>
      <c r="J1347" s="94"/>
      <c r="K1347" s="94"/>
      <c r="L1347" s="94"/>
      <c r="M1347" s="94"/>
      <c r="N1347" s="94"/>
      <c r="O1347" s="94"/>
      <c r="P1347" s="94"/>
      <c r="Q1347" s="1432"/>
    </row>
    <row r="1348" ht="15.75" customHeight="1">
      <c r="A1348" s="94"/>
      <c r="B1348" s="94"/>
      <c r="C1348" s="94"/>
      <c r="D1348" s="94"/>
      <c r="E1348" s="94"/>
      <c r="F1348" s="94"/>
      <c r="G1348" s="94"/>
      <c r="H1348" s="94"/>
      <c r="I1348" s="94"/>
      <c r="J1348" s="94"/>
      <c r="K1348" s="94"/>
      <c r="L1348" s="94"/>
      <c r="M1348" s="94"/>
      <c r="N1348" s="94"/>
      <c r="O1348" s="94"/>
      <c r="P1348" s="94"/>
      <c r="Q1348" s="1432"/>
    </row>
    <row r="1349" ht="15.75" customHeight="1">
      <c r="A1349" s="94"/>
      <c r="B1349" s="94"/>
      <c r="C1349" s="94"/>
      <c r="D1349" s="94"/>
      <c r="E1349" s="94"/>
      <c r="F1349" s="94"/>
      <c r="G1349" s="94"/>
      <c r="H1349" s="94"/>
      <c r="I1349" s="94"/>
      <c r="J1349" s="94"/>
      <c r="K1349" s="94"/>
      <c r="L1349" s="94"/>
      <c r="M1349" s="94"/>
      <c r="N1349" s="94"/>
      <c r="O1349" s="94"/>
      <c r="P1349" s="94"/>
      <c r="Q1349" s="1432"/>
    </row>
    <row r="1350" ht="15.75" customHeight="1">
      <c r="A1350" s="94"/>
      <c r="B1350" s="94"/>
      <c r="C1350" s="94"/>
      <c r="D1350" s="94"/>
      <c r="E1350" s="94"/>
      <c r="F1350" s="94"/>
      <c r="G1350" s="94"/>
      <c r="H1350" s="94"/>
      <c r="I1350" s="94"/>
      <c r="J1350" s="94"/>
      <c r="K1350" s="94"/>
      <c r="L1350" s="94"/>
      <c r="M1350" s="94"/>
      <c r="N1350" s="94"/>
      <c r="O1350" s="94"/>
      <c r="P1350" s="94"/>
      <c r="Q1350" s="1432"/>
    </row>
    <row r="1351" ht="15.75" customHeight="1">
      <c r="A1351" s="94"/>
      <c r="B1351" s="94"/>
      <c r="C1351" s="94"/>
      <c r="D1351" s="94"/>
      <c r="E1351" s="94"/>
      <c r="F1351" s="94"/>
      <c r="G1351" s="94"/>
      <c r="H1351" s="94"/>
      <c r="I1351" s="94"/>
      <c r="J1351" s="94"/>
      <c r="K1351" s="94"/>
      <c r="L1351" s="94"/>
      <c r="M1351" s="94"/>
      <c r="N1351" s="94"/>
      <c r="O1351" s="94"/>
      <c r="P1351" s="94"/>
      <c r="Q1351" s="1432"/>
    </row>
    <row r="1352" ht="15.75" customHeight="1">
      <c r="A1352" s="94"/>
      <c r="B1352" s="94"/>
      <c r="C1352" s="94"/>
      <c r="D1352" s="94"/>
      <c r="E1352" s="94"/>
      <c r="F1352" s="94"/>
      <c r="G1352" s="94"/>
      <c r="H1352" s="94"/>
      <c r="I1352" s="94"/>
      <c r="J1352" s="94"/>
      <c r="K1352" s="94"/>
      <c r="L1352" s="94"/>
      <c r="M1352" s="94"/>
      <c r="N1352" s="94"/>
      <c r="O1352" s="94"/>
      <c r="P1352" s="94"/>
      <c r="Q1352" s="1432"/>
    </row>
    <row r="1353" ht="15.75" customHeight="1">
      <c r="A1353" s="94"/>
      <c r="B1353" s="94"/>
      <c r="C1353" s="94"/>
      <c r="D1353" s="94"/>
      <c r="E1353" s="94"/>
      <c r="F1353" s="94"/>
      <c r="G1353" s="94"/>
      <c r="H1353" s="94"/>
      <c r="I1353" s="94"/>
      <c r="J1353" s="94"/>
      <c r="K1353" s="94"/>
      <c r="L1353" s="94"/>
      <c r="M1353" s="94"/>
      <c r="N1353" s="94"/>
      <c r="O1353" s="94"/>
      <c r="P1353" s="94"/>
      <c r="Q1353" s="1432"/>
    </row>
    <row r="1354" ht="15.75" customHeight="1">
      <c r="A1354" s="94"/>
      <c r="B1354" s="94"/>
      <c r="C1354" s="94"/>
      <c r="D1354" s="94"/>
      <c r="E1354" s="94"/>
      <c r="F1354" s="94"/>
      <c r="G1354" s="94"/>
      <c r="H1354" s="94"/>
      <c r="I1354" s="94"/>
      <c r="J1354" s="94"/>
      <c r="K1354" s="94"/>
      <c r="L1354" s="94"/>
      <c r="M1354" s="94"/>
      <c r="N1354" s="94"/>
      <c r="O1354" s="94"/>
      <c r="P1354" s="94"/>
      <c r="Q1354" s="1432"/>
    </row>
    <row r="1355" ht="15.75" customHeight="1">
      <c r="A1355" s="94"/>
      <c r="B1355" s="94"/>
      <c r="C1355" s="94"/>
      <c r="D1355" s="94"/>
      <c r="E1355" s="94"/>
      <c r="F1355" s="94"/>
      <c r="G1355" s="94"/>
      <c r="H1355" s="94"/>
      <c r="I1355" s="94"/>
      <c r="J1355" s="94"/>
      <c r="K1355" s="94"/>
      <c r="L1355" s="94"/>
      <c r="M1355" s="94"/>
      <c r="N1355" s="94"/>
      <c r="O1355" s="94"/>
      <c r="P1355" s="94"/>
      <c r="Q1355" s="1432"/>
    </row>
    <row r="1356" ht="15.75" customHeight="1">
      <c r="A1356" s="94"/>
      <c r="B1356" s="94"/>
      <c r="C1356" s="94"/>
      <c r="D1356" s="94"/>
      <c r="E1356" s="94"/>
      <c r="F1356" s="94"/>
      <c r="G1356" s="94"/>
      <c r="H1356" s="94"/>
      <c r="I1356" s="94"/>
      <c r="J1356" s="94"/>
      <c r="K1356" s="94"/>
      <c r="L1356" s="94"/>
      <c r="M1356" s="94"/>
      <c r="N1356" s="94"/>
      <c r="O1356" s="94"/>
      <c r="P1356" s="94"/>
      <c r="Q1356" s="1432"/>
    </row>
    <row r="1357" ht="15.75" customHeight="1">
      <c r="A1357" s="94"/>
      <c r="B1357" s="94"/>
      <c r="C1357" s="94"/>
      <c r="D1357" s="94"/>
      <c r="E1357" s="94"/>
      <c r="F1357" s="94"/>
      <c r="G1357" s="94"/>
      <c r="H1357" s="94"/>
      <c r="I1357" s="94"/>
      <c r="J1357" s="94"/>
      <c r="K1357" s="94"/>
      <c r="L1357" s="94"/>
      <c r="M1357" s="94"/>
      <c r="N1357" s="94"/>
      <c r="O1357" s="94"/>
      <c r="P1357" s="94"/>
      <c r="Q1357" s="1432"/>
    </row>
    <row r="1358" ht="15.75" customHeight="1">
      <c r="A1358" s="94"/>
      <c r="B1358" s="94"/>
      <c r="C1358" s="94"/>
      <c r="D1358" s="94"/>
      <c r="E1358" s="94"/>
      <c r="F1358" s="94"/>
      <c r="G1358" s="94"/>
      <c r="H1358" s="94"/>
      <c r="I1358" s="94"/>
      <c r="J1358" s="94"/>
      <c r="K1358" s="94"/>
      <c r="L1358" s="94"/>
      <c r="M1358" s="94"/>
      <c r="N1358" s="94"/>
      <c r="O1358" s="94"/>
      <c r="P1358" s="94"/>
      <c r="Q1358" s="1432"/>
    </row>
    <row r="1359" ht="15.75" customHeight="1">
      <c r="A1359" s="94"/>
      <c r="B1359" s="94"/>
      <c r="C1359" s="94"/>
      <c r="D1359" s="94"/>
      <c r="E1359" s="94"/>
      <c r="F1359" s="94"/>
      <c r="G1359" s="94"/>
      <c r="H1359" s="94"/>
      <c r="I1359" s="94"/>
      <c r="J1359" s="94"/>
      <c r="K1359" s="94"/>
      <c r="L1359" s="94"/>
      <c r="M1359" s="94"/>
      <c r="N1359" s="94"/>
      <c r="O1359" s="94"/>
      <c r="P1359" s="94"/>
      <c r="Q1359" s="1432"/>
    </row>
    <row r="1360" ht="15.75" customHeight="1">
      <c r="A1360" s="94"/>
      <c r="B1360" s="94"/>
      <c r="C1360" s="94"/>
      <c r="D1360" s="94"/>
      <c r="E1360" s="94"/>
      <c r="F1360" s="94"/>
      <c r="G1360" s="94"/>
      <c r="H1360" s="94"/>
      <c r="I1360" s="94"/>
      <c r="J1360" s="94"/>
      <c r="K1360" s="94"/>
      <c r="L1360" s="94"/>
      <c r="M1360" s="94"/>
      <c r="N1360" s="94"/>
      <c r="O1360" s="94"/>
      <c r="P1360" s="94"/>
      <c r="Q1360" s="1432"/>
    </row>
    <row r="1361" ht="15.75" customHeight="1">
      <c r="A1361" s="94"/>
      <c r="B1361" s="94"/>
      <c r="C1361" s="94"/>
      <c r="D1361" s="94"/>
      <c r="E1361" s="94"/>
      <c r="F1361" s="94"/>
      <c r="G1361" s="94"/>
      <c r="H1361" s="94"/>
      <c r="I1361" s="94"/>
      <c r="J1361" s="94"/>
      <c r="K1361" s="94"/>
      <c r="L1361" s="94"/>
      <c r="M1361" s="94"/>
      <c r="N1361" s="94"/>
      <c r="O1361" s="94"/>
      <c r="P1361" s="94"/>
      <c r="Q1361" s="1432"/>
    </row>
    <row r="1362" ht="15.75" customHeight="1">
      <c r="A1362" s="94"/>
      <c r="B1362" s="94"/>
      <c r="C1362" s="94"/>
      <c r="D1362" s="94"/>
      <c r="E1362" s="94"/>
      <c r="F1362" s="94"/>
      <c r="G1362" s="94"/>
      <c r="H1362" s="94"/>
      <c r="I1362" s="94"/>
      <c r="J1362" s="94"/>
      <c r="K1362" s="94"/>
      <c r="L1362" s="94"/>
      <c r="M1362" s="94"/>
      <c r="N1362" s="94"/>
      <c r="O1362" s="94"/>
      <c r="P1362" s="94"/>
      <c r="Q1362" s="1432"/>
    </row>
    <row r="1363" ht="15.75" customHeight="1">
      <c r="A1363" s="94"/>
      <c r="B1363" s="94"/>
      <c r="C1363" s="94"/>
      <c r="D1363" s="94"/>
      <c r="E1363" s="94"/>
      <c r="F1363" s="94"/>
      <c r="G1363" s="94"/>
      <c r="H1363" s="94"/>
      <c r="I1363" s="94"/>
      <c r="J1363" s="94"/>
      <c r="K1363" s="94"/>
      <c r="L1363" s="94"/>
      <c r="M1363" s="94"/>
      <c r="N1363" s="94"/>
      <c r="O1363" s="94"/>
      <c r="P1363" s="94"/>
      <c r="Q1363" s="1432"/>
    </row>
    <row r="1364" ht="15.75" customHeight="1">
      <c r="A1364" s="94"/>
      <c r="B1364" s="94"/>
      <c r="C1364" s="94"/>
      <c r="D1364" s="94"/>
      <c r="E1364" s="94"/>
      <c r="F1364" s="94"/>
      <c r="G1364" s="94"/>
      <c r="H1364" s="94"/>
      <c r="I1364" s="94"/>
      <c r="J1364" s="94"/>
      <c r="K1364" s="94"/>
      <c r="L1364" s="94"/>
      <c r="M1364" s="94"/>
      <c r="N1364" s="94"/>
      <c r="O1364" s="94"/>
      <c r="P1364" s="94"/>
      <c r="Q1364" s="1432"/>
    </row>
    <row r="1365" ht="15.75" customHeight="1">
      <c r="A1365" s="94"/>
      <c r="B1365" s="94"/>
      <c r="C1365" s="94"/>
      <c r="D1365" s="94"/>
      <c r="E1365" s="94"/>
      <c r="F1365" s="94"/>
      <c r="G1365" s="94"/>
      <c r="H1365" s="94"/>
      <c r="I1365" s="94"/>
      <c r="J1365" s="94"/>
      <c r="K1365" s="94"/>
      <c r="L1365" s="94"/>
      <c r="M1365" s="94"/>
      <c r="N1365" s="94"/>
      <c r="O1365" s="94"/>
      <c r="P1365" s="94"/>
      <c r="Q1365" s="1432"/>
    </row>
    <row r="1366" ht="15.75" customHeight="1">
      <c r="A1366" s="94"/>
      <c r="B1366" s="94"/>
      <c r="C1366" s="94"/>
      <c r="D1366" s="94"/>
      <c r="E1366" s="94"/>
      <c r="F1366" s="94"/>
      <c r="G1366" s="94"/>
      <c r="H1366" s="94"/>
      <c r="I1366" s="94"/>
      <c r="J1366" s="94"/>
      <c r="K1366" s="94"/>
      <c r="L1366" s="94"/>
      <c r="M1366" s="94"/>
      <c r="N1366" s="94"/>
      <c r="O1366" s="94"/>
      <c r="P1366" s="94"/>
      <c r="Q1366" s="1432"/>
    </row>
    <row r="1367" ht="15.75" customHeight="1">
      <c r="A1367" s="94"/>
      <c r="B1367" s="94"/>
      <c r="C1367" s="94"/>
      <c r="D1367" s="94"/>
      <c r="E1367" s="94"/>
      <c r="F1367" s="94"/>
      <c r="G1367" s="94"/>
      <c r="H1367" s="94"/>
      <c r="I1367" s="94"/>
      <c r="J1367" s="94"/>
      <c r="K1367" s="94"/>
      <c r="L1367" s="94"/>
      <c r="M1367" s="94"/>
      <c r="N1367" s="94"/>
      <c r="O1367" s="94"/>
      <c r="P1367" s="94"/>
      <c r="Q1367" s="1432"/>
    </row>
    <row r="1368" ht="15.75" customHeight="1">
      <c r="A1368" s="94"/>
      <c r="B1368" s="94"/>
      <c r="C1368" s="94"/>
      <c r="D1368" s="94"/>
      <c r="E1368" s="94"/>
      <c r="F1368" s="94"/>
      <c r="G1368" s="94"/>
      <c r="H1368" s="94"/>
      <c r="I1368" s="94"/>
      <c r="J1368" s="94"/>
      <c r="K1368" s="94"/>
      <c r="L1368" s="94"/>
      <c r="M1368" s="94"/>
      <c r="N1368" s="94"/>
      <c r="O1368" s="94"/>
      <c r="P1368" s="94"/>
      <c r="Q1368" s="1432"/>
    </row>
    <row r="1369" ht="15.75" customHeight="1">
      <c r="A1369" s="94"/>
      <c r="B1369" s="94"/>
      <c r="C1369" s="94"/>
      <c r="D1369" s="94"/>
      <c r="E1369" s="94"/>
      <c r="F1369" s="94"/>
      <c r="G1369" s="94"/>
      <c r="H1369" s="94"/>
      <c r="I1369" s="94"/>
      <c r="J1369" s="94"/>
      <c r="K1369" s="94"/>
      <c r="L1369" s="94"/>
      <c r="M1369" s="94"/>
      <c r="N1369" s="94"/>
      <c r="O1369" s="94"/>
      <c r="P1369" s="94"/>
      <c r="Q1369" s="1432"/>
    </row>
    <row r="1370" ht="15.75" customHeight="1">
      <c r="A1370" s="94"/>
      <c r="B1370" s="94"/>
      <c r="C1370" s="94"/>
      <c r="D1370" s="94"/>
      <c r="E1370" s="94"/>
      <c r="F1370" s="94"/>
      <c r="G1370" s="94"/>
      <c r="H1370" s="94"/>
      <c r="I1370" s="94"/>
      <c r="J1370" s="94"/>
      <c r="K1370" s="94"/>
      <c r="L1370" s="94"/>
      <c r="M1370" s="94"/>
      <c r="N1370" s="94"/>
      <c r="O1370" s="94"/>
      <c r="P1370" s="94"/>
      <c r="Q1370" s="1432"/>
    </row>
    <row r="1371" ht="15.75" customHeight="1">
      <c r="A1371" s="94"/>
      <c r="B1371" s="94"/>
      <c r="C1371" s="94"/>
      <c r="D1371" s="94"/>
      <c r="E1371" s="94"/>
      <c r="F1371" s="94"/>
      <c r="G1371" s="94"/>
      <c r="H1371" s="94"/>
      <c r="I1371" s="94"/>
      <c r="J1371" s="94"/>
      <c r="K1371" s="94"/>
      <c r="L1371" s="94"/>
      <c r="M1371" s="94"/>
      <c r="N1371" s="94"/>
      <c r="O1371" s="94"/>
      <c r="P1371" s="94"/>
      <c r="Q1371" s="1432"/>
    </row>
    <row r="1372" ht="15.75" customHeight="1">
      <c r="A1372" s="94"/>
      <c r="B1372" s="94"/>
      <c r="C1372" s="94"/>
      <c r="D1372" s="94"/>
      <c r="E1372" s="94"/>
      <c r="F1372" s="94"/>
      <c r="G1372" s="94"/>
      <c r="H1372" s="94"/>
      <c r="I1372" s="94"/>
      <c r="J1372" s="94"/>
      <c r="K1372" s="94"/>
      <c r="L1372" s="94"/>
      <c r="M1372" s="94"/>
      <c r="N1372" s="94"/>
      <c r="O1372" s="94"/>
      <c r="P1372" s="94"/>
      <c r="Q1372" s="1432"/>
    </row>
    <row r="1373" ht="15.75" customHeight="1">
      <c r="A1373" s="94"/>
      <c r="B1373" s="94"/>
      <c r="C1373" s="94"/>
      <c r="D1373" s="94"/>
      <c r="E1373" s="94"/>
      <c r="F1373" s="94"/>
      <c r="G1373" s="94"/>
      <c r="H1373" s="94"/>
      <c r="I1373" s="94"/>
      <c r="J1373" s="94"/>
      <c r="K1373" s="94"/>
      <c r="L1373" s="94"/>
      <c r="M1373" s="94"/>
      <c r="N1373" s="94"/>
      <c r="O1373" s="94"/>
      <c r="P1373" s="94"/>
      <c r="Q1373" s="1432"/>
    </row>
    <row r="1374" ht="15.75" customHeight="1">
      <c r="A1374" s="94"/>
      <c r="B1374" s="94"/>
      <c r="C1374" s="94"/>
      <c r="D1374" s="94"/>
      <c r="E1374" s="94"/>
      <c r="F1374" s="94"/>
      <c r="G1374" s="94"/>
      <c r="H1374" s="94"/>
      <c r="I1374" s="94"/>
      <c r="J1374" s="94"/>
      <c r="K1374" s="94"/>
      <c r="L1374" s="94"/>
      <c r="M1374" s="94"/>
      <c r="N1374" s="94"/>
      <c r="O1374" s="94"/>
      <c r="P1374" s="94"/>
      <c r="Q1374" s="1432"/>
    </row>
    <row r="1375" ht="15.75" customHeight="1">
      <c r="A1375" s="94"/>
      <c r="B1375" s="94"/>
      <c r="C1375" s="94"/>
      <c r="D1375" s="94"/>
      <c r="E1375" s="94"/>
      <c r="F1375" s="94"/>
      <c r="G1375" s="94"/>
      <c r="H1375" s="94"/>
      <c r="I1375" s="94"/>
      <c r="J1375" s="94"/>
      <c r="K1375" s="94"/>
      <c r="L1375" s="94"/>
      <c r="M1375" s="94"/>
      <c r="N1375" s="94"/>
      <c r="O1375" s="94"/>
      <c r="P1375" s="94"/>
      <c r="Q1375" s="1432"/>
    </row>
    <row r="1376" ht="15.75" customHeight="1">
      <c r="A1376" s="94"/>
      <c r="B1376" s="94"/>
      <c r="C1376" s="94"/>
      <c r="D1376" s="94"/>
      <c r="E1376" s="94"/>
      <c r="F1376" s="94"/>
      <c r="G1376" s="94"/>
      <c r="H1376" s="94"/>
      <c r="I1376" s="94"/>
      <c r="J1376" s="94"/>
      <c r="K1376" s="94"/>
      <c r="L1376" s="94"/>
      <c r="M1376" s="94"/>
      <c r="N1376" s="94"/>
      <c r="O1376" s="94"/>
      <c r="P1376" s="94"/>
      <c r="Q1376" s="1432"/>
    </row>
    <row r="1377" ht="15.75" customHeight="1">
      <c r="A1377" s="94"/>
      <c r="B1377" s="94"/>
      <c r="C1377" s="94"/>
      <c r="D1377" s="94"/>
      <c r="E1377" s="94"/>
      <c r="F1377" s="94"/>
      <c r="G1377" s="94"/>
      <c r="H1377" s="94"/>
      <c r="I1377" s="94"/>
      <c r="J1377" s="94"/>
      <c r="K1377" s="94"/>
      <c r="L1377" s="94"/>
      <c r="M1377" s="94"/>
      <c r="N1377" s="94"/>
      <c r="O1377" s="94"/>
      <c r="P1377" s="94"/>
      <c r="Q1377" s="1432"/>
    </row>
    <row r="1378" ht="15.75" customHeight="1">
      <c r="A1378" s="94"/>
      <c r="B1378" s="94"/>
      <c r="C1378" s="94"/>
      <c r="D1378" s="94"/>
      <c r="E1378" s="94"/>
      <c r="F1378" s="94"/>
      <c r="G1378" s="94"/>
      <c r="H1378" s="94"/>
      <c r="I1378" s="94"/>
      <c r="J1378" s="94"/>
      <c r="K1378" s="94"/>
      <c r="L1378" s="94"/>
      <c r="M1378" s="94"/>
      <c r="N1378" s="94"/>
      <c r="O1378" s="94"/>
      <c r="P1378" s="94"/>
      <c r="Q1378" s="1432"/>
    </row>
    <row r="1379" ht="15.75" customHeight="1">
      <c r="A1379" s="94"/>
      <c r="B1379" s="94"/>
      <c r="C1379" s="94"/>
      <c r="D1379" s="94"/>
      <c r="E1379" s="94"/>
      <c r="F1379" s="94"/>
      <c r="G1379" s="94"/>
      <c r="H1379" s="94"/>
      <c r="I1379" s="94"/>
      <c r="J1379" s="94"/>
      <c r="K1379" s="94"/>
      <c r="L1379" s="94"/>
      <c r="M1379" s="94"/>
      <c r="N1379" s="94"/>
      <c r="O1379" s="94"/>
      <c r="P1379" s="94"/>
      <c r="Q1379" s="1432"/>
    </row>
    <row r="1380" ht="15.75" customHeight="1">
      <c r="A1380" s="94"/>
      <c r="B1380" s="94"/>
      <c r="C1380" s="94"/>
      <c r="D1380" s="94"/>
      <c r="E1380" s="94"/>
      <c r="F1380" s="94"/>
      <c r="G1380" s="94"/>
      <c r="H1380" s="94"/>
      <c r="I1380" s="94"/>
      <c r="J1380" s="94"/>
      <c r="K1380" s="94"/>
      <c r="L1380" s="94"/>
      <c r="M1380" s="94"/>
      <c r="N1380" s="94"/>
      <c r="O1380" s="94"/>
      <c r="P1380" s="94"/>
      <c r="Q1380" s="1432"/>
    </row>
    <row r="1381" ht="15.75" customHeight="1">
      <c r="A1381" s="94"/>
      <c r="B1381" s="94"/>
      <c r="C1381" s="94"/>
      <c r="D1381" s="94"/>
      <c r="E1381" s="94"/>
      <c r="F1381" s="94"/>
      <c r="G1381" s="94"/>
      <c r="H1381" s="94"/>
      <c r="I1381" s="94"/>
      <c r="J1381" s="94"/>
      <c r="K1381" s="94"/>
      <c r="L1381" s="94"/>
      <c r="M1381" s="94"/>
      <c r="N1381" s="94"/>
      <c r="O1381" s="94"/>
      <c r="P1381" s="94"/>
      <c r="Q1381" s="1432"/>
    </row>
    <row r="1382" ht="15.75" customHeight="1">
      <c r="A1382" s="94"/>
      <c r="B1382" s="94"/>
      <c r="C1382" s="94"/>
      <c r="D1382" s="94"/>
      <c r="E1382" s="94"/>
      <c r="F1382" s="94"/>
      <c r="G1382" s="94"/>
      <c r="H1382" s="94"/>
      <c r="I1382" s="94"/>
      <c r="J1382" s="94"/>
      <c r="K1382" s="94"/>
      <c r="L1382" s="94"/>
      <c r="M1382" s="94"/>
      <c r="N1382" s="94"/>
      <c r="O1382" s="94"/>
      <c r="P1382" s="94"/>
      <c r="Q1382" s="1432"/>
    </row>
    <row r="1383" ht="15.75" customHeight="1">
      <c r="A1383" s="94"/>
      <c r="B1383" s="94"/>
      <c r="C1383" s="94"/>
      <c r="D1383" s="94"/>
      <c r="E1383" s="94"/>
      <c r="F1383" s="94"/>
      <c r="G1383" s="94"/>
      <c r="H1383" s="94"/>
      <c r="I1383" s="94"/>
      <c r="J1383" s="94"/>
      <c r="K1383" s="94"/>
      <c r="L1383" s="94"/>
      <c r="M1383" s="94"/>
      <c r="N1383" s="94"/>
      <c r="O1383" s="94"/>
      <c r="P1383" s="94"/>
      <c r="Q1383" s="1432"/>
    </row>
    <row r="1384" ht="15.75" customHeight="1">
      <c r="A1384" s="94"/>
      <c r="B1384" s="94"/>
      <c r="C1384" s="94"/>
      <c r="D1384" s="94"/>
      <c r="E1384" s="94"/>
      <c r="F1384" s="94"/>
      <c r="G1384" s="94"/>
      <c r="H1384" s="94"/>
      <c r="I1384" s="94"/>
      <c r="J1384" s="94"/>
      <c r="K1384" s="94"/>
      <c r="L1384" s="94"/>
      <c r="M1384" s="94"/>
      <c r="N1384" s="94"/>
      <c r="O1384" s="94"/>
      <c r="P1384" s="94"/>
      <c r="Q1384" s="1432"/>
    </row>
    <row r="1385" ht="15.75" customHeight="1">
      <c r="A1385" s="94"/>
      <c r="B1385" s="94"/>
      <c r="C1385" s="94"/>
      <c r="D1385" s="94"/>
      <c r="E1385" s="94"/>
      <c r="F1385" s="94"/>
      <c r="G1385" s="94"/>
      <c r="H1385" s="94"/>
      <c r="I1385" s="94"/>
      <c r="J1385" s="94"/>
      <c r="K1385" s="94"/>
      <c r="L1385" s="94"/>
      <c r="M1385" s="94"/>
      <c r="N1385" s="94"/>
      <c r="O1385" s="94"/>
      <c r="P1385" s="94"/>
      <c r="Q1385" s="1432"/>
    </row>
    <row r="1386" ht="15.75" customHeight="1">
      <c r="A1386" s="94"/>
      <c r="B1386" s="94"/>
      <c r="C1386" s="94"/>
      <c r="D1386" s="94"/>
      <c r="E1386" s="94"/>
      <c r="F1386" s="94"/>
      <c r="G1386" s="94"/>
      <c r="H1386" s="94"/>
      <c r="I1386" s="94"/>
      <c r="J1386" s="94"/>
      <c r="K1386" s="94"/>
      <c r="L1386" s="94"/>
      <c r="M1386" s="94"/>
      <c r="N1386" s="94"/>
      <c r="O1386" s="94"/>
      <c r="P1386" s="94"/>
      <c r="Q1386" s="1432"/>
    </row>
    <row r="1387" ht="15.75" customHeight="1">
      <c r="A1387" s="94"/>
      <c r="B1387" s="94"/>
      <c r="C1387" s="94"/>
      <c r="D1387" s="94"/>
      <c r="E1387" s="94"/>
      <c r="F1387" s="94"/>
      <c r="G1387" s="94"/>
      <c r="H1387" s="94"/>
      <c r="I1387" s="94"/>
      <c r="J1387" s="94"/>
      <c r="K1387" s="94"/>
      <c r="L1387" s="94"/>
      <c r="M1387" s="94"/>
      <c r="N1387" s="94"/>
      <c r="O1387" s="94"/>
      <c r="P1387" s="94"/>
      <c r="Q1387" s="1432"/>
    </row>
    <row r="1388" ht="15.75" customHeight="1">
      <c r="A1388" s="94"/>
      <c r="B1388" s="94"/>
      <c r="C1388" s="94"/>
      <c r="D1388" s="94"/>
      <c r="E1388" s="94"/>
      <c r="F1388" s="94"/>
      <c r="G1388" s="94"/>
      <c r="H1388" s="94"/>
      <c r="I1388" s="94"/>
      <c r="J1388" s="94"/>
      <c r="K1388" s="94"/>
      <c r="L1388" s="94"/>
      <c r="M1388" s="94"/>
      <c r="N1388" s="94"/>
      <c r="O1388" s="94"/>
      <c r="P1388" s="94"/>
      <c r="Q1388" s="1432"/>
    </row>
    <row r="1389" ht="15.75" customHeight="1">
      <c r="A1389" s="94"/>
      <c r="B1389" s="94"/>
      <c r="C1389" s="94"/>
      <c r="D1389" s="94"/>
      <c r="E1389" s="94"/>
      <c r="F1389" s="94"/>
      <c r="G1389" s="94"/>
      <c r="H1389" s="94"/>
      <c r="I1389" s="94"/>
      <c r="J1389" s="94"/>
      <c r="K1389" s="94"/>
      <c r="L1389" s="94"/>
      <c r="M1389" s="94"/>
      <c r="N1389" s="94"/>
      <c r="O1389" s="94"/>
      <c r="P1389" s="94"/>
      <c r="Q1389" s="1432"/>
    </row>
    <row r="1390" ht="15.75" customHeight="1">
      <c r="A1390" s="94"/>
      <c r="B1390" s="94"/>
      <c r="C1390" s="94"/>
      <c r="D1390" s="94"/>
      <c r="E1390" s="94"/>
      <c r="F1390" s="94"/>
      <c r="G1390" s="94"/>
      <c r="H1390" s="94"/>
      <c r="I1390" s="94"/>
      <c r="J1390" s="94"/>
      <c r="K1390" s="94"/>
      <c r="L1390" s="94"/>
      <c r="M1390" s="94"/>
      <c r="N1390" s="94"/>
      <c r="O1390" s="94"/>
      <c r="P1390" s="94"/>
      <c r="Q1390" s="1432"/>
    </row>
    <row r="1391" ht="15.75" customHeight="1">
      <c r="A1391" s="94"/>
      <c r="B1391" s="94"/>
      <c r="C1391" s="94"/>
      <c r="D1391" s="94"/>
      <c r="E1391" s="94"/>
      <c r="F1391" s="94"/>
      <c r="G1391" s="94"/>
      <c r="H1391" s="94"/>
      <c r="I1391" s="94"/>
      <c r="J1391" s="94"/>
      <c r="K1391" s="94"/>
      <c r="L1391" s="94"/>
      <c r="M1391" s="94"/>
      <c r="N1391" s="94"/>
      <c r="O1391" s="94"/>
      <c r="P1391" s="94"/>
      <c r="Q1391" s="1432"/>
    </row>
    <row r="1392" ht="15.75" customHeight="1">
      <c r="A1392" s="94"/>
      <c r="B1392" s="94"/>
      <c r="C1392" s="94"/>
      <c r="D1392" s="94"/>
      <c r="E1392" s="94"/>
      <c r="F1392" s="94"/>
      <c r="G1392" s="94"/>
      <c r="H1392" s="94"/>
      <c r="I1392" s="94"/>
      <c r="J1392" s="94"/>
      <c r="K1392" s="94"/>
      <c r="L1392" s="94"/>
      <c r="M1392" s="94"/>
      <c r="N1392" s="94"/>
      <c r="O1392" s="94"/>
      <c r="P1392" s="94"/>
      <c r="Q1392" s="1432"/>
    </row>
    <row r="1393" ht="15.75" customHeight="1">
      <c r="A1393" s="94"/>
      <c r="B1393" s="94"/>
      <c r="C1393" s="94"/>
      <c r="D1393" s="94"/>
      <c r="E1393" s="94"/>
      <c r="F1393" s="94"/>
      <c r="G1393" s="94"/>
      <c r="H1393" s="94"/>
      <c r="I1393" s="94"/>
      <c r="J1393" s="94"/>
      <c r="K1393" s="94"/>
      <c r="L1393" s="94"/>
      <c r="M1393" s="94"/>
      <c r="N1393" s="94"/>
      <c r="O1393" s="94"/>
      <c r="P1393" s="94"/>
      <c r="Q1393" s="1432"/>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4" width="12.63"/>
    <col customWidth="1" min="5" max="5" width="68.25"/>
    <col customWidth="1" min="6" max="6" width="66.63"/>
  </cols>
  <sheetData>
    <row r="1" ht="15.75" customHeight="1">
      <c r="A1" s="1440" t="s">
        <v>1034</v>
      </c>
      <c r="B1" s="1440" t="s">
        <v>1631</v>
      </c>
      <c r="C1" s="1441" t="s">
        <v>1632</v>
      </c>
      <c r="D1" s="1442" t="s">
        <v>1633</v>
      </c>
      <c r="E1" s="1440" t="s">
        <v>1634</v>
      </c>
      <c r="F1" s="1443" t="s">
        <v>1635</v>
      </c>
      <c r="G1" s="1443" t="s">
        <v>1636</v>
      </c>
      <c r="H1" s="164"/>
      <c r="I1" s="164"/>
      <c r="J1" s="164"/>
      <c r="K1" s="164"/>
      <c r="L1" s="164"/>
      <c r="M1" s="164"/>
      <c r="N1" s="164"/>
      <c r="O1" s="164"/>
      <c r="P1" s="164"/>
      <c r="Q1" s="164"/>
      <c r="R1" s="164"/>
      <c r="S1" s="164"/>
      <c r="T1" s="164"/>
      <c r="U1" s="164"/>
      <c r="V1" s="164"/>
      <c r="W1" s="164"/>
      <c r="X1" s="164"/>
      <c r="Y1" s="164"/>
      <c r="Z1" s="164"/>
    </row>
    <row r="2" ht="15.75" customHeight="1">
      <c r="A2" s="1170" t="s">
        <v>1039</v>
      </c>
      <c r="B2" s="1170" t="s">
        <v>111</v>
      </c>
      <c r="C2" s="1170" t="s">
        <v>99</v>
      </c>
      <c r="D2" s="7">
        <v>2.0</v>
      </c>
      <c r="E2" s="1444" t="s">
        <v>1637</v>
      </c>
      <c r="F2" s="179" t="s">
        <v>1638</v>
      </c>
      <c r="G2" s="164"/>
      <c r="H2" s="164"/>
      <c r="I2" s="164"/>
      <c r="J2" s="164"/>
      <c r="K2" s="164"/>
      <c r="L2" s="164"/>
      <c r="M2" s="164"/>
      <c r="N2" s="164"/>
      <c r="O2" s="164"/>
      <c r="P2" s="164"/>
      <c r="Q2" s="164"/>
      <c r="R2" s="164"/>
      <c r="S2" s="164"/>
      <c r="T2" s="164"/>
      <c r="U2" s="164"/>
      <c r="V2" s="164"/>
      <c r="W2" s="164"/>
      <c r="X2" s="164"/>
      <c r="Y2" s="164"/>
      <c r="Z2" s="164"/>
    </row>
    <row r="3" ht="15.75" customHeight="1">
      <c r="A3" s="1170"/>
      <c r="B3" s="1170"/>
      <c r="C3" s="1170"/>
      <c r="D3" s="7"/>
      <c r="E3" s="1445"/>
      <c r="F3" s="1445"/>
      <c r="G3" s="1445"/>
      <c r="H3" s="1445"/>
      <c r="I3" s="1445"/>
      <c r="J3" s="1445"/>
      <c r="K3" s="1445"/>
      <c r="L3" s="1445"/>
      <c r="M3" s="1445"/>
      <c r="N3" s="1445"/>
      <c r="O3" s="1445"/>
      <c r="P3" s="1445"/>
      <c r="Q3" s="1445"/>
      <c r="R3" s="1445"/>
      <c r="S3" s="1445"/>
      <c r="T3" s="1445"/>
      <c r="U3" s="1445"/>
      <c r="V3" s="1445"/>
      <c r="W3" s="1445"/>
      <c r="X3" s="1445"/>
      <c r="Y3" s="1445"/>
      <c r="Z3" s="1445"/>
    </row>
    <row r="4" ht="15.75" customHeight="1">
      <c r="A4" s="1170"/>
      <c r="B4" s="1170"/>
      <c r="C4" s="1170"/>
      <c r="D4" s="7"/>
      <c r="E4" s="1445"/>
      <c r="F4" s="1445"/>
      <c r="G4" s="1445"/>
      <c r="H4" s="1445"/>
      <c r="I4" s="1445"/>
      <c r="J4" s="1445"/>
      <c r="K4" s="1445"/>
      <c r="L4" s="1445"/>
      <c r="M4" s="1445"/>
      <c r="N4" s="1445"/>
      <c r="O4" s="1445"/>
      <c r="P4" s="1445"/>
      <c r="Q4" s="1445"/>
      <c r="R4" s="1445"/>
      <c r="S4" s="1445"/>
      <c r="T4" s="1445"/>
      <c r="U4" s="1445"/>
      <c r="V4" s="1445"/>
      <c r="W4" s="1445"/>
      <c r="X4" s="1445"/>
      <c r="Y4" s="1445"/>
      <c r="Z4" s="1445"/>
    </row>
    <row r="5" ht="15.75" customHeight="1">
      <c r="A5" s="1170"/>
      <c r="B5" s="1170"/>
      <c r="C5" s="1170"/>
      <c r="D5" s="7"/>
      <c r="E5" s="1445"/>
      <c r="F5" s="1445"/>
      <c r="G5" s="1445"/>
      <c r="H5" s="1445"/>
      <c r="I5" s="1445"/>
      <c r="J5" s="1445"/>
      <c r="K5" s="1445"/>
      <c r="L5" s="1445"/>
      <c r="M5" s="1445"/>
      <c r="N5" s="1445"/>
      <c r="O5" s="1445"/>
      <c r="P5" s="1445"/>
      <c r="Q5" s="1445"/>
      <c r="R5" s="1445"/>
      <c r="S5" s="1445"/>
      <c r="T5" s="1445"/>
      <c r="U5" s="1445"/>
      <c r="V5" s="1445"/>
      <c r="W5" s="1445"/>
      <c r="X5" s="1445"/>
      <c r="Y5" s="1445"/>
      <c r="Z5" s="1445"/>
    </row>
    <row r="6" ht="15.75" customHeight="1">
      <c r="A6" s="1170"/>
      <c r="B6" s="1170"/>
      <c r="C6" s="1170"/>
      <c r="D6" s="7"/>
      <c r="E6" s="1445"/>
      <c r="F6" s="1445"/>
      <c r="G6" s="1445"/>
      <c r="H6" s="1445"/>
      <c r="I6" s="1445"/>
      <c r="J6" s="1445"/>
      <c r="K6" s="1445"/>
      <c r="L6" s="1445"/>
      <c r="M6" s="1445"/>
      <c r="N6" s="1445"/>
      <c r="O6" s="1445"/>
      <c r="P6" s="1445"/>
      <c r="Q6" s="1445"/>
      <c r="R6" s="1445"/>
      <c r="S6" s="1445"/>
      <c r="T6" s="1445"/>
      <c r="U6" s="1445"/>
      <c r="V6" s="1445"/>
      <c r="W6" s="1445"/>
      <c r="X6" s="1445"/>
      <c r="Y6" s="1445"/>
      <c r="Z6" s="1445"/>
    </row>
    <row r="7" ht="15.75" customHeight="1">
      <c r="A7" s="1170"/>
      <c r="B7" s="1170"/>
      <c r="C7" s="1170"/>
      <c r="D7" s="7"/>
      <c r="E7" s="1445"/>
      <c r="F7" s="1445"/>
      <c r="G7" s="1445"/>
      <c r="H7" s="1445"/>
      <c r="I7" s="1445"/>
      <c r="J7" s="1445"/>
      <c r="K7" s="1445"/>
      <c r="L7" s="1445"/>
      <c r="M7" s="1445"/>
      <c r="N7" s="1445"/>
      <c r="O7" s="1445"/>
      <c r="P7" s="1445"/>
      <c r="Q7" s="1445"/>
      <c r="R7" s="1445"/>
      <c r="S7" s="1445"/>
      <c r="T7" s="1445"/>
      <c r="U7" s="1445"/>
      <c r="V7" s="1445"/>
      <c r="W7" s="1445"/>
      <c r="X7" s="1445"/>
      <c r="Y7" s="1445"/>
      <c r="Z7" s="1445"/>
    </row>
    <row r="8" ht="15.75" customHeight="1">
      <c r="A8" s="1170"/>
      <c r="B8" s="1170"/>
      <c r="C8" s="1170"/>
      <c r="D8" s="7"/>
      <c r="E8" s="1445"/>
      <c r="F8" s="1445"/>
      <c r="G8" s="1445"/>
      <c r="H8" s="1445"/>
      <c r="I8" s="1445"/>
      <c r="J8" s="1445"/>
      <c r="K8" s="1445"/>
      <c r="L8" s="1445"/>
      <c r="M8" s="1445"/>
      <c r="N8" s="1445"/>
      <c r="O8" s="1445"/>
      <c r="P8" s="1445"/>
      <c r="Q8" s="1445"/>
      <c r="R8" s="1445"/>
      <c r="S8" s="1445"/>
      <c r="T8" s="1445"/>
      <c r="U8" s="1445"/>
      <c r="V8" s="1445"/>
      <c r="W8" s="1445"/>
      <c r="X8" s="1445"/>
      <c r="Y8" s="1445"/>
      <c r="Z8" s="1445"/>
    </row>
    <row r="9" ht="15.75" customHeight="1">
      <c r="A9" s="1170"/>
      <c r="B9" s="1170"/>
      <c r="C9" s="1170"/>
      <c r="D9" s="7"/>
      <c r="E9" s="1445"/>
      <c r="F9" s="1445"/>
      <c r="G9" s="1445"/>
      <c r="H9" s="1445"/>
      <c r="I9" s="1445"/>
      <c r="J9" s="1445"/>
      <c r="K9" s="1445"/>
      <c r="L9" s="1445"/>
      <c r="M9" s="1445"/>
      <c r="N9" s="1445"/>
      <c r="O9" s="1445"/>
      <c r="P9" s="1445"/>
      <c r="Q9" s="1445"/>
      <c r="R9" s="1445"/>
      <c r="S9" s="1445"/>
      <c r="T9" s="1445"/>
      <c r="U9" s="1445"/>
      <c r="V9" s="1445"/>
      <c r="W9" s="1445"/>
      <c r="X9" s="1445"/>
      <c r="Y9" s="1445"/>
      <c r="Z9" s="1445"/>
    </row>
    <row r="10" ht="15.75" customHeight="1">
      <c r="A10" s="1170"/>
      <c r="B10" s="1170"/>
      <c r="C10" s="1170"/>
      <c r="D10" s="7"/>
      <c r="E10" s="1445"/>
      <c r="F10" s="1445"/>
      <c r="G10" s="1445"/>
      <c r="H10" s="1445"/>
      <c r="I10" s="1445"/>
      <c r="J10" s="1445"/>
      <c r="K10" s="1445"/>
      <c r="L10" s="1445"/>
      <c r="M10" s="1445"/>
      <c r="N10" s="1445"/>
      <c r="O10" s="1445"/>
      <c r="P10" s="1445"/>
      <c r="Q10" s="1445"/>
      <c r="R10" s="1445"/>
      <c r="S10" s="1445"/>
      <c r="T10" s="1445"/>
      <c r="U10" s="1445"/>
      <c r="V10" s="1445"/>
      <c r="W10" s="1445"/>
      <c r="X10" s="1445"/>
      <c r="Y10" s="1445"/>
      <c r="Z10" s="1445"/>
    </row>
    <row r="11" ht="15.75" customHeight="1">
      <c r="A11" s="1170"/>
      <c r="B11" s="1170"/>
      <c r="C11" s="1170"/>
      <c r="D11" s="7"/>
      <c r="E11" s="1445"/>
      <c r="F11" s="1445"/>
      <c r="G11" s="1445"/>
      <c r="H11" s="1445"/>
      <c r="I11" s="1445"/>
      <c r="J11" s="1445"/>
      <c r="K11" s="1445"/>
      <c r="L11" s="1445"/>
      <c r="M11" s="1445"/>
      <c r="N11" s="1445"/>
      <c r="O11" s="1445"/>
      <c r="P11" s="1445"/>
      <c r="Q11" s="1445"/>
      <c r="R11" s="1445"/>
      <c r="S11" s="1445"/>
      <c r="T11" s="1445"/>
      <c r="U11" s="1445"/>
      <c r="V11" s="1445"/>
      <c r="W11" s="1445"/>
      <c r="X11" s="1445"/>
      <c r="Y11" s="1445"/>
      <c r="Z11" s="1445"/>
    </row>
    <row r="12" ht="15.75" customHeight="1">
      <c r="A12" s="1170"/>
      <c r="B12" s="1170"/>
      <c r="C12" s="1170"/>
      <c r="D12" s="7"/>
      <c r="E12" s="1445"/>
      <c r="F12" s="1445"/>
      <c r="G12" s="1445"/>
      <c r="H12" s="1445"/>
      <c r="I12" s="1445"/>
      <c r="J12" s="1445"/>
      <c r="K12" s="1445"/>
      <c r="L12" s="1445"/>
      <c r="M12" s="1445"/>
      <c r="N12" s="1445"/>
      <c r="O12" s="1445"/>
      <c r="P12" s="1445"/>
      <c r="Q12" s="1445"/>
      <c r="R12" s="1445"/>
      <c r="S12" s="1445"/>
      <c r="T12" s="1445"/>
      <c r="U12" s="1445"/>
      <c r="V12" s="1445"/>
      <c r="W12" s="1445"/>
      <c r="X12" s="1445"/>
      <c r="Y12" s="1445"/>
      <c r="Z12" s="1445"/>
    </row>
    <row r="13" ht="15.75" customHeight="1">
      <c r="A13" s="1170"/>
      <c r="B13" s="1170"/>
      <c r="C13" s="1170"/>
      <c r="D13" s="7"/>
      <c r="E13" s="1445"/>
      <c r="F13" s="1445"/>
      <c r="G13" s="1445"/>
      <c r="H13" s="1445"/>
      <c r="I13" s="1445"/>
      <c r="J13" s="1445"/>
      <c r="K13" s="1445"/>
      <c r="L13" s="1445"/>
      <c r="M13" s="1445"/>
      <c r="N13" s="1445"/>
      <c r="O13" s="1445"/>
      <c r="P13" s="1445"/>
      <c r="Q13" s="1445"/>
      <c r="R13" s="1445"/>
      <c r="S13" s="1445"/>
      <c r="T13" s="1445"/>
      <c r="U13" s="1445"/>
      <c r="V13" s="1445"/>
      <c r="W13" s="1445"/>
      <c r="X13" s="1445"/>
      <c r="Y13" s="1445"/>
      <c r="Z13" s="1445"/>
    </row>
    <row r="14" ht="15.75" customHeight="1">
      <c r="A14" s="1170"/>
      <c r="B14" s="1170"/>
      <c r="C14" s="1170"/>
      <c r="D14" s="7"/>
      <c r="E14" s="1445"/>
      <c r="F14" s="1445"/>
      <c r="G14" s="1445"/>
      <c r="H14" s="1445"/>
      <c r="I14" s="1445"/>
      <c r="J14" s="1445"/>
      <c r="K14" s="1445"/>
      <c r="L14" s="1445"/>
      <c r="M14" s="1445"/>
      <c r="N14" s="1445"/>
      <c r="O14" s="1445"/>
      <c r="P14" s="1445"/>
      <c r="Q14" s="1445"/>
      <c r="R14" s="1445"/>
      <c r="S14" s="1445"/>
      <c r="T14" s="1445"/>
      <c r="U14" s="1445"/>
      <c r="V14" s="1445"/>
      <c r="W14" s="1445"/>
      <c r="X14" s="1445"/>
      <c r="Y14" s="1445"/>
      <c r="Z14" s="1445"/>
    </row>
    <row r="15" ht="15.75" customHeight="1">
      <c r="A15" s="1170"/>
      <c r="B15" s="1170"/>
      <c r="C15" s="1170"/>
      <c r="D15" s="7"/>
      <c r="E15" s="1445"/>
      <c r="F15" s="1445"/>
      <c r="G15" s="1445"/>
      <c r="H15" s="1445"/>
      <c r="I15" s="1445"/>
      <c r="J15" s="1445"/>
      <c r="K15" s="1445"/>
      <c r="L15" s="1445"/>
      <c r="M15" s="1445"/>
      <c r="N15" s="1445"/>
      <c r="O15" s="1445"/>
      <c r="P15" s="1445"/>
      <c r="Q15" s="1445"/>
      <c r="R15" s="1445"/>
      <c r="S15" s="1445"/>
      <c r="T15" s="1445"/>
      <c r="U15" s="1445"/>
      <c r="V15" s="1445"/>
      <c r="W15" s="1445"/>
      <c r="X15" s="1445"/>
      <c r="Y15" s="1445"/>
      <c r="Z15" s="1445"/>
    </row>
    <row r="16" ht="15.75" customHeight="1">
      <c r="A16" s="1170"/>
      <c r="B16" s="1170"/>
      <c r="C16" s="1170"/>
      <c r="D16" s="7"/>
      <c r="E16" s="1445"/>
      <c r="F16" s="1445"/>
      <c r="G16" s="1445"/>
      <c r="H16" s="1445"/>
      <c r="I16" s="1445"/>
      <c r="J16" s="1445"/>
      <c r="K16" s="1445"/>
      <c r="L16" s="1445"/>
      <c r="M16" s="1445"/>
      <c r="N16" s="1445"/>
      <c r="O16" s="1445"/>
      <c r="P16" s="1445"/>
      <c r="Q16" s="1445"/>
      <c r="R16" s="1445"/>
      <c r="S16" s="1445"/>
      <c r="T16" s="1445"/>
      <c r="U16" s="1445"/>
      <c r="V16" s="1445"/>
      <c r="W16" s="1445"/>
      <c r="X16" s="1445"/>
      <c r="Y16" s="1445"/>
      <c r="Z16" s="1445"/>
    </row>
    <row r="17" ht="15.75" customHeight="1">
      <c r="A17" s="1170"/>
      <c r="B17" s="1170"/>
      <c r="C17" s="1170"/>
      <c r="D17" s="7"/>
      <c r="E17" s="1445"/>
      <c r="F17" s="1445"/>
      <c r="G17" s="1445"/>
      <c r="H17" s="1445"/>
      <c r="I17" s="1445"/>
      <c r="J17" s="1445"/>
      <c r="K17" s="1445"/>
      <c r="L17" s="1445"/>
      <c r="M17" s="1445"/>
      <c r="N17" s="1445"/>
      <c r="O17" s="1445"/>
      <c r="P17" s="1445"/>
      <c r="Q17" s="1445"/>
      <c r="R17" s="1445"/>
      <c r="S17" s="1445"/>
      <c r="T17" s="1445"/>
      <c r="U17" s="1445"/>
      <c r="V17" s="1445"/>
      <c r="W17" s="1445"/>
      <c r="X17" s="1445"/>
      <c r="Y17" s="1445"/>
      <c r="Z17" s="1445"/>
    </row>
    <row r="18" ht="15.75" customHeight="1">
      <c r="A18" s="1170"/>
      <c r="B18" s="1170"/>
      <c r="C18" s="1170"/>
      <c r="D18" s="7"/>
      <c r="E18" s="1445"/>
      <c r="F18" s="1445"/>
      <c r="G18" s="1445"/>
      <c r="H18" s="1445"/>
      <c r="I18" s="1445"/>
      <c r="J18" s="1445"/>
      <c r="K18" s="1445"/>
      <c r="L18" s="1445"/>
      <c r="M18" s="1445"/>
      <c r="N18" s="1445"/>
      <c r="O18" s="1445"/>
      <c r="P18" s="1445"/>
      <c r="Q18" s="1445"/>
      <c r="R18" s="1445"/>
      <c r="S18" s="1445"/>
      <c r="T18" s="1445"/>
      <c r="U18" s="1445"/>
      <c r="V18" s="1445"/>
      <c r="W18" s="1445"/>
      <c r="X18" s="1445"/>
      <c r="Y18" s="1445"/>
      <c r="Z18" s="1445"/>
    </row>
    <row r="19" ht="15.75" customHeight="1">
      <c r="A19" s="1170"/>
      <c r="B19" s="1170"/>
      <c r="C19" s="1170"/>
      <c r="D19" s="7"/>
      <c r="E19" s="1445"/>
      <c r="F19" s="1445"/>
      <c r="G19" s="1445"/>
      <c r="H19" s="1445"/>
      <c r="I19" s="1445"/>
      <c r="J19" s="1445"/>
      <c r="K19" s="1445"/>
      <c r="L19" s="1445"/>
      <c r="M19" s="1445"/>
      <c r="N19" s="1445"/>
      <c r="O19" s="1445"/>
      <c r="P19" s="1445"/>
      <c r="Q19" s="1445"/>
      <c r="R19" s="1445"/>
      <c r="S19" s="1445"/>
      <c r="T19" s="1445"/>
      <c r="U19" s="1445"/>
      <c r="V19" s="1445"/>
      <c r="W19" s="1445"/>
      <c r="X19" s="1445"/>
      <c r="Y19" s="1445"/>
      <c r="Z19" s="1445"/>
    </row>
    <row r="20" ht="15.75" customHeight="1">
      <c r="A20" s="1170"/>
      <c r="B20" s="1170"/>
      <c r="C20" s="1170"/>
      <c r="D20" s="7"/>
      <c r="E20" s="1445"/>
      <c r="F20" s="1445"/>
      <c r="G20" s="1445"/>
      <c r="H20" s="1445"/>
      <c r="I20" s="1445"/>
      <c r="J20" s="1445"/>
      <c r="K20" s="1445"/>
      <c r="L20" s="1445"/>
      <c r="M20" s="1445"/>
      <c r="N20" s="1445"/>
      <c r="O20" s="1445"/>
      <c r="P20" s="1445"/>
      <c r="Q20" s="1445"/>
      <c r="R20" s="1445"/>
      <c r="S20" s="1445"/>
      <c r="T20" s="1445"/>
      <c r="U20" s="1445"/>
      <c r="V20" s="1445"/>
      <c r="W20" s="1445"/>
      <c r="X20" s="1445"/>
      <c r="Y20" s="1445"/>
      <c r="Z20" s="1445"/>
    </row>
    <row r="21" ht="15.75" customHeight="1">
      <c r="A21" s="1170"/>
      <c r="B21" s="1170"/>
      <c r="C21" s="1170"/>
      <c r="D21" s="7"/>
      <c r="E21" s="1445"/>
      <c r="F21" s="1445"/>
      <c r="G21" s="1445"/>
      <c r="H21" s="1445"/>
      <c r="I21" s="1445"/>
      <c r="J21" s="1445"/>
      <c r="K21" s="1445"/>
      <c r="L21" s="1445"/>
      <c r="M21" s="1445"/>
      <c r="N21" s="1445"/>
      <c r="O21" s="1445"/>
      <c r="P21" s="1445"/>
      <c r="Q21" s="1445"/>
      <c r="R21" s="1445"/>
      <c r="S21" s="1445"/>
      <c r="T21" s="1445"/>
      <c r="U21" s="1445"/>
      <c r="V21" s="1445"/>
      <c r="W21" s="1445"/>
      <c r="X21" s="1445"/>
      <c r="Y21" s="1445"/>
      <c r="Z21" s="1445"/>
    </row>
    <row r="22" ht="15.75" customHeight="1">
      <c r="A22" s="1170"/>
      <c r="B22" s="1170"/>
      <c r="C22" s="1170"/>
      <c r="D22" s="7"/>
      <c r="E22" s="1445"/>
      <c r="F22" s="1445"/>
      <c r="G22" s="1445"/>
      <c r="H22" s="1445"/>
      <c r="I22" s="1445"/>
      <c r="J22" s="1445"/>
      <c r="K22" s="1445"/>
      <c r="L22" s="1445"/>
      <c r="M22" s="1445"/>
      <c r="N22" s="1445"/>
      <c r="O22" s="1445"/>
      <c r="P22" s="1445"/>
      <c r="Q22" s="1445"/>
      <c r="R22" s="1445"/>
      <c r="S22" s="1445"/>
      <c r="T22" s="1445"/>
      <c r="U22" s="1445"/>
      <c r="V22" s="1445"/>
      <c r="W22" s="1445"/>
      <c r="X22" s="1445"/>
      <c r="Y22" s="1445"/>
      <c r="Z22" s="1445"/>
    </row>
    <row r="23" ht="15.75" customHeight="1">
      <c r="A23" s="1170"/>
      <c r="B23" s="1170"/>
      <c r="C23" s="1170"/>
      <c r="D23" s="7"/>
      <c r="E23" s="1445"/>
      <c r="F23" s="1445"/>
      <c r="G23" s="1445"/>
      <c r="H23" s="1445"/>
      <c r="I23" s="1445"/>
      <c r="J23" s="1445"/>
      <c r="K23" s="1445"/>
      <c r="L23" s="1445"/>
      <c r="M23" s="1445"/>
      <c r="N23" s="1445"/>
      <c r="O23" s="1445"/>
      <c r="P23" s="1445"/>
      <c r="Q23" s="1445"/>
      <c r="R23" s="1445"/>
      <c r="S23" s="1445"/>
      <c r="T23" s="1445"/>
      <c r="U23" s="1445"/>
      <c r="V23" s="1445"/>
      <c r="W23" s="1445"/>
      <c r="X23" s="1445"/>
      <c r="Y23" s="1445"/>
      <c r="Z23" s="1445"/>
    </row>
    <row r="24" ht="15.75" customHeight="1">
      <c r="A24" s="1170"/>
      <c r="B24" s="1170"/>
      <c r="C24" s="1170"/>
      <c r="D24" s="7"/>
      <c r="E24" s="1445"/>
      <c r="F24" s="1445"/>
      <c r="G24" s="1445"/>
      <c r="H24" s="1445"/>
      <c r="I24" s="1445"/>
      <c r="J24" s="1445"/>
      <c r="K24" s="1445"/>
      <c r="L24" s="1445"/>
      <c r="M24" s="1445"/>
      <c r="N24" s="1445"/>
      <c r="O24" s="1445"/>
      <c r="P24" s="1445"/>
      <c r="Q24" s="1445"/>
      <c r="R24" s="1445"/>
      <c r="S24" s="1445"/>
      <c r="T24" s="1445"/>
      <c r="U24" s="1445"/>
      <c r="V24" s="1445"/>
      <c r="W24" s="1445"/>
      <c r="X24" s="1445"/>
      <c r="Y24" s="1445"/>
      <c r="Z24" s="1445"/>
    </row>
    <row r="25" ht="15.75" customHeight="1">
      <c r="A25" s="1170"/>
      <c r="B25" s="1170"/>
      <c r="C25" s="1170"/>
      <c r="D25" s="7"/>
      <c r="E25" s="1445"/>
      <c r="F25" s="1445"/>
      <c r="G25" s="1445"/>
      <c r="H25" s="1445"/>
      <c r="I25" s="1445"/>
      <c r="J25" s="1445"/>
      <c r="K25" s="1445"/>
      <c r="L25" s="1445"/>
      <c r="M25" s="1445"/>
      <c r="N25" s="1445"/>
      <c r="O25" s="1445"/>
      <c r="P25" s="1445"/>
      <c r="Q25" s="1445"/>
      <c r="R25" s="1445"/>
      <c r="S25" s="1445"/>
      <c r="T25" s="1445"/>
      <c r="U25" s="1445"/>
      <c r="V25" s="1445"/>
      <c r="W25" s="1445"/>
      <c r="X25" s="1445"/>
      <c r="Y25" s="1445"/>
      <c r="Z25" s="1445"/>
    </row>
    <row r="26" ht="15.75" customHeight="1">
      <c r="A26" s="1170"/>
      <c r="B26" s="1170"/>
      <c r="C26" s="1170"/>
      <c r="D26" s="7"/>
      <c r="E26" s="1445"/>
      <c r="F26" s="1445"/>
      <c r="G26" s="1445"/>
      <c r="H26" s="1445"/>
      <c r="I26" s="1445"/>
      <c r="J26" s="1445"/>
      <c r="K26" s="1445"/>
      <c r="L26" s="1445"/>
      <c r="M26" s="1445"/>
      <c r="N26" s="1445"/>
      <c r="O26" s="1445"/>
      <c r="P26" s="1445"/>
      <c r="Q26" s="1445"/>
      <c r="R26" s="1445"/>
      <c r="S26" s="1445"/>
      <c r="T26" s="1445"/>
      <c r="U26" s="1445"/>
      <c r="V26" s="1445"/>
      <c r="W26" s="1445"/>
      <c r="X26" s="1445"/>
      <c r="Y26" s="1445"/>
      <c r="Z26" s="1445"/>
    </row>
    <row r="27" ht="15.75" customHeight="1">
      <c r="A27" s="1170"/>
      <c r="B27" s="1170"/>
      <c r="C27" s="1170"/>
      <c r="D27" s="7"/>
      <c r="E27" s="1445"/>
      <c r="F27" s="1445"/>
      <c r="G27" s="1445"/>
      <c r="H27" s="1445"/>
      <c r="I27" s="1445"/>
      <c r="J27" s="1445"/>
      <c r="K27" s="1445"/>
      <c r="L27" s="1445"/>
      <c r="M27" s="1445"/>
      <c r="N27" s="1445"/>
      <c r="O27" s="1445"/>
      <c r="P27" s="1445"/>
      <c r="Q27" s="1445"/>
      <c r="R27" s="1445"/>
      <c r="S27" s="1445"/>
      <c r="T27" s="1445"/>
      <c r="U27" s="1445"/>
      <c r="V27" s="1445"/>
      <c r="W27" s="1445"/>
      <c r="X27" s="1445"/>
      <c r="Y27" s="1445"/>
      <c r="Z27" s="1445"/>
    </row>
    <row r="28" ht="15.75" customHeight="1">
      <c r="A28" s="1170"/>
      <c r="B28" s="1170"/>
      <c r="C28" s="1170"/>
      <c r="D28" s="7"/>
      <c r="E28" s="1445"/>
      <c r="F28" s="1445"/>
      <c r="G28" s="1445"/>
      <c r="H28" s="1445"/>
      <c r="I28" s="1445"/>
      <c r="J28" s="1445"/>
      <c r="K28" s="1445"/>
      <c r="L28" s="1445"/>
      <c r="M28" s="1445"/>
      <c r="N28" s="1445"/>
      <c r="O28" s="1445"/>
      <c r="P28" s="1445"/>
      <c r="Q28" s="1445"/>
      <c r="R28" s="1445"/>
      <c r="S28" s="1445"/>
      <c r="T28" s="1445"/>
      <c r="U28" s="1445"/>
      <c r="V28" s="1445"/>
      <c r="W28" s="1445"/>
      <c r="X28" s="1445"/>
      <c r="Y28" s="1445"/>
      <c r="Z28" s="1445"/>
    </row>
    <row r="29" ht="15.75" customHeight="1">
      <c r="A29" s="1170"/>
      <c r="B29" s="1170"/>
      <c r="C29" s="1170"/>
      <c r="D29" s="7"/>
      <c r="E29" s="1445"/>
      <c r="F29" s="1445"/>
      <c r="G29" s="1445"/>
      <c r="H29" s="1445"/>
      <c r="I29" s="1445"/>
      <c r="J29" s="1445"/>
      <c r="K29" s="1445"/>
      <c r="L29" s="1445"/>
      <c r="M29" s="1445"/>
      <c r="N29" s="1445"/>
      <c r="O29" s="1445"/>
      <c r="P29" s="1445"/>
      <c r="Q29" s="1445"/>
      <c r="R29" s="1445"/>
      <c r="S29" s="1445"/>
      <c r="T29" s="1445"/>
      <c r="U29" s="1445"/>
      <c r="V29" s="1445"/>
      <c r="W29" s="1445"/>
      <c r="X29" s="1445"/>
      <c r="Y29" s="1445"/>
      <c r="Z29" s="1445"/>
    </row>
    <row r="30" ht="15.75" customHeight="1">
      <c r="A30" s="1170"/>
      <c r="B30" s="1170"/>
      <c r="C30" s="1170"/>
      <c r="D30" s="7"/>
      <c r="E30" s="1445"/>
      <c r="F30" s="1445"/>
      <c r="G30" s="1445"/>
      <c r="H30" s="1445"/>
      <c r="I30" s="1445"/>
      <c r="J30" s="1445"/>
      <c r="K30" s="1445"/>
      <c r="L30" s="1445"/>
      <c r="M30" s="1445"/>
      <c r="N30" s="1445"/>
      <c r="O30" s="1445"/>
      <c r="P30" s="1445"/>
      <c r="Q30" s="1445"/>
      <c r="R30" s="1445"/>
      <c r="S30" s="1445"/>
      <c r="T30" s="1445"/>
      <c r="U30" s="1445"/>
      <c r="V30" s="1445"/>
      <c r="W30" s="1445"/>
      <c r="X30" s="1445"/>
      <c r="Y30" s="1445"/>
      <c r="Z30" s="1445"/>
    </row>
    <row r="31" ht="15.75" customHeight="1">
      <c r="A31" s="1170"/>
      <c r="B31" s="1170"/>
      <c r="C31" s="1170"/>
      <c r="D31" s="7"/>
      <c r="E31" s="1445"/>
      <c r="F31" s="1445"/>
      <c r="G31" s="1445"/>
      <c r="H31" s="1445"/>
      <c r="I31" s="1445"/>
      <c r="J31" s="1445"/>
      <c r="K31" s="1445"/>
      <c r="L31" s="1445"/>
      <c r="M31" s="1445"/>
      <c r="N31" s="1445"/>
      <c r="O31" s="1445"/>
      <c r="P31" s="1445"/>
      <c r="Q31" s="1445"/>
      <c r="R31" s="1445"/>
      <c r="S31" s="1445"/>
      <c r="T31" s="1445"/>
      <c r="U31" s="1445"/>
      <c r="V31" s="1445"/>
      <c r="W31" s="1445"/>
      <c r="X31" s="1445"/>
      <c r="Y31" s="1445"/>
      <c r="Z31" s="1445"/>
    </row>
    <row r="32" ht="15.75" customHeight="1">
      <c r="A32" s="1170"/>
      <c r="B32" s="1170"/>
      <c r="C32" s="1170"/>
      <c r="D32" s="7"/>
      <c r="E32" s="1445"/>
      <c r="F32" s="1445"/>
      <c r="G32" s="1445"/>
      <c r="H32" s="1445"/>
      <c r="I32" s="1445"/>
      <c r="J32" s="1445"/>
      <c r="K32" s="1445"/>
      <c r="L32" s="1445"/>
      <c r="M32" s="1445"/>
      <c r="N32" s="1445"/>
      <c r="O32" s="1445"/>
      <c r="P32" s="1445"/>
      <c r="Q32" s="1445"/>
      <c r="R32" s="1445"/>
      <c r="S32" s="1445"/>
      <c r="T32" s="1445"/>
      <c r="U32" s="1445"/>
      <c r="V32" s="1445"/>
      <c r="W32" s="1445"/>
      <c r="X32" s="1445"/>
      <c r="Y32" s="1445"/>
      <c r="Z32" s="1445"/>
    </row>
    <row r="33" ht="15.75" customHeight="1">
      <c r="A33" s="1170"/>
      <c r="B33" s="1170"/>
      <c r="C33" s="1170"/>
      <c r="D33" s="7"/>
      <c r="E33" s="1445"/>
      <c r="F33" s="1445"/>
      <c r="G33" s="1445"/>
      <c r="H33" s="1445"/>
      <c r="I33" s="1445"/>
      <c r="J33" s="1445"/>
      <c r="K33" s="1445"/>
      <c r="L33" s="1445"/>
      <c r="M33" s="1445"/>
      <c r="N33" s="1445"/>
      <c r="O33" s="1445"/>
      <c r="P33" s="1445"/>
      <c r="Q33" s="1445"/>
      <c r="R33" s="1445"/>
      <c r="S33" s="1445"/>
      <c r="T33" s="1445"/>
      <c r="U33" s="1445"/>
      <c r="V33" s="1445"/>
      <c r="W33" s="1445"/>
      <c r="X33" s="1445"/>
      <c r="Y33" s="1445"/>
      <c r="Z33" s="1445"/>
    </row>
    <row r="34" ht="15.75" customHeight="1">
      <c r="A34" s="1170"/>
      <c r="B34" s="1170"/>
      <c r="C34" s="1170"/>
      <c r="D34" s="7"/>
      <c r="E34" s="1445"/>
      <c r="F34" s="1445"/>
      <c r="G34" s="1445"/>
      <c r="H34" s="1445"/>
      <c r="I34" s="1445"/>
      <c r="J34" s="1445"/>
      <c r="K34" s="1445"/>
      <c r="L34" s="1445"/>
      <c r="M34" s="1445"/>
      <c r="N34" s="1445"/>
      <c r="O34" s="1445"/>
      <c r="P34" s="1445"/>
      <c r="Q34" s="1445"/>
      <c r="R34" s="1445"/>
      <c r="S34" s="1445"/>
      <c r="T34" s="1445"/>
      <c r="U34" s="1445"/>
      <c r="V34" s="1445"/>
      <c r="W34" s="1445"/>
      <c r="X34" s="1445"/>
      <c r="Y34" s="1445"/>
      <c r="Z34" s="1445"/>
    </row>
    <row r="35" ht="15.75" customHeight="1">
      <c r="A35" s="1170"/>
      <c r="B35" s="1170"/>
      <c r="C35" s="1170"/>
      <c r="D35" s="7"/>
      <c r="E35" s="1445"/>
      <c r="F35" s="1445"/>
      <c r="G35" s="1445"/>
      <c r="H35" s="1445"/>
      <c r="I35" s="1445"/>
      <c r="J35" s="1445"/>
      <c r="K35" s="1445"/>
      <c r="L35" s="1445"/>
      <c r="M35" s="1445"/>
      <c r="N35" s="1445"/>
      <c r="O35" s="1445"/>
      <c r="P35" s="1445"/>
      <c r="Q35" s="1445"/>
      <c r="R35" s="1445"/>
      <c r="S35" s="1445"/>
      <c r="T35" s="1445"/>
      <c r="U35" s="1445"/>
      <c r="V35" s="1445"/>
      <c r="W35" s="1445"/>
      <c r="X35" s="1445"/>
      <c r="Y35" s="1445"/>
      <c r="Z35" s="1445"/>
    </row>
    <row r="36" ht="15.75" customHeight="1">
      <c r="A36" s="1170"/>
      <c r="B36" s="1170"/>
      <c r="C36" s="1170"/>
      <c r="D36" s="7"/>
      <c r="E36" s="1445"/>
      <c r="F36" s="1445"/>
      <c r="G36" s="1445"/>
      <c r="H36" s="1445"/>
      <c r="I36" s="1445"/>
      <c r="J36" s="1445"/>
      <c r="K36" s="1445"/>
      <c r="L36" s="1445"/>
      <c r="M36" s="1445"/>
      <c r="N36" s="1445"/>
      <c r="O36" s="1445"/>
      <c r="P36" s="1445"/>
      <c r="Q36" s="1445"/>
      <c r="R36" s="1445"/>
      <c r="S36" s="1445"/>
      <c r="T36" s="1445"/>
      <c r="U36" s="1445"/>
      <c r="V36" s="1445"/>
      <c r="W36" s="1445"/>
      <c r="X36" s="1445"/>
      <c r="Y36" s="1445"/>
      <c r="Z36" s="1445"/>
    </row>
    <row r="37" ht="15.75" customHeight="1">
      <c r="A37" s="1170"/>
      <c r="B37" s="1170"/>
      <c r="C37" s="1170"/>
      <c r="D37" s="7"/>
      <c r="E37" s="1445"/>
      <c r="F37" s="1445"/>
      <c r="G37" s="1445"/>
      <c r="H37" s="1445"/>
      <c r="I37" s="1445"/>
      <c r="J37" s="1445"/>
      <c r="K37" s="1445"/>
      <c r="L37" s="1445"/>
      <c r="M37" s="1445"/>
      <c r="N37" s="1445"/>
      <c r="O37" s="1445"/>
      <c r="P37" s="1445"/>
      <c r="Q37" s="1445"/>
      <c r="R37" s="1445"/>
      <c r="S37" s="1445"/>
      <c r="T37" s="1445"/>
      <c r="U37" s="1445"/>
      <c r="V37" s="1445"/>
      <c r="W37" s="1445"/>
      <c r="X37" s="1445"/>
      <c r="Y37" s="1445"/>
      <c r="Z37" s="1445"/>
    </row>
    <row r="38" ht="15.75" customHeight="1">
      <c r="A38" s="1170"/>
      <c r="B38" s="1170"/>
      <c r="C38" s="1170"/>
      <c r="D38" s="7"/>
      <c r="E38" s="1445"/>
      <c r="F38" s="1445"/>
      <c r="G38" s="1445"/>
      <c r="H38" s="1445"/>
      <c r="I38" s="1445"/>
      <c r="J38" s="1445"/>
      <c r="K38" s="1445"/>
      <c r="L38" s="1445"/>
      <c r="M38" s="1445"/>
      <c r="N38" s="1445"/>
      <c r="O38" s="1445"/>
      <c r="P38" s="1445"/>
      <c r="Q38" s="1445"/>
      <c r="R38" s="1445"/>
      <c r="S38" s="1445"/>
      <c r="T38" s="1445"/>
      <c r="U38" s="1445"/>
      <c r="V38" s="1445"/>
      <c r="W38" s="1445"/>
      <c r="X38" s="1445"/>
      <c r="Y38" s="1445"/>
      <c r="Z38" s="1445"/>
    </row>
    <row r="39" ht="15.75" customHeight="1">
      <c r="A39" s="1170"/>
      <c r="B39" s="1170"/>
      <c r="C39" s="1170"/>
      <c r="D39" s="7"/>
      <c r="E39" s="1445"/>
      <c r="F39" s="1445"/>
      <c r="G39" s="1445"/>
      <c r="H39" s="1445"/>
      <c r="I39" s="1445"/>
      <c r="J39" s="1445"/>
      <c r="K39" s="1445"/>
      <c r="L39" s="1445"/>
      <c r="M39" s="1445"/>
      <c r="N39" s="1445"/>
      <c r="O39" s="1445"/>
      <c r="P39" s="1445"/>
      <c r="Q39" s="1445"/>
      <c r="R39" s="1445"/>
      <c r="S39" s="1445"/>
      <c r="T39" s="1445"/>
      <c r="U39" s="1445"/>
      <c r="V39" s="1445"/>
      <c r="W39" s="1445"/>
      <c r="X39" s="1445"/>
      <c r="Y39" s="1445"/>
      <c r="Z39" s="1445"/>
    </row>
    <row r="40" ht="15.75" customHeight="1">
      <c r="A40" s="1170"/>
      <c r="B40" s="1170"/>
      <c r="C40" s="1170"/>
      <c r="D40" s="7"/>
      <c r="E40" s="1445"/>
      <c r="F40" s="1445"/>
      <c r="G40" s="1445"/>
      <c r="H40" s="1445"/>
      <c r="I40" s="1445"/>
      <c r="J40" s="1445"/>
      <c r="K40" s="1445"/>
      <c r="L40" s="1445"/>
      <c r="M40" s="1445"/>
      <c r="N40" s="1445"/>
      <c r="O40" s="1445"/>
      <c r="P40" s="1445"/>
      <c r="Q40" s="1445"/>
      <c r="R40" s="1445"/>
      <c r="S40" s="1445"/>
      <c r="T40" s="1445"/>
      <c r="U40" s="1445"/>
      <c r="V40" s="1445"/>
      <c r="W40" s="1445"/>
      <c r="X40" s="1445"/>
      <c r="Y40" s="1445"/>
      <c r="Z40" s="1445"/>
    </row>
    <row r="41" ht="15.75" customHeight="1">
      <c r="A41" s="1170"/>
      <c r="B41" s="1170"/>
      <c r="C41" s="1170"/>
      <c r="D41" s="7"/>
      <c r="E41" s="1445"/>
      <c r="F41" s="1445"/>
      <c r="G41" s="1445"/>
      <c r="H41" s="1445"/>
      <c r="I41" s="1445"/>
      <c r="J41" s="1445"/>
      <c r="K41" s="1445"/>
      <c r="L41" s="1445"/>
      <c r="M41" s="1445"/>
      <c r="N41" s="1445"/>
      <c r="O41" s="1445"/>
      <c r="P41" s="1445"/>
      <c r="Q41" s="1445"/>
      <c r="R41" s="1445"/>
      <c r="S41" s="1445"/>
      <c r="T41" s="1445"/>
      <c r="U41" s="1445"/>
      <c r="V41" s="1445"/>
      <c r="W41" s="1445"/>
      <c r="X41" s="1445"/>
      <c r="Y41" s="1445"/>
      <c r="Z41" s="1445"/>
    </row>
    <row r="42" ht="15.75" customHeight="1">
      <c r="A42" s="1170"/>
      <c r="B42" s="1170"/>
      <c r="C42" s="1170"/>
      <c r="D42" s="7"/>
      <c r="E42" s="1445"/>
      <c r="F42" s="1445"/>
      <c r="G42" s="1445"/>
      <c r="H42" s="1445"/>
      <c r="I42" s="1445"/>
      <c r="J42" s="1445"/>
      <c r="K42" s="1445"/>
      <c r="L42" s="1445"/>
      <c r="M42" s="1445"/>
      <c r="N42" s="1445"/>
      <c r="O42" s="1445"/>
      <c r="P42" s="1445"/>
      <c r="Q42" s="1445"/>
      <c r="R42" s="1445"/>
      <c r="S42" s="1445"/>
      <c r="T42" s="1445"/>
      <c r="U42" s="1445"/>
      <c r="V42" s="1445"/>
      <c r="W42" s="1445"/>
      <c r="X42" s="1445"/>
      <c r="Y42" s="1445"/>
      <c r="Z42" s="1445"/>
    </row>
    <row r="43" ht="15.75" customHeight="1">
      <c r="A43" s="1170"/>
      <c r="B43" s="1170"/>
      <c r="C43" s="1170"/>
      <c r="D43" s="7"/>
      <c r="E43" s="1445"/>
      <c r="F43" s="1445"/>
      <c r="G43" s="1445"/>
      <c r="H43" s="1445"/>
      <c r="I43" s="1445"/>
      <c r="J43" s="1445"/>
      <c r="K43" s="1445"/>
      <c r="L43" s="1445"/>
      <c r="M43" s="1445"/>
      <c r="N43" s="1445"/>
      <c r="O43" s="1445"/>
      <c r="P43" s="1445"/>
      <c r="Q43" s="1445"/>
      <c r="R43" s="1445"/>
      <c r="S43" s="1445"/>
      <c r="T43" s="1445"/>
      <c r="U43" s="1445"/>
      <c r="V43" s="1445"/>
      <c r="W43" s="1445"/>
      <c r="X43" s="1445"/>
      <c r="Y43" s="1445"/>
      <c r="Z43" s="1445"/>
    </row>
    <row r="44" ht="15.75" customHeight="1">
      <c r="A44" s="1170"/>
      <c r="B44" s="1170"/>
      <c r="C44" s="1170"/>
      <c r="D44" s="7"/>
      <c r="E44" s="1445"/>
      <c r="F44" s="1445"/>
      <c r="G44" s="1445"/>
      <c r="H44" s="1445"/>
      <c r="I44" s="1445"/>
      <c r="J44" s="1445"/>
      <c r="K44" s="1445"/>
      <c r="L44" s="1445"/>
      <c r="M44" s="1445"/>
      <c r="N44" s="1445"/>
      <c r="O44" s="1445"/>
      <c r="P44" s="1445"/>
      <c r="Q44" s="1445"/>
      <c r="R44" s="1445"/>
      <c r="S44" s="1445"/>
      <c r="T44" s="1445"/>
      <c r="U44" s="1445"/>
      <c r="V44" s="1445"/>
      <c r="W44" s="1445"/>
      <c r="X44" s="1445"/>
      <c r="Y44" s="1445"/>
      <c r="Z44" s="1445"/>
    </row>
    <row r="45" ht="15.75" customHeight="1">
      <c r="A45" s="1170"/>
      <c r="B45" s="1170"/>
      <c r="C45" s="1170"/>
      <c r="D45" s="7"/>
      <c r="E45" s="1445"/>
      <c r="F45" s="1445"/>
      <c r="G45" s="1445"/>
      <c r="H45" s="1445"/>
      <c r="I45" s="1445"/>
      <c r="J45" s="1445"/>
      <c r="K45" s="1445"/>
      <c r="L45" s="1445"/>
      <c r="M45" s="1445"/>
      <c r="N45" s="1445"/>
      <c r="O45" s="1445"/>
      <c r="P45" s="1445"/>
      <c r="Q45" s="1445"/>
      <c r="R45" s="1445"/>
      <c r="S45" s="1445"/>
      <c r="T45" s="1445"/>
      <c r="U45" s="1445"/>
      <c r="V45" s="1445"/>
      <c r="W45" s="1445"/>
      <c r="X45" s="1445"/>
      <c r="Y45" s="1445"/>
      <c r="Z45" s="1445"/>
    </row>
    <row r="46" ht="15.75" customHeight="1">
      <c r="A46" s="1170"/>
      <c r="B46" s="1170"/>
      <c r="C46" s="1170"/>
      <c r="D46" s="7"/>
      <c r="E46" s="1445"/>
      <c r="F46" s="1445"/>
      <c r="G46" s="1445"/>
      <c r="H46" s="1445"/>
      <c r="I46" s="1445"/>
      <c r="J46" s="1445"/>
      <c r="K46" s="1445"/>
      <c r="L46" s="1445"/>
      <c r="M46" s="1445"/>
      <c r="N46" s="1445"/>
      <c r="O46" s="1445"/>
      <c r="P46" s="1445"/>
      <c r="Q46" s="1445"/>
      <c r="R46" s="1445"/>
      <c r="S46" s="1445"/>
      <c r="T46" s="1445"/>
      <c r="U46" s="1445"/>
      <c r="V46" s="1445"/>
      <c r="W46" s="1445"/>
      <c r="X46" s="1445"/>
      <c r="Y46" s="1445"/>
      <c r="Z46" s="1445"/>
    </row>
    <row r="47" ht="15.75" customHeight="1">
      <c r="A47" s="1170"/>
      <c r="B47" s="1170"/>
      <c r="C47" s="1170"/>
      <c r="D47" s="7"/>
      <c r="E47" s="1445"/>
      <c r="F47" s="1445"/>
      <c r="G47" s="1445"/>
      <c r="H47" s="1445"/>
      <c r="I47" s="1445"/>
      <c r="J47" s="1445"/>
      <c r="K47" s="1445"/>
      <c r="L47" s="1445"/>
      <c r="M47" s="1445"/>
      <c r="N47" s="1445"/>
      <c r="O47" s="1445"/>
      <c r="P47" s="1445"/>
      <c r="Q47" s="1445"/>
      <c r="R47" s="1445"/>
      <c r="S47" s="1445"/>
      <c r="T47" s="1445"/>
      <c r="U47" s="1445"/>
      <c r="V47" s="1445"/>
      <c r="W47" s="1445"/>
      <c r="X47" s="1445"/>
      <c r="Y47" s="1445"/>
      <c r="Z47" s="1445"/>
    </row>
    <row r="48" ht="15.75" customHeight="1">
      <c r="A48" s="1170"/>
      <c r="B48" s="1170"/>
      <c r="C48" s="1170"/>
      <c r="D48" s="7"/>
      <c r="E48" s="1445"/>
      <c r="F48" s="1445"/>
      <c r="G48" s="1445"/>
      <c r="H48" s="1445"/>
      <c r="I48" s="1445"/>
      <c r="J48" s="1445"/>
      <c r="K48" s="1445"/>
      <c r="L48" s="1445"/>
      <c r="M48" s="1445"/>
      <c r="N48" s="1445"/>
      <c r="O48" s="1445"/>
      <c r="P48" s="1445"/>
      <c r="Q48" s="1445"/>
      <c r="R48" s="1445"/>
      <c r="S48" s="1445"/>
      <c r="T48" s="1445"/>
      <c r="U48" s="1445"/>
      <c r="V48" s="1445"/>
      <c r="W48" s="1445"/>
      <c r="X48" s="1445"/>
      <c r="Y48" s="1445"/>
      <c r="Z48" s="1445"/>
    </row>
    <row r="49" ht="15.75" customHeight="1">
      <c r="A49" s="1170"/>
      <c r="B49" s="1170"/>
      <c r="C49" s="1170"/>
      <c r="D49" s="7"/>
      <c r="E49" s="1445"/>
      <c r="F49" s="1445"/>
      <c r="G49" s="554"/>
      <c r="H49" s="1445"/>
      <c r="I49" s="1445"/>
      <c r="J49" s="1445"/>
      <c r="K49" s="1445"/>
      <c r="L49" s="1445"/>
      <c r="M49" s="1445"/>
      <c r="N49" s="1445"/>
      <c r="O49" s="1445"/>
      <c r="P49" s="1445"/>
      <c r="Q49" s="1445"/>
      <c r="R49" s="1445"/>
      <c r="S49" s="1445"/>
      <c r="T49" s="1445"/>
      <c r="U49" s="1445"/>
      <c r="V49" s="1445"/>
      <c r="W49" s="1445"/>
      <c r="X49" s="1445"/>
      <c r="Y49" s="1445"/>
      <c r="Z49" s="1445"/>
    </row>
    <row r="50" ht="15.75" customHeight="1">
      <c r="A50" s="1170"/>
      <c r="B50" s="1170"/>
      <c r="C50" s="1170"/>
      <c r="D50" s="7"/>
      <c r="E50" s="1445"/>
      <c r="F50" s="1445"/>
      <c r="G50" s="1445"/>
      <c r="H50" s="1445"/>
      <c r="I50" s="1445"/>
      <c r="J50" s="1445"/>
      <c r="K50" s="1445"/>
      <c r="L50" s="1445"/>
      <c r="M50" s="1445"/>
      <c r="N50" s="1445"/>
      <c r="O50" s="1445"/>
      <c r="P50" s="1445"/>
      <c r="Q50" s="1445"/>
      <c r="R50" s="1445"/>
      <c r="S50" s="1445"/>
      <c r="T50" s="1445"/>
      <c r="U50" s="1445"/>
      <c r="V50" s="1445"/>
      <c r="W50" s="1445"/>
      <c r="X50" s="1445"/>
      <c r="Y50" s="1445"/>
      <c r="Z50" s="1445"/>
    </row>
    <row r="51" ht="15.75" customHeight="1">
      <c r="A51" s="1170"/>
      <c r="B51" s="1170"/>
      <c r="C51" s="1170"/>
      <c r="D51" s="7"/>
      <c r="E51" s="1445"/>
      <c r="F51" s="1445"/>
      <c r="G51" s="1445"/>
      <c r="H51" s="1445"/>
      <c r="I51" s="1445"/>
      <c r="J51" s="1445"/>
      <c r="K51" s="1445"/>
      <c r="L51" s="1445"/>
      <c r="M51" s="1445"/>
      <c r="N51" s="1445"/>
      <c r="O51" s="1445"/>
      <c r="P51" s="1445"/>
      <c r="Q51" s="1445"/>
      <c r="R51" s="1445"/>
      <c r="S51" s="1445"/>
      <c r="T51" s="1445"/>
      <c r="U51" s="1445"/>
      <c r="V51" s="1445"/>
      <c r="W51" s="1445"/>
      <c r="X51" s="1445"/>
      <c r="Y51" s="1445"/>
      <c r="Z51" s="1445"/>
    </row>
    <row r="52" ht="15.75" customHeight="1">
      <c r="A52" s="1170"/>
      <c r="B52" s="1170"/>
      <c r="C52" s="1170"/>
      <c r="D52" s="7"/>
      <c r="E52" s="1445"/>
      <c r="F52" s="1445"/>
      <c r="G52" s="1445"/>
      <c r="H52" s="1445"/>
      <c r="I52" s="1445"/>
      <c r="J52" s="1445"/>
      <c r="K52" s="1445"/>
      <c r="L52" s="1445"/>
      <c r="M52" s="1445"/>
      <c r="N52" s="1445"/>
      <c r="O52" s="1445"/>
      <c r="P52" s="1445"/>
      <c r="Q52" s="1445"/>
      <c r="R52" s="1445"/>
      <c r="S52" s="1445"/>
      <c r="T52" s="1445"/>
      <c r="U52" s="1445"/>
      <c r="V52" s="1445"/>
      <c r="W52" s="1445"/>
      <c r="X52" s="1445"/>
      <c r="Y52" s="1445"/>
      <c r="Z52" s="1445"/>
    </row>
    <row r="53" ht="15.75" customHeight="1">
      <c r="A53" s="1170"/>
      <c r="B53" s="1170"/>
      <c r="C53" s="1170"/>
      <c r="D53" s="7"/>
      <c r="E53" s="1445"/>
      <c r="F53" s="1445"/>
      <c r="G53" s="1445"/>
      <c r="H53" s="1445"/>
      <c r="I53" s="1445"/>
      <c r="J53" s="1445"/>
      <c r="K53" s="1445"/>
      <c r="L53" s="1445"/>
      <c r="M53" s="1445"/>
      <c r="N53" s="1445"/>
      <c r="O53" s="1445"/>
      <c r="P53" s="1445"/>
      <c r="Q53" s="1445"/>
      <c r="R53" s="1445"/>
      <c r="S53" s="1445"/>
      <c r="T53" s="1445"/>
      <c r="U53" s="1445"/>
      <c r="V53" s="1445"/>
      <c r="W53" s="1445"/>
      <c r="X53" s="1445"/>
      <c r="Y53" s="1445"/>
      <c r="Z53" s="1445"/>
    </row>
    <row r="54" ht="15.75" customHeight="1">
      <c r="A54" s="1170"/>
      <c r="B54" s="1170"/>
      <c r="C54" s="1170"/>
      <c r="D54" s="7"/>
      <c r="E54" s="1445"/>
      <c r="F54" s="1445"/>
      <c r="G54" s="1445"/>
      <c r="H54" s="1445"/>
      <c r="I54" s="1445"/>
      <c r="J54" s="1445"/>
      <c r="K54" s="1445"/>
      <c r="L54" s="1445"/>
      <c r="M54" s="1445"/>
      <c r="N54" s="1445"/>
      <c r="O54" s="1445"/>
      <c r="P54" s="1445"/>
      <c r="Q54" s="1445"/>
      <c r="R54" s="1445"/>
      <c r="S54" s="1445"/>
      <c r="T54" s="1445"/>
      <c r="U54" s="1445"/>
      <c r="V54" s="1445"/>
      <c r="W54" s="1445"/>
      <c r="X54" s="1445"/>
      <c r="Y54" s="1445"/>
      <c r="Z54" s="1445"/>
    </row>
    <row r="55" ht="15.75" customHeight="1">
      <c r="A55" s="1170"/>
      <c r="B55" s="1170"/>
      <c r="C55" s="1170"/>
      <c r="D55" s="7"/>
      <c r="E55" s="1445"/>
      <c r="F55" s="1445"/>
      <c r="G55" s="1445"/>
      <c r="H55" s="1445"/>
      <c r="I55" s="1445"/>
      <c r="J55" s="1445"/>
      <c r="K55" s="1445"/>
      <c r="L55" s="1445"/>
      <c r="M55" s="1445"/>
      <c r="N55" s="1445"/>
      <c r="O55" s="1445"/>
      <c r="P55" s="1445"/>
      <c r="Q55" s="1445"/>
      <c r="R55" s="1445"/>
      <c r="S55" s="1445"/>
      <c r="T55" s="1445"/>
      <c r="U55" s="1445"/>
      <c r="V55" s="1445"/>
      <c r="W55" s="1445"/>
      <c r="X55" s="1445"/>
      <c r="Y55" s="1445"/>
      <c r="Z55" s="1445"/>
    </row>
    <row r="56" ht="15.75" customHeight="1">
      <c r="A56" s="1170"/>
      <c r="B56" s="1170"/>
      <c r="C56" s="1170"/>
      <c r="D56" s="7"/>
      <c r="E56" s="1445"/>
      <c r="F56" s="1445"/>
      <c r="G56" s="1445"/>
      <c r="H56" s="1445"/>
      <c r="I56" s="1445"/>
      <c r="J56" s="1445"/>
      <c r="K56" s="1445"/>
      <c r="L56" s="1445"/>
      <c r="M56" s="1445"/>
      <c r="N56" s="1445"/>
      <c r="O56" s="1445"/>
      <c r="P56" s="1445"/>
      <c r="Q56" s="1445"/>
      <c r="R56" s="1445"/>
      <c r="S56" s="1445"/>
      <c r="T56" s="1445"/>
      <c r="U56" s="1445"/>
      <c r="V56" s="1445"/>
      <c r="W56" s="1445"/>
      <c r="X56" s="1445"/>
      <c r="Y56" s="1445"/>
      <c r="Z56" s="1445"/>
    </row>
    <row r="57" ht="15.75" customHeight="1">
      <c r="A57" s="1170"/>
      <c r="B57" s="1170"/>
      <c r="C57" s="1170"/>
      <c r="D57" s="7"/>
      <c r="E57" s="1445"/>
      <c r="F57" s="1445"/>
      <c r="G57" s="1445"/>
      <c r="H57" s="1445"/>
      <c r="I57" s="1445"/>
      <c r="J57" s="1445"/>
      <c r="K57" s="1445"/>
      <c r="L57" s="1445"/>
      <c r="M57" s="1445"/>
      <c r="N57" s="1445"/>
      <c r="O57" s="1445"/>
      <c r="P57" s="1445"/>
      <c r="Q57" s="1445"/>
      <c r="R57" s="1445"/>
      <c r="S57" s="1445"/>
      <c r="T57" s="1445"/>
      <c r="U57" s="1445"/>
      <c r="V57" s="1445"/>
      <c r="W57" s="1445"/>
      <c r="X57" s="1445"/>
      <c r="Y57" s="1445"/>
      <c r="Z57" s="1445"/>
    </row>
    <row r="58" ht="15.75" customHeight="1">
      <c r="A58" s="1170"/>
      <c r="B58" s="1170"/>
      <c r="C58" s="1170"/>
      <c r="D58" s="7"/>
      <c r="E58" s="1445"/>
      <c r="F58" s="1445"/>
      <c r="G58" s="1445"/>
      <c r="H58" s="1445"/>
      <c r="I58" s="1445"/>
      <c r="J58" s="1445"/>
      <c r="K58" s="1445"/>
      <c r="L58" s="1445"/>
      <c r="M58" s="1445"/>
      <c r="N58" s="1445"/>
      <c r="O58" s="1445"/>
      <c r="P58" s="1445"/>
      <c r="Q58" s="1445"/>
      <c r="R58" s="1445"/>
      <c r="S58" s="1445"/>
      <c r="T58" s="1445"/>
      <c r="U58" s="1445"/>
      <c r="V58" s="1445"/>
      <c r="W58" s="1445"/>
      <c r="X58" s="1445"/>
      <c r="Y58" s="1445"/>
      <c r="Z58" s="1445"/>
    </row>
    <row r="59" ht="15.75" customHeight="1">
      <c r="A59" s="1170"/>
      <c r="B59" s="1170"/>
      <c r="C59" s="1170"/>
      <c r="D59" s="7"/>
      <c r="E59" s="1445"/>
      <c r="F59" s="1445"/>
      <c r="G59" s="1445"/>
      <c r="H59" s="1445"/>
      <c r="I59" s="1445"/>
      <c r="J59" s="1445"/>
      <c r="K59" s="1445"/>
      <c r="L59" s="1445"/>
      <c r="M59" s="1445"/>
      <c r="N59" s="1445"/>
      <c r="O59" s="1445"/>
      <c r="P59" s="1445"/>
      <c r="Q59" s="1445"/>
      <c r="R59" s="1445"/>
      <c r="S59" s="1445"/>
      <c r="T59" s="1445"/>
      <c r="U59" s="1445"/>
      <c r="V59" s="1445"/>
      <c r="W59" s="1445"/>
      <c r="X59" s="1445"/>
      <c r="Y59" s="1445"/>
      <c r="Z59" s="1445"/>
    </row>
    <row r="60" ht="15.75" customHeight="1">
      <c r="A60" s="1170"/>
      <c r="B60" s="1170"/>
      <c r="C60" s="1170"/>
      <c r="D60" s="7"/>
      <c r="E60" s="1445"/>
      <c r="F60" s="1445"/>
      <c r="G60" s="1445"/>
      <c r="H60" s="1445"/>
      <c r="I60" s="1445"/>
      <c r="J60" s="1445"/>
      <c r="K60" s="1445"/>
      <c r="L60" s="1445"/>
      <c r="M60" s="1445"/>
      <c r="N60" s="1445"/>
      <c r="O60" s="1445"/>
      <c r="P60" s="1445"/>
      <c r="Q60" s="1445"/>
      <c r="R60" s="1445"/>
      <c r="S60" s="1445"/>
      <c r="T60" s="1445"/>
      <c r="U60" s="1445"/>
      <c r="V60" s="1445"/>
      <c r="W60" s="1445"/>
      <c r="X60" s="1445"/>
      <c r="Y60" s="1445"/>
      <c r="Z60" s="1445"/>
    </row>
    <row r="61" ht="15.75" customHeight="1">
      <c r="A61" s="1170"/>
      <c r="B61" s="1170"/>
      <c r="C61" s="1170"/>
      <c r="D61" s="7"/>
      <c r="E61" s="1445"/>
      <c r="F61" s="1445"/>
      <c r="G61" s="1445"/>
      <c r="H61" s="1445"/>
      <c r="I61" s="1445"/>
      <c r="J61" s="1445"/>
      <c r="K61" s="1445"/>
      <c r="L61" s="1445"/>
      <c r="M61" s="1445"/>
      <c r="N61" s="1445"/>
      <c r="O61" s="1445"/>
      <c r="P61" s="1445"/>
      <c r="Q61" s="1445"/>
      <c r="R61" s="1445"/>
      <c r="S61" s="1445"/>
      <c r="T61" s="1445"/>
      <c r="U61" s="1445"/>
      <c r="V61" s="1445"/>
      <c r="W61" s="1445"/>
      <c r="X61" s="1445"/>
      <c r="Y61" s="1445"/>
      <c r="Z61" s="1445"/>
    </row>
    <row r="62" ht="15.75" customHeight="1">
      <c r="A62" s="1170"/>
      <c r="B62" s="1170"/>
      <c r="C62" s="1170"/>
      <c r="D62" s="7"/>
      <c r="E62" s="1445"/>
      <c r="F62" s="1445"/>
      <c r="G62" s="1445"/>
      <c r="H62" s="1445"/>
      <c r="I62" s="1445"/>
      <c r="J62" s="1445"/>
      <c r="K62" s="1445"/>
      <c r="L62" s="1445"/>
      <c r="M62" s="1445"/>
      <c r="N62" s="1445"/>
      <c r="O62" s="1445"/>
      <c r="P62" s="1445"/>
      <c r="Q62" s="1445"/>
      <c r="R62" s="1445"/>
      <c r="S62" s="1445"/>
      <c r="T62" s="1445"/>
      <c r="U62" s="1445"/>
      <c r="V62" s="1445"/>
      <c r="W62" s="1445"/>
      <c r="X62" s="1445"/>
      <c r="Y62" s="1445"/>
      <c r="Z62" s="1445"/>
    </row>
    <row r="63" ht="15.75" customHeight="1">
      <c r="A63" s="1170"/>
      <c r="B63" s="1170"/>
      <c r="C63" s="1170"/>
      <c r="D63" s="7"/>
      <c r="E63" s="1445"/>
      <c r="F63" s="1445"/>
      <c r="G63" s="1445"/>
      <c r="H63" s="1445"/>
      <c r="I63" s="1445"/>
      <c r="J63" s="1445"/>
      <c r="K63" s="1445"/>
      <c r="L63" s="1445"/>
      <c r="M63" s="1445"/>
      <c r="N63" s="1445"/>
      <c r="O63" s="1445"/>
      <c r="P63" s="1445"/>
      <c r="Q63" s="1445"/>
      <c r="R63" s="1445"/>
      <c r="S63" s="1445"/>
      <c r="T63" s="1445"/>
      <c r="U63" s="1445"/>
      <c r="V63" s="1445"/>
      <c r="W63" s="1445"/>
      <c r="X63" s="1445"/>
      <c r="Y63" s="1445"/>
      <c r="Z63" s="1445"/>
    </row>
    <row r="64" ht="15.75" customHeight="1">
      <c r="A64" s="1170"/>
      <c r="B64" s="1170"/>
      <c r="C64" s="1170"/>
      <c r="D64" s="7"/>
      <c r="E64" s="1445"/>
      <c r="F64" s="1445"/>
      <c r="G64" s="1445"/>
      <c r="H64" s="1445"/>
      <c r="I64" s="1445"/>
      <c r="J64" s="1445"/>
      <c r="K64" s="1445"/>
      <c r="L64" s="1445"/>
      <c r="M64" s="1445"/>
      <c r="N64" s="1445"/>
      <c r="O64" s="1445"/>
      <c r="P64" s="1445"/>
      <c r="Q64" s="1445"/>
      <c r="R64" s="1445"/>
      <c r="S64" s="1445"/>
      <c r="T64" s="1445"/>
      <c r="U64" s="1445"/>
      <c r="V64" s="1445"/>
      <c r="W64" s="1445"/>
      <c r="X64" s="1445"/>
      <c r="Y64" s="1445"/>
      <c r="Z64" s="1445"/>
    </row>
    <row r="65" ht="15.75" customHeight="1">
      <c r="A65" s="1170"/>
      <c r="B65" s="1170"/>
      <c r="C65" s="1170"/>
      <c r="D65" s="7"/>
      <c r="E65" s="1445"/>
      <c r="F65" s="1445"/>
      <c r="G65" s="1445"/>
      <c r="H65" s="1445"/>
      <c r="I65" s="1445"/>
      <c r="J65" s="1445"/>
      <c r="K65" s="1445"/>
      <c r="L65" s="1445"/>
      <c r="M65" s="1445"/>
      <c r="N65" s="1445"/>
      <c r="O65" s="1445"/>
      <c r="P65" s="1445"/>
      <c r="Q65" s="1445"/>
      <c r="R65" s="1445"/>
      <c r="S65" s="1445"/>
      <c r="T65" s="1445"/>
      <c r="U65" s="1445"/>
      <c r="V65" s="1445"/>
      <c r="W65" s="1445"/>
      <c r="X65" s="1445"/>
      <c r="Y65" s="1445"/>
      <c r="Z65" s="1445"/>
    </row>
    <row r="66" ht="15.75" customHeight="1">
      <c r="A66" s="1170"/>
      <c r="B66" s="1170"/>
      <c r="C66" s="1170"/>
      <c r="D66" s="7"/>
      <c r="E66" s="1445"/>
      <c r="F66" s="1445"/>
      <c r="G66" s="1445"/>
      <c r="H66" s="1445"/>
      <c r="I66" s="1445"/>
      <c r="J66" s="1445"/>
      <c r="K66" s="1445"/>
      <c r="L66" s="1445"/>
      <c r="M66" s="1445"/>
      <c r="N66" s="1445"/>
      <c r="O66" s="1445"/>
      <c r="P66" s="1445"/>
      <c r="Q66" s="1445"/>
      <c r="R66" s="1445"/>
      <c r="S66" s="1445"/>
      <c r="T66" s="1445"/>
      <c r="U66" s="1445"/>
      <c r="V66" s="1445"/>
      <c r="W66" s="1445"/>
      <c r="X66" s="1445"/>
      <c r="Y66" s="1445"/>
      <c r="Z66" s="1445"/>
    </row>
    <row r="67" ht="15.75" customHeight="1">
      <c r="A67" s="1170"/>
      <c r="B67" s="1170"/>
      <c r="C67" s="1170"/>
      <c r="D67" s="7"/>
      <c r="E67" s="1445"/>
      <c r="F67" s="1445"/>
      <c r="G67" s="1445"/>
      <c r="H67" s="1445"/>
      <c r="I67" s="1445"/>
      <c r="J67" s="1445"/>
      <c r="K67" s="1445"/>
      <c r="L67" s="1445"/>
      <c r="M67" s="1445"/>
      <c r="N67" s="1445"/>
      <c r="O67" s="1445"/>
      <c r="P67" s="1445"/>
      <c r="Q67" s="1445"/>
      <c r="R67" s="1445"/>
      <c r="S67" s="1445"/>
      <c r="T67" s="1445"/>
      <c r="U67" s="1445"/>
      <c r="V67" s="1445"/>
      <c r="W67" s="1445"/>
      <c r="X67" s="1445"/>
      <c r="Y67" s="1445"/>
      <c r="Z67" s="1445"/>
    </row>
    <row r="68" ht="15.75" customHeight="1">
      <c r="A68" s="1170"/>
      <c r="B68" s="1170"/>
      <c r="C68" s="1170"/>
      <c r="D68" s="7"/>
      <c r="E68" s="1445"/>
      <c r="F68" s="1445"/>
      <c r="G68" s="1445"/>
      <c r="H68" s="1445"/>
      <c r="I68" s="1445"/>
      <c r="J68" s="1445"/>
      <c r="K68" s="1445"/>
      <c r="L68" s="1445"/>
      <c r="M68" s="1445"/>
      <c r="N68" s="1445"/>
      <c r="O68" s="1445"/>
      <c r="P68" s="1445"/>
      <c r="Q68" s="1445"/>
      <c r="R68" s="1445"/>
      <c r="S68" s="1445"/>
      <c r="T68" s="1445"/>
      <c r="U68" s="1445"/>
      <c r="V68" s="1445"/>
      <c r="W68" s="1445"/>
      <c r="X68" s="1445"/>
      <c r="Y68" s="1445"/>
      <c r="Z68" s="1445"/>
    </row>
    <row r="69" ht="15.75" customHeight="1">
      <c r="A69" s="1170"/>
      <c r="B69" s="1170"/>
      <c r="C69" s="1170"/>
      <c r="D69" s="7"/>
      <c r="E69" s="1445"/>
      <c r="F69" s="1445"/>
      <c r="G69" s="1445"/>
      <c r="H69" s="1445"/>
      <c r="I69" s="1445"/>
      <c r="J69" s="1445"/>
      <c r="K69" s="1445"/>
      <c r="L69" s="1445"/>
      <c r="M69" s="1445"/>
      <c r="N69" s="1445"/>
      <c r="O69" s="1445"/>
      <c r="P69" s="1445"/>
      <c r="Q69" s="1445"/>
      <c r="R69" s="1445"/>
      <c r="S69" s="1445"/>
      <c r="T69" s="1445"/>
      <c r="U69" s="1445"/>
      <c r="V69" s="1445"/>
      <c r="W69" s="1445"/>
      <c r="X69" s="1445"/>
      <c r="Y69" s="1445"/>
      <c r="Z69" s="1445"/>
    </row>
    <row r="70" ht="15.75" customHeight="1">
      <c r="A70" s="1170"/>
      <c r="B70" s="1170"/>
      <c r="C70" s="1170"/>
      <c r="D70" s="7"/>
      <c r="E70" s="1445"/>
      <c r="F70" s="1445"/>
      <c r="G70" s="1445"/>
      <c r="H70" s="1445"/>
      <c r="I70" s="1445"/>
      <c r="J70" s="1445"/>
      <c r="K70" s="1445"/>
      <c r="L70" s="1445"/>
      <c r="M70" s="1445"/>
      <c r="N70" s="1445"/>
      <c r="O70" s="1445"/>
      <c r="P70" s="1445"/>
      <c r="Q70" s="1445"/>
      <c r="R70" s="1445"/>
      <c r="S70" s="1445"/>
      <c r="T70" s="1445"/>
      <c r="U70" s="1445"/>
      <c r="V70" s="1445"/>
      <c r="W70" s="1445"/>
      <c r="X70" s="1445"/>
      <c r="Y70" s="1445"/>
      <c r="Z70" s="1445"/>
    </row>
    <row r="71" ht="15.75" customHeight="1">
      <c r="A71" s="1170"/>
      <c r="B71" s="1170"/>
      <c r="C71" s="1170"/>
      <c r="D71" s="7"/>
      <c r="E71" s="1445"/>
      <c r="F71" s="1445"/>
      <c r="G71" s="1445"/>
      <c r="H71" s="1445"/>
      <c r="I71" s="1445"/>
      <c r="J71" s="1445"/>
      <c r="K71" s="1445"/>
      <c r="L71" s="1445"/>
      <c r="M71" s="1445"/>
      <c r="N71" s="1445"/>
      <c r="O71" s="1445"/>
      <c r="P71" s="1445"/>
      <c r="Q71" s="1445"/>
      <c r="R71" s="1445"/>
      <c r="S71" s="1445"/>
      <c r="T71" s="1445"/>
      <c r="U71" s="1445"/>
      <c r="V71" s="1445"/>
      <c r="W71" s="1445"/>
      <c r="X71" s="1445"/>
      <c r="Y71" s="1445"/>
      <c r="Z71" s="1445"/>
    </row>
    <row r="72" ht="15.75" customHeight="1">
      <c r="A72" s="1170"/>
      <c r="B72" s="1170"/>
      <c r="C72" s="1170"/>
      <c r="D72" s="7"/>
      <c r="E72" s="1445"/>
      <c r="F72" s="1445"/>
      <c r="G72" s="1445"/>
      <c r="H72" s="1445"/>
      <c r="I72" s="1445"/>
      <c r="J72" s="1445"/>
      <c r="K72" s="1445"/>
      <c r="L72" s="1445"/>
      <c r="M72" s="1445"/>
      <c r="N72" s="1445"/>
      <c r="O72" s="1445"/>
      <c r="P72" s="1445"/>
      <c r="Q72" s="1445"/>
      <c r="R72" s="1445"/>
      <c r="S72" s="1445"/>
      <c r="T72" s="1445"/>
      <c r="U72" s="1445"/>
      <c r="V72" s="1445"/>
      <c r="W72" s="1445"/>
      <c r="X72" s="1445"/>
      <c r="Y72" s="1445"/>
      <c r="Z72" s="1445"/>
    </row>
    <row r="73" ht="15.75" customHeight="1">
      <c r="A73" s="1170"/>
      <c r="B73" s="1170"/>
      <c r="C73" s="1170"/>
      <c r="D73" s="7"/>
      <c r="E73" s="1445"/>
      <c r="F73" s="1445"/>
      <c r="G73" s="1445"/>
      <c r="H73" s="1445"/>
      <c r="I73" s="1445"/>
      <c r="J73" s="1445"/>
      <c r="K73" s="1445"/>
      <c r="L73" s="1445"/>
      <c r="M73" s="1445"/>
      <c r="N73" s="1445"/>
      <c r="O73" s="1445"/>
      <c r="P73" s="1445"/>
      <c r="Q73" s="1445"/>
      <c r="R73" s="1445"/>
      <c r="S73" s="1445"/>
      <c r="T73" s="1445"/>
      <c r="U73" s="1445"/>
      <c r="V73" s="1445"/>
      <c r="W73" s="1445"/>
      <c r="X73" s="1445"/>
      <c r="Y73" s="1445"/>
      <c r="Z73" s="1445"/>
    </row>
    <row r="74" ht="15.75" customHeight="1">
      <c r="A74" s="1170"/>
      <c r="B74" s="1170"/>
      <c r="C74" s="1170"/>
      <c r="D74" s="7"/>
      <c r="E74" s="1445"/>
      <c r="F74" s="1445"/>
      <c r="G74" s="1445"/>
      <c r="H74" s="1445"/>
      <c r="I74" s="1445"/>
      <c r="J74" s="1445"/>
      <c r="K74" s="1445"/>
      <c r="L74" s="1445"/>
      <c r="M74" s="1445"/>
      <c r="N74" s="1445"/>
      <c r="O74" s="1445"/>
      <c r="P74" s="1445"/>
      <c r="Q74" s="1445"/>
      <c r="R74" s="1445"/>
      <c r="S74" s="1445"/>
      <c r="T74" s="1445"/>
      <c r="U74" s="1445"/>
      <c r="V74" s="1445"/>
      <c r="W74" s="1445"/>
      <c r="X74" s="1445"/>
      <c r="Y74" s="1445"/>
      <c r="Z74" s="1445"/>
    </row>
    <row r="75" ht="15.75" customHeight="1">
      <c r="A75" s="1170"/>
      <c r="B75" s="1170"/>
      <c r="C75" s="1170"/>
      <c r="D75" s="7"/>
      <c r="E75" s="1445"/>
      <c r="F75" s="1445"/>
      <c r="G75" s="1445"/>
      <c r="H75" s="1445"/>
      <c r="I75" s="1445"/>
      <c r="J75" s="1445"/>
      <c r="K75" s="1445"/>
      <c r="L75" s="1445"/>
      <c r="M75" s="1445"/>
      <c r="N75" s="1445"/>
      <c r="O75" s="1445"/>
      <c r="P75" s="1445"/>
      <c r="Q75" s="1445"/>
      <c r="R75" s="1445"/>
      <c r="S75" s="1445"/>
      <c r="T75" s="1445"/>
      <c r="U75" s="1445"/>
      <c r="V75" s="1445"/>
      <c r="W75" s="1445"/>
      <c r="X75" s="1445"/>
      <c r="Y75" s="1445"/>
      <c r="Z75" s="1445"/>
    </row>
    <row r="76" ht="15.75" customHeight="1">
      <c r="A76" s="1170"/>
      <c r="B76" s="1170"/>
      <c r="C76" s="1170"/>
      <c r="D76" s="7"/>
      <c r="E76" s="1445"/>
      <c r="F76" s="1445"/>
      <c r="G76" s="1445"/>
      <c r="H76" s="1445"/>
      <c r="I76" s="1445"/>
      <c r="J76" s="1445"/>
      <c r="K76" s="1445"/>
      <c r="L76" s="1445"/>
      <c r="M76" s="1445"/>
      <c r="N76" s="1445"/>
      <c r="O76" s="1445"/>
      <c r="P76" s="1445"/>
      <c r="Q76" s="1445"/>
      <c r="R76" s="1445"/>
      <c r="S76" s="1445"/>
      <c r="T76" s="1445"/>
      <c r="U76" s="1445"/>
      <c r="V76" s="1445"/>
      <c r="W76" s="1445"/>
      <c r="X76" s="1445"/>
      <c r="Y76" s="1445"/>
      <c r="Z76" s="1445"/>
    </row>
    <row r="77" ht="15.75" customHeight="1">
      <c r="A77" s="1170"/>
      <c r="B77" s="1170"/>
      <c r="C77" s="1170"/>
      <c r="D77" s="7"/>
      <c r="E77" s="1445"/>
      <c r="F77" s="1445"/>
      <c r="G77" s="1445"/>
      <c r="H77" s="1445"/>
      <c r="I77" s="1445"/>
      <c r="J77" s="1445"/>
      <c r="K77" s="1445"/>
      <c r="L77" s="1445"/>
      <c r="M77" s="1445"/>
      <c r="N77" s="1445"/>
      <c r="O77" s="1445"/>
      <c r="P77" s="1445"/>
      <c r="Q77" s="1445"/>
      <c r="R77" s="1445"/>
      <c r="S77" s="1445"/>
      <c r="T77" s="1445"/>
      <c r="U77" s="1445"/>
      <c r="V77" s="1445"/>
      <c r="W77" s="1445"/>
      <c r="X77" s="1445"/>
      <c r="Y77" s="1445"/>
      <c r="Z77" s="1445"/>
    </row>
    <row r="78" ht="15.75" customHeight="1">
      <c r="A78" s="1170"/>
      <c r="B78" s="1170"/>
      <c r="C78" s="1170"/>
      <c r="D78" s="7"/>
      <c r="E78" s="1445"/>
      <c r="F78" s="1445"/>
      <c r="G78" s="1445"/>
      <c r="H78" s="1445"/>
      <c r="I78" s="1445"/>
      <c r="J78" s="1445"/>
      <c r="K78" s="1445"/>
      <c r="L78" s="1445"/>
      <c r="M78" s="1445"/>
      <c r="N78" s="1445"/>
      <c r="O78" s="1445"/>
      <c r="P78" s="1445"/>
      <c r="Q78" s="1445"/>
      <c r="R78" s="1445"/>
      <c r="S78" s="1445"/>
      <c r="T78" s="1445"/>
      <c r="U78" s="1445"/>
      <c r="V78" s="1445"/>
      <c r="W78" s="1445"/>
      <c r="X78" s="1445"/>
      <c r="Y78" s="1445"/>
      <c r="Z78" s="1445"/>
    </row>
    <row r="79" ht="15.75" customHeight="1">
      <c r="A79" s="1170"/>
      <c r="B79" s="1170"/>
      <c r="C79" s="1170"/>
      <c r="D79" s="7"/>
      <c r="E79" s="1445"/>
      <c r="F79" s="1445"/>
      <c r="G79" s="1445"/>
      <c r="H79" s="1445"/>
      <c r="I79" s="1445"/>
      <c r="J79" s="1445"/>
      <c r="K79" s="1445"/>
      <c r="L79" s="1445"/>
      <c r="M79" s="1445"/>
      <c r="N79" s="1445"/>
      <c r="O79" s="1445"/>
      <c r="P79" s="1445"/>
      <c r="Q79" s="1445"/>
      <c r="R79" s="1445"/>
      <c r="S79" s="1445"/>
      <c r="T79" s="1445"/>
      <c r="U79" s="1445"/>
      <c r="V79" s="1445"/>
      <c r="W79" s="1445"/>
      <c r="X79" s="1445"/>
      <c r="Y79" s="1445"/>
      <c r="Z79" s="1445"/>
    </row>
    <row r="80" ht="15.75" customHeight="1">
      <c r="A80" s="1170"/>
      <c r="B80" s="1170"/>
      <c r="C80" s="1170"/>
      <c r="D80" s="7"/>
      <c r="E80" s="1445"/>
      <c r="F80" s="1445"/>
      <c r="G80" s="1445"/>
      <c r="H80" s="1445"/>
      <c r="I80" s="1445"/>
      <c r="J80" s="1445"/>
      <c r="K80" s="1445"/>
      <c r="L80" s="1445"/>
      <c r="M80" s="1445"/>
      <c r="N80" s="1445"/>
      <c r="O80" s="1445"/>
      <c r="P80" s="1445"/>
      <c r="Q80" s="1445"/>
      <c r="R80" s="1445"/>
      <c r="S80" s="1445"/>
      <c r="T80" s="1445"/>
      <c r="U80" s="1445"/>
      <c r="V80" s="1445"/>
      <c r="W80" s="1445"/>
      <c r="X80" s="1445"/>
      <c r="Y80" s="1445"/>
      <c r="Z80" s="1445"/>
    </row>
    <row r="81" ht="15.75" customHeight="1">
      <c r="A81" s="1170"/>
      <c r="B81" s="1170"/>
      <c r="C81" s="1170"/>
      <c r="D81" s="7"/>
      <c r="E81" s="1445"/>
      <c r="F81" s="1445"/>
      <c r="G81" s="1445"/>
      <c r="H81" s="1445"/>
      <c r="I81" s="1445"/>
      <c r="J81" s="1445"/>
      <c r="K81" s="1445"/>
      <c r="L81" s="1445"/>
      <c r="M81" s="1445"/>
      <c r="N81" s="1445"/>
      <c r="O81" s="1445"/>
      <c r="P81" s="1445"/>
      <c r="Q81" s="1445"/>
      <c r="R81" s="1445"/>
      <c r="S81" s="1445"/>
      <c r="T81" s="1445"/>
      <c r="U81" s="1445"/>
      <c r="V81" s="1445"/>
      <c r="W81" s="1445"/>
      <c r="X81" s="1445"/>
      <c r="Y81" s="1445"/>
      <c r="Z81" s="1445"/>
    </row>
    <row r="82" ht="15.75" customHeight="1">
      <c r="A82" s="1170"/>
      <c r="B82" s="1170"/>
      <c r="C82" s="1170"/>
      <c r="D82" s="7"/>
      <c r="E82" s="1445"/>
      <c r="F82" s="1445"/>
      <c r="G82" s="1445"/>
      <c r="H82" s="1445"/>
      <c r="I82" s="1445"/>
      <c r="J82" s="1445"/>
      <c r="K82" s="1445"/>
      <c r="L82" s="1445"/>
      <c r="M82" s="1445"/>
      <c r="N82" s="1445"/>
      <c r="O82" s="1445"/>
      <c r="P82" s="1445"/>
      <c r="Q82" s="1445"/>
      <c r="R82" s="1445"/>
      <c r="S82" s="1445"/>
      <c r="T82" s="1445"/>
      <c r="U82" s="1445"/>
      <c r="V82" s="1445"/>
      <c r="W82" s="1445"/>
      <c r="X82" s="1445"/>
      <c r="Y82" s="1445"/>
      <c r="Z82" s="1445"/>
    </row>
    <row r="83" ht="15.75" customHeight="1">
      <c r="A83" s="1170"/>
      <c r="B83" s="1170"/>
      <c r="C83" s="1170"/>
      <c r="D83" s="7"/>
      <c r="E83" s="1445"/>
      <c r="F83" s="1445"/>
      <c r="G83" s="1445"/>
      <c r="H83" s="1445"/>
      <c r="I83" s="1445"/>
      <c r="J83" s="1445"/>
      <c r="K83" s="1445"/>
      <c r="L83" s="1445"/>
      <c r="M83" s="1445"/>
      <c r="N83" s="1445"/>
      <c r="O83" s="1445"/>
      <c r="P83" s="1445"/>
      <c r="Q83" s="1445"/>
      <c r="R83" s="1445"/>
      <c r="S83" s="1445"/>
      <c r="T83" s="1445"/>
      <c r="U83" s="1445"/>
      <c r="V83" s="1445"/>
      <c r="W83" s="1445"/>
      <c r="X83" s="1445"/>
      <c r="Y83" s="1445"/>
      <c r="Z83" s="1445"/>
    </row>
    <row r="84" ht="15.75" customHeight="1">
      <c r="A84" s="1170"/>
      <c r="B84" s="1170"/>
      <c r="C84" s="1170"/>
      <c r="D84" s="7"/>
      <c r="E84" s="1445"/>
      <c r="F84" s="1445"/>
      <c r="G84" s="1445"/>
      <c r="H84" s="1445"/>
      <c r="I84" s="1445"/>
      <c r="J84" s="1445"/>
      <c r="K84" s="1445"/>
      <c r="L84" s="1445"/>
      <c r="M84" s="1445"/>
      <c r="N84" s="1445"/>
      <c r="O84" s="1445"/>
      <c r="P84" s="1445"/>
      <c r="Q84" s="1445"/>
      <c r="R84" s="1445"/>
      <c r="S84" s="1445"/>
      <c r="T84" s="1445"/>
      <c r="U84" s="1445"/>
      <c r="V84" s="1445"/>
      <c r="W84" s="1445"/>
      <c r="X84" s="1445"/>
      <c r="Y84" s="1445"/>
      <c r="Z84" s="1445"/>
    </row>
    <row r="85" ht="15.75" customHeight="1">
      <c r="A85" s="1170"/>
      <c r="B85" s="1170"/>
      <c r="C85" s="1170"/>
      <c r="D85" s="7"/>
      <c r="E85" s="1445"/>
      <c r="F85" s="1445"/>
      <c r="G85" s="1445"/>
      <c r="H85" s="1445"/>
      <c r="I85" s="1445"/>
      <c r="J85" s="1445"/>
      <c r="K85" s="1445"/>
      <c r="L85" s="1445"/>
      <c r="M85" s="1445"/>
      <c r="N85" s="1445"/>
      <c r="O85" s="1445"/>
      <c r="P85" s="1445"/>
      <c r="Q85" s="1445"/>
      <c r="R85" s="1445"/>
      <c r="S85" s="1445"/>
      <c r="T85" s="1445"/>
      <c r="U85" s="1445"/>
      <c r="V85" s="1445"/>
      <c r="W85" s="1445"/>
      <c r="X85" s="1445"/>
      <c r="Y85" s="1445"/>
      <c r="Z85" s="1445"/>
    </row>
    <row r="86" ht="15.75" customHeight="1">
      <c r="A86" s="1170"/>
      <c r="B86" s="1170"/>
      <c r="C86" s="1170"/>
      <c r="D86" s="7"/>
      <c r="E86" s="1445"/>
      <c r="F86" s="1445"/>
      <c r="G86" s="1445"/>
      <c r="H86" s="1445"/>
      <c r="I86" s="1445"/>
      <c r="J86" s="1445"/>
      <c r="K86" s="1445"/>
      <c r="L86" s="1445"/>
      <c r="M86" s="1445"/>
      <c r="N86" s="1445"/>
      <c r="O86" s="1445"/>
      <c r="P86" s="1445"/>
      <c r="Q86" s="1445"/>
      <c r="R86" s="1445"/>
      <c r="S86" s="1445"/>
      <c r="T86" s="1445"/>
      <c r="U86" s="1445"/>
      <c r="V86" s="1445"/>
      <c r="W86" s="1445"/>
      <c r="X86" s="1445"/>
      <c r="Y86" s="1445"/>
      <c r="Z86" s="1445"/>
    </row>
    <row r="87" ht="15.75" customHeight="1">
      <c r="A87" s="1170"/>
      <c r="B87" s="1170"/>
      <c r="C87" s="1170"/>
      <c r="D87" s="7"/>
      <c r="E87" s="1445"/>
      <c r="F87" s="1445"/>
      <c r="G87" s="1445"/>
      <c r="H87" s="1445"/>
      <c r="I87" s="1445"/>
      <c r="J87" s="1445"/>
      <c r="K87" s="1445"/>
      <c r="L87" s="1445"/>
      <c r="M87" s="1445"/>
      <c r="N87" s="1445"/>
      <c r="O87" s="1445"/>
      <c r="P87" s="1445"/>
      <c r="Q87" s="1445"/>
      <c r="R87" s="1445"/>
      <c r="S87" s="1445"/>
      <c r="T87" s="1445"/>
      <c r="U87" s="1445"/>
      <c r="V87" s="1445"/>
      <c r="W87" s="1445"/>
      <c r="X87" s="1445"/>
      <c r="Y87" s="1445"/>
      <c r="Z87" s="1445"/>
    </row>
    <row r="88" ht="15.75" customHeight="1">
      <c r="A88" s="1170"/>
      <c r="B88" s="1170"/>
      <c r="C88" s="1170"/>
      <c r="D88" s="7"/>
      <c r="E88" s="1445"/>
      <c r="F88" s="1445"/>
      <c r="G88" s="1445"/>
      <c r="H88" s="1445"/>
      <c r="I88" s="1445"/>
      <c r="J88" s="1445"/>
      <c r="K88" s="1445"/>
      <c r="L88" s="1445"/>
      <c r="M88" s="1445"/>
      <c r="N88" s="1445"/>
      <c r="O88" s="1445"/>
      <c r="P88" s="1445"/>
      <c r="Q88" s="1445"/>
      <c r="R88" s="1445"/>
      <c r="S88" s="1445"/>
      <c r="T88" s="1445"/>
      <c r="U88" s="1445"/>
      <c r="V88" s="1445"/>
      <c r="W88" s="1445"/>
      <c r="X88" s="1445"/>
      <c r="Y88" s="1445"/>
      <c r="Z88" s="1445"/>
    </row>
    <row r="89" ht="15.75" customHeight="1">
      <c r="A89" s="1170"/>
      <c r="B89" s="1170"/>
      <c r="C89" s="1170"/>
      <c r="D89" s="7"/>
      <c r="E89" s="1445"/>
      <c r="F89" s="1445"/>
      <c r="G89" s="1445"/>
      <c r="H89" s="1445"/>
      <c r="I89" s="1445"/>
      <c r="J89" s="1445"/>
      <c r="K89" s="1445"/>
      <c r="L89" s="1445"/>
      <c r="M89" s="1445"/>
      <c r="N89" s="1445"/>
      <c r="O89" s="1445"/>
      <c r="P89" s="1445"/>
      <c r="Q89" s="1445"/>
      <c r="R89" s="1445"/>
      <c r="S89" s="1445"/>
      <c r="T89" s="1445"/>
      <c r="U89" s="1445"/>
      <c r="V89" s="1445"/>
      <c r="W89" s="1445"/>
      <c r="X89" s="1445"/>
      <c r="Y89" s="1445"/>
      <c r="Z89" s="1445"/>
    </row>
    <row r="90" ht="15.75" customHeight="1">
      <c r="A90" s="1170"/>
      <c r="B90" s="1170"/>
      <c r="C90" s="1170"/>
      <c r="D90" s="7"/>
      <c r="E90" s="1445"/>
      <c r="F90" s="1445"/>
      <c r="G90" s="1445"/>
      <c r="H90" s="1445"/>
      <c r="I90" s="1445"/>
      <c r="J90" s="1445"/>
      <c r="K90" s="1445"/>
      <c r="L90" s="1445"/>
      <c r="M90" s="1445"/>
      <c r="N90" s="1445"/>
      <c r="O90" s="1445"/>
      <c r="P90" s="1445"/>
      <c r="Q90" s="1445"/>
      <c r="R90" s="1445"/>
      <c r="S90" s="1445"/>
      <c r="T90" s="1445"/>
      <c r="U90" s="1445"/>
      <c r="V90" s="1445"/>
      <c r="W90" s="1445"/>
      <c r="X90" s="1445"/>
      <c r="Y90" s="1445"/>
      <c r="Z90" s="1445"/>
    </row>
    <row r="91" ht="15.75" customHeight="1">
      <c r="A91" s="1170"/>
      <c r="B91" s="1170"/>
      <c r="C91" s="1170"/>
      <c r="D91" s="7"/>
      <c r="E91" s="1445"/>
      <c r="F91" s="1445"/>
      <c r="G91" s="1445"/>
      <c r="H91" s="1445"/>
      <c r="I91" s="1445"/>
      <c r="J91" s="1445"/>
      <c r="K91" s="1445"/>
      <c r="L91" s="1445"/>
      <c r="M91" s="1445"/>
      <c r="N91" s="1445"/>
      <c r="O91" s="1445"/>
      <c r="P91" s="1445"/>
      <c r="Q91" s="1445"/>
      <c r="R91" s="1445"/>
      <c r="S91" s="1445"/>
      <c r="T91" s="1445"/>
      <c r="U91" s="1445"/>
      <c r="V91" s="1445"/>
      <c r="W91" s="1445"/>
      <c r="X91" s="1445"/>
      <c r="Y91" s="1445"/>
      <c r="Z91" s="1445"/>
    </row>
    <row r="92" ht="15.75" customHeight="1">
      <c r="A92" s="1170"/>
      <c r="B92" s="1170"/>
      <c r="C92" s="1170"/>
      <c r="D92" s="7"/>
      <c r="E92" s="1445"/>
      <c r="F92" s="1445"/>
      <c r="G92" s="1445"/>
      <c r="H92" s="1445"/>
      <c r="I92" s="1445"/>
      <c r="J92" s="1445"/>
      <c r="K92" s="1445"/>
      <c r="L92" s="1445"/>
      <c r="M92" s="1445"/>
      <c r="N92" s="1445"/>
      <c r="O92" s="1445"/>
      <c r="P92" s="1445"/>
      <c r="Q92" s="1445"/>
      <c r="R92" s="1445"/>
      <c r="S92" s="1445"/>
      <c r="T92" s="1445"/>
      <c r="U92" s="1445"/>
      <c r="V92" s="1445"/>
      <c r="W92" s="1445"/>
      <c r="X92" s="1445"/>
      <c r="Y92" s="1445"/>
      <c r="Z92" s="1445"/>
    </row>
    <row r="93" ht="15.75" customHeight="1">
      <c r="A93" s="1170"/>
      <c r="B93" s="1170"/>
      <c r="C93" s="1170"/>
      <c r="D93" s="7"/>
      <c r="E93" s="1445"/>
      <c r="F93" s="1445"/>
      <c r="G93" s="1445"/>
      <c r="H93" s="1445"/>
      <c r="I93" s="1445"/>
      <c r="J93" s="1445"/>
      <c r="K93" s="1445"/>
      <c r="L93" s="1445"/>
      <c r="M93" s="1445"/>
      <c r="N93" s="1445"/>
      <c r="O93" s="1445"/>
      <c r="P93" s="1445"/>
      <c r="Q93" s="1445"/>
      <c r="R93" s="1445"/>
      <c r="S93" s="1445"/>
      <c r="T93" s="1445"/>
      <c r="U93" s="1445"/>
      <c r="V93" s="1445"/>
      <c r="W93" s="1445"/>
      <c r="X93" s="1445"/>
      <c r="Y93" s="1445"/>
      <c r="Z93" s="1445"/>
    </row>
    <row r="94" ht="15.75" customHeight="1">
      <c r="A94" s="1170"/>
      <c r="B94" s="1170"/>
      <c r="C94" s="1170"/>
      <c r="D94" s="7"/>
      <c r="E94" s="1445"/>
      <c r="F94" s="1445"/>
      <c r="G94" s="1445"/>
      <c r="H94" s="1445"/>
      <c r="I94" s="1445"/>
      <c r="J94" s="1445"/>
      <c r="K94" s="1445"/>
      <c r="L94" s="1445"/>
      <c r="M94" s="1445"/>
      <c r="N94" s="1445"/>
      <c r="O94" s="1445"/>
      <c r="P94" s="1445"/>
      <c r="Q94" s="1445"/>
      <c r="R94" s="1445"/>
      <c r="S94" s="1445"/>
      <c r="T94" s="1445"/>
      <c r="U94" s="1445"/>
      <c r="V94" s="1445"/>
      <c r="W94" s="1445"/>
      <c r="X94" s="1445"/>
      <c r="Y94" s="1445"/>
      <c r="Z94" s="1445"/>
    </row>
    <row r="95" ht="15.75" customHeight="1">
      <c r="A95" s="1170"/>
      <c r="B95" s="1170"/>
      <c r="C95" s="1170"/>
      <c r="D95" s="7"/>
      <c r="E95" s="1445"/>
      <c r="F95" s="1445"/>
      <c r="G95" s="1445"/>
      <c r="H95" s="1445"/>
      <c r="I95" s="1445"/>
      <c r="J95" s="1445"/>
      <c r="K95" s="1445"/>
      <c r="L95" s="1445"/>
      <c r="M95" s="1445"/>
      <c r="N95" s="1445"/>
      <c r="O95" s="1445"/>
      <c r="P95" s="1445"/>
      <c r="Q95" s="1445"/>
      <c r="R95" s="1445"/>
      <c r="S95" s="1445"/>
      <c r="T95" s="1445"/>
      <c r="U95" s="1445"/>
      <c r="V95" s="1445"/>
      <c r="W95" s="1445"/>
      <c r="X95" s="1445"/>
      <c r="Y95" s="1445"/>
      <c r="Z95" s="1445"/>
    </row>
    <row r="96" ht="15.75" customHeight="1">
      <c r="A96" s="1170"/>
      <c r="B96" s="1170"/>
      <c r="C96" s="1170"/>
      <c r="D96" s="7"/>
      <c r="E96" s="1445"/>
      <c r="F96" s="1445"/>
      <c r="G96" s="1445"/>
      <c r="H96" s="1445"/>
      <c r="I96" s="1445"/>
      <c r="J96" s="1445"/>
      <c r="K96" s="1445"/>
      <c r="L96" s="1445"/>
      <c r="M96" s="1445"/>
      <c r="N96" s="1445"/>
      <c r="O96" s="1445"/>
      <c r="P96" s="1445"/>
      <c r="Q96" s="1445"/>
      <c r="R96" s="1445"/>
      <c r="S96" s="1445"/>
      <c r="T96" s="1445"/>
      <c r="U96" s="1445"/>
      <c r="V96" s="1445"/>
      <c r="W96" s="1445"/>
      <c r="X96" s="1445"/>
      <c r="Y96" s="1445"/>
      <c r="Z96" s="1445"/>
    </row>
    <row r="97" ht="15.75" customHeight="1">
      <c r="A97" s="1170"/>
      <c r="B97" s="1170"/>
      <c r="C97" s="1170"/>
      <c r="D97" s="7"/>
      <c r="E97" s="1445"/>
      <c r="F97" s="1445"/>
      <c r="G97" s="1445"/>
      <c r="H97" s="1445"/>
      <c r="I97" s="1445"/>
      <c r="J97" s="1445"/>
      <c r="K97" s="1445"/>
      <c r="L97" s="1445"/>
      <c r="M97" s="1445"/>
      <c r="N97" s="1445"/>
      <c r="O97" s="1445"/>
      <c r="P97" s="1445"/>
      <c r="Q97" s="1445"/>
      <c r="R97" s="1445"/>
      <c r="S97" s="1445"/>
      <c r="T97" s="1445"/>
      <c r="U97" s="1445"/>
      <c r="V97" s="1445"/>
      <c r="W97" s="1445"/>
      <c r="X97" s="1445"/>
      <c r="Y97" s="1445"/>
      <c r="Z97" s="1445"/>
    </row>
    <row r="98" ht="15.75" customHeight="1">
      <c r="A98" s="1170"/>
      <c r="B98" s="1170"/>
      <c r="C98" s="1170"/>
      <c r="D98" s="7"/>
      <c r="E98" s="1445"/>
      <c r="F98" s="1445"/>
      <c r="G98" s="1445"/>
      <c r="H98" s="1445"/>
      <c r="I98" s="1445"/>
      <c r="J98" s="1445"/>
      <c r="K98" s="1445"/>
      <c r="L98" s="1445"/>
      <c r="M98" s="1445"/>
      <c r="N98" s="1445"/>
      <c r="O98" s="1445"/>
      <c r="P98" s="1445"/>
      <c r="Q98" s="1445"/>
      <c r="R98" s="1445"/>
      <c r="S98" s="1445"/>
      <c r="T98" s="1445"/>
      <c r="U98" s="1445"/>
      <c r="V98" s="1445"/>
      <c r="W98" s="1445"/>
      <c r="X98" s="1445"/>
      <c r="Y98" s="1445"/>
      <c r="Z98" s="1445"/>
    </row>
    <row r="99" ht="15.75" customHeight="1">
      <c r="A99" s="1170"/>
      <c r="B99" s="1170"/>
      <c r="C99" s="1170"/>
      <c r="D99" s="7"/>
      <c r="E99" s="1445"/>
      <c r="F99" s="1445"/>
      <c r="G99" s="1445"/>
      <c r="H99" s="1445"/>
      <c r="I99" s="1445"/>
      <c r="J99" s="1445"/>
      <c r="K99" s="1445"/>
      <c r="L99" s="1445"/>
      <c r="M99" s="1445"/>
      <c r="N99" s="1445"/>
      <c r="O99" s="1445"/>
      <c r="P99" s="1445"/>
      <c r="Q99" s="1445"/>
      <c r="R99" s="1445"/>
      <c r="S99" s="1445"/>
      <c r="T99" s="1445"/>
      <c r="U99" s="1445"/>
      <c r="V99" s="1445"/>
      <c r="W99" s="1445"/>
      <c r="X99" s="1445"/>
      <c r="Y99" s="1445"/>
      <c r="Z99" s="1445"/>
    </row>
    <row r="100" ht="15.75" customHeight="1">
      <c r="A100" s="1170"/>
      <c r="B100" s="1170"/>
      <c r="C100" s="1170"/>
      <c r="D100" s="7"/>
      <c r="E100" s="1445"/>
      <c r="F100" s="1445"/>
      <c r="G100" s="1445"/>
      <c r="H100" s="1445"/>
      <c r="I100" s="1445"/>
      <c r="J100" s="1445"/>
      <c r="K100" s="1445"/>
      <c r="L100" s="1445"/>
      <c r="M100" s="1445"/>
      <c r="N100" s="1445"/>
      <c r="O100" s="1445"/>
      <c r="P100" s="1445"/>
      <c r="Q100" s="1445"/>
      <c r="R100" s="1445"/>
      <c r="S100" s="1445"/>
      <c r="T100" s="1445"/>
      <c r="U100" s="1445"/>
      <c r="V100" s="1445"/>
      <c r="W100" s="1445"/>
      <c r="X100" s="1445"/>
      <c r="Y100" s="1445"/>
      <c r="Z100" s="1445"/>
    </row>
    <row r="101" ht="15.75" customHeight="1">
      <c r="A101" s="1170"/>
      <c r="B101" s="1170"/>
      <c r="C101" s="1170"/>
      <c r="D101" s="7"/>
      <c r="E101" s="1445"/>
      <c r="F101" s="1445"/>
      <c r="G101" s="1445"/>
      <c r="H101" s="1445"/>
      <c r="I101" s="1445"/>
      <c r="J101" s="1445"/>
      <c r="K101" s="1445"/>
      <c r="L101" s="1445"/>
      <c r="M101" s="1445"/>
      <c r="N101" s="1445"/>
      <c r="O101" s="1445"/>
      <c r="P101" s="1445"/>
      <c r="Q101" s="1445"/>
      <c r="R101" s="1445"/>
      <c r="S101" s="1445"/>
      <c r="T101" s="1445"/>
      <c r="U101" s="1445"/>
      <c r="V101" s="1445"/>
      <c r="W101" s="1445"/>
      <c r="X101" s="1445"/>
      <c r="Y101" s="1445"/>
      <c r="Z101" s="1445"/>
    </row>
    <row r="102" ht="15.75" customHeight="1">
      <c r="A102" s="1170"/>
      <c r="B102" s="1170"/>
      <c r="C102" s="1170"/>
      <c r="D102" s="7"/>
      <c r="E102" s="1445"/>
      <c r="F102" s="1445"/>
      <c r="G102" s="1445"/>
      <c r="H102" s="1445"/>
      <c r="I102" s="1445"/>
      <c r="J102" s="1445"/>
      <c r="K102" s="1445"/>
      <c r="L102" s="1445"/>
      <c r="M102" s="1445"/>
      <c r="N102" s="1445"/>
      <c r="O102" s="1445"/>
      <c r="P102" s="1445"/>
      <c r="Q102" s="1445"/>
      <c r="R102" s="1445"/>
      <c r="S102" s="1445"/>
      <c r="T102" s="1445"/>
      <c r="U102" s="1445"/>
      <c r="V102" s="1445"/>
      <c r="W102" s="1445"/>
      <c r="X102" s="1445"/>
      <c r="Y102" s="1445"/>
      <c r="Z102" s="1445"/>
    </row>
    <row r="103" ht="15.75" customHeight="1">
      <c r="A103" s="1170"/>
      <c r="B103" s="1170"/>
      <c r="C103" s="1170"/>
      <c r="D103" s="7"/>
      <c r="E103" s="1445"/>
      <c r="F103" s="1445"/>
      <c r="G103" s="1445"/>
      <c r="H103" s="1445"/>
      <c r="I103" s="1445"/>
      <c r="J103" s="1445"/>
      <c r="K103" s="1445"/>
      <c r="L103" s="1445"/>
      <c r="M103" s="1445"/>
      <c r="N103" s="1445"/>
      <c r="O103" s="1445"/>
      <c r="P103" s="1445"/>
      <c r="Q103" s="1445"/>
      <c r="R103" s="1445"/>
      <c r="S103" s="1445"/>
      <c r="T103" s="1445"/>
      <c r="U103" s="1445"/>
      <c r="V103" s="1445"/>
      <c r="W103" s="1445"/>
      <c r="X103" s="1445"/>
      <c r="Y103" s="1445"/>
      <c r="Z103" s="1445"/>
    </row>
    <row r="104" ht="15.75" customHeight="1">
      <c r="A104" s="1446"/>
      <c r="B104" s="1446"/>
      <c r="C104" s="1446"/>
      <c r="D104" s="1447"/>
      <c r="E104" s="1445"/>
      <c r="F104" s="1445"/>
      <c r="G104" s="1445"/>
      <c r="H104" s="1445"/>
      <c r="I104" s="1445"/>
      <c r="J104" s="1445"/>
      <c r="K104" s="1445"/>
      <c r="L104" s="1445"/>
      <c r="M104" s="1445"/>
      <c r="N104" s="1445"/>
      <c r="O104" s="1445"/>
      <c r="P104" s="1445"/>
      <c r="Q104" s="1445"/>
      <c r="R104" s="1445"/>
      <c r="S104" s="1445"/>
      <c r="T104" s="1445"/>
      <c r="U104" s="1445"/>
      <c r="V104" s="1445"/>
      <c r="W104" s="1445"/>
      <c r="X104" s="1445"/>
      <c r="Y104" s="1445"/>
      <c r="Z104" s="1445"/>
    </row>
    <row r="105" ht="15.75" customHeight="1">
      <c r="A105" s="1446"/>
      <c r="B105" s="1446"/>
      <c r="C105" s="1446"/>
      <c r="D105" s="1447"/>
      <c r="E105" s="1445"/>
      <c r="F105" s="1445"/>
      <c r="G105" s="1445"/>
      <c r="H105" s="1445"/>
      <c r="I105" s="1445"/>
      <c r="J105" s="1445"/>
      <c r="K105" s="1445"/>
      <c r="L105" s="1445"/>
      <c r="M105" s="1445"/>
      <c r="N105" s="1445"/>
      <c r="O105" s="1445"/>
      <c r="P105" s="1445"/>
      <c r="Q105" s="1445"/>
      <c r="R105" s="1445"/>
      <c r="S105" s="1445"/>
      <c r="T105" s="1445"/>
      <c r="U105" s="1445"/>
      <c r="V105" s="1445"/>
      <c r="W105" s="1445"/>
      <c r="X105" s="1445"/>
      <c r="Y105" s="1445"/>
      <c r="Z105" s="1445"/>
    </row>
    <row r="106" ht="15.75" customHeight="1">
      <c r="A106" s="1446"/>
      <c r="B106" s="1446"/>
      <c r="C106" s="1446"/>
      <c r="D106" s="1447"/>
      <c r="E106" s="1445"/>
      <c r="F106" s="1445"/>
      <c r="G106" s="1445"/>
      <c r="H106" s="1445"/>
      <c r="I106" s="1445"/>
      <c r="J106" s="1445"/>
      <c r="K106" s="1445"/>
      <c r="L106" s="1445"/>
      <c r="M106" s="1445"/>
      <c r="N106" s="1445"/>
      <c r="O106" s="1445"/>
      <c r="P106" s="1445"/>
      <c r="Q106" s="1445"/>
      <c r="R106" s="1445"/>
      <c r="S106" s="1445"/>
      <c r="T106" s="1445"/>
      <c r="U106" s="1445"/>
      <c r="V106" s="1445"/>
      <c r="W106" s="1445"/>
      <c r="X106" s="1445"/>
      <c r="Y106" s="1445"/>
      <c r="Z106" s="1445"/>
    </row>
    <row r="107" ht="15.75" customHeight="1">
      <c r="A107" s="1446"/>
      <c r="B107" s="1446"/>
      <c r="C107" s="1446"/>
      <c r="D107" s="1447"/>
      <c r="E107" s="1445"/>
      <c r="F107" s="1445"/>
      <c r="G107" s="1445"/>
      <c r="H107" s="1445"/>
      <c r="I107" s="1445"/>
      <c r="J107" s="1445"/>
      <c r="K107" s="1445"/>
      <c r="L107" s="1445"/>
      <c r="M107" s="1445"/>
      <c r="N107" s="1445"/>
      <c r="O107" s="1445"/>
      <c r="P107" s="1445"/>
      <c r="Q107" s="1445"/>
      <c r="R107" s="1445"/>
      <c r="S107" s="1445"/>
      <c r="T107" s="1445"/>
      <c r="U107" s="1445"/>
      <c r="V107" s="1445"/>
      <c r="W107" s="1445"/>
      <c r="X107" s="1445"/>
      <c r="Y107" s="1445"/>
      <c r="Z107" s="1445"/>
    </row>
    <row r="108" ht="15.75" customHeight="1">
      <c r="A108" s="1446"/>
      <c r="B108" s="1446"/>
      <c r="C108" s="1446"/>
      <c r="D108" s="1447"/>
      <c r="E108" s="1445"/>
      <c r="F108" s="1445"/>
      <c r="G108" s="1445"/>
      <c r="H108" s="1445"/>
      <c r="I108" s="1445"/>
      <c r="J108" s="1445"/>
      <c r="K108" s="1445"/>
      <c r="L108" s="1445"/>
      <c r="M108" s="1445"/>
      <c r="N108" s="1445"/>
      <c r="O108" s="1445"/>
      <c r="P108" s="1445"/>
      <c r="Q108" s="1445"/>
      <c r="R108" s="1445"/>
      <c r="S108" s="1445"/>
      <c r="T108" s="1445"/>
      <c r="U108" s="1445"/>
      <c r="V108" s="1445"/>
      <c r="W108" s="1445"/>
      <c r="X108" s="1445"/>
      <c r="Y108" s="1445"/>
      <c r="Z108" s="1445"/>
    </row>
    <row r="109" ht="15.75" customHeight="1">
      <c r="A109" s="1446"/>
      <c r="B109" s="1446"/>
      <c r="C109" s="1446"/>
      <c r="D109" s="1447"/>
      <c r="E109" s="1445"/>
      <c r="F109" s="1445"/>
      <c r="G109" s="1445"/>
      <c r="H109" s="1445"/>
      <c r="I109" s="1445"/>
      <c r="J109" s="1445"/>
      <c r="K109" s="1445"/>
      <c r="L109" s="1445"/>
      <c r="M109" s="1445"/>
      <c r="N109" s="1445"/>
      <c r="O109" s="1445"/>
      <c r="P109" s="1445"/>
      <c r="Q109" s="1445"/>
      <c r="R109" s="1445"/>
      <c r="S109" s="1445"/>
      <c r="T109" s="1445"/>
      <c r="U109" s="1445"/>
      <c r="V109" s="1445"/>
      <c r="W109" s="1445"/>
      <c r="X109" s="1445"/>
      <c r="Y109" s="1445"/>
      <c r="Z109" s="1445"/>
    </row>
    <row r="110" ht="15.75" customHeight="1">
      <c r="A110" s="1446"/>
      <c r="B110" s="1446"/>
      <c r="C110" s="1446"/>
      <c r="D110" s="1447"/>
      <c r="E110" s="1445"/>
      <c r="F110" s="1445"/>
      <c r="G110" s="1445"/>
      <c r="H110" s="1445"/>
      <c r="I110" s="1445"/>
      <c r="J110" s="1445"/>
      <c r="K110" s="1445"/>
      <c r="L110" s="1445"/>
      <c r="M110" s="1445"/>
      <c r="N110" s="1445"/>
      <c r="O110" s="1445"/>
      <c r="P110" s="1445"/>
      <c r="Q110" s="1445"/>
      <c r="R110" s="1445"/>
      <c r="S110" s="1445"/>
      <c r="T110" s="1445"/>
      <c r="U110" s="1445"/>
      <c r="V110" s="1445"/>
      <c r="W110" s="1445"/>
      <c r="X110" s="1445"/>
      <c r="Y110" s="1445"/>
      <c r="Z110" s="1445"/>
    </row>
    <row r="111" ht="15.75" customHeight="1">
      <c r="A111" s="1446"/>
      <c r="B111" s="1446"/>
      <c r="C111" s="1446"/>
      <c r="D111" s="1447"/>
      <c r="E111" s="1445"/>
      <c r="F111" s="1445"/>
      <c r="G111" s="1445"/>
      <c r="H111" s="1445"/>
      <c r="I111" s="1445"/>
      <c r="J111" s="1445"/>
      <c r="K111" s="1445"/>
      <c r="L111" s="1445"/>
      <c r="M111" s="1445"/>
      <c r="N111" s="1445"/>
      <c r="O111" s="1445"/>
      <c r="P111" s="1445"/>
      <c r="Q111" s="1445"/>
      <c r="R111" s="1445"/>
      <c r="S111" s="1445"/>
      <c r="T111" s="1445"/>
      <c r="U111" s="1445"/>
      <c r="V111" s="1445"/>
      <c r="W111" s="1445"/>
      <c r="X111" s="1445"/>
      <c r="Y111" s="1445"/>
      <c r="Z111" s="1445"/>
    </row>
    <row r="112" ht="15.75" customHeight="1">
      <c r="A112" s="1446"/>
      <c r="B112" s="1446"/>
      <c r="C112" s="1446"/>
      <c r="D112" s="1447"/>
      <c r="E112" s="1445"/>
      <c r="F112" s="1445"/>
      <c r="G112" s="1445"/>
      <c r="H112" s="1445"/>
      <c r="I112" s="1445"/>
      <c r="J112" s="1445"/>
      <c r="K112" s="1445"/>
      <c r="L112" s="1445"/>
      <c r="M112" s="1445"/>
      <c r="N112" s="1445"/>
      <c r="O112" s="1445"/>
      <c r="P112" s="1445"/>
      <c r="Q112" s="1445"/>
      <c r="R112" s="1445"/>
      <c r="S112" s="1445"/>
      <c r="T112" s="1445"/>
      <c r="U112" s="1445"/>
      <c r="V112" s="1445"/>
      <c r="W112" s="1445"/>
      <c r="X112" s="1445"/>
      <c r="Y112" s="1445"/>
      <c r="Z112" s="1445"/>
    </row>
    <row r="113" ht="15.75" customHeight="1">
      <c r="A113" s="1446"/>
      <c r="B113" s="1446"/>
      <c r="C113" s="1446"/>
      <c r="D113" s="1447"/>
      <c r="E113" s="1445"/>
      <c r="F113" s="1445"/>
      <c r="G113" s="1445"/>
      <c r="H113" s="1445"/>
      <c r="I113" s="1445"/>
      <c r="J113" s="1445"/>
      <c r="K113" s="1445"/>
      <c r="L113" s="1445"/>
      <c r="M113" s="1445"/>
      <c r="N113" s="1445"/>
      <c r="O113" s="1445"/>
      <c r="P113" s="1445"/>
      <c r="Q113" s="1445"/>
      <c r="R113" s="1445"/>
      <c r="S113" s="1445"/>
      <c r="T113" s="1445"/>
      <c r="U113" s="1445"/>
      <c r="V113" s="1445"/>
      <c r="W113" s="1445"/>
      <c r="X113" s="1445"/>
      <c r="Y113" s="1445"/>
      <c r="Z113" s="1445"/>
    </row>
    <row r="114" ht="15.75" customHeight="1">
      <c r="A114" s="1446"/>
      <c r="B114" s="1446"/>
      <c r="C114" s="1446"/>
      <c r="D114" s="1447"/>
      <c r="E114" s="1445"/>
      <c r="F114" s="1445"/>
      <c r="G114" s="1445"/>
      <c r="H114" s="1445"/>
      <c r="I114" s="1445"/>
      <c r="J114" s="1445"/>
      <c r="K114" s="1445"/>
      <c r="L114" s="1445"/>
      <c r="M114" s="1445"/>
      <c r="N114" s="1445"/>
      <c r="O114" s="1445"/>
      <c r="P114" s="1445"/>
      <c r="Q114" s="1445"/>
      <c r="R114" s="1445"/>
      <c r="S114" s="1445"/>
      <c r="T114" s="1445"/>
      <c r="U114" s="1445"/>
      <c r="V114" s="1445"/>
      <c r="W114" s="1445"/>
      <c r="X114" s="1445"/>
      <c r="Y114" s="1445"/>
      <c r="Z114" s="1445"/>
    </row>
    <row r="115" ht="15.75" customHeight="1">
      <c r="A115" s="1446"/>
      <c r="B115" s="1446"/>
      <c r="C115" s="1446"/>
      <c r="D115" s="1447"/>
      <c r="E115" s="1445"/>
      <c r="F115" s="1445"/>
      <c r="G115" s="1445"/>
      <c r="H115" s="1445"/>
      <c r="I115" s="1445"/>
      <c r="J115" s="1445"/>
      <c r="K115" s="1445"/>
      <c r="L115" s="1445"/>
      <c r="M115" s="1445"/>
      <c r="N115" s="1445"/>
      <c r="O115" s="1445"/>
      <c r="P115" s="1445"/>
      <c r="Q115" s="1445"/>
      <c r="R115" s="1445"/>
      <c r="S115" s="1445"/>
      <c r="T115" s="1445"/>
      <c r="U115" s="1445"/>
      <c r="V115" s="1445"/>
      <c r="W115" s="1445"/>
      <c r="X115" s="1445"/>
      <c r="Y115" s="1445"/>
      <c r="Z115" s="1445"/>
    </row>
    <row r="116" ht="15.75" customHeight="1">
      <c r="A116" s="1446"/>
      <c r="B116" s="1446"/>
      <c r="C116" s="1446"/>
      <c r="D116" s="1447"/>
      <c r="E116" s="1445"/>
      <c r="F116" s="1445"/>
      <c r="G116" s="1445"/>
      <c r="H116" s="1445"/>
      <c r="I116" s="1445"/>
      <c r="J116" s="1445"/>
      <c r="K116" s="1445"/>
      <c r="L116" s="1445"/>
      <c r="M116" s="1445"/>
      <c r="N116" s="1445"/>
      <c r="O116" s="1445"/>
      <c r="P116" s="1445"/>
      <c r="Q116" s="1445"/>
      <c r="R116" s="1445"/>
      <c r="S116" s="1445"/>
      <c r="T116" s="1445"/>
      <c r="U116" s="1445"/>
      <c r="V116" s="1445"/>
      <c r="W116" s="1445"/>
      <c r="X116" s="1445"/>
      <c r="Y116" s="1445"/>
      <c r="Z116" s="1445"/>
    </row>
    <row r="117" ht="15.75" customHeight="1">
      <c r="A117" s="1446"/>
      <c r="B117" s="1446"/>
      <c r="C117" s="1446"/>
      <c r="D117" s="1447"/>
      <c r="E117" s="1445"/>
      <c r="F117" s="1445"/>
      <c r="G117" s="1445"/>
      <c r="H117" s="1445"/>
      <c r="I117" s="1445"/>
      <c r="J117" s="1445"/>
      <c r="K117" s="1445"/>
      <c r="L117" s="1445"/>
      <c r="M117" s="1445"/>
      <c r="N117" s="1445"/>
      <c r="O117" s="1445"/>
      <c r="P117" s="1445"/>
      <c r="Q117" s="1445"/>
      <c r="R117" s="1445"/>
      <c r="S117" s="1445"/>
      <c r="T117" s="1445"/>
      <c r="U117" s="1445"/>
      <c r="V117" s="1445"/>
      <c r="W117" s="1445"/>
      <c r="X117" s="1445"/>
      <c r="Y117" s="1445"/>
      <c r="Z117" s="1445"/>
    </row>
    <row r="118" ht="15.75" customHeight="1">
      <c r="A118" s="1446"/>
      <c r="B118" s="1446"/>
      <c r="C118" s="1446"/>
      <c r="D118" s="1447"/>
      <c r="E118" s="1445"/>
      <c r="F118" s="1445"/>
      <c r="G118" s="1445"/>
      <c r="H118" s="1445"/>
      <c r="I118" s="1445"/>
      <c r="J118" s="1445"/>
      <c r="K118" s="1445"/>
      <c r="L118" s="1445"/>
      <c r="M118" s="1445"/>
      <c r="N118" s="1445"/>
      <c r="O118" s="1445"/>
      <c r="P118" s="1445"/>
      <c r="Q118" s="1445"/>
      <c r="R118" s="1445"/>
      <c r="S118" s="1445"/>
      <c r="T118" s="1445"/>
      <c r="U118" s="1445"/>
      <c r="V118" s="1445"/>
      <c r="W118" s="1445"/>
      <c r="X118" s="1445"/>
      <c r="Y118" s="1445"/>
      <c r="Z118" s="1445"/>
    </row>
    <row r="119" ht="15.75" customHeight="1">
      <c r="A119" s="1446"/>
      <c r="B119" s="1446"/>
      <c r="C119" s="1446"/>
      <c r="D119" s="1447"/>
      <c r="E119" s="1445"/>
      <c r="F119" s="1445"/>
      <c r="G119" s="1445"/>
      <c r="H119" s="1445"/>
      <c r="I119" s="1445"/>
      <c r="J119" s="1445"/>
      <c r="K119" s="1445"/>
      <c r="L119" s="1445"/>
      <c r="M119" s="1445"/>
      <c r="N119" s="1445"/>
      <c r="O119" s="1445"/>
      <c r="P119" s="1445"/>
      <c r="Q119" s="1445"/>
      <c r="R119" s="1445"/>
      <c r="S119" s="1445"/>
      <c r="T119" s="1445"/>
      <c r="U119" s="1445"/>
      <c r="V119" s="1445"/>
      <c r="W119" s="1445"/>
      <c r="X119" s="1445"/>
      <c r="Y119" s="1445"/>
      <c r="Z119" s="1445"/>
    </row>
    <row r="120" ht="15.75" customHeight="1">
      <c r="A120" s="1446"/>
      <c r="B120" s="1446"/>
      <c r="C120" s="1446"/>
      <c r="D120" s="1447"/>
      <c r="E120" s="1445"/>
      <c r="F120" s="1445"/>
      <c r="G120" s="1445"/>
      <c r="H120" s="1445"/>
      <c r="I120" s="1445"/>
      <c r="J120" s="1445"/>
      <c r="K120" s="1445"/>
      <c r="L120" s="1445"/>
      <c r="M120" s="1445"/>
      <c r="N120" s="1445"/>
      <c r="O120" s="1445"/>
      <c r="P120" s="1445"/>
      <c r="Q120" s="1445"/>
      <c r="R120" s="1445"/>
      <c r="S120" s="1445"/>
      <c r="T120" s="1445"/>
      <c r="U120" s="1445"/>
      <c r="V120" s="1445"/>
      <c r="W120" s="1445"/>
      <c r="X120" s="1445"/>
      <c r="Y120" s="1445"/>
      <c r="Z120" s="1445"/>
    </row>
    <row r="121" ht="15.75" customHeight="1">
      <c r="A121" s="1446"/>
      <c r="B121" s="1446"/>
      <c r="C121" s="1446"/>
      <c r="D121" s="1447"/>
      <c r="E121" s="1445"/>
      <c r="F121" s="1445"/>
      <c r="G121" s="1445"/>
      <c r="H121" s="1445"/>
      <c r="I121" s="1445"/>
      <c r="J121" s="1445"/>
      <c r="K121" s="1445"/>
      <c r="L121" s="1445"/>
      <c r="M121" s="1445"/>
      <c r="N121" s="1445"/>
      <c r="O121" s="1445"/>
      <c r="P121" s="1445"/>
      <c r="Q121" s="1445"/>
      <c r="R121" s="1445"/>
      <c r="S121" s="1445"/>
      <c r="T121" s="1445"/>
      <c r="U121" s="1445"/>
      <c r="V121" s="1445"/>
      <c r="W121" s="1445"/>
      <c r="X121" s="1445"/>
      <c r="Y121" s="1445"/>
      <c r="Z121" s="1445"/>
    </row>
    <row r="122" ht="15.75" customHeight="1">
      <c r="A122" s="1446"/>
      <c r="B122" s="1446"/>
      <c r="C122" s="1446"/>
      <c r="D122" s="1447"/>
      <c r="E122" s="1445"/>
      <c r="F122" s="1445"/>
      <c r="G122" s="1445"/>
      <c r="H122" s="1445"/>
      <c r="I122" s="1445"/>
      <c r="J122" s="1445"/>
      <c r="K122" s="1445"/>
      <c r="L122" s="1445"/>
      <c r="M122" s="1445"/>
      <c r="N122" s="1445"/>
      <c r="O122" s="1445"/>
      <c r="P122" s="1445"/>
      <c r="Q122" s="1445"/>
      <c r="R122" s="1445"/>
      <c r="S122" s="1445"/>
      <c r="T122" s="1445"/>
      <c r="U122" s="1445"/>
      <c r="V122" s="1445"/>
      <c r="W122" s="1445"/>
      <c r="X122" s="1445"/>
      <c r="Y122" s="1445"/>
      <c r="Z122" s="1445"/>
    </row>
    <row r="123" ht="15.75" customHeight="1">
      <c r="A123" s="1446"/>
      <c r="B123" s="1446"/>
      <c r="C123" s="1446"/>
      <c r="D123" s="1447"/>
      <c r="E123" s="1445"/>
      <c r="F123" s="1445"/>
      <c r="G123" s="1445"/>
      <c r="H123" s="1445"/>
      <c r="I123" s="1445"/>
      <c r="J123" s="1445"/>
      <c r="K123" s="1445"/>
      <c r="L123" s="1445"/>
      <c r="M123" s="1445"/>
      <c r="N123" s="1445"/>
      <c r="O123" s="1445"/>
      <c r="P123" s="1445"/>
      <c r="Q123" s="1445"/>
      <c r="R123" s="1445"/>
      <c r="S123" s="1445"/>
      <c r="T123" s="1445"/>
      <c r="U123" s="1445"/>
      <c r="V123" s="1445"/>
      <c r="W123" s="1445"/>
      <c r="X123" s="1445"/>
      <c r="Y123" s="1445"/>
      <c r="Z123" s="1445"/>
    </row>
    <row r="124" ht="15.75" customHeight="1">
      <c r="A124" s="1446"/>
      <c r="B124" s="1446"/>
      <c r="C124" s="1446"/>
      <c r="D124" s="1447"/>
      <c r="E124" s="1445"/>
      <c r="F124" s="1445"/>
      <c r="G124" s="1445"/>
      <c r="H124" s="1445"/>
      <c r="I124" s="1445"/>
      <c r="J124" s="1445"/>
      <c r="K124" s="1445"/>
      <c r="L124" s="1445"/>
      <c r="M124" s="1445"/>
      <c r="N124" s="1445"/>
      <c r="O124" s="1445"/>
      <c r="P124" s="1445"/>
      <c r="Q124" s="1445"/>
      <c r="R124" s="1445"/>
      <c r="S124" s="1445"/>
      <c r="T124" s="1445"/>
      <c r="U124" s="1445"/>
      <c r="V124" s="1445"/>
      <c r="W124" s="1445"/>
      <c r="X124" s="1445"/>
      <c r="Y124" s="1445"/>
      <c r="Z124" s="1445"/>
    </row>
    <row r="125" ht="15.75" customHeight="1">
      <c r="A125" s="1446"/>
      <c r="B125" s="1446"/>
      <c r="C125" s="1446"/>
      <c r="D125" s="1447"/>
      <c r="E125" s="1445"/>
      <c r="F125" s="1445"/>
      <c r="G125" s="1445"/>
      <c r="H125" s="1445"/>
      <c r="I125" s="1445"/>
      <c r="J125" s="1445"/>
      <c r="K125" s="1445"/>
      <c r="L125" s="1445"/>
      <c r="M125" s="1445"/>
      <c r="N125" s="1445"/>
      <c r="O125" s="1445"/>
      <c r="P125" s="1445"/>
      <c r="Q125" s="1445"/>
      <c r="R125" s="1445"/>
      <c r="S125" s="1445"/>
      <c r="T125" s="1445"/>
      <c r="U125" s="1445"/>
      <c r="V125" s="1445"/>
      <c r="W125" s="1445"/>
      <c r="X125" s="1445"/>
      <c r="Y125" s="1445"/>
      <c r="Z125" s="1445"/>
    </row>
    <row r="126" ht="15.75" customHeight="1">
      <c r="A126" s="1446"/>
      <c r="B126" s="1446"/>
      <c r="C126" s="1446"/>
      <c r="D126" s="1447"/>
      <c r="E126" s="1445"/>
      <c r="F126" s="1445"/>
      <c r="G126" s="1445"/>
      <c r="H126" s="1445"/>
      <c r="I126" s="1445"/>
      <c r="J126" s="1445"/>
      <c r="K126" s="1445"/>
      <c r="L126" s="1445"/>
      <c r="M126" s="1445"/>
      <c r="N126" s="1445"/>
      <c r="O126" s="1445"/>
      <c r="P126" s="1445"/>
      <c r="Q126" s="1445"/>
      <c r="R126" s="1445"/>
      <c r="S126" s="1445"/>
      <c r="T126" s="1445"/>
      <c r="U126" s="1445"/>
      <c r="V126" s="1445"/>
      <c r="W126" s="1445"/>
      <c r="X126" s="1445"/>
      <c r="Y126" s="1445"/>
      <c r="Z126" s="1445"/>
    </row>
    <row r="127" ht="15.75" customHeight="1">
      <c r="A127" s="1446"/>
      <c r="B127" s="1446"/>
      <c r="C127" s="1446"/>
      <c r="D127" s="1447"/>
      <c r="E127" s="1445"/>
      <c r="F127" s="1445"/>
      <c r="G127" s="1445"/>
      <c r="H127" s="1445"/>
      <c r="I127" s="1445"/>
      <c r="J127" s="1445"/>
      <c r="K127" s="1445"/>
      <c r="L127" s="1445"/>
      <c r="M127" s="1445"/>
      <c r="N127" s="1445"/>
      <c r="O127" s="1445"/>
      <c r="P127" s="1445"/>
      <c r="Q127" s="1445"/>
      <c r="R127" s="1445"/>
      <c r="S127" s="1445"/>
      <c r="T127" s="1445"/>
      <c r="U127" s="1445"/>
      <c r="V127" s="1445"/>
      <c r="W127" s="1445"/>
      <c r="X127" s="1445"/>
      <c r="Y127" s="1445"/>
      <c r="Z127" s="1445"/>
    </row>
    <row r="128" ht="15.75" customHeight="1">
      <c r="A128" s="1446"/>
      <c r="B128" s="1446"/>
      <c r="C128" s="1446"/>
      <c r="D128" s="1447"/>
      <c r="E128" s="1445"/>
      <c r="F128" s="1445"/>
      <c r="G128" s="1445"/>
      <c r="H128" s="1445"/>
      <c r="I128" s="1445"/>
      <c r="J128" s="1445"/>
      <c r="K128" s="1445"/>
      <c r="L128" s="1445"/>
      <c r="M128" s="1445"/>
      <c r="N128" s="1445"/>
      <c r="O128" s="1445"/>
      <c r="P128" s="1445"/>
      <c r="Q128" s="1445"/>
      <c r="R128" s="1445"/>
      <c r="S128" s="1445"/>
      <c r="T128" s="1445"/>
      <c r="U128" s="1445"/>
      <c r="V128" s="1445"/>
      <c r="W128" s="1445"/>
      <c r="X128" s="1445"/>
      <c r="Y128" s="1445"/>
      <c r="Z128" s="1445"/>
    </row>
    <row r="129" ht="15.75" customHeight="1">
      <c r="A129" s="1446"/>
      <c r="B129" s="1446"/>
      <c r="C129" s="1446"/>
      <c r="D129" s="1447"/>
      <c r="E129" s="1445"/>
      <c r="F129" s="1445"/>
      <c r="G129" s="1445"/>
      <c r="H129" s="1445"/>
      <c r="I129" s="1445"/>
      <c r="J129" s="1445"/>
      <c r="K129" s="1445"/>
      <c r="L129" s="1445"/>
      <c r="M129" s="1445"/>
      <c r="N129" s="1445"/>
      <c r="O129" s="1445"/>
      <c r="P129" s="1445"/>
      <c r="Q129" s="1445"/>
      <c r="R129" s="1445"/>
      <c r="S129" s="1445"/>
      <c r="T129" s="1445"/>
      <c r="U129" s="1445"/>
      <c r="V129" s="1445"/>
      <c r="W129" s="1445"/>
      <c r="X129" s="1445"/>
      <c r="Y129" s="1445"/>
      <c r="Z129" s="1445"/>
    </row>
    <row r="130" ht="15.75" customHeight="1">
      <c r="A130" s="1446"/>
      <c r="B130" s="1446"/>
      <c r="C130" s="1446"/>
      <c r="D130" s="1447"/>
      <c r="E130" s="1445"/>
      <c r="F130" s="1445"/>
      <c r="G130" s="1445"/>
      <c r="H130" s="1445"/>
      <c r="I130" s="1445"/>
      <c r="J130" s="1445"/>
      <c r="K130" s="1445"/>
      <c r="L130" s="1445"/>
      <c r="M130" s="1445"/>
      <c r="N130" s="1445"/>
      <c r="O130" s="1445"/>
      <c r="P130" s="1445"/>
      <c r="Q130" s="1445"/>
      <c r="R130" s="1445"/>
      <c r="S130" s="1445"/>
      <c r="T130" s="1445"/>
      <c r="U130" s="1445"/>
      <c r="V130" s="1445"/>
      <c r="W130" s="1445"/>
      <c r="X130" s="1445"/>
      <c r="Y130" s="1445"/>
      <c r="Z130" s="1445"/>
    </row>
    <row r="131" ht="15.75" customHeight="1">
      <c r="A131" s="1446"/>
      <c r="B131" s="1446"/>
      <c r="C131" s="1446"/>
      <c r="D131" s="1447"/>
      <c r="E131" s="1445"/>
      <c r="F131" s="1445"/>
      <c r="G131" s="1445"/>
      <c r="H131" s="1445"/>
      <c r="I131" s="1445"/>
      <c r="J131" s="1445"/>
      <c r="K131" s="1445"/>
      <c r="L131" s="1445"/>
      <c r="M131" s="1445"/>
      <c r="N131" s="1445"/>
      <c r="O131" s="1445"/>
      <c r="P131" s="1445"/>
      <c r="Q131" s="1445"/>
      <c r="R131" s="1445"/>
      <c r="S131" s="1445"/>
      <c r="T131" s="1445"/>
      <c r="U131" s="1445"/>
      <c r="V131" s="1445"/>
      <c r="W131" s="1445"/>
      <c r="X131" s="1445"/>
      <c r="Y131" s="1445"/>
      <c r="Z131" s="1445"/>
    </row>
    <row r="132" ht="15.75" customHeight="1">
      <c r="A132" s="1446"/>
      <c r="B132" s="1446"/>
      <c r="C132" s="1446"/>
      <c r="D132" s="1447"/>
      <c r="E132" s="1445"/>
      <c r="F132" s="1445"/>
      <c r="G132" s="1445"/>
      <c r="H132" s="1445"/>
      <c r="I132" s="1445"/>
      <c r="J132" s="1445"/>
      <c r="K132" s="1445"/>
      <c r="L132" s="1445"/>
      <c r="M132" s="1445"/>
      <c r="N132" s="1445"/>
      <c r="O132" s="1445"/>
      <c r="P132" s="1445"/>
      <c r="Q132" s="1445"/>
      <c r="R132" s="1445"/>
      <c r="S132" s="1445"/>
      <c r="T132" s="1445"/>
      <c r="U132" s="1445"/>
      <c r="V132" s="1445"/>
      <c r="W132" s="1445"/>
      <c r="X132" s="1445"/>
      <c r="Y132" s="1445"/>
      <c r="Z132" s="1445"/>
    </row>
    <row r="133" ht="15.75" customHeight="1">
      <c r="A133" s="1446"/>
      <c r="B133" s="1446"/>
      <c r="C133" s="1446"/>
      <c r="D133" s="1447"/>
      <c r="E133" s="1445"/>
      <c r="F133" s="1445"/>
      <c r="G133" s="1445"/>
      <c r="H133" s="1445"/>
      <c r="I133" s="1445"/>
      <c r="J133" s="1445"/>
      <c r="K133" s="1445"/>
      <c r="L133" s="1445"/>
      <c r="M133" s="1445"/>
      <c r="N133" s="1445"/>
      <c r="O133" s="1445"/>
      <c r="P133" s="1445"/>
      <c r="Q133" s="1445"/>
      <c r="R133" s="1445"/>
      <c r="S133" s="1445"/>
      <c r="T133" s="1445"/>
      <c r="U133" s="1445"/>
      <c r="V133" s="1445"/>
      <c r="W133" s="1445"/>
      <c r="X133" s="1445"/>
      <c r="Y133" s="1445"/>
      <c r="Z133" s="1445"/>
    </row>
    <row r="134" ht="15.75" customHeight="1">
      <c r="A134" s="1446"/>
      <c r="B134" s="1446"/>
      <c r="C134" s="1446"/>
      <c r="D134" s="1447"/>
      <c r="E134" s="1445"/>
      <c r="F134" s="1445"/>
      <c r="G134" s="1445"/>
      <c r="H134" s="1445"/>
      <c r="I134" s="1445"/>
      <c r="J134" s="1445"/>
      <c r="K134" s="1445"/>
      <c r="L134" s="1445"/>
      <c r="M134" s="1445"/>
      <c r="N134" s="1445"/>
      <c r="O134" s="1445"/>
      <c r="P134" s="1445"/>
      <c r="Q134" s="1445"/>
      <c r="R134" s="1445"/>
      <c r="S134" s="1445"/>
      <c r="T134" s="1445"/>
      <c r="U134" s="1445"/>
      <c r="V134" s="1445"/>
      <c r="W134" s="1445"/>
      <c r="X134" s="1445"/>
      <c r="Y134" s="1445"/>
      <c r="Z134" s="1445"/>
    </row>
    <row r="135" ht="15.75" customHeight="1">
      <c r="A135" s="1446"/>
      <c r="B135" s="1446"/>
      <c r="C135" s="1446"/>
      <c r="D135" s="1447"/>
      <c r="E135" s="1445"/>
      <c r="F135" s="1445"/>
      <c r="G135" s="1445"/>
      <c r="H135" s="1445"/>
      <c r="I135" s="1445"/>
      <c r="J135" s="1445"/>
      <c r="K135" s="1445"/>
      <c r="L135" s="1445"/>
      <c r="M135" s="1445"/>
      <c r="N135" s="1445"/>
      <c r="O135" s="1445"/>
      <c r="P135" s="1445"/>
      <c r="Q135" s="1445"/>
      <c r="R135" s="1445"/>
      <c r="S135" s="1445"/>
      <c r="T135" s="1445"/>
      <c r="U135" s="1445"/>
      <c r="V135" s="1445"/>
      <c r="W135" s="1445"/>
      <c r="X135" s="1445"/>
      <c r="Y135" s="1445"/>
      <c r="Z135" s="1445"/>
    </row>
    <row r="136" ht="15.75" customHeight="1">
      <c r="A136" s="1446"/>
      <c r="B136" s="1446"/>
      <c r="C136" s="1446"/>
      <c r="D136" s="1447"/>
      <c r="E136" s="1445"/>
      <c r="F136" s="1445"/>
      <c r="G136" s="1445"/>
      <c r="H136" s="1445"/>
      <c r="I136" s="1445"/>
      <c r="J136" s="1445"/>
      <c r="K136" s="1445"/>
      <c r="L136" s="1445"/>
      <c r="M136" s="1445"/>
      <c r="N136" s="1445"/>
      <c r="O136" s="1445"/>
      <c r="P136" s="1445"/>
      <c r="Q136" s="1445"/>
      <c r="R136" s="1445"/>
      <c r="S136" s="1445"/>
      <c r="T136" s="1445"/>
      <c r="U136" s="1445"/>
      <c r="V136" s="1445"/>
      <c r="W136" s="1445"/>
      <c r="X136" s="1445"/>
      <c r="Y136" s="1445"/>
      <c r="Z136" s="1445"/>
    </row>
    <row r="137" ht="15.75" customHeight="1">
      <c r="A137" s="1446"/>
      <c r="B137" s="1446"/>
      <c r="C137" s="1446"/>
      <c r="D137" s="1447"/>
      <c r="E137" s="1445"/>
      <c r="F137" s="1445"/>
      <c r="G137" s="1445"/>
      <c r="H137" s="1445"/>
      <c r="I137" s="1445"/>
      <c r="J137" s="1445"/>
      <c r="K137" s="1445"/>
      <c r="L137" s="1445"/>
      <c r="M137" s="1445"/>
      <c r="N137" s="1445"/>
      <c r="O137" s="1445"/>
      <c r="P137" s="1445"/>
      <c r="Q137" s="1445"/>
      <c r="R137" s="1445"/>
      <c r="S137" s="1445"/>
      <c r="T137" s="1445"/>
      <c r="U137" s="1445"/>
      <c r="V137" s="1445"/>
      <c r="W137" s="1445"/>
      <c r="X137" s="1445"/>
      <c r="Y137" s="1445"/>
      <c r="Z137" s="1445"/>
    </row>
    <row r="138" ht="15.75" customHeight="1">
      <c r="A138" s="1446"/>
      <c r="B138" s="1446"/>
      <c r="C138" s="1446"/>
      <c r="D138" s="1447"/>
      <c r="E138" s="1445"/>
      <c r="F138" s="1445"/>
      <c r="G138" s="1445"/>
      <c r="H138" s="1445"/>
      <c r="I138" s="1445"/>
      <c r="J138" s="1445"/>
      <c r="K138" s="1445"/>
      <c r="L138" s="1445"/>
      <c r="M138" s="1445"/>
      <c r="N138" s="1445"/>
      <c r="O138" s="1445"/>
      <c r="P138" s="1445"/>
      <c r="Q138" s="1445"/>
      <c r="R138" s="1445"/>
      <c r="S138" s="1445"/>
      <c r="T138" s="1445"/>
      <c r="U138" s="1445"/>
      <c r="V138" s="1445"/>
      <c r="W138" s="1445"/>
      <c r="X138" s="1445"/>
      <c r="Y138" s="1445"/>
      <c r="Z138" s="1445"/>
    </row>
    <row r="139" ht="15.75" customHeight="1">
      <c r="A139" s="1446"/>
      <c r="B139" s="1446"/>
      <c r="C139" s="1446"/>
      <c r="D139" s="1447"/>
      <c r="E139" s="1445"/>
      <c r="F139" s="1445"/>
      <c r="G139" s="1445"/>
      <c r="H139" s="1445"/>
      <c r="I139" s="1445"/>
      <c r="J139" s="1445"/>
      <c r="K139" s="1445"/>
      <c r="L139" s="1445"/>
      <c r="M139" s="1445"/>
      <c r="N139" s="1445"/>
      <c r="O139" s="1445"/>
      <c r="P139" s="1445"/>
      <c r="Q139" s="1445"/>
      <c r="R139" s="1445"/>
      <c r="S139" s="1445"/>
      <c r="T139" s="1445"/>
      <c r="U139" s="1445"/>
      <c r="V139" s="1445"/>
      <c r="W139" s="1445"/>
      <c r="X139" s="1445"/>
      <c r="Y139" s="1445"/>
      <c r="Z139" s="1445"/>
    </row>
    <row r="140" ht="15.75" customHeight="1">
      <c r="A140" s="1446"/>
      <c r="B140" s="1446"/>
      <c r="C140" s="1446"/>
      <c r="D140" s="1447"/>
      <c r="E140" s="1445"/>
      <c r="F140" s="1445"/>
      <c r="G140" s="1445"/>
      <c r="H140" s="1445"/>
      <c r="I140" s="1445"/>
      <c r="J140" s="1445"/>
      <c r="K140" s="1445"/>
      <c r="L140" s="1445"/>
      <c r="M140" s="1445"/>
      <c r="N140" s="1445"/>
      <c r="O140" s="1445"/>
      <c r="P140" s="1445"/>
      <c r="Q140" s="1445"/>
      <c r="R140" s="1445"/>
      <c r="S140" s="1445"/>
      <c r="T140" s="1445"/>
      <c r="U140" s="1445"/>
      <c r="V140" s="1445"/>
      <c r="W140" s="1445"/>
      <c r="X140" s="1445"/>
      <c r="Y140" s="1445"/>
      <c r="Z140" s="1445"/>
    </row>
    <row r="141" ht="15.75" customHeight="1">
      <c r="A141" s="1446"/>
      <c r="B141" s="1446"/>
      <c r="C141" s="1446"/>
      <c r="D141" s="1447"/>
      <c r="E141" s="1445"/>
      <c r="F141" s="1445"/>
      <c r="G141" s="1445"/>
      <c r="H141" s="1445"/>
      <c r="I141" s="1445"/>
      <c r="J141" s="1445"/>
      <c r="K141" s="1445"/>
      <c r="L141" s="1445"/>
      <c r="M141" s="1445"/>
      <c r="N141" s="1445"/>
      <c r="O141" s="1445"/>
      <c r="P141" s="1445"/>
      <c r="Q141" s="1445"/>
      <c r="R141" s="1445"/>
      <c r="S141" s="1445"/>
      <c r="T141" s="1445"/>
      <c r="U141" s="1445"/>
      <c r="V141" s="1445"/>
      <c r="W141" s="1445"/>
      <c r="X141" s="1445"/>
      <c r="Y141" s="1445"/>
      <c r="Z141" s="1445"/>
    </row>
    <row r="142" ht="15.75" customHeight="1">
      <c r="A142" s="1446"/>
      <c r="B142" s="1446"/>
      <c r="C142" s="1446"/>
      <c r="D142" s="1447"/>
      <c r="E142" s="1445"/>
      <c r="F142" s="1445"/>
      <c r="G142" s="1445"/>
      <c r="H142" s="1445"/>
      <c r="I142" s="1445"/>
      <c r="J142" s="1445"/>
      <c r="K142" s="1445"/>
      <c r="L142" s="1445"/>
      <c r="M142" s="1445"/>
      <c r="N142" s="1445"/>
      <c r="O142" s="1445"/>
      <c r="P142" s="1445"/>
      <c r="Q142" s="1445"/>
      <c r="R142" s="1445"/>
      <c r="S142" s="1445"/>
      <c r="T142" s="1445"/>
      <c r="U142" s="1445"/>
      <c r="V142" s="1445"/>
      <c r="W142" s="1445"/>
      <c r="X142" s="1445"/>
      <c r="Y142" s="1445"/>
      <c r="Z142" s="1445"/>
    </row>
    <row r="143" ht="15.75" customHeight="1">
      <c r="A143" s="1446"/>
      <c r="B143" s="1446"/>
      <c r="C143" s="1446"/>
      <c r="D143" s="1447"/>
      <c r="E143" s="1445"/>
      <c r="F143" s="1445"/>
      <c r="G143" s="1445"/>
      <c r="H143" s="1445"/>
      <c r="I143" s="1445"/>
      <c r="J143" s="1445"/>
      <c r="K143" s="1445"/>
      <c r="L143" s="1445"/>
      <c r="M143" s="1445"/>
      <c r="N143" s="1445"/>
      <c r="O143" s="1445"/>
      <c r="P143" s="1445"/>
      <c r="Q143" s="1445"/>
      <c r="R143" s="1445"/>
      <c r="S143" s="1445"/>
      <c r="T143" s="1445"/>
      <c r="U143" s="1445"/>
      <c r="V143" s="1445"/>
      <c r="W143" s="1445"/>
      <c r="X143" s="1445"/>
      <c r="Y143" s="1445"/>
      <c r="Z143" s="1445"/>
    </row>
    <row r="144" ht="15.75" customHeight="1">
      <c r="A144" s="1446"/>
      <c r="B144" s="1446"/>
      <c r="C144" s="1446"/>
      <c r="D144" s="1447"/>
      <c r="E144" s="1445"/>
      <c r="F144" s="1445"/>
      <c r="G144" s="1445"/>
      <c r="H144" s="1445"/>
      <c r="I144" s="1445"/>
      <c r="J144" s="1445"/>
      <c r="K144" s="1445"/>
      <c r="L144" s="1445"/>
      <c r="M144" s="1445"/>
      <c r="N144" s="1445"/>
      <c r="O144" s="1445"/>
      <c r="P144" s="1445"/>
      <c r="Q144" s="1445"/>
      <c r="R144" s="1445"/>
      <c r="S144" s="1445"/>
      <c r="T144" s="1445"/>
      <c r="U144" s="1445"/>
      <c r="V144" s="1445"/>
      <c r="W144" s="1445"/>
      <c r="X144" s="1445"/>
      <c r="Y144" s="1445"/>
      <c r="Z144" s="1445"/>
    </row>
    <row r="145" ht="15.75" customHeight="1">
      <c r="A145" s="1446"/>
      <c r="B145" s="1446"/>
      <c r="C145" s="1446"/>
      <c r="D145" s="1447"/>
      <c r="E145" s="1445"/>
      <c r="F145" s="1445"/>
      <c r="G145" s="1445"/>
      <c r="H145" s="1445"/>
      <c r="I145" s="1445"/>
      <c r="J145" s="1445"/>
      <c r="K145" s="1445"/>
      <c r="L145" s="1445"/>
      <c r="M145" s="1445"/>
      <c r="N145" s="1445"/>
      <c r="O145" s="1445"/>
      <c r="P145" s="1445"/>
      <c r="Q145" s="1445"/>
      <c r="R145" s="1445"/>
      <c r="S145" s="1445"/>
      <c r="T145" s="1445"/>
      <c r="U145" s="1445"/>
      <c r="V145" s="1445"/>
      <c r="W145" s="1445"/>
      <c r="X145" s="1445"/>
      <c r="Y145" s="1445"/>
      <c r="Z145" s="1445"/>
    </row>
    <row r="146" ht="15.75" customHeight="1">
      <c r="A146" s="1446"/>
      <c r="B146" s="1446"/>
      <c r="C146" s="1446"/>
      <c r="D146" s="1447"/>
      <c r="E146" s="1445"/>
      <c r="F146" s="1445"/>
      <c r="G146" s="1445"/>
      <c r="H146" s="1445"/>
      <c r="I146" s="1445"/>
      <c r="J146" s="1445"/>
      <c r="K146" s="1445"/>
      <c r="L146" s="1445"/>
      <c r="M146" s="1445"/>
      <c r="N146" s="1445"/>
      <c r="O146" s="1445"/>
      <c r="P146" s="1445"/>
      <c r="Q146" s="1445"/>
      <c r="R146" s="1445"/>
      <c r="S146" s="1445"/>
      <c r="T146" s="1445"/>
      <c r="U146" s="1445"/>
      <c r="V146" s="1445"/>
      <c r="W146" s="1445"/>
      <c r="X146" s="1445"/>
      <c r="Y146" s="1445"/>
      <c r="Z146" s="1445"/>
    </row>
    <row r="147" ht="15.75" customHeight="1">
      <c r="A147" s="1446"/>
      <c r="B147" s="1446"/>
      <c r="C147" s="1446"/>
      <c r="D147" s="1447"/>
      <c r="E147" s="1445"/>
      <c r="F147" s="1445"/>
      <c r="G147" s="1445"/>
      <c r="H147" s="1445"/>
      <c r="I147" s="1445"/>
      <c r="J147" s="1445"/>
      <c r="K147" s="1445"/>
      <c r="L147" s="1445"/>
      <c r="M147" s="1445"/>
      <c r="N147" s="1445"/>
      <c r="O147" s="1445"/>
      <c r="P147" s="1445"/>
      <c r="Q147" s="1445"/>
      <c r="R147" s="1445"/>
      <c r="S147" s="1445"/>
      <c r="T147" s="1445"/>
      <c r="U147" s="1445"/>
      <c r="V147" s="1445"/>
      <c r="W147" s="1445"/>
      <c r="X147" s="1445"/>
      <c r="Y147" s="1445"/>
      <c r="Z147" s="1445"/>
    </row>
    <row r="148" ht="15.75" customHeight="1">
      <c r="A148" s="1446"/>
      <c r="B148" s="1446"/>
      <c r="C148" s="1446"/>
      <c r="D148" s="1447"/>
      <c r="E148" s="1445"/>
      <c r="F148" s="1445"/>
      <c r="G148" s="1445"/>
      <c r="H148" s="1445"/>
      <c r="I148" s="1445"/>
      <c r="J148" s="1445"/>
      <c r="K148" s="1445"/>
      <c r="L148" s="1445"/>
      <c r="M148" s="1445"/>
      <c r="N148" s="1445"/>
      <c r="O148" s="1445"/>
      <c r="P148" s="1445"/>
      <c r="Q148" s="1445"/>
      <c r="R148" s="1445"/>
      <c r="S148" s="1445"/>
      <c r="T148" s="1445"/>
      <c r="U148" s="1445"/>
      <c r="V148" s="1445"/>
      <c r="W148" s="1445"/>
      <c r="X148" s="1445"/>
      <c r="Y148" s="1445"/>
      <c r="Z148" s="1445"/>
    </row>
    <row r="149" ht="15.75" customHeight="1">
      <c r="A149" s="1446"/>
      <c r="B149" s="1446"/>
      <c r="C149" s="1446"/>
      <c r="D149" s="1447"/>
      <c r="E149" s="1445"/>
      <c r="F149" s="1445"/>
      <c r="G149" s="1445"/>
      <c r="H149" s="1445"/>
      <c r="I149" s="1445"/>
      <c r="J149" s="1445"/>
      <c r="K149" s="1445"/>
      <c r="L149" s="1445"/>
      <c r="M149" s="1445"/>
      <c r="N149" s="1445"/>
      <c r="O149" s="1445"/>
      <c r="P149" s="1445"/>
      <c r="Q149" s="1445"/>
      <c r="R149" s="1445"/>
      <c r="S149" s="1445"/>
      <c r="T149" s="1445"/>
      <c r="U149" s="1445"/>
      <c r="V149" s="1445"/>
      <c r="W149" s="1445"/>
      <c r="X149" s="1445"/>
      <c r="Y149" s="1445"/>
      <c r="Z149" s="1445"/>
    </row>
    <row r="150" ht="15.75" customHeight="1">
      <c r="A150" s="1446"/>
      <c r="B150" s="1446"/>
      <c r="C150" s="1446"/>
      <c r="D150" s="1447"/>
      <c r="E150" s="1445"/>
      <c r="F150" s="1445"/>
      <c r="G150" s="1445"/>
      <c r="H150" s="1445"/>
      <c r="I150" s="1445"/>
      <c r="J150" s="1445"/>
      <c r="K150" s="1445"/>
      <c r="L150" s="1445"/>
      <c r="M150" s="1445"/>
      <c r="N150" s="1445"/>
      <c r="O150" s="1445"/>
      <c r="P150" s="1445"/>
      <c r="Q150" s="1445"/>
      <c r="R150" s="1445"/>
      <c r="S150" s="1445"/>
      <c r="T150" s="1445"/>
      <c r="U150" s="1445"/>
      <c r="V150" s="1445"/>
      <c r="W150" s="1445"/>
      <c r="X150" s="1445"/>
      <c r="Y150" s="1445"/>
      <c r="Z150" s="1445"/>
    </row>
    <row r="151" ht="15.75" customHeight="1">
      <c r="A151" s="1446"/>
      <c r="B151" s="1446"/>
      <c r="C151" s="1446"/>
      <c r="D151" s="1447"/>
      <c r="E151" s="1445"/>
      <c r="F151" s="1445"/>
      <c r="G151" s="1445"/>
      <c r="H151" s="1445"/>
      <c r="I151" s="1445"/>
      <c r="J151" s="1445"/>
      <c r="K151" s="1445"/>
      <c r="L151" s="1445"/>
      <c r="M151" s="1445"/>
      <c r="N151" s="1445"/>
      <c r="O151" s="1445"/>
      <c r="P151" s="1445"/>
      <c r="Q151" s="1445"/>
      <c r="R151" s="1445"/>
      <c r="S151" s="1445"/>
      <c r="T151" s="1445"/>
      <c r="U151" s="1445"/>
      <c r="V151" s="1445"/>
      <c r="W151" s="1445"/>
      <c r="X151" s="1445"/>
      <c r="Y151" s="1445"/>
      <c r="Z151" s="1445"/>
    </row>
    <row r="152" ht="15.75" customHeight="1">
      <c r="A152" s="1446"/>
      <c r="B152" s="1446"/>
      <c r="C152" s="1446"/>
      <c r="D152" s="1447"/>
      <c r="E152" s="1445"/>
      <c r="F152" s="1445"/>
      <c r="G152" s="1445"/>
      <c r="H152" s="1445"/>
      <c r="I152" s="1445"/>
      <c r="J152" s="1445"/>
      <c r="K152" s="1445"/>
      <c r="L152" s="1445"/>
      <c r="M152" s="1445"/>
      <c r="N152" s="1445"/>
      <c r="O152" s="1445"/>
      <c r="P152" s="1445"/>
      <c r="Q152" s="1445"/>
      <c r="R152" s="1445"/>
      <c r="S152" s="1445"/>
      <c r="T152" s="1445"/>
      <c r="U152" s="1445"/>
      <c r="V152" s="1445"/>
      <c r="W152" s="1445"/>
      <c r="X152" s="1445"/>
      <c r="Y152" s="1445"/>
      <c r="Z152" s="1445"/>
    </row>
    <row r="153" ht="15.75" customHeight="1">
      <c r="A153" s="1446"/>
      <c r="B153" s="1446"/>
      <c r="C153" s="1446"/>
      <c r="D153" s="1447"/>
      <c r="E153" s="1445"/>
      <c r="F153" s="1445"/>
      <c r="G153" s="1445"/>
      <c r="H153" s="1445"/>
      <c r="I153" s="1445"/>
      <c r="J153" s="1445"/>
      <c r="K153" s="1445"/>
      <c r="L153" s="1445"/>
      <c r="M153" s="1445"/>
      <c r="N153" s="1445"/>
      <c r="O153" s="1445"/>
      <c r="P153" s="1445"/>
      <c r="Q153" s="1445"/>
      <c r="R153" s="1445"/>
      <c r="S153" s="1445"/>
      <c r="T153" s="1445"/>
      <c r="U153" s="1445"/>
      <c r="V153" s="1445"/>
      <c r="W153" s="1445"/>
      <c r="X153" s="1445"/>
      <c r="Y153" s="1445"/>
      <c r="Z153" s="1445"/>
    </row>
    <row r="154" ht="15.75" customHeight="1">
      <c r="A154" s="1446"/>
      <c r="B154" s="1446"/>
      <c r="C154" s="1446"/>
      <c r="D154" s="1447"/>
      <c r="E154" s="1445"/>
      <c r="F154" s="1445"/>
      <c r="G154" s="1445"/>
      <c r="H154" s="1445"/>
      <c r="I154" s="1445"/>
      <c r="J154" s="1445"/>
      <c r="K154" s="1445"/>
      <c r="L154" s="1445"/>
      <c r="M154" s="1445"/>
      <c r="N154" s="1445"/>
      <c r="O154" s="1445"/>
      <c r="P154" s="1445"/>
      <c r="Q154" s="1445"/>
      <c r="R154" s="1445"/>
      <c r="S154" s="1445"/>
      <c r="T154" s="1445"/>
      <c r="U154" s="1445"/>
      <c r="V154" s="1445"/>
      <c r="W154" s="1445"/>
      <c r="X154" s="1445"/>
      <c r="Y154" s="1445"/>
      <c r="Z154" s="1445"/>
    </row>
    <row r="155" ht="15.75" customHeight="1">
      <c r="A155" s="1446"/>
      <c r="B155" s="1446"/>
      <c r="C155" s="1446"/>
      <c r="D155" s="1447"/>
      <c r="E155" s="1445"/>
      <c r="F155" s="1445"/>
      <c r="G155" s="1445"/>
      <c r="H155" s="1445"/>
      <c r="I155" s="1445"/>
      <c r="J155" s="1445"/>
      <c r="K155" s="1445"/>
      <c r="L155" s="1445"/>
      <c r="M155" s="1445"/>
      <c r="N155" s="1445"/>
      <c r="O155" s="1445"/>
      <c r="P155" s="1445"/>
      <c r="Q155" s="1445"/>
      <c r="R155" s="1445"/>
      <c r="S155" s="1445"/>
      <c r="T155" s="1445"/>
      <c r="U155" s="1445"/>
      <c r="V155" s="1445"/>
      <c r="W155" s="1445"/>
      <c r="X155" s="1445"/>
      <c r="Y155" s="1445"/>
      <c r="Z155" s="1445"/>
    </row>
    <row r="156" ht="15.75" customHeight="1">
      <c r="A156" s="1446"/>
      <c r="B156" s="1446"/>
      <c r="C156" s="1446"/>
      <c r="D156" s="1447"/>
      <c r="E156" s="1445"/>
      <c r="F156" s="1445"/>
      <c r="G156" s="1445"/>
      <c r="H156" s="1445"/>
      <c r="I156" s="1445"/>
      <c r="J156" s="1445"/>
      <c r="K156" s="1445"/>
      <c r="L156" s="1445"/>
      <c r="M156" s="1445"/>
      <c r="N156" s="1445"/>
      <c r="O156" s="1445"/>
      <c r="P156" s="1445"/>
      <c r="Q156" s="1445"/>
      <c r="R156" s="1445"/>
      <c r="S156" s="1445"/>
      <c r="T156" s="1445"/>
      <c r="U156" s="1445"/>
      <c r="V156" s="1445"/>
      <c r="W156" s="1445"/>
      <c r="X156" s="1445"/>
      <c r="Y156" s="1445"/>
      <c r="Z156" s="1445"/>
    </row>
    <row r="157" ht="15.75" customHeight="1">
      <c r="A157" s="1446"/>
      <c r="B157" s="1446"/>
      <c r="C157" s="1446"/>
      <c r="D157" s="1447"/>
      <c r="E157" s="1445"/>
      <c r="F157" s="1445"/>
      <c r="G157" s="1445"/>
      <c r="H157" s="1445"/>
      <c r="I157" s="1445"/>
      <c r="J157" s="1445"/>
      <c r="K157" s="1445"/>
      <c r="L157" s="1445"/>
      <c r="M157" s="1445"/>
      <c r="N157" s="1445"/>
      <c r="O157" s="1445"/>
      <c r="P157" s="1445"/>
      <c r="Q157" s="1445"/>
      <c r="R157" s="1445"/>
      <c r="S157" s="1445"/>
      <c r="T157" s="1445"/>
      <c r="U157" s="1445"/>
      <c r="V157" s="1445"/>
      <c r="W157" s="1445"/>
      <c r="X157" s="1445"/>
      <c r="Y157" s="1445"/>
      <c r="Z157" s="1445"/>
    </row>
    <row r="158" ht="15.75" customHeight="1">
      <c r="A158" s="1446"/>
      <c r="B158" s="1446"/>
      <c r="C158" s="1446"/>
      <c r="D158" s="1447"/>
      <c r="E158" s="1445"/>
      <c r="F158" s="1445"/>
      <c r="G158" s="1445"/>
      <c r="H158" s="1445"/>
      <c r="I158" s="1445"/>
      <c r="J158" s="1445"/>
      <c r="K158" s="1445"/>
      <c r="L158" s="1445"/>
      <c r="M158" s="1445"/>
      <c r="N158" s="1445"/>
      <c r="O158" s="1445"/>
      <c r="P158" s="1445"/>
      <c r="Q158" s="1445"/>
      <c r="R158" s="1445"/>
      <c r="S158" s="1445"/>
      <c r="T158" s="1445"/>
      <c r="U158" s="1445"/>
      <c r="V158" s="1445"/>
      <c r="W158" s="1445"/>
      <c r="X158" s="1445"/>
      <c r="Y158" s="1445"/>
      <c r="Z158" s="1445"/>
    </row>
    <row r="159" ht="15.75" customHeight="1">
      <c r="A159" s="1446"/>
      <c r="B159" s="1446"/>
      <c r="C159" s="1446"/>
      <c r="D159" s="1447"/>
      <c r="E159" s="1445"/>
      <c r="F159" s="1445"/>
      <c r="G159" s="1445"/>
      <c r="H159" s="1445"/>
      <c r="I159" s="1445"/>
      <c r="J159" s="1445"/>
      <c r="K159" s="1445"/>
      <c r="L159" s="1445"/>
      <c r="M159" s="1445"/>
      <c r="N159" s="1445"/>
      <c r="O159" s="1445"/>
      <c r="P159" s="1445"/>
      <c r="Q159" s="1445"/>
      <c r="R159" s="1445"/>
      <c r="S159" s="1445"/>
      <c r="T159" s="1445"/>
      <c r="U159" s="1445"/>
      <c r="V159" s="1445"/>
      <c r="W159" s="1445"/>
      <c r="X159" s="1445"/>
      <c r="Y159" s="1445"/>
      <c r="Z159" s="1445"/>
    </row>
    <row r="160" ht="15.75" customHeight="1">
      <c r="A160" s="1446"/>
      <c r="B160" s="1446"/>
      <c r="C160" s="1446"/>
      <c r="D160" s="1447"/>
      <c r="E160" s="1445"/>
      <c r="F160" s="1445"/>
      <c r="G160" s="1445"/>
      <c r="H160" s="1445"/>
      <c r="I160" s="1445"/>
      <c r="J160" s="1445"/>
      <c r="K160" s="1445"/>
      <c r="L160" s="1445"/>
      <c r="M160" s="1445"/>
      <c r="N160" s="1445"/>
      <c r="O160" s="1445"/>
      <c r="P160" s="1445"/>
      <c r="Q160" s="1445"/>
      <c r="R160" s="1445"/>
      <c r="S160" s="1445"/>
      <c r="T160" s="1445"/>
      <c r="U160" s="1445"/>
      <c r="V160" s="1445"/>
      <c r="W160" s="1445"/>
      <c r="X160" s="1445"/>
      <c r="Y160" s="1445"/>
      <c r="Z160" s="1445"/>
    </row>
    <row r="161" ht="15.75" customHeight="1">
      <c r="A161" s="1446"/>
      <c r="B161" s="1446"/>
      <c r="C161" s="1446"/>
      <c r="D161" s="1447"/>
      <c r="E161" s="1445"/>
      <c r="F161" s="1445"/>
      <c r="G161" s="1445"/>
      <c r="H161" s="1445"/>
      <c r="I161" s="1445"/>
      <c r="J161" s="1445"/>
      <c r="K161" s="1445"/>
      <c r="L161" s="1445"/>
      <c r="M161" s="1445"/>
      <c r="N161" s="1445"/>
      <c r="O161" s="1445"/>
      <c r="P161" s="1445"/>
      <c r="Q161" s="1445"/>
      <c r="R161" s="1445"/>
      <c r="S161" s="1445"/>
      <c r="T161" s="1445"/>
      <c r="U161" s="1445"/>
      <c r="V161" s="1445"/>
      <c r="W161" s="1445"/>
      <c r="X161" s="1445"/>
      <c r="Y161" s="1445"/>
      <c r="Z161" s="1445"/>
    </row>
    <row r="162" ht="15.75" customHeight="1">
      <c r="A162" s="1446"/>
      <c r="B162" s="1446"/>
      <c r="C162" s="1446"/>
      <c r="D162" s="1447"/>
      <c r="E162" s="1445"/>
      <c r="F162" s="1445"/>
      <c r="G162" s="1445"/>
      <c r="H162" s="1445"/>
      <c r="I162" s="1445"/>
      <c r="J162" s="1445"/>
      <c r="K162" s="1445"/>
      <c r="L162" s="1445"/>
      <c r="M162" s="1445"/>
      <c r="N162" s="1445"/>
      <c r="O162" s="1445"/>
      <c r="P162" s="1445"/>
      <c r="Q162" s="1445"/>
      <c r="R162" s="1445"/>
      <c r="S162" s="1445"/>
      <c r="T162" s="1445"/>
      <c r="U162" s="1445"/>
      <c r="V162" s="1445"/>
      <c r="W162" s="1445"/>
      <c r="X162" s="1445"/>
      <c r="Y162" s="1445"/>
      <c r="Z162" s="1445"/>
    </row>
    <row r="163" ht="15.75" customHeight="1">
      <c r="A163" s="1446"/>
      <c r="B163" s="1446"/>
      <c r="C163" s="1446"/>
      <c r="D163" s="1447"/>
      <c r="E163" s="1445"/>
      <c r="F163" s="1445"/>
      <c r="G163" s="1445"/>
      <c r="H163" s="1445"/>
      <c r="I163" s="1445"/>
      <c r="J163" s="1445"/>
      <c r="K163" s="1445"/>
      <c r="L163" s="1445"/>
      <c r="M163" s="1445"/>
      <c r="N163" s="1445"/>
      <c r="O163" s="1445"/>
      <c r="P163" s="1445"/>
      <c r="Q163" s="1445"/>
      <c r="R163" s="1445"/>
      <c r="S163" s="1445"/>
      <c r="T163" s="1445"/>
      <c r="U163" s="1445"/>
      <c r="V163" s="1445"/>
      <c r="W163" s="1445"/>
      <c r="X163" s="1445"/>
      <c r="Y163" s="1445"/>
      <c r="Z163" s="1445"/>
    </row>
    <row r="164" ht="15.75" customHeight="1">
      <c r="A164" s="1446"/>
      <c r="B164" s="1446"/>
      <c r="C164" s="1446"/>
      <c r="D164" s="1447"/>
      <c r="E164" s="1445"/>
      <c r="F164" s="1445"/>
      <c r="G164" s="1445"/>
      <c r="H164" s="1445"/>
      <c r="I164" s="1445"/>
      <c r="J164" s="1445"/>
      <c r="K164" s="1445"/>
      <c r="L164" s="1445"/>
      <c r="M164" s="1445"/>
      <c r="N164" s="1445"/>
      <c r="O164" s="1445"/>
      <c r="P164" s="1445"/>
      <c r="Q164" s="1445"/>
      <c r="R164" s="1445"/>
      <c r="S164" s="1445"/>
      <c r="T164" s="1445"/>
      <c r="U164" s="1445"/>
      <c r="V164" s="1445"/>
      <c r="W164" s="1445"/>
      <c r="X164" s="1445"/>
      <c r="Y164" s="1445"/>
      <c r="Z164" s="1445"/>
    </row>
    <row r="165" ht="15.75" customHeight="1">
      <c r="A165" s="1446"/>
      <c r="B165" s="1446"/>
      <c r="C165" s="1446"/>
      <c r="D165" s="1447"/>
      <c r="E165" s="1445"/>
      <c r="F165" s="1445"/>
      <c r="G165" s="1445"/>
      <c r="H165" s="1445"/>
      <c r="I165" s="1445"/>
      <c r="J165" s="1445"/>
      <c r="K165" s="1445"/>
      <c r="L165" s="1445"/>
      <c r="M165" s="1445"/>
      <c r="N165" s="1445"/>
      <c r="O165" s="1445"/>
      <c r="P165" s="1445"/>
      <c r="Q165" s="1445"/>
      <c r="R165" s="1445"/>
      <c r="S165" s="1445"/>
      <c r="T165" s="1445"/>
      <c r="U165" s="1445"/>
      <c r="V165" s="1445"/>
      <c r="W165" s="1445"/>
      <c r="X165" s="1445"/>
      <c r="Y165" s="1445"/>
      <c r="Z165" s="1445"/>
    </row>
    <row r="166" ht="15.75" customHeight="1">
      <c r="A166" s="1446"/>
      <c r="B166" s="1446"/>
      <c r="C166" s="1446"/>
      <c r="D166" s="1447"/>
      <c r="E166" s="1445"/>
      <c r="F166" s="1445"/>
      <c r="G166" s="1445"/>
      <c r="H166" s="1445"/>
      <c r="I166" s="1445"/>
      <c r="J166" s="1445"/>
      <c r="K166" s="1445"/>
      <c r="L166" s="1445"/>
      <c r="M166" s="1445"/>
      <c r="N166" s="1445"/>
      <c r="O166" s="1445"/>
      <c r="P166" s="1445"/>
      <c r="Q166" s="1445"/>
      <c r="R166" s="1445"/>
      <c r="S166" s="1445"/>
      <c r="T166" s="1445"/>
      <c r="U166" s="1445"/>
      <c r="V166" s="1445"/>
      <c r="W166" s="1445"/>
      <c r="X166" s="1445"/>
      <c r="Y166" s="1445"/>
      <c r="Z166" s="1445"/>
    </row>
    <row r="167" ht="15.75" customHeight="1">
      <c r="A167" s="1446"/>
      <c r="B167" s="1446"/>
      <c r="C167" s="1446"/>
      <c r="D167" s="1447"/>
      <c r="E167" s="1445"/>
      <c r="F167" s="1445"/>
      <c r="G167" s="1445"/>
      <c r="H167" s="1445"/>
      <c r="I167" s="1445"/>
      <c r="J167" s="1445"/>
      <c r="K167" s="1445"/>
      <c r="L167" s="1445"/>
      <c r="M167" s="1445"/>
      <c r="N167" s="1445"/>
      <c r="O167" s="1445"/>
      <c r="P167" s="1445"/>
      <c r="Q167" s="1445"/>
      <c r="R167" s="1445"/>
      <c r="S167" s="1445"/>
      <c r="T167" s="1445"/>
      <c r="U167" s="1445"/>
      <c r="V167" s="1445"/>
      <c r="W167" s="1445"/>
      <c r="X167" s="1445"/>
      <c r="Y167" s="1445"/>
      <c r="Z167" s="1445"/>
    </row>
    <row r="168" ht="15.75" customHeight="1">
      <c r="A168" s="1446"/>
      <c r="B168" s="1446"/>
      <c r="C168" s="1446"/>
      <c r="D168" s="1447"/>
      <c r="E168" s="1445"/>
      <c r="F168" s="1445"/>
      <c r="G168" s="1445"/>
      <c r="H168" s="1445"/>
      <c r="I168" s="1445"/>
      <c r="J168" s="1445"/>
      <c r="K168" s="1445"/>
      <c r="L168" s="1445"/>
      <c r="M168" s="1445"/>
      <c r="N168" s="1445"/>
      <c r="O168" s="1445"/>
      <c r="P168" s="1445"/>
      <c r="Q168" s="1445"/>
      <c r="R168" s="1445"/>
      <c r="S168" s="1445"/>
      <c r="T168" s="1445"/>
      <c r="U168" s="1445"/>
      <c r="V168" s="1445"/>
      <c r="W168" s="1445"/>
      <c r="X168" s="1445"/>
      <c r="Y168" s="1445"/>
      <c r="Z168" s="1445"/>
    </row>
    <row r="169" ht="15.75" customHeight="1">
      <c r="A169" s="1446"/>
      <c r="B169" s="1446"/>
      <c r="C169" s="1446"/>
      <c r="D169" s="1447"/>
      <c r="E169" s="1445"/>
      <c r="F169" s="1445"/>
      <c r="G169" s="1445"/>
      <c r="H169" s="1445"/>
      <c r="I169" s="1445"/>
      <c r="J169" s="1445"/>
      <c r="K169" s="1445"/>
      <c r="L169" s="1445"/>
      <c r="M169" s="1445"/>
      <c r="N169" s="1445"/>
      <c r="O169" s="1445"/>
      <c r="P169" s="1445"/>
      <c r="Q169" s="1445"/>
      <c r="R169" s="1445"/>
      <c r="S169" s="1445"/>
      <c r="T169" s="1445"/>
      <c r="U169" s="1445"/>
      <c r="V169" s="1445"/>
      <c r="W169" s="1445"/>
      <c r="X169" s="1445"/>
      <c r="Y169" s="1445"/>
      <c r="Z169" s="1445"/>
    </row>
    <row r="170" ht="15.75" customHeight="1">
      <c r="A170" s="1446"/>
      <c r="B170" s="1446"/>
      <c r="C170" s="1446"/>
      <c r="D170" s="1447"/>
      <c r="E170" s="1445"/>
      <c r="F170" s="1445"/>
      <c r="G170" s="1445"/>
      <c r="H170" s="1445"/>
      <c r="I170" s="1445"/>
      <c r="J170" s="1445"/>
      <c r="K170" s="1445"/>
      <c r="L170" s="1445"/>
      <c r="M170" s="1445"/>
      <c r="N170" s="1445"/>
      <c r="O170" s="1445"/>
      <c r="P170" s="1445"/>
      <c r="Q170" s="1445"/>
      <c r="R170" s="1445"/>
      <c r="S170" s="1445"/>
      <c r="T170" s="1445"/>
      <c r="U170" s="1445"/>
      <c r="V170" s="1445"/>
      <c r="W170" s="1445"/>
      <c r="X170" s="1445"/>
      <c r="Y170" s="1445"/>
      <c r="Z170" s="1445"/>
    </row>
    <row r="171" ht="15.75" customHeight="1">
      <c r="A171" s="1446"/>
      <c r="B171" s="1446"/>
      <c r="C171" s="1446"/>
      <c r="D171" s="1447"/>
      <c r="E171" s="1445"/>
      <c r="F171" s="1445"/>
      <c r="G171" s="1445"/>
      <c r="H171" s="1445"/>
      <c r="I171" s="1445"/>
      <c r="J171" s="1445"/>
      <c r="K171" s="1445"/>
      <c r="L171" s="1445"/>
      <c r="M171" s="1445"/>
      <c r="N171" s="1445"/>
      <c r="O171" s="1445"/>
      <c r="P171" s="1445"/>
      <c r="Q171" s="1445"/>
      <c r="R171" s="1445"/>
      <c r="S171" s="1445"/>
      <c r="T171" s="1445"/>
      <c r="U171" s="1445"/>
      <c r="V171" s="1445"/>
      <c r="W171" s="1445"/>
      <c r="X171" s="1445"/>
      <c r="Y171" s="1445"/>
      <c r="Z171" s="1445"/>
    </row>
    <row r="172" ht="15.75" customHeight="1">
      <c r="A172" s="1446"/>
      <c r="B172" s="1446"/>
      <c r="C172" s="1446"/>
      <c r="D172" s="1447"/>
      <c r="E172" s="1445"/>
      <c r="F172" s="1445"/>
      <c r="G172" s="1445"/>
      <c r="H172" s="1445"/>
      <c r="I172" s="1445"/>
      <c r="J172" s="1445"/>
      <c r="K172" s="1445"/>
      <c r="L172" s="1445"/>
      <c r="M172" s="1445"/>
      <c r="N172" s="1445"/>
      <c r="O172" s="1445"/>
      <c r="P172" s="1445"/>
      <c r="Q172" s="1445"/>
      <c r="R172" s="1445"/>
      <c r="S172" s="1445"/>
      <c r="T172" s="1445"/>
      <c r="U172" s="1445"/>
      <c r="V172" s="1445"/>
      <c r="W172" s="1445"/>
      <c r="X172" s="1445"/>
      <c r="Y172" s="1445"/>
      <c r="Z172" s="1445"/>
    </row>
    <row r="173" ht="15.75" customHeight="1">
      <c r="A173" s="1446"/>
      <c r="B173" s="1446"/>
      <c r="C173" s="1446"/>
      <c r="D173" s="1447"/>
      <c r="E173" s="1445"/>
      <c r="F173" s="1445"/>
      <c r="G173" s="1445"/>
      <c r="H173" s="1445"/>
      <c r="I173" s="1445"/>
      <c r="J173" s="1445"/>
      <c r="K173" s="1445"/>
      <c r="L173" s="1445"/>
      <c r="M173" s="1445"/>
      <c r="N173" s="1445"/>
      <c r="O173" s="1445"/>
      <c r="P173" s="1445"/>
      <c r="Q173" s="1445"/>
      <c r="R173" s="1445"/>
      <c r="S173" s="1445"/>
      <c r="T173" s="1445"/>
      <c r="U173" s="1445"/>
      <c r="V173" s="1445"/>
      <c r="W173" s="1445"/>
      <c r="X173" s="1445"/>
      <c r="Y173" s="1445"/>
      <c r="Z173" s="1445"/>
    </row>
    <row r="174" ht="15.75" customHeight="1">
      <c r="A174" s="1446"/>
      <c r="B174" s="1446"/>
      <c r="C174" s="1446"/>
      <c r="D174" s="1447"/>
      <c r="E174" s="1445"/>
      <c r="F174" s="1445"/>
      <c r="G174" s="1445"/>
      <c r="H174" s="1445"/>
      <c r="I174" s="1445"/>
      <c r="J174" s="1445"/>
      <c r="K174" s="1445"/>
      <c r="L174" s="1445"/>
      <c r="M174" s="1445"/>
      <c r="N174" s="1445"/>
      <c r="O174" s="1445"/>
      <c r="P174" s="1445"/>
      <c r="Q174" s="1445"/>
      <c r="R174" s="1445"/>
      <c r="S174" s="1445"/>
      <c r="T174" s="1445"/>
      <c r="U174" s="1445"/>
      <c r="V174" s="1445"/>
      <c r="W174" s="1445"/>
      <c r="X174" s="1445"/>
      <c r="Y174" s="1445"/>
      <c r="Z174" s="1445"/>
    </row>
    <row r="175" ht="15.75" customHeight="1">
      <c r="A175" s="1446"/>
      <c r="B175" s="1446"/>
      <c r="C175" s="1446"/>
      <c r="D175" s="1447"/>
      <c r="E175" s="1445"/>
      <c r="F175" s="1445"/>
      <c r="G175" s="1445"/>
      <c r="H175" s="1445"/>
      <c r="I175" s="1445"/>
      <c r="J175" s="1445"/>
      <c r="K175" s="1445"/>
      <c r="L175" s="1445"/>
      <c r="M175" s="1445"/>
      <c r="N175" s="1445"/>
      <c r="O175" s="1445"/>
      <c r="P175" s="1445"/>
      <c r="Q175" s="1445"/>
      <c r="R175" s="1445"/>
      <c r="S175" s="1445"/>
      <c r="T175" s="1445"/>
      <c r="U175" s="1445"/>
      <c r="V175" s="1445"/>
      <c r="W175" s="1445"/>
      <c r="X175" s="1445"/>
      <c r="Y175" s="1445"/>
      <c r="Z175" s="1445"/>
    </row>
    <row r="176" ht="15.75" customHeight="1">
      <c r="A176" s="1446"/>
      <c r="B176" s="1446"/>
      <c r="C176" s="1446"/>
      <c r="D176" s="1447"/>
      <c r="E176" s="1445"/>
      <c r="F176" s="1445"/>
      <c r="G176" s="1445"/>
      <c r="H176" s="1445"/>
      <c r="I176" s="1445"/>
      <c r="J176" s="1445"/>
      <c r="K176" s="1445"/>
      <c r="L176" s="1445"/>
      <c r="M176" s="1445"/>
      <c r="N176" s="1445"/>
      <c r="O176" s="1445"/>
      <c r="P176" s="1445"/>
      <c r="Q176" s="1445"/>
      <c r="R176" s="1445"/>
      <c r="S176" s="1445"/>
      <c r="T176" s="1445"/>
      <c r="U176" s="1445"/>
      <c r="V176" s="1445"/>
      <c r="W176" s="1445"/>
      <c r="X176" s="1445"/>
      <c r="Y176" s="1445"/>
      <c r="Z176" s="1445"/>
    </row>
    <row r="177" ht="15.75" customHeight="1">
      <c r="A177" s="1446"/>
      <c r="B177" s="1446"/>
      <c r="C177" s="1446"/>
      <c r="D177" s="1447"/>
      <c r="E177" s="1445"/>
      <c r="F177" s="1445"/>
      <c r="G177" s="1445"/>
      <c r="H177" s="1445"/>
      <c r="I177" s="1445"/>
      <c r="J177" s="1445"/>
      <c r="K177" s="1445"/>
      <c r="L177" s="1445"/>
      <c r="M177" s="1445"/>
      <c r="N177" s="1445"/>
      <c r="O177" s="1445"/>
      <c r="P177" s="1445"/>
      <c r="Q177" s="1445"/>
      <c r="R177" s="1445"/>
      <c r="S177" s="1445"/>
      <c r="T177" s="1445"/>
      <c r="U177" s="1445"/>
      <c r="V177" s="1445"/>
      <c r="W177" s="1445"/>
      <c r="X177" s="1445"/>
      <c r="Y177" s="1445"/>
      <c r="Z177" s="1445"/>
    </row>
    <row r="178" ht="15.75" customHeight="1">
      <c r="A178" s="1446"/>
      <c r="B178" s="1446"/>
      <c r="C178" s="1446"/>
      <c r="D178" s="1447"/>
      <c r="E178" s="1445"/>
      <c r="F178" s="1445"/>
      <c r="G178" s="1445"/>
      <c r="H178" s="1445"/>
      <c r="I178" s="1445"/>
      <c r="J178" s="1445"/>
      <c r="K178" s="1445"/>
      <c r="L178" s="1445"/>
      <c r="M178" s="1445"/>
      <c r="N178" s="1445"/>
      <c r="O178" s="1445"/>
      <c r="P178" s="1445"/>
      <c r="Q178" s="1445"/>
      <c r="R178" s="1445"/>
      <c r="S178" s="1445"/>
      <c r="T178" s="1445"/>
      <c r="U178" s="1445"/>
      <c r="V178" s="1445"/>
      <c r="W178" s="1445"/>
      <c r="X178" s="1445"/>
      <c r="Y178" s="1445"/>
      <c r="Z178" s="1445"/>
    </row>
    <row r="179" ht="15.75" customHeight="1">
      <c r="A179" s="1446"/>
      <c r="B179" s="1446"/>
      <c r="C179" s="1446"/>
      <c r="D179" s="1447"/>
      <c r="E179" s="1445"/>
      <c r="F179" s="1445"/>
      <c r="G179" s="1445"/>
      <c r="H179" s="1445"/>
      <c r="I179" s="1445"/>
      <c r="J179" s="1445"/>
      <c r="K179" s="1445"/>
      <c r="L179" s="1445"/>
      <c r="M179" s="1445"/>
      <c r="N179" s="1445"/>
      <c r="O179" s="1445"/>
      <c r="P179" s="1445"/>
      <c r="Q179" s="1445"/>
      <c r="R179" s="1445"/>
      <c r="S179" s="1445"/>
      <c r="T179" s="1445"/>
      <c r="U179" s="1445"/>
      <c r="V179" s="1445"/>
      <c r="W179" s="1445"/>
      <c r="X179" s="1445"/>
      <c r="Y179" s="1445"/>
      <c r="Z179" s="1445"/>
    </row>
    <row r="180" ht="15.75" customHeight="1">
      <c r="A180" s="1446"/>
      <c r="B180" s="1446"/>
      <c r="C180" s="1446"/>
      <c r="D180" s="1447"/>
      <c r="E180" s="1445"/>
      <c r="F180" s="1445"/>
      <c r="G180" s="1445"/>
      <c r="H180" s="1445"/>
      <c r="I180" s="1445"/>
      <c r="J180" s="1445"/>
      <c r="K180" s="1445"/>
      <c r="L180" s="1445"/>
      <c r="M180" s="1445"/>
      <c r="N180" s="1445"/>
      <c r="O180" s="1445"/>
      <c r="P180" s="1445"/>
      <c r="Q180" s="1445"/>
      <c r="R180" s="1445"/>
      <c r="S180" s="1445"/>
      <c r="T180" s="1445"/>
      <c r="U180" s="1445"/>
      <c r="V180" s="1445"/>
      <c r="W180" s="1445"/>
      <c r="X180" s="1445"/>
      <c r="Y180" s="1445"/>
      <c r="Z180" s="1445"/>
    </row>
    <row r="181" ht="15.75" customHeight="1">
      <c r="A181" s="1446"/>
      <c r="B181" s="1446"/>
      <c r="C181" s="1446"/>
      <c r="D181" s="1447"/>
      <c r="E181" s="1445"/>
      <c r="F181" s="1445"/>
      <c r="G181" s="1445"/>
      <c r="H181" s="1445"/>
      <c r="I181" s="1445"/>
      <c r="J181" s="1445"/>
      <c r="K181" s="1445"/>
      <c r="L181" s="1445"/>
      <c r="M181" s="1445"/>
      <c r="N181" s="1445"/>
      <c r="O181" s="1445"/>
      <c r="P181" s="1445"/>
      <c r="Q181" s="1445"/>
      <c r="R181" s="1445"/>
      <c r="S181" s="1445"/>
      <c r="T181" s="1445"/>
      <c r="U181" s="1445"/>
      <c r="V181" s="1445"/>
      <c r="W181" s="1445"/>
      <c r="X181" s="1445"/>
      <c r="Y181" s="1445"/>
      <c r="Z181" s="1445"/>
    </row>
    <row r="182" ht="15.75" customHeight="1">
      <c r="A182" s="1446"/>
      <c r="B182" s="1446"/>
      <c r="C182" s="1446"/>
      <c r="D182" s="1447"/>
      <c r="E182" s="1445"/>
      <c r="F182" s="1445"/>
      <c r="G182" s="1445"/>
      <c r="H182" s="1445"/>
      <c r="I182" s="1445"/>
      <c r="J182" s="1445"/>
      <c r="K182" s="1445"/>
      <c r="L182" s="1445"/>
      <c r="M182" s="1445"/>
      <c r="N182" s="1445"/>
      <c r="O182" s="1445"/>
      <c r="P182" s="1445"/>
      <c r="Q182" s="1445"/>
      <c r="R182" s="1445"/>
      <c r="S182" s="1445"/>
      <c r="T182" s="1445"/>
      <c r="U182" s="1445"/>
      <c r="V182" s="1445"/>
      <c r="W182" s="1445"/>
      <c r="X182" s="1445"/>
      <c r="Y182" s="1445"/>
      <c r="Z182" s="1445"/>
    </row>
    <row r="183" ht="15.75" customHeight="1">
      <c r="A183" s="1446"/>
      <c r="B183" s="1446"/>
      <c r="C183" s="1446"/>
      <c r="D183" s="1447"/>
      <c r="E183" s="1445"/>
      <c r="F183" s="1445"/>
      <c r="G183" s="1445"/>
      <c r="H183" s="1445"/>
      <c r="I183" s="1445"/>
      <c r="J183" s="1445"/>
      <c r="K183" s="1445"/>
      <c r="L183" s="1445"/>
      <c r="M183" s="1445"/>
      <c r="N183" s="1445"/>
      <c r="O183" s="1445"/>
      <c r="P183" s="1445"/>
      <c r="Q183" s="1445"/>
      <c r="R183" s="1445"/>
      <c r="S183" s="1445"/>
      <c r="T183" s="1445"/>
      <c r="U183" s="1445"/>
      <c r="V183" s="1445"/>
      <c r="W183" s="1445"/>
      <c r="X183" s="1445"/>
      <c r="Y183" s="1445"/>
      <c r="Z183" s="1445"/>
    </row>
    <row r="184" ht="15.75" customHeight="1">
      <c r="A184" s="1446"/>
      <c r="B184" s="1446"/>
      <c r="C184" s="1446"/>
      <c r="D184" s="1447"/>
      <c r="E184" s="1445"/>
      <c r="F184" s="1445"/>
      <c r="G184" s="1445"/>
      <c r="H184" s="1445"/>
      <c r="I184" s="1445"/>
      <c r="J184" s="1445"/>
      <c r="K184" s="1445"/>
      <c r="L184" s="1445"/>
      <c r="M184" s="1445"/>
      <c r="N184" s="1445"/>
      <c r="O184" s="1445"/>
      <c r="P184" s="1445"/>
      <c r="Q184" s="1445"/>
      <c r="R184" s="1445"/>
      <c r="S184" s="1445"/>
      <c r="T184" s="1445"/>
      <c r="U184" s="1445"/>
      <c r="V184" s="1445"/>
      <c r="W184" s="1445"/>
      <c r="X184" s="1445"/>
      <c r="Y184" s="1445"/>
      <c r="Z184" s="1445"/>
    </row>
    <row r="185" ht="15.75" customHeight="1">
      <c r="A185" s="1446"/>
      <c r="B185" s="1446"/>
      <c r="C185" s="1446"/>
      <c r="D185" s="1447"/>
      <c r="E185" s="1445"/>
      <c r="F185" s="1445"/>
      <c r="G185" s="1445"/>
      <c r="H185" s="1445"/>
      <c r="I185" s="1445"/>
      <c r="J185" s="1445"/>
      <c r="K185" s="1445"/>
      <c r="L185" s="1445"/>
      <c r="M185" s="1445"/>
      <c r="N185" s="1445"/>
      <c r="O185" s="1445"/>
      <c r="P185" s="1445"/>
      <c r="Q185" s="1445"/>
      <c r="R185" s="1445"/>
      <c r="S185" s="1445"/>
      <c r="T185" s="1445"/>
      <c r="U185" s="1445"/>
      <c r="V185" s="1445"/>
      <c r="W185" s="1445"/>
      <c r="X185" s="1445"/>
      <c r="Y185" s="1445"/>
      <c r="Z185" s="1445"/>
    </row>
    <row r="186" ht="15.75" customHeight="1">
      <c r="A186" s="1446"/>
      <c r="B186" s="1446"/>
      <c r="C186" s="1446"/>
      <c r="D186" s="1447"/>
      <c r="E186" s="1445"/>
      <c r="F186" s="1445"/>
      <c r="G186" s="1445"/>
      <c r="H186" s="1445"/>
      <c r="I186" s="1445"/>
      <c r="J186" s="1445"/>
      <c r="K186" s="1445"/>
      <c r="L186" s="1445"/>
      <c r="M186" s="1445"/>
      <c r="N186" s="1445"/>
      <c r="O186" s="1445"/>
      <c r="P186" s="1445"/>
      <c r="Q186" s="1445"/>
      <c r="R186" s="1445"/>
      <c r="S186" s="1445"/>
      <c r="T186" s="1445"/>
      <c r="U186" s="1445"/>
      <c r="V186" s="1445"/>
      <c r="W186" s="1445"/>
      <c r="X186" s="1445"/>
      <c r="Y186" s="1445"/>
      <c r="Z186" s="1445"/>
    </row>
    <row r="187" ht="15.75" customHeight="1">
      <c r="A187" s="1446"/>
      <c r="B187" s="1446"/>
      <c r="C187" s="1446"/>
      <c r="D187" s="1447"/>
      <c r="E187" s="1445"/>
      <c r="F187" s="1445"/>
      <c r="G187" s="1445"/>
      <c r="H187" s="1445"/>
      <c r="I187" s="1445"/>
      <c r="J187" s="1445"/>
      <c r="K187" s="1445"/>
      <c r="L187" s="1445"/>
      <c r="M187" s="1445"/>
      <c r="N187" s="1445"/>
      <c r="O187" s="1445"/>
      <c r="P187" s="1445"/>
      <c r="Q187" s="1445"/>
      <c r="R187" s="1445"/>
      <c r="S187" s="1445"/>
      <c r="T187" s="1445"/>
      <c r="U187" s="1445"/>
      <c r="V187" s="1445"/>
      <c r="W187" s="1445"/>
      <c r="X187" s="1445"/>
      <c r="Y187" s="1445"/>
      <c r="Z187" s="1445"/>
    </row>
    <row r="188" ht="15.75" customHeight="1">
      <c r="A188" s="1446"/>
      <c r="B188" s="1446"/>
      <c r="C188" s="1446"/>
      <c r="D188" s="1447"/>
      <c r="E188" s="1445"/>
      <c r="F188" s="1445"/>
      <c r="G188" s="1445"/>
      <c r="H188" s="1445"/>
      <c r="I188" s="1445"/>
      <c r="J188" s="1445"/>
      <c r="K188" s="1445"/>
      <c r="L188" s="1445"/>
      <c r="M188" s="1445"/>
      <c r="N188" s="1445"/>
      <c r="O188" s="1445"/>
      <c r="P188" s="1445"/>
      <c r="Q188" s="1445"/>
      <c r="R188" s="1445"/>
      <c r="S188" s="1445"/>
      <c r="T188" s="1445"/>
      <c r="U188" s="1445"/>
      <c r="V188" s="1445"/>
      <c r="W188" s="1445"/>
      <c r="X188" s="1445"/>
      <c r="Y188" s="1445"/>
      <c r="Z188" s="1445"/>
    </row>
    <row r="189" ht="15.75" customHeight="1">
      <c r="A189" s="1446"/>
      <c r="B189" s="1446"/>
      <c r="C189" s="1446"/>
      <c r="D189" s="1447"/>
      <c r="E189" s="1445"/>
      <c r="F189" s="1445"/>
      <c r="G189" s="1445"/>
      <c r="H189" s="1445"/>
      <c r="I189" s="1445"/>
      <c r="J189" s="1445"/>
      <c r="K189" s="1445"/>
      <c r="L189" s="1445"/>
      <c r="M189" s="1445"/>
      <c r="N189" s="1445"/>
      <c r="O189" s="1445"/>
      <c r="P189" s="1445"/>
      <c r="Q189" s="1445"/>
      <c r="R189" s="1445"/>
      <c r="S189" s="1445"/>
      <c r="T189" s="1445"/>
      <c r="U189" s="1445"/>
      <c r="V189" s="1445"/>
      <c r="W189" s="1445"/>
      <c r="X189" s="1445"/>
      <c r="Y189" s="1445"/>
      <c r="Z189" s="1445"/>
    </row>
    <row r="190" ht="15.75" customHeight="1">
      <c r="A190" s="1446"/>
      <c r="B190" s="1446"/>
      <c r="C190" s="1446"/>
      <c r="D190" s="1447"/>
      <c r="E190" s="1445"/>
      <c r="F190" s="1445"/>
      <c r="G190" s="1445"/>
      <c r="H190" s="1445"/>
      <c r="I190" s="1445"/>
      <c r="J190" s="1445"/>
      <c r="K190" s="1445"/>
      <c r="L190" s="1445"/>
      <c r="M190" s="1445"/>
      <c r="N190" s="1445"/>
      <c r="O190" s="1445"/>
      <c r="P190" s="1445"/>
      <c r="Q190" s="1445"/>
      <c r="R190" s="1445"/>
      <c r="S190" s="1445"/>
      <c r="T190" s="1445"/>
      <c r="U190" s="1445"/>
      <c r="V190" s="1445"/>
      <c r="W190" s="1445"/>
      <c r="X190" s="1445"/>
      <c r="Y190" s="1445"/>
      <c r="Z190" s="1445"/>
    </row>
    <row r="191" ht="15.75" customHeight="1">
      <c r="A191" s="1446"/>
      <c r="B191" s="1446"/>
      <c r="C191" s="1446"/>
      <c r="D191" s="1447"/>
      <c r="E191" s="1445"/>
      <c r="F191" s="1445"/>
      <c r="G191" s="1445"/>
      <c r="H191" s="1445"/>
      <c r="I191" s="1445"/>
      <c r="J191" s="1445"/>
      <c r="K191" s="1445"/>
      <c r="L191" s="1445"/>
      <c r="M191" s="1445"/>
      <c r="N191" s="1445"/>
      <c r="O191" s="1445"/>
      <c r="P191" s="1445"/>
      <c r="Q191" s="1445"/>
      <c r="R191" s="1445"/>
      <c r="S191" s="1445"/>
      <c r="T191" s="1445"/>
      <c r="U191" s="1445"/>
      <c r="V191" s="1445"/>
      <c r="W191" s="1445"/>
      <c r="X191" s="1445"/>
      <c r="Y191" s="1445"/>
      <c r="Z191" s="1445"/>
    </row>
    <row r="192" ht="15.75" customHeight="1">
      <c r="A192" s="1446"/>
      <c r="B192" s="1446"/>
      <c r="C192" s="1446"/>
      <c r="D192" s="1447"/>
      <c r="E192" s="1445"/>
      <c r="F192" s="1445"/>
      <c r="G192" s="1445"/>
      <c r="H192" s="1445"/>
      <c r="I192" s="1445"/>
      <c r="J192" s="1445"/>
      <c r="K192" s="1445"/>
      <c r="L192" s="1445"/>
      <c r="M192" s="1445"/>
      <c r="N192" s="1445"/>
      <c r="O192" s="1445"/>
      <c r="P192" s="1445"/>
      <c r="Q192" s="1445"/>
      <c r="R192" s="1445"/>
      <c r="S192" s="1445"/>
      <c r="T192" s="1445"/>
      <c r="U192" s="1445"/>
      <c r="V192" s="1445"/>
      <c r="W192" s="1445"/>
      <c r="X192" s="1445"/>
      <c r="Y192" s="1445"/>
      <c r="Z192" s="1445"/>
    </row>
    <row r="193" ht="15.75" customHeight="1">
      <c r="A193" s="1446"/>
      <c r="B193" s="1446"/>
      <c r="C193" s="1446"/>
      <c r="D193" s="1447"/>
      <c r="E193" s="1445"/>
      <c r="F193" s="1445"/>
      <c r="G193" s="1445"/>
      <c r="H193" s="1445"/>
      <c r="I193" s="1445"/>
      <c r="J193" s="1445"/>
      <c r="K193" s="1445"/>
      <c r="L193" s="1445"/>
      <c r="M193" s="1445"/>
      <c r="N193" s="1445"/>
      <c r="O193" s="1445"/>
      <c r="P193" s="1445"/>
      <c r="Q193" s="1445"/>
      <c r="R193" s="1445"/>
      <c r="S193" s="1445"/>
      <c r="T193" s="1445"/>
      <c r="U193" s="1445"/>
      <c r="V193" s="1445"/>
      <c r="W193" s="1445"/>
      <c r="X193" s="1445"/>
      <c r="Y193" s="1445"/>
      <c r="Z193" s="1445"/>
    </row>
    <row r="194" ht="15.75" customHeight="1">
      <c r="A194" s="1446"/>
      <c r="B194" s="1446"/>
      <c r="C194" s="1446"/>
      <c r="D194" s="1447"/>
      <c r="E194" s="1445"/>
      <c r="F194" s="1445"/>
      <c r="G194" s="1445"/>
      <c r="H194" s="1445"/>
      <c r="I194" s="1445"/>
      <c r="J194" s="1445"/>
      <c r="K194" s="1445"/>
      <c r="L194" s="1445"/>
      <c r="M194" s="1445"/>
      <c r="N194" s="1445"/>
      <c r="O194" s="1445"/>
      <c r="P194" s="1445"/>
      <c r="Q194" s="1445"/>
      <c r="R194" s="1445"/>
      <c r="S194" s="1445"/>
      <c r="T194" s="1445"/>
      <c r="U194" s="1445"/>
      <c r="V194" s="1445"/>
      <c r="W194" s="1445"/>
      <c r="X194" s="1445"/>
      <c r="Y194" s="1445"/>
      <c r="Z194" s="1445"/>
    </row>
    <row r="195" ht="15.75" customHeight="1">
      <c r="A195" s="1446"/>
      <c r="B195" s="1446"/>
      <c r="C195" s="1446"/>
      <c r="D195" s="1447"/>
      <c r="E195" s="1445"/>
      <c r="F195" s="1445"/>
      <c r="G195" s="1445"/>
      <c r="H195" s="1445"/>
      <c r="I195" s="1445"/>
      <c r="J195" s="1445"/>
      <c r="K195" s="1445"/>
      <c r="L195" s="1445"/>
      <c r="M195" s="1445"/>
      <c r="N195" s="1445"/>
      <c r="O195" s="1445"/>
      <c r="P195" s="1445"/>
      <c r="Q195" s="1445"/>
      <c r="R195" s="1445"/>
      <c r="S195" s="1445"/>
      <c r="T195" s="1445"/>
      <c r="U195" s="1445"/>
      <c r="V195" s="1445"/>
      <c r="W195" s="1445"/>
      <c r="X195" s="1445"/>
      <c r="Y195" s="1445"/>
      <c r="Z195" s="1445"/>
    </row>
    <row r="196" ht="15.75" customHeight="1">
      <c r="A196" s="1446"/>
      <c r="B196" s="1446"/>
      <c r="C196" s="1446"/>
      <c r="D196" s="1447"/>
      <c r="E196" s="1445"/>
      <c r="F196" s="1445"/>
      <c r="G196" s="1445"/>
      <c r="H196" s="1445"/>
      <c r="I196" s="1445"/>
      <c r="J196" s="1445"/>
      <c r="K196" s="1445"/>
      <c r="L196" s="1445"/>
      <c r="M196" s="1445"/>
      <c r="N196" s="1445"/>
      <c r="O196" s="1445"/>
      <c r="P196" s="1445"/>
      <c r="Q196" s="1445"/>
      <c r="R196" s="1445"/>
      <c r="S196" s="1445"/>
      <c r="T196" s="1445"/>
      <c r="U196" s="1445"/>
      <c r="V196" s="1445"/>
      <c r="W196" s="1445"/>
      <c r="X196" s="1445"/>
      <c r="Y196" s="1445"/>
      <c r="Z196" s="1445"/>
    </row>
    <row r="197" ht="15.75" customHeight="1">
      <c r="A197" s="1446"/>
      <c r="B197" s="1446"/>
      <c r="C197" s="1446"/>
      <c r="D197" s="1447"/>
      <c r="E197" s="1445"/>
      <c r="F197" s="1445"/>
      <c r="G197" s="1445"/>
      <c r="H197" s="1445"/>
      <c r="I197" s="1445"/>
      <c r="J197" s="1445"/>
      <c r="K197" s="1445"/>
      <c r="L197" s="1445"/>
      <c r="M197" s="1445"/>
      <c r="N197" s="1445"/>
      <c r="O197" s="1445"/>
      <c r="P197" s="1445"/>
      <c r="Q197" s="1445"/>
      <c r="R197" s="1445"/>
      <c r="S197" s="1445"/>
      <c r="T197" s="1445"/>
      <c r="U197" s="1445"/>
      <c r="V197" s="1445"/>
      <c r="W197" s="1445"/>
      <c r="X197" s="1445"/>
      <c r="Y197" s="1445"/>
      <c r="Z197" s="1445"/>
    </row>
    <row r="198" ht="15.75" customHeight="1">
      <c r="A198" s="1446"/>
      <c r="B198" s="1446"/>
      <c r="C198" s="1446"/>
      <c r="D198" s="1447"/>
      <c r="E198" s="1445"/>
      <c r="F198" s="1445"/>
      <c r="G198" s="1445"/>
      <c r="H198" s="1445"/>
      <c r="I198" s="1445"/>
      <c r="J198" s="1445"/>
      <c r="K198" s="1445"/>
      <c r="L198" s="1445"/>
      <c r="M198" s="1445"/>
      <c r="N198" s="1445"/>
      <c r="O198" s="1445"/>
      <c r="P198" s="1445"/>
      <c r="Q198" s="1445"/>
      <c r="R198" s="1445"/>
      <c r="S198" s="1445"/>
      <c r="T198" s="1445"/>
      <c r="U198" s="1445"/>
      <c r="V198" s="1445"/>
      <c r="W198" s="1445"/>
      <c r="X198" s="1445"/>
      <c r="Y198" s="1445"/>
      <c r="Z198" s="1445"/>
    </row>
    <row r="199" ht="15.75" customHeight="1">
      <c r="A199" s="1446"/>
      <c r="B199" s="1446"/>
      <c r="C199" s="1446"/>
      <c r="D199" s="1447"/>
      <c r="E199" s="1445"/>
      <c r="F199" s="1445"/>
      <c r="G199" s="1445"/>
      <c r="H199" s="1445"/>
      <c r="I199" s="1445"/>
      <c r="J199" s="1445"/>
      <c r="K199" s="1445"/>
      <c r="L199" s="1445"/>
      <c r="M199" s="1445"/>
      <c r="N199" s="1445"/>
      <c r="O199" s="1445"/>
      <c r="P199" s="1445"/>
      <c r="Q199" s="1445"/>
      <c r="R199" s="1445"/>
      <c r="S199" s="1445"/>
      <c r="T199" s="1445"/>
      <c r="U199" s="1445"/>
      <c r="V199" s="1445"/>
      <c r="W199" s="1445"/>
      <c r="X199" s="1445"/>
      <c r="Y199" s="1445"/>
      <c r="Z199" s="1445"/>
    </row>
    <row r="200" ht="15.75" customHeight="1">
      <c r="A200" s="1446"/>
      <c r="B200" s="1446"/>
      <c r="C200" s="1446"/>
      <c r="D200" s="1447"/>
      <c r="E200" s="1445"/>
      <c r="F200" s="1445"/>
      <c r="G200" s="1445"/>
      <c r="H200" s="1445"/>
      <c r="I200" s="1445"/>
      <c r="J200" s="1445"/>
      <c r="K200" s="1445"/>
      <c r="L200" s="1445"/>
      <c r="M200" s="1445"/>
      <c r="N200" s="1445"/>
      <c r="O200" s="1445"/>
      <c r="P200" s="1445"/>
      <c r="Q200" s="1445"/>
      <c r="R200" s="1445"/>
      <c r="S200" s="1445"/>
      <c r="T200" s="1445"/>
      <c r="U200" s="1445"/>
      <c r="V200" s="1445"/>
      <c r="W200" s="1445"/>
      <c r="X200" s="1445"/>
      <c r="Y200" s="1445"/>
      <c r="Z200" s="1445"/>
    </row>
    <row r="201" ht="15.75" customHeight="1">
      <c r="A201" s="1446"/>
      <c r="B201" s="1446"/>
      <c r="C201" s="1446"/>
      <c r="D201" s="1447"/>
      <c r="E201" s="1445"/>
      <c r="F201" s="1445"/>
      <c r="G201" s="1445"/>
      <c r="H201" s="1445"/>
      <c r="I201" s="1445"/>
      <c r="J201" s="1445"/>
      <c r="K201" s="1445"/>
      <c r="L201" s="1445"/>
      <c r="M201" s="1445"/>
      <c r="N201" s="1445"/>
      <c r="O201" s="1445"/>
      <c r="P201" s="1445"/>
      <c r="Q201" s="1445"/>
      <c r="R201" s="1445"/>
      <c r="S201" s="1445"/>
      <c r="T201" s="1445"/>
      <c r="U201" s="1445"/>
      <c r="V201" s="1445"/>
      <c r="W201" s="1445"/>
      <c r="X201" s="1445"/>
      <c r="Y201" s="1445"/>
      <c r="Z201" s="1445"/>
    </row>
    <row r="202" ht="15.75" customHeight="1">
      <c r="A202" s="1446"/>
      <c r="B202" s="1446"/>
      <c r="C202" s="1446"/>
      <c r="D202" s="1447"/>
      <c r="E202" s="1445"/>
      <c r="F202" s="1445"/>
      <c r="G202" s="1445"/>
      <c r="H202" s="1445"/>
      <c r="I202" s="1445"/>
      <c r="J202" s="1445"/>
      <c r="K202" s="1445"/>
      <c r="L202" s="1445"/>
      <c r="M202" s="1445"/>
      <c r="N202" s="1445"/>
      <c r="O202" s="1445"/>
      <c r="P202" s="1445"/>
      <c r="Q202" s="1445"/>
      <c r="R202" s="1445"/>
      <c r="S202" s="1445"/>
      <c r="T202" s="1445"/>
      <c r="U202" s="1445"/>
      <c r="V202" s="1445"/>
      <c r="W202" s="1445"/>
      <c r="X202" s="1445"/>
      <c r="Y202" s="1445"/>
      <c r="Z202" s="1445"/>
    </row>
    <row r="203" ht="15.75" customHeight="1">
      <c r="A203" s="1446"/>
      <c r="B203" s="1446"/>
      <c r="C203" s="1446"/>
      <c r="D203" s="1447"/>
      <c r="E203" s="1445"/>
      <c r="F203" s="1445"/>
      <c r="G203" s="1445"/>
      <c r="H203" s="1445"/>
      <c r="I203" s="1445"/>
      <c r="J203" s="1445"/>
      <c r="K203" s="1445"/>
      <c r="L203" s="1445"/>
      <c r="M203" s="1445"/>
      <c r="N203" s="1445"/>
      <c r="O203" s="1445"/>
      <c r="P203" s="1445"/>
      <c r="Q203" s="1445"/>
      <c r="R203" s="1445"/>
      <c r="S203" s="1445"/>
      <c r="T203" s="1445"/>
      <c r="U203" s="1445"/>
      <c r="V203" s="1445"/>
      <c r="W203" s="1445"/>
      <c r="X203" s="1445"/>
      <c r="Y203" s="1445"/>
      <c r="Z203" s="1445"/>
    </row>
    <row r="204" ht="15.75" customHeight="1">
      <c r="A204" s="1446"/>
      <c r="B204" s="1446"/>
      <c r="C204" s="1446"/>
      <c r="D204" s="1447"/>
      <c r="E204" s="1445"/>
      <c r="F204" s="1445"/>
      <c r="G204" s="1445"/>
      <c r="H204" s="1445"/>
      <c r="I204" s="1445"/>
      <c r="J204" s="1445"/>
      <c r="K204" s="1445"/>
      <c r="L204" s="1445"/>
      <c r="M204" s="1445"/>
      <c r="N204" s="1445"/>
      <c r="O204" s="1445"/>
      <c r="P204" s="1445"/>
      <c r="Q204" s="1445"/>
      <c r="R204" s="1445"/>
      <c r="S204" s="1445"/>
      <c r="T204" s="1445"/>
      <c r="U204" s="1445"/>
      <c r="V204" s="1445"/>
      <c r="W204" s="1445"/>
      <c r="X204" s="1445"/>
      <c r="Y204" s="1445"/>
      <c r="Z204" s="1445"/>
    </row>
    <row r="205" ht="15.75" customHeight="1">
      <c r="A205" s="1446"/>
      <c r="B205" s="1446"/>
      <c r="C205" s="1446"/>
      <c r="D205" s="1447"/>
      <c r="E205" s="1445"/>
      <c r="F205" s="1445"/>
      <c r="G205" s="1445"/>
      <c r="H205" s="1445"/>
      <c r="I205" s="1445"/>
      <c r="J205" s="1445"/>
      <c r="K205" s="1445"/>
      <c r="L205" s="1445"/>
      <c r="M205" s="1445"/>
      <c r="N205" s="1445"/>
      <c r="O205" s="1445"/>
      <c r="P205" s="1445"/>
      <c r="Q205" s="1445"/>
      <c r="R205" s="1445"/>
      <c r="S205" s="1445"/>
      <c r="T205" s="1445"/>
      <c r="U205" s="1445"/>
      <c r="V205" s="1445"/>
      <c r="W205" s="1445"/>
      <c r="X205" s="1445"/>
      <c r="Y205" s="1445"/>
      <c r="Z205" s="1445"/>
    </row>
    <row r="206" ht="15.75" customHeight="1">
      <c r="A206" s="1446"/>
      <c r="B206" s="1446"/>
      <c r="C206" s="1446"/>
      <c r="D206" s="1447"/>
      <c r="E206" s="1445"/>
      <c r="F206" s="1445"/>
      <c r="G206" s="1445"/>
      <c r="H206" s="1445"/>
      <c r="I206" s="1445"/>
      <c r="J206" s="1445"/>
      <c r="K206" s="1445"/>
      <c r="L206" s="1445"/>
      <c r="M206" s="1445"/>
      <c r="N206" s="1445"/>
      <c r="O206" s="1445"/>
      <c r="P206" s="1445"/>
      <c r="Q206" s="1445"/>
      <c r="R206" s="1445"/>
      <c r="S206" s="1445"/>
      <c r="T206" s="1445"/>
      <c r="U206" s="1445"/>
      <c r="V206" s="1445"/>
      <c r="W206" s="1445"/>
      <c r="X206" s="1445"/>
      <c r="Y206" s="1445"/>
      <c r="Z206" s="1445"/>
    </row>
    <row r="207" ht="15.75" customHeight="1">
      <c r="A207" s="1446"/>
      <c r="B207" s="1446"/>
      <c r="C207" s="1446"/>
      <c r="D207" s="1447"/>
      <c r="E207" s="1445"/>
      <c r="F207" s="1445"/>
      <c r="G207" s="1445"/>
      <c r="H207" s="1445"/>
      <c r="I207" s="1445"/>
      <c r="J207" s="1445"/>
      <c r="K207" s="1445"/>
      <c r="L207" s="1445"/>
      <c r="M207" s="1445"/>
      <c r="N207" s="1445"/>
      <c r="O207" s="1445"/>
      <c r="P207" s="1445"/>
      <c r="Q207" s="1445"/>
      <c r="R207" s="1445"/>
      <c r="S207" s="1445"/>
      <c r="T207" s="1445"/>
      <c r="U207" s="1445"/>
      <c r="V207" s="1445"/>
      <c r="W207" s="1445"/>
      <c r="X207" s="1445"/>
      <c r="Y207" s="1445"/>
      <c r="Z207" s="1445"/>
    </row>
    <row r="208" ht="15.75" customHeight="1">
      <c r="A208" s="1446"/>
      <c r="B208" s="1446"/>
      <c r="C208" s="1446"/>
      <c r="D208" s="1447"/>
      <c r="E208" s="1445"/>
      <c r="F208" s="1445"/>
      <c r="G208" s="1445"/>
      <c r="H208" s="1445"/>
      <c r="I208" s="1445"/>
      <c r="J208" s="1445"/>
      <c r="K208" s="1445"/>
      <c r="L208" s="1445"/>
      <c r="M208" s="1445"/>
      <c r="N208" s="1445"/>
      <c r="O208" s="1445"/>
      <c r="P208" s="1445"/>
      <c r="Q208" s="1445"/>
      <c r="R208" s="1445"/>
      <c r="S208" s="1445"/>
      <c r="T208" s="1445"/>
      <c r="U208" s="1445"/>
      <c r="V208" s="1445"/>
      <c r="W208" s="1445"/>
      <c r="X208" s="1445"/>
      <c r="Y208" s="1445"/>
      <c r="Z208" s="1445"/>
    </row>
    <row r="209" ht="15.75" customHeight="1">
      <c r="A209" s="1446"/>
      <c r="B209" s="1446"/>
      <c r="C209" s="1446"/>
      <c r="D209" s="1447"/>
      <c r="E209" s="1445"/>
      <c r="F209" s="1445"/>
      <c r="G209" s="1445"/>
      <c r="H209" s="1445"/>
      <c r="I209" s="1445"/>
      <c r="J209" s="1445"/>
      <c r="K209" s="1445"/>
      <c r="L209" s="1445"/>
      <c r="M209" s="1445"/>
      <c r="N209" s="1445"/>
      <c r="O209" s="1445"/>
      <c r="P209" s="1445"/>
      <c r="Q209" s="1445"/>
      <c r="R209" s="1445"/>
      <c r="S209" s="1445"/>
      <c r="T209" s="1445"/>
      <c r="U209" s="1445"/>
      <c r="V209" s="1445"/>
      <c r="W209" s="1445"/>
      <c r="X209" s="1445"/>
      <c r="Y209" s="1445"/>
      <c r="Z209" s="1445"/>
    </row>
    <row r="210" ht="15.75" customHeight="1">
      <c r="A210" s="1446"/>
      <c r="B210" s="1446"/>
      <c r="C210" s="1446"/>
      <c r="D210" s="1447"/>
      <c r="E210" s="1445"/>
      <c r="F210" s="1445"/>
      <c r="G210" s="1445"/>
      <c r="H210" s="1445"/>
      <c r="I210" s="1445"/>
      <c r="J210" s="1445"/>
      <c r="K210" s="1445"/>
      <c r="L210" s="1445"/>
      <c r="M210" s="1445"/>
      <c r="N210" s="1445"/>
      <c r="O210" s="1445"/>
      <c r="P210" s="1445"/>
      <c r="Q210" s="1445"/>
      <c r="R210" s="1445"/>
      <c r="S210" s="1445"/>
      <c r="T210" s="1445"/>
      <c r="U210" s="1445"/>
      <c r="V210" s="1445"/>
      <c r="W210" s="1445"/>
      <c r="X210" s="1445"/>
      <c r="Y210" s="1445"/>
      <c r="Z210" s="1445"/>
    </row>
    <row r="211" ht="15.75" customHeight="1">
      <c r="A211" s="1446"/>
      <c r="B211" s="1446"/>
      <c r="C211" s="1446"/>
      <c r="D211" s="1447"/>
      <c r="E211" s="1445"/>
      <c r="F211" s="1445"/>
      <c r="G211" s="1445"/>
      <c r="H211" s="1445"/>
      <c r="I211" s="1445"/>
      <c r="J211" s="1445"/>
      <c r="K211" s="1445"/>
      <c r="L211" s="1445"/>
      <c r="M211" s="1445"/>
      <c r="N211" s="1445"/>
      <c r="O211" s="1445"/>
      <c r="P211" s="1445"/>
      <c r="Q211" s="1445"/>
      <c r="R211" s="1445"/>
      <c r="S211" s="1445"/>
      <c r="T211" s="1445"/>
      <c r="U211" s="1445"/>
      <c r="V211" s="1445"/>
      <c r="W211" s="1445"/>
      <c r="X211" s="1445"/>
      <c r="Y211" s="1445"/>
      <c r="Z211" s="1445"/>
    </row>
    <row r="212" ht="15.75" customHeight="1">
      <c r="A212" s="1446"/>
      <c r="B212" s="1446"/>
      <c r="C212" s="1446"/>
      <c r="D212" s="1447"/>
      <c r="E212" s="1445"/>
      <c r="F212" s="1445"/>
      <c r="G212" s="1445"/>
      <c r="H212" s="1445"/>
      <c r="I212" s="1445"/>
      <c r="J212" s="1445"/>
      <c r="K212" s="1445"/>
      <c r="L212" s="1445"/>
      <c r="M212" s="1445"/>
      <c r="N212" s="1445"/>
      <c r="O212" s="1445"/>
      <c r="P212" s="1445"/>
      <c r="Q212" s="1445"/>
      <c r="R212" s="1445"/>
      <c r="S212" s="1445"/>
      <c r="T212" s="1445"/>
      <c r="U212" s="1445"/>
      <c r="V212" s="1445"/>
      <c r="W212" s="1445"/>
      <c r="X212" s="1445"/>
      <c r="Y212" s="1445"/>
      <c r="Z212" s="1445"/>
    </row>
    <row r="213" ht="15.75" customHeight="1">
      <c r="A213" s="1446"/>
      <c r="B213" s="1446"/>
      <c r="C213" s="1446"/>
      <c r="D213" s="1447"/>
      <c r="E213" s="1445"/>
      <c r="F213" s="1445"/>
      <c r="G213" s="1445"/>
      <c r="H213" s="1445"/>
      <c r="I213" s="1445"/>
      <c r="J213" s="1445"/>
      <c r="K213" s="1445"/>
      <c r="L213" s="1445"/>
      <c r="M213" s="1445"/>
      <c r="N213" s="1445"/>
      <c r="O213" s="1445"/>
      <c r="P213" s="1445"/>
      <c r="Q213" s="1445"/>
      <c r="R213" s="1445"/>
      <c r="S213" s="1445"/>
      <c r="T213" s="1445"/>
      <c r="U213" s="1445"/>
      <c r="V213" s="1445"/>
      <c r="W213" s="1445"/>
      <c r="X213" s="1445"/>
      <c r="Y213" s="1445"/>
      <c r="Z213" s="1445"/>
    </row>
    <row r="214" ht="15.75" customHeight="1">
      <c r="A214" s="1446"/>
      <c r="B214" s="1446"/>
      <c r="C214" s="1446"/>
      <c r="D214" s="1447"/>
      <c r="E214" s="1445"/>
      <c r="F214" s="1445"/>
      <c r="G214" s="1445"/>
      <c r="H214" s="1445"/>
      <c r="I214" s="1445"/>
      <c r="J214" s="1445"/>
      <c r="K214" s="1445"/>
      <c r="L214" s="1445"/>
      <c r="M214" s="1445"/>
      <c r="N214" s="1445"/>
      <c r="O214" s="1445"/>
      <c r="P214" s="1445"/>
      <c r="Q214" s="1445"/>
      <c r="R214" s="1445"/>
      <c r="S214" s="1445"/>
      <c r="T214" s="1445"/>
      <c r="U214" s="1445"/>
      <c r="V214" s="1445"/>
      <c r="W214" s="1445"/>
      <c r="X214" s="1445"/>
      <c r="Y214" s="1445"/>
      <c r="Z214" s="1445"/>
    </row>
    <row r="215" ht="15.75" customHeight="1">
      <c r="A215" s="1446"/>
      <c r="B215" s="1446"/>
      <c r="C215" s="1446"/>
      <c r="D215" s="1447"/>
      <c r="E215" s="1445"/>
      <c r="F215" s="1445"/>
      <c r="G215" s="1445"/>
      <c r="H215" s="1445"/>
      <c r="I215" s="1445"/>
      <c r="J215" s="1445"/>
      <c r="K215" s="1445"/>
      <c r="L215" s="1445"/>
      <c r="M215" s="1445"/>
      <c r="N215" s="1445"/>
      <c r="O215" s="1445"/>
      <c r="P215" s="1445"/>
      <c r="Q215" s="1445"/>
      <c r="R215" s="1445"/>
      <c r="S215" s="1445"/>
      <c r="T215" s="1445"/>
      <c r="U215" s="1445"/>
      <c r="V215" s="1445"/>
      <c r="W215" s="1445"/>
      <c r="X215" s="1445"/>
      <c r="Y215" s="1445"/>
      <c r="Z215" s="1445"/>
    </row>
    <row r="216" ht="15.75" customHeight="1">
      <c r="A216" s="1446"/>
      <c r="B216" s="1446"/>
      <c r="C216" s="1446"/>
      <c r="D216" s="1447"/>
      <c r="E216" s="1445"/>
      <c r="F216" s="1445"/>
      <c r="G216" s="1445"/>
      <c r="H216" s="1445"/>
      <c r="I216" s="1445"/>
      <c r="J216" s="1445"/>
      <c r="K216" s="1445"/>
      <c r="L216" s="1445"/>
      <c r="M216" s="1445"/>
      <c r="N216" s="1445"/>
      <c r="O216" s="1445"/>
      <c r="P216" s="1445"/>
      <c r="Q216" s="1445"/>
      <c r="R216" s="1445"/>
      <c r="S216" s="1445"/>
      <c r="T216" s="1445"/>
      <c r="U216" s="1445"/>
      <c r="V216" s="1445"/>
      <c r="W216" s="1445"/>
      <c r="X216" s="1445"/>
      <c r="Y216" s="1445"/>
      <c r="Z216" s="1445"/>
    </row>
    <row r="217" ht="15.75" customHeight="1">
      <c r="A217" s="1446"/>
      <c r="B217" s="1446"/>
      <c r="C217" s="1446"/>
      <c r="D217" s="1447"/>
      <c r="E217" s="1445"/>
      <c r="F217" s="1445"/>
      <c r="G217" s="1445"/>
      <c r="H217" s="1445"/>
      <c r="I217" s="1445"/>
      <c r="J217" s="1445"/>
      <c r="K217" s="1445"/>
      <c r="L217" s="1445"/>
      <c r="M217" s="1445"/>
      <c r="N217" s="1445"/>
      <c r="O217" s="1445"/>
      <c r="P217" s="1445"/>
      <c r="Q217" s="1445"/>
      <c r="R217" s="1445"/>
      <c r="S217" s="1445"/>
      <c r="T217" s="1445"/>
      <c r="U217" s="1445"/>
      <c r="V217" s="1445"/>
      <c r="W217" s="1445"/>
      <c r="X217" s="1445"/>
      <c r="Y217" s="1445"/>
      <c r="Z217" s="1445"/>
    </row>
    <row r="218" ht="15.75" customHeight="1">
      <c r="A218" s="1446"/>
      <c r="B218" s="1446"/>
      <c r="C218" s="1446"/>
      <c r="D218" s="1447"/>
      <c r="E218" s="1445"/>
      <c r="F218" s="1445"/>
      <c r="G218" s="1445"/>
      <c r="H218" s="1445"/>
      <c r="I218" s="1445"/>
      <c r="J218" s="1445"/>
      <c r="K218" s="1445"/>
      <c r="L218" s="1445"/>
      <c r="M218" s="1445"/>
      <c r="N218" s="1445"/>
      <c r="O218" s="1445"/>
      <c r="P218" s="1445"/>
      <c r="Q218" s="1445"/>
      <c r="R218" s="1445"/>
      <c r="S218" s="1445"/>
      <c r="T218" s="1445"/>
      <c r="U218" s="1445"/>
      <c r="V218" s="1445"/>
      <c r="W218" s="1445"/>
      <c r="X218" s="1445"/>
      <c r="Y218" s="1445"/>
      <c r="Z218" s="1445"/>
    </row>
    <row r="219" ht="15.75" customHeight="1">
      <c r="A219" s="1446"/>
      <c r="B219" s="1446"/>
      <c r="C219" s="1446"/>
      <c r="D219" s="1447"/>
      <c r="E219" s="1445"/>
      <c r="F219" s="1445"/>
      <c r="G219" s="1445"/>
      <c r="H219" s="1445"/>
      <c r="I219" s="1445"/>
      <c r="J219" s="1445"/>
      <c r="K219" s="1445"/>
      <c r="L219" s="1445"/>
      <c r="M219" s="1445"/>
      <c r="N219" s="1445"/>
      <c r="O219" s="1445"/>
      <c r="P219" s="1445"/>
      <c r="Q219" s="1445"/>
      <c r="R219" s="1445"/>
      <c r="S219" s="1445"/>
      <c r="T219" s="1445"/>
      <c r="U219" s="1445"/>
      <c r="V219" s="1445"/>
      <c r="W219" s="1445"/>
      <c r="X219" s="1445"/>
      <c r="Y219" s="1445"/>
      <c r="Z219" s="1445"/>
    </row>
    <row r="220" ht="15.75" customHeight="1">
      <c r="A220" s="1446"/>
      <c r="B220" s="1446"/>
      <c r="C220" s="1446"/>
      <c r="D220" s="1447"/>
      <c r="E220" s="1445"/>
      <c r="F220" s="1445"/>
      <c r="G220" s="1445"/>
      <c r="H220" s="1445"/>
      <c r="I220" s="1445"/>
      <c r="J220" s="1445"/>
      <c r="K220" s="1445"/>
      <c r="L220" s="1445"/>
      <c r="M220" s="1445"/>
      <c r="N220" s="1445"/>
      <c r="O220" s="1445"/>
      <c r="P220" s="1445"/>
      <c r="Q220" s="1445"/>
      <c r="R220" s="1445"/>
      <c r="S220" s="1445"/>
      <c r="T220" s="1445"/>
      <c r="U220" s="1445"/>
      <c r="V220" s="1445"/>
      <c r="W220" s="1445"/>
      <c r="X220" s="1445"/>
      <c r="Y220" s="1445"/>
      <c r="Z220" s="144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B2">
      <formula1>"С 1125,С 1443,С 2756,C 4245,А 4049,D 1321,WS В 503,WS В 212,WS В 1510,WS E 1202,Int 2905,WS F 907,CM 1604,CM 1606,CM 1931,Шар 2505,DL 04-09,DL 14-1214,D 3902,D2 1625,D2 3216,D2 503,WS А 409,WS А 608,WS А 805,WS А 907,WS Е 704,WS Е 804,WS F 1103,Int 2612,M"&amp;"Z 718,MZ 913,MZ 1408,MZ 1416,NW 2-5,NW 3-7,NW 4-9,NW 4-10,NW 10-6,РТ 2704,РТ 2604,ST 1108,ST 1123,DL 14-506,DL 11-1112,DL 14-505,DL 13-206,DL 14-411,DL 7-16,DL 13-703,DL 11-1305,DL 13-709,DL 14-1710,DL 14-305,DL 14-518,DL 14-516,DL 13-1006,DL 13-201,DL 14"&amp;"-501/502,DL 14-1405,TG 195,TG A1,TG A2,TG A3,TG A4,TG A5,TG A6,TG A7,TG A8,TG A9,TG A10,TG B1,TG B2,TG B3,TG B4,TG B5,TG B6,TG B7,TG B8,TG B9,TG B10,TG B11"</formula1>
    </dataValidation>
    <dataValidation type="list" allowBlank="1" showErrorMessage="1" sqref="B3:B103">
      <formula1>"С 1125,С 1443,С 2756,C 4245,А 4049,D 1321,WS В 503,WS В 212,WS В 1510,WS E 1202,Int 2905,WS F 907,CM 1604,CM 1606,CM 1931,Шар 2505,DL 04-09,DL 14-1214,D 3902,D2 1625,D2 3216,D 503"</formula1>
    </dataValidation>
    <dataValidation type="list" allowBlank="1" showErrorMessage="1" sqref="C2:C103">
      <formula1>"Оксана,Даша,Юлия,Светлана,Борис"</formula1>
    </dataValidation>
    <dataValidation type="list" allowBlank="1" showErrorMessage="1" sqref="D2:D103">
      <formula1>"4,3,2,1"</formula1>
    </dataValidation>
    <dataValidation type="list" allowBlank="1" showErrorMessage="1" sqref="A2:A103">
      <formula1>"янв,фев,март,апр,май,июнь,июль,авг,сент,окт,нояб,дек"</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38"/>
    <col customWidth="1" hidden="1" min="2" max="2" width="3.38"/>
    <col customWidth="1" min="3" max="3" width="10.25"/>
    <col customWidth="1" hidden="1" min="4" max="4" width="10.0"/>
    <col customWidth="1" hidden="1" min="5" max="7" width="7.5"/>
    <col customWidth="1" hidden="1" min="8" max="8" width="6.75"/>
    <col customWidth="1" min="9" max="10" width="7.38"/>
    <col customWidth="1" hidden="1" min="11" max="11" width="7.38"/>
    <col customWidth="1" min="12" max="13" width="7.38"/>
    <col customWidth="1" hidden="1" min="14" max="14" width="7.38"/>
    <col customWidth="1" min="15" max="19" width="7.38"/>
    <col customWidth="1" min="20" max="31" width="6.63"/>
  </cols>
  <sheetData>
    <row r="1" ht="18.0" customHeight="1">
      <c r="A1" s="1448"/>
      <c r="B1" s="1449"/>
      <c r="C1" s="1450"/>
      <c r="D1" s="1451" t="s">
        <v>1639</v>
      </c>
      <c r="E1" s="1452">
        <v>4.0</v>
      </c>
      <c r="F1" s="1453"/>
      <c r="G1" s="1454"/>
      <c r="H1" s="1455">
        <v>5.0</v>
      </c>
      <c r="I1" s="864"/>
      <c r="J1" s="865"/>
      <c r="K1" s="1456">
        <v>6.0</v>
      </c>
      <c r="L1" s="864"/>
      <c r="M1" s="865"/>
      <c r="N1" s="1457">
        <v>7.0</v>
      </c>
      <c r="O1" s="864"/>
      <c r="P1" s="865"/>
      <c r="Q1" s="1458">
        <v>8.0</v>
      </c>
      <c r="R1" s="864"/>
      <c r="S1" s="865"/>
      <c r="T1" s="1456">
        <v>9.0</v>
      </c>
      <c r="U1" s="864"/>
      <c r="V1" s="865"/>
      <c r="W1" s="1459">
        <v>10.0</v>
      </c>
      <c r="X1" s="864"/>
      <c r="Y1" s="865"/>
      <c r="Z1" s="1460">
        <v>11.0</v>
      </c>
      <c r="AA1" s="864"/>
      <c r="AB1" s="865"/>
      <c r="AC1" s="1460">
        <v>12.0</v>
      </c>
      <c r="AD1" s="864"/>
      <c r="AE1" s="865"/>
    </row>
    <row r="2" ht="18.75" hidden="1" customHeight="1">
      <c r="A2" s="1461" t="s">
        <v>1516</v>
      </c>
      <c r="B2" s="1462"/>
      <c r="C2" s="1463"/>
      <c r="D2" s="1464" t="s">
        <v>1640</v>
      </c>
      <c r="E2" s="1465">
        <f>SUM(E8:E1001)</f>
        <v>59</v>
      </c>
      <c r="F2" s="1466">
        <f>SUM(F3:F6)</f>
        <v>221</v>
      </c>
      <c r="G2" s="1467">
        <f>AVERAGE(G8:G1001)</f>
        <v>0.2238095238</v>
      </c>
      <c r="H2" s="1468">
        <f>SUM(H8:H1001)</f>
        <v>122</v>
      </c>
      <c r="I2" s="1468">
        <f>SUM(I3:I6)</f>
        <v>258</v>
      </c>
      <c r="J2" s="1469">
        <f>AVERAGE(J8:J1001)</f>
        <v>0.2617394855</v>
      </c>
      <c r="K2" s="1468">
        <f>SUM(K8:K1001)</f>
        <v>239</v>
      </c>
      <c r="L2" s="1468">
        <f>SUM(L3:L6)</f>
        <v>363</v>
      </c>
      <c r="M2" s="1469">
        <f>AVERAGE(M8:M1001)</f>
        <v>0.5256038647</v>
      </c>
      <c r="N2" s="1468">
        <f>SUM(N8:N1001)</f>
        <v>339</v>
      </c>
      <c r="O2" s="1468">
        <f>SUM(O3:O6)</f>
        <v>485</v>
      </c>
      <c r="P2" s="1469">
        <f>AVERAGE(P8:P1001)</f>
        <v>0.776371308</v>
      </c>
      <c r="Q2" s="1468">
        <f>SUM(Q8:Q1001)</f>
        <v>108</v>
      </c>
      <c r="R2" s="1468">
        <f>AVERAGE(R8:R1001)</f>
        <v>7.5875</v>
      </c>
      <c r="S2" s="1469">
        <f t="shared" ref="S2:S6" si="5">R2/30</f>
        <v>0.2529166667</v>
      </c>
      <c r="T2" s="1468">
        <f>SUM(T8:T1001)</f>
        <v>0</v>
      </c>
      <c r="U2" s="1470">
        <f>AVERAGE(U8:U1001)</f>
        <v>0</v>
      </c>
      <c r="V2" s="1469">
        <f t="shared" ref="V2:V6" si="6">U2/30</f>
        <v>0</v>
      </c>
      <c r="W2" s="1471">
        <f>SUM(W8:W1001)</f>
        <v>0</v>
      </c>
      <c r="X2" s="1472">
        <f>AVERAGE(X8:X1001)</f>
        <v>0</v>
      </c>
      <c r="Y2" s="1473">
        <f t="shared" ref="Y2:Y6" si="7">X2/30</f>
        <v>0</v>
      </c>
      <c r="Z2" s="1471">
        <f>SUM(Z8:Z1001)</f>
        <v>0</v>
      </c>
      <c r="AA2" s="1472">
        <f>AVERAGE(AA8:AA1001)</f>
        <v>0</v>
      </c>
      <c r="AB2" s="1474">
        <f t="shared" ref="AB2:AB6" si="8">AA2/30</f>
        <v>0</v>
      </c>
      <c r="AC2" s="1471">
        <f>SUM(AC8:AC1001)</f>
        <v>3</v>
      </c>
      <c r="AD2" s="1472">
        <f>AVERAGE(AD8:AD1001)</f>
        <v>0</v>
      </c>
      <c r="AE2" s="1474">
        <f t="shared" ref="AE2:AE6" si="9">AD2/30</f>
        <v>0</v>
      </c>
    </row>
    <row r="3" ht="18.75" hidden="1" customHeight="1">
      <c r="A3" s="1475" t="s">
        <v>99</v>
      </c>
      <c r="B3" s="1476"/>
      <c r="C3" s="1477">
        <f>SUM(B8:B19)</f>
        <v>12</v>
      </c>
      <c r="D3" s="1478"/>
      <c r="E3" s="1479">
        <f t="shared" ref="E3:F3" si="1">SUMIF($A$8:$A1001,$A3,E$8:E1001)</f>
        <v>11</v>
      </c>
      <c r="F3" s="1480">
        <f t="shared" si="1"/>
        <v>86</v>
      </c>
      <c r="G3" s="1481">
        <f>AVERAGE(G29:G38)</f>
        <v>0.2866666667</v>
      </c>
      <c r="H3" s="1482">
        <f t="shared" ref="H3:I3" si="2">SUMIF($A$8:$A1001,$A3,H$8:H1001)</f>
        <v>25</v>
      </c>
      <c r="I3" s="1482">
        <f t="shared" si="2"/>
        <v>143</v>
      </c>
      <c r="J3" s="1483">
        <f>AVERAGE(J29:J38)</f>
        <v>0.5125448029</v>
      </c>
      <c r="K3" s="1482">
        <f t="shared" ref="K3:L3" si="3">SUMIF($A$8:$A1001,$A3,K$8:K1001)</f>
        <v>40</v>
      </c>
      <c r="L3" s="1482">
        <f t="shared" si="3"/>
        <v>182</v>
      </c>
      <c r="M3" s="1483">
        <f>AVERAGE(M29:M38)</f>
        <v>0.6958333333</v>
      </c>
      <c r="N3" s="1482">
        <f t="shared" ref="N3:O3" si="4">SUMIF($A$8:$A1001,$A3,N$8:N1001)</f>
        <v>33</v>
      </c>
      <c r="O3" s="1482">
        <f t="shared" si="4"/>
        <v>213</v>
      </c>
      <c r="P3" s="1483">
        <f>AVERAGE(P29:P38)</f>
        <v>0.7888888889</v>
      </c>
      <c r="Q3" s="1482">
        <f t="shared" ref="Q3:Q6" si="14">SUMIF($A$8:$A1001,$A3,Q$8:Q1001)</f>
        <v>10</v>
      </c>
      <c r="R3" s="1482">
        <f t="shared" ref="R3:R6" si="15">SUMIF($A$8:$A1001,$A3,R$8:R1001)/Q3</f>
        <v>5.6</v>
      </c>
      <c r="S3" s="1483">
        <f t="shared" si="5"/>
        <v>0.1866666667</v>
      </c>
      <c r="T3" s="1482">
        <f t="shared" ref="T3:T6" si="16">SUMIF($A$8:$A1001,$A3,T$8:T1001)</f>
        <v>0</v>
      </c>
      <c r="U3" s="1480" t="str">
        <f t="shared" ref="U3:U6" si="17">SUMIF($A$8:$A1001,$A3,U$8:U1001)/T3</f>
        <v>#DIV/0!</v>
      </c>
      <c r="V3" s="1483" t="str">
        <f t="shared" si="6"/>
        <v>#DIV/0!</v>
      </c>
      <c r="W3" s="1484">
        <f t="shared" ref="W3:W6" si="18">SUMIF($A$8:$A1001,$A3,W$8:W1001)</f>
        <v>0</v>
      </c>
      <c r="X3" s="1485" t="str">
        <f t="shared" ref="X3:X6" si="19">SUMIF($A$8:$A1001,$A3,X$8:X1001)/W3</f>
        <v>#DIV/0!</v>
      </c>
      <c r="Y3" s="1486" t="str">
        <f t="shared" si="7"/>
        <v>#DIV/0!</v>
      </c>
      <c r="Z3" s="1484">
        <f t="shared" ref="Z3:Z6" si="20">SUMIF($A$8:$A1001,$A3,Z$8:Z1001)</f>
        <v>0</v>
      </c>
      <c r="AA3" s="1485" t="str">
        <f t="shared" ref="AA3:AA6" si="21">SUMIF($A$8:$A1001,$A3,AA$8:AA1001)/Z3</f>
        <v>#DIV/0!</v>
      </c>
      <c r="AB3" s="1486" t="str">
        <f t="shared" si="8"/>
        <v>#DIV/0!</v>
      </c>
      <c r="AC3" s="1484">
        <f t="shared" ref="AC3:AC6" si="22">SUMIF($A$8:$A1001,$A3,AC$8:AC1001)</f>
        <v>1</v>
      </c>
      <c r="AD3" s="1485">
        <f t="shared" ref="AD3:AD6" si="23">SUMIF($A$8:$A1001,$A3,AD$8:AD1001)/AC3</f>
        <v>0</v>
      </c>
      <c r="AE3" s="1486">
        <f t="shared" si="9"/>
        <v>0</v>
      </c>
    </row>
    <row r="4" ht="18.75" hidden="1" customHeight="1">
      <c r="A4" s="1487" t="s">
        <v>177</v>
      </c>
      <c r="B4" s="1488"/>
      <c r="C4" s="1489">
        <f>SUM(B20:B38)</f>
        <v>19</v>
      </c>
      <c r="D4" s="1490"/>
      <c r="E4" s="1491">
        <f t="shared" ref="E4:F4" si="10">SUMIF($A$8:$A1001,$A4,E$8:E1001)</f>
        <v>2</v>
      </c>
      <c r="F4" s="1492">
        <f t="shared" si="10"/>
        <v>60</v>
      </c>
      <c r="G4" s="1493">
        <f>AVERAGE(G8:G28)</f>
        <v>0.546031746</v>
      </c>
      <c r="H4" s="1494">
        <f t="shared" ref="H4:I4" si="11">SUMIF($A$8:$A1001,$A4,H$8:H1001)</f>
        <v>0</v>
      </c>
      <c r="I4" s="1494">
        <f t="shared" si="11"/>
        <v>0</v>
      </c>
      <c r="J4" s="1495">
        <f>AVERAGE(J8:J28)</f>
        <v>0.4723502304</v>
      </c>
      <c r="K4" s="1494">
        <f t="shared" ref="K4:L4" si="12">SUMIF($A$8:$A1001,$A4,K$8:K1001)</f>
        <v>0</v>
      </c>
      <c r="L4" s="1494">
        <f t="shared" si="12"/>
        <v>0</v>
      </c>
      <c r="M4" s="1496">
        <f>AVERAGE(M8:M28)</f>
        <v>0.7461538462</v>
      </c>
      <c r="N4" s="1494">
        <f t="shared" ref="N4:O4" si="13">SUMIF($A$8:$A1001,$A4,N$8:N1001)</f>
        <v>0</v>
      </c>
      <c r="O4" s="1494">
        <f t="shared" si="13"/>
        <v>0</v>
      </c>
      <c r="P4" s="1495">
        <f>AVERAGE(P8:P28)</f>
        <v>0.8333333333</v>
      </c>
      <c r="Q4" s="1494">
        <f t="shared" si="14"/>
        <v>0</v>
      </c>
      <c r="R4" s="1494" t="str">
        <f t="shared" si="15"/>
        <v>#DIV/0!</v>
      </c>
      <c r="S4" s="1495" t="str">
        <f t="shared" si="5"/>
        <v>#DIV/0!</v>
      </c>
      <c r="T4" s="1494">
        <f t="shared" si="16"/>
        <v>0</v>
      </c>
      <c r="U4" s="1492" t="str">
        <f t="shared" si="17"/>
        <v>#DIV/0!</v>
      </c>
      <c r="V4" s="1495" t="str">
        <f t="shared" si="6"/>
        <v>#DIV/0!</v>
      </c>
      <c r="W4" s="1497">
        <f t="shared" si="18"/>
        <v>0</v>
      </c>
      <c r="X4" s="1498" t="str">
        <f t="shared" si="19"/>
        <v>#DIV/0!</v>
      </c>
      <c r="Y4" s="1499" t="str">
        <f t="shared" si="7"/>
        <v>#DIV/0!</v>
      </c>
      <c r="Z4" s="1497">
        <f t="shared" si="20"/>
        <v>0</v>
      </c>
      <c r="AA4" s="1498" t="str">
        <f t="shared" si="21"/>
        <v>#DIV/0!</v>
      </c>
      <c r="AB4" s="1499" t="str">
        <f t="shared" si="8"/>
        <v>#DIV/0!</v>
      </c>
      <c r="AC4" s="1497">
        <f t="shared" si="22"/>
        <v>0</v>
      </c>
      <c r="AD4" s="1498" t="str">
        <f t="shared" si="23"/>
        <v>#DIV/0!</v>
      </c>
      <c r="AE4" s="1499" t="str">
        <f t="shared" si="9"/>
        <v>#DIV/0!</v>
      </c>
    </row>
    <row r="5" ht="18.75" hidden="1" customHeight="1">
      <c r="A5" s="1500" t="s">
        <v>146</v>
      </c>
      <c r="B5" s="1501"/>
      <c r="C5" s="1502">
        <f>SUM(B40:B48,B58:B61)</f>
        <v>11</v>
      </c>
      <c r="D5" s="1503"/>
      <c r="E5" s="1504">
        <f t="shared" ref="E5:F5" si="24">SUMIF($A$8:$A1001,$A5,E$8:E1001)</f>
        <v>13</v>
      </c>
      <c r="F5" s="1505">
        <f t="shared" si="24"/>
        <v>75</v>
      </c>
      <c r="G5" s="1506">
        <f>AVERAGE(G40:G59)</f>
        <v>0.2645833333</v>
      </c>
      <c r="H5" s="1507">
        <f t="shared" ref="H5:I5" si="25">SUMIF($A$8:$A1001,$A5,H$8:H1001)</f>
        <v>21</v>
      </c>
      <c r="I5" s="1507">
        <f t="shared" si="25"/>
        <v>85</v>
      </c>
      <c r="J5" s="1508">
        <f>AVERAGE(J40:J59)</f>
        <v>0.4274193548</v>
      </c>
      <c r="K5" s="1507">
        <f t="shared" ref="K5:L5" si="26">SUMIF($A$8:$A1001,$A5,K$8:K1001)</f>
        <v>29</v>
      </c>
      <c r="L5" s="1507">
        <f t="shared" si="26"/>
        <v>102</v>
      </c>
      <c r="M5" s="1508">
        <f>AVERAGE(M40:M59)</f>
        <v>0.7259259259</v>
      </c>
      <c r="N5" s="1507">
        <f t="shared" ref="N5:O5" si="27">SUMIF($A$8:$A1001,$A5,N$8:N1001)</f>
        <v>24</v>
      </c>
      <c r="O5" s="1507">
        <f t="shared" si="27"/>
        <v>128</v>
      </c>
      <c r="P5" s="1508">
        <f>AVERAGE(P40:P59)</f>
        <v>0.7854166667</v>
      </c>
      <c r="Q5" s="1507">
        <f t="shared" si="14"/>
        <v>8</v>
      </c>
      <c r="R5" s="1507">
        <f t="shared" si="15"/>
        <v>3.125</v>
      </c>
      <c r="S5" s="1508">
        <f t="shared" si="5"/>
        <v>0.1041666667</v>
      </c>
      <c r="T5" s="1507">
        <f t="shared" si="16"/>
        <v>0</v>
      </c>
      <c r="U5" s="1505" t="str">
        <f t="shared" si="17"/>
        <v>#DIV/0!</v>
      </c>
      <c r="V5" s="1508" t="str">
        <f t="shared" si="6"/>
        <v>#DIV/0!</v>
      </c>
      <c r="W5" s="1509">
        <f t="shared" si="18"/>
        <v>0</v>
      </c>
      <c r="X5" s="1510" t="str">
        <f t="shared" si="19"/>
        <v>#DIV/0!</v>
      </c>
      <c r="Y5" s="1511" t="str">
        <f t="shared" si="7"/>
        <v>#DIV/0!</v>
      </c>
      <c r="Z5" s="1509">
        <f t="shared" si="20"/>
        <v>0</v>
      </c>
      <c r="AA5" s="1510" t="str">
        <f t="shared" si="21"/>
        <v>#DIV/0!</v>
      </c>
      <c r="AB5" s="1511" t="str">
        <f t="shared" si="8"/>
        <v>#DIV/0!</v>
      </c>
      <c r="AC5" s="1509">
        <f t="shared" si="22"/>
        <v>1</v>
      </c>
      <c r="AD5" s="1510">
        <f t="shared" si="23"/>
        <v>0</v>
      </c>
      <c r="AE5" s="1511">
        <f t="shared" si="9"/>
        <v>0</v>
      </c>
    </row>
    <row r="6" ht="18.75" hidden="1" customHeight="1">
      <c r="A6" s="1512" t="s">
        <v>58</v>
      </c>
      <c r="B6" s="1513"/>
      <c r="C6" s="1514">
        <f>SUM(B62:B75)</f>
        <v>14</v>
      </c>
      <c r="D6" s="1515"/>
      <c r="E6" s="1516">
        <f t="shared" ref="E6:F6" si="28">SUMIF($A$8:$A1001,$A6,E$8:E1001)</f>
        <v>0</v>
      </c>
      <c r="F6" s="1517">
        <f t="shared" si="28"/>
        <v>0</v>
      </c>
      <c r="G6" s="1518">
        <f>AVERAGE(G60:G99)</f>
        <v>0.006306306306</v>
      </c>
      <c r="H6" s="1519">
        <f t="shared" ref="H6:I6" si="29">SUMIF($A$8:$A1001,$A6,H$8:H1001)</f>
        <v>8</v>
      </c>
      <c r="I6" s="1519">
        <f t="shared" si="29"/>
        <v>30</v>
      </c>
      <c r="J6" s="1520">
        <f>AVERAGE(J60:J99)</f>
        <v>0.06532258065</v>
      </c>
      <c r="K6" s="1521">
        <f t="shared" ref="K6:L6" si="30">SUMIF($A$8:$A1001,$A6,K$8:K1001)</f>
        <v>17</v>
      </c>
      <c r="L6" s="1519">
        <f t="shared" si="30"/>
        <v>79</v>
      </c>
      <c r="M6" s="1520">
        <f>AVERAGE(M60:M99)</f>
        <v>0.3709401709</v>
      </c>
      <c r="N6" s="1519">
        <f t="shared" ref="N6:O6" si="31">SUMIF($A$8:$A1001,$A6,N$8:N1001)</f>
        <v>30</v>
      </c>
      <c r="O6" s="1519">
        <f t="shared" si="31"/>
        <v>144</v>
      </c>
      <c r="P6" s="1520">
        <f>AVERAGE(P60:P99)</f>
        <v>0.75</v>
      </c>
      <c r="Q6" s="1519">
        <f t="shared" si="14"/>
        <v>8</v>
      </c>
      <c r="R6" s="1519">
        <f t="shared" si="15"/>
        <v>9.625</v>
      </c>
      <c r="S6" s="1520">
        <f t="shared" si="5"/>
        <v>0.3208333333</v>
      </c>
      <c r="T6" s="1519">
        <f t="shared" si="16"/>
        <v>0</v>
      </c>
      <c r="U6" s="1517" t="str">
        <f t="shared" si="17"/>
        <v>#DIV/0!</v>
      </c>
      <c r="V6" s="1520" t="str">
        <f t="shared" si="6"/>
        <v>#DIV/0!</v>
      </c>
      <c r="W6" s="1522">
        <f t="shared" si="18"/>
        <v>0</v>
      </c>
      <c r="X6" s="1523" t="str">
        <f t="shared" si="19"/>
        <v>#DIV/0!</v>
      </c>
      <c r="Y6" s="1524" t="str">
        <f t="shared" si="7"/>
        <v>#DIV/0!</v>
      </c>
      <c r="Z6" s="1522">
        <f t="shared" si="20"/>
        <v>0</v>
      </c>
      <c r="AA6" s="1523" t="str">
        <f t="shared" si="21"/>
        <v>#DIV/0!</v>
      </c>
      <c r="AB6" s="1524" t="str">
        <f t="shared" si="8"/>
        <v>#DIV/0!</v>
      </c>
      <c r="AC6" s="1522">
        <f t="shared" si="22"/>
        <v>0</v>
      </c>
      <c r="AD6" s="1523" t="str">
        <f t="shared" si="23"/>
        <v>#DIV/0!</v>
      </c>
      <c r="AE6" s="1524" t="str">
        <f t="shared" si="9"/>
        <v>#DIV/0!</v>
      </c>
    </row>
    <row r="7" ht="25.5" customHeight="1">
      <c r="A7" s="1525"/>
      <c r="B7" s="1526"/>
      <c r="C7" s="1527" t="s">
        <v>303</v>
      </c>
      <c r="D7" s="1528" t="s">
        <v>305</v>
      </c>
      <c r="E7" s="1529" t="s">
        <v>1519</v>
      </c>
      <c r="F7" s="1530" t="s">
        <v>1641</v>
      </c>
      <c r="G7" s="1531" t="s">
        <v>1642</v>
      </c>
      <c r="H7" s="1532" t="s">
        <v>1519</v>
      </c>
      <c r="I7" s="1533" t="s">
        <v>1641</v>
      </c>
      <c r="J7" s="1534" t="s">
        <v>1642</v>
      </c>
      <c r="K7" s="1535" t="s">
        <v>1519</v>
      </c>
      <c r="L7" s="1533" t="s">
        <v>1641</v>
      </c>
      <c r="M7" s="1534" t="s">
        <v>1642</v>
      </c>
      <c r="N7" s="1535" t="s">
        <v>1519</v>
      </c>
      <c r="O7" s="1533" t="s">
        <v>1641</v>
      </c>
      <c r="P7" s="1534" t="s">
        <v>1642</v>
      </c>
      <c r="Q7" s="1535" t="s">
        <v>1519</v>
      </c>
      <c r="R7" s="1536" t="s">
        <v>1641</v>
      </c>
      <c r="S7" s="1534" t="s">
        <v>1642</v>
      </c>
      <c r="T7" s="1537" t="s">
        <v>1519</v>
      </c>
      <c r="U7" s="1538" t="s">
        <v>1641</v>
      </c>
      <c r="V7" s="1534" t="s">
        <v>1642</v>
      </c>
      <c r="W7" s="1539" t="s">
        <v>1519</v>
      </c>
      <c r="X7" s="1540" t="s">
        <v>1641</v>
      </c>
      <c r="Y7" s="1541" t="s">
        <v>1642</v>
      </c>
      <c r="Z7" s="1542" t="s">
        <v>1519</v>
      </c>
      <c r="AA7" s="1540" t="s">
        <v>1641</v>
      </c>
      <c r="AB7" s="1541" t="s">
        <v>1642</v>
      </c>
      <c r="AC7" s="1542" t="s">
        <v>1519</v>
      </c>
      <c r="AD7" s="1540" t="s">
        <v>1641</v>
      </c>
      <c r="AE7" s="1541" t="s">
        <v>1642</v>
      </c>
    </row>
    <row r="8" ht="17.25" customHeight="1">
      <c r="A8" s="1543" t="str">
        <f>'1. Справочник'!B2</f>
        <v>Марина</v>
      </c>
      <c r="B8" s="1544">
        <v>1.0</v>
      </c>
      <c r="C8" s="1545" t="str">
        <f>'1. Справочник'!C2</f>
        <v>WS В 503</v>
      </c>
      <c r="D8" s="1546" t="s">
        <v>321</v>
      </c>
      <c r="E8" s="1547">
        <v>1.0</v>
      </c>
      <c r="F8" s="1547">
        <v>30.0</v>
      </c>
      <c r="G8" s="1548">
        <f t="shared" ref="G8:G38" si="32">F8/30</f>
        <v>1</v>
      </c>
      <c r="H8" s="1549">
        <f>COUNTIFS('Лист15'!$H$1:$H1001,$H$1,'Лист15'!$A$1:$A1001,$C8)</f>
        <v>1</v>
      </c>
      <c r="I8" s="1550">
        <f>SUMIFS('Лист15'!$G$1:$G1001,'Лист15'!$H$1:$H1001,$H$1,'Лист15'!$A$1:$A1001,$C8)</f>
        <v>5</v>
      </c>
      <c r="J8" s="1551">
        <f t="shared" ref="J8:J11" si="33">I8/31</f>
        <v>0.1612903226</v>
      </c>
      <c r="K8" s="1547">
        <f>COUNTIFS('Лист15'!$H$1:$H1001,$K$1,'Лист15'!$A$1:$A1001,$C8)</f>
        <v>6</v>
      </c>
      <c r="L8" s="1550">
        <f>SUMIFS('Лист15'!$G$1:$G1001,'Лист15'!$H$1:$H1001,$K$1,'Лист15'!$A$1:$A1001,$C8)</f>
        <v>25</v>
      </c>
      <c r="M8" s="1551">
        <f t="shared" ref="M8:M11" si="34">L8/30</f>
        <v>0.8333333333</v>
      </c>
      <c r="N8" s="1547">
        <f>COUNTIFS('Лист15'!$H$1:$H1001,$N$1,'Лист15'!$A$1:$A1001,$C8)</f>
        <v>5</v>
      </c>
      <c r="O8" s="1550">
        <f>SUMIFS('Лист15'!$G$1:$G1001,'Лист15'!$H$1:$H1001,$N$1,'Лист15'!$A$1:$A1001,$C8)</f>
        <v>22</v>
      </c>
      <c r="P8" s="1552">
        <f t="shared" ref="P8:P11" si="35">O8/30</f>
        <v>0.7333333333</v>
      </c>
      <c r="Q8" s="1547">
        <f>COUNTIFS('Лист15'!$H$1:$H1001,$Q$1,'Лист15'!$A$1:$A1001,$C8)</f>
        <v>1</v>
      </c>
      <c r="R8" s="1550">
        <f>SUMIFS('Лист15'!$G$1:$G1001,'Лист15'!$H$1:$H1001,$Q$1,'Лист15'!$A$1:$A1001,$C8)</f>
        <v>14</v>
      </c>
      <c r="S8" s="1552">
        <f t="shared" ref="S8:S11" si="36">R8/30</f>
        <v>0.4666666667</v>
      </c>
      <c r="T8" s="1547">
        <f>COUNTIFS('Лист15'!$H$1:$H1001,$T$1,'Лист15'!$A$1:$A1001,$C8)</f>
        <v>0</v>
      </c>
      <c r="U8" s="1550">
        <f>SUMIFS('Лист15'!$G$1:$G1001,'Лист15'!$H$1:$H1001,$T$1,'Лист15'!$A$1:$A1001,$C8)</f>
        <v>0</v>
      </c>
      <c r="V8" s="1553">
        <f t="shared" ref="V8:V11" si="37">U8/30</f>
        <v>0</v>
      </c>
      <c r="W8" s="1554">
        <f>COUNTIFS('Лист15'!$H$1:$H1001,$W$1,'Лист15'!$A$1:$A1001,$C8)</f>
        <v>0</v>
      </c>
      <c r="X8" s="1555">
        <f>SUMIFS('Лист15'!$G$1:$G1001,'Лист15'!$H$1:$H1001,$W$1,'Лист15'!$A$1:$A1001,$C8)</f>
        <v>0</v>
      </c>
      <c r="Y8" s="1556">
        <f t="shared" ref="Y8:Y11" si="38">X8/30</f>
        <v>0</v>
      </c>
      <c r="Z8" s="1554">
        <f>COUNTIFS('Лист15'!$H$1:$H1001,$Z$1,'Лист15'!$A$1:$A1001,$C8)</f>
        <v>0</v>
      </c>
      <c r="AA8" s="1555">
        <f>SUMIFS('Лист15'!$G$1:$G1001,'Лист15'!$H$1:$H1001,$Z$1,'Лист15'!$A$1:$A1001,$C8)</f>
        <v>0</v>
      </c>
      <c r="AB8" s="1556">
        <f t="shared" ref="AB8:AB11" si="39">AA8/30</f>
        <v>0</v>
      </c>
      <c r="AC8" s="1554">
        <f>COUNTIFS('Лист15'!$H$1:$H1001,$AC$1,'Лист15'!$A$1:$A1001,$C8)</f>
        <v>0</v>
      </c>
      <c r="AD8" s="1555">
        <f>SUMIFS('Лист15'!$G$1:$G1001,'Лист15'!$H$1:$H1001,$AC$1,'Лист15'!$A$1:$A1001,$C8)</f>
        <v>0</v>
      </c>
      <c r="AE8" s="1556">
        <f t="shared" ref="AE8:AE11" si="40">AD8/30</f>
        <v>0</v>
      </c>
    </row>
    <row r="9" ht="17.25" customHeight="1">
      <c r="A9" s="1557" t="str">
        <f>'1. Справочник'!B3</f>
        <v>Марина</v>
      </c>
      <c r="B9" s="1558">
        <v>1.0</v>
      </c>
      <c r="C9" s="1559" t="str">
        <f>'1. Справочник'!C3</f>
        <v>WS F 907</v>
      </c>
      <c r="D9" s="1560" t="s">
        <v>321</v>
      </c>
      <c r="E9" s="1561">
        <f>COUNTIFS('Лист15'!$H$1:$H1001,$E$1,'Лист15'!$A$1:$A1001,$C9)</f>
        <v>3</v>
      </c>
      <c r="F9" s="1561">
        <f>SUMIFS('Лист15'!$G$1:$G1001,'Лист15'!$H$1:$H1001,$E$1,'Лист15'!$A$1:$A1001,$C9)</f>
        <v>9</v>
      </c>
      <c r="G9" s="1562">
        <f t="shared" si="32"/>
        <v>0.3</v>
      </c>
      <c r="H9" s="1563">
        <f>COUNTIFS('Лист15'!$H$1:$H1001,$H$1,'Лист15'!$A$1:$A1001,$C9)</f>
        <v>4</v>
      </c>
      <c r="I9" s="1564">
        <f>SUMIFS('Лист15'!$G$1:$G1001,'Лист15'!$H$1:$H1001,$H$1,'Лист15'!$A$1:$A1001,$C9)</f>
        <v>25</v>
      </c>
      <c r="J9" s="1565">
        <f t="shared" si="33"/>
        <v>0.8064516129</v>
      </c>
      <c r="K9" s="1561">
        <f>COUNTIFS('Лист15'!$H$1:$H1001,$K$1,'Лист15'!$A$1:$A1001,$C9)</f>
        <v>3</v>
      </c>
      <c r="L9" s="1564">
        <f>SUMIFS('Лист15'!$G$1:$G1001,'Лист15'!$H$1:$H1001,$K$1,'Лист15'!$A$1:$A1001,$C9)</f>
        <v>14</v>
      </c>
      <c r="M9" s="1565">
        <f t="shared" si="34"/>
        <v>0.4666666667</v>
      </c>
      <c r="N9" s="1561">
        <f>COUNTIFS('Лист15'!$H$1:$H1001,$N$1,'Лист15'!$A$1:$A1001,$C9)</f>
        <v>3</v>
      </c>
      <c r="O9" s="1564">
        <f>SUMIFS('Лист15'!$G$1:$G1001,'Лист15'!$H$1:$H1001,$N$1,'Лист15'!$A$1:$A1001,$C9)</f>
        <v>20</v>
      </c>
      <c r="P9" s="1566">
        <f t="shared" si="35"/>
        <v>0.6666666667</v>
      </c>
      <c r="Q9" s="1561">
        <f>COUNTIFS('Лист15'!$H$1:$H1001,$Q$1,'Лист15'!$A$1:$A1001,$C9)</f>
        <v>1</v>
      </c>
      <c r="R9" s="1564">
        <f>SUMIFS('Лист15'!$G$1:$G1001,'Лист15'!$H$1:$H1001,$Q$1,'Лист15'!$A$1:$A1001,$C9)</f>
        <v>3</v>
      </c>
      <c r="S9" s="1566">
        <f t="shared" si="36"/>
        <v>0.1</v>
      </c>
      <c r="T9" s="1561">
        <f>COUNTIFS('Лист15'!$H$1:$H1001,$T$1,'Лист15'!$A$1:$A1001,$C9)</f>
        <v>0</v>
      </c>
      <c r="U9" s="1564">
        <f>SUMIFS('Лист15'!$G$1:$G1001,'Лист15'!$H$1:$H1001,$T$1,'Лист15'!$A$1:$A1001,$C9)</f>
        <v>0</v>
      </c>
      <c r="V9" s="1567">
        <f t="shared" si="37"/>
        <v>0</v>
      </c>
      <c r="W9" s="1568">
        <f>COUNTIFS('Лист15'!$H$1:$H1001,$W$1,'Лист15'!$A$1:$A1001,$C9)</f>
        <v>0</v>
      </c>
      <c r="X9" s="1569">
        <f>SUMIFS('Лист15'!$G$1:$G1001,'Лист15'!$H$1:$H1001,$W$1,'Лист15'!$A$1:$A1001,$C9)</f>
        <v>0</v>
      </c>
      <c r="Y9" s="1570">
        <f t="shared" si="38"/>
        <v>0</v>
      </c>
      <c r="Z9" s="1568">
        <f>COUNTIFS('Лист15'!$H$1:$H1001,$Z$1,'Лист15'!$A$1:$A1001,$C9)</f>
        <v>0</v>
      </c>
      <c r="AA9" s="1569">
        <f>SUMIFS('Лист15'!$G$1:$G1001,'Лист15'!$H$1:$H1001,$Z$1,'Лист15'!$A$1:$A1001,$C9)</f>
        <v>0</v>
      </c>
      <c r="AB9" s="1570">
        <f t="shared" si="39"/>
        <v>0</v>
      </c>
      <c r="AC9" s="1568">
        <f>COUNTIFS('Лист15'!$H$1:$H1001,$AC$1,'Лист15'!$A$1:$A1001,$C9)</f>
        <v>0</v>
      </c>
      <c r="AD9" s="1569">
        <f>SUMIFS('Лист15'!$G$1:$G1001,'Лист15'!$H$1:$H1001,$AC$1,'Лист15'!$A$1:$A1001,$C9)</f>
        <v>0</v>
      </c>
      <c r="AE9" s="1570">
        <f t="shared" si="40"/>
        <v>0</v>
      </c>
    </row>
    <row r="10" ht="17.25" customHeight="1">
      <c r="A10" s="1557" t="str">
        <f>'1. Справочник'!B3</f>
        <v>Марина</v>
      </c>
      <c r="B10" s="1558">
        <v>1.0</v>
      </c>
      <c r="C10" s="1559" t="str">
        <f>'1. Справочник'!C4</f>
        <v>WS В 212</v>
      </c>
      <c r="D10" s="1560" t="s">
        <v>321</v>
      </c>
      <c r="E10" s="1561">
        <f>COUNTIFS('Лист15'!$H$1:$H1001,$E$1,'Лист15'!$A$1:$A1001,$C10)</f>
        <v>4</v>
      </c>
      <c r="F10" s="1561">
        <f>SUMIFS('Лист15'!$G$1:$G1001,'Лист15'!$H$1:$H1001,$E$1,'Лист15'!$A$1:$A1001,$C10)</f>
        <v>23</v>
      </c>
      <c r="G10" s="1562">
        <f t="shared" si="32"/>
        <v>0.7666666667</v>
      </c>
      <c r="H10" s="1563">
        <f>COUNTIFS('Лист15'!$H$1:$H1001,$H$1,'Лист15'!$A$1:$A1001,$C10)</f>
        <v>4</v>
      </c>
      <c r="I10" s="1564">
        <f>SUMIFS('Лист15'!$G$1:$G1001,'Лист15'!$H$1:$H1001,$H$1,'Лист15'!$A$1:$A1001,$C10)</f>
        <v>15</v>
      </c>
      <c r="J10" s="1565">
        <f t="shared" si="33"/>
        <v>0.4838709677</v>
      </c>
      <c r="K10" s="1561">
        <f>COUNTIFS('Лист15'!$H$1:$H1001,$K$1,'Лист15'!$A$1:$A1001,$C10)</f>
        <v>2</v>
      </c>
      <c r="L10" s="1564">
        <f>SUMIFS('Лист15'!$G$1:$G1001,'Лист15'!$H$1:$H1001,$K$1,'Лист15'!$A$1:$A1001,$C10)</f>
        <v>21</v>
      </c>
      <c r="M10" s="1571">
        <f t="shared" si="34"/>
        <v>0.7</v>
      </c>
      <c r="N10" s="1561">
        <f>COUNTIFS('Лист15'!$H$1:$H1001,$N$1,'Лист15'!$A$1:$A1001,$C10)</f>
        <v>5</v>
      </c>
      <c r="O10" s="1564">
        <f>SUMIFS('Лист15'!$G$1:$G1001,'Лист15'!$H$1:$H1001,$N$1,'Лист15'!$A$1:$A1001,$C10)</f>
        <v>18</v>
      </c>
      <c r="P10" s="1566">
        <f t="shared" si="35"/>
        <v>0.6</v>
      </c>
      <c r="Q10" s="1561">
        <f>COUNTIFS('Лист15'!$H$1:$H1001,$Q$1,'Лист15'!$A$1:$A1001,$C10)</f>
        <v>4</v>
      </c>
      <c r="R10" s="1564">
        <f>SUMIFS('Лист15'!$G$1:$G1001,'Лист15'!$H$1:$H1001,$Q$1,'Лист15'!$A$1:$A1001,$C10)</f>
        <v>14</v>
      </c>
      <c r="S10" s="1566">
        <f t="shared" si="36"/>
        <v>0.4666666667</v>
      </c>
      <c r="T10" s="1561">
        <f>COUNTIFS('Лист15'!$H$1:$H1001,$T$1,'Лист15'!$A$1:$A1001,$C10)</f>
        <v>0</v>
      </c>
      <c r="U10" s="1564">
        <f>SUMIFS('Лист15'!$G$1:$G1001,'Лист15'!$H$1:$H1001,$T$1,'Лист15'!$A$1:$A1001,$C10)</f>
        <v>0</v>
      </c>
      <c r="V10" s="1567">
        <f t="shared" si="37"/>
        <v>0</v>
      </c>
      <c r="W10" s="1568">
        <f>COUNTIFS('Лист15'!$H$1:$H1001,$W$1,'Лист15'!$A$1:$A1001,$C10)</f>
        <v>0</v>
      </c>
      <c r="X10" s="1569">
        <f>SUMIFS('Лист15'!$G$1:$G1001,'Лист15'!$H$1:$H1001,$W$1,'Лист15'!$A$1:$A1001,$C10)</f>
        <v>0</v>
      </c>
      <c r="Y10" s="1570">
        <f t="shared" si="38"/>
        <v>0</v>
      </c>
      <c r="Z10" s="1568">
        <f>COUNTIFS('Лист15'!$H$1:$H1001,$Z$1,'Лист15'!$A$1:$A1001,$C10)</f>
        <v>0</v>
      </c>
      <c r="AA10" s="1569">
        <f>SUMIFS('Лист15'!$G$1:$G1001,'Лист15'!$H$1:$H1001,$Z$1,'Лист15'!$A$1:$A1001,$C10)</f>
        <v>0</v>
      </c>
      <c r="AB10" s="1570">
        <f t="shared" si="39"/>
        <v>0</v>
      </c>
      <c r="AC10" s="1568">
        <f>COUNTIFS('Лист15'!$H$1:$H1001,$AC$1,'Лист15'!$A$1:$A1001,$C10)</f>
        <v>0</v>
      </c>
      <c r="AD10" s="1569">
        <f>SUMIFS('Лист15'!$G$1:$G1001,'Лист15'!$H$1:$H1001,$AC$1,'Лист15'!$A$1:$A1001,$C10)</f>
        <v>0</v>
      </c>
      <c r="AE10" s="1570">
        <f t="shared" si="40"/>
        <v>0</v>
      </c>
    </row>
    <row r="11" ht="17.25" customHeight="1">
      <c r="A11" s="1557" t="str">
        <f>'1. Справочник'!B4</f>
        <v>Марина</v>
      </c>
      <c r="B11" s="1558">
        <v>1.0</v>
      </c>
      <c r="C11" s="1559" t="str">
        <f>'1. Справочник'!C5</f>
        <v>WS В 1510</v>
      </c>
      <c r="D11" s="1560" t="str">
        <f>'Стратегия'!G15</f>
        <v>80/20</v>
      </c>
      <c r="E11" s="1561">
        <f>COUNTIFS('Лист15'!$H$1:$H1001,$E$1,'Лист15'!$A$1:$A1001,$C11)</f>
        <v>1</v>
      </c>
      <c r="F11" s="1561">
        <f>SUMIFS('Лист15'!$G$1:$G1001,'Лист15'!$H$1:$H1001,$E$1,'Лист15'!$A$1:$A1001,$C11)</f>
        <v>29</v>
      </c>
      <c r="G11" s="1562">
        <f t="shared" si="32"/>
        <v>0.9666666667</v>
      </c>
      <c r="H11" s="1563">
        <f>COUNTIFS('Лист15'!$H$1:$H1001,$H$1,'Лист15'!$A$1:$A1001,$C11)</f>
        <v>2</v>
      </c>
      <c r="I11" s="1564">
        <f>SUMIFS('Лист15'!$G$1:$G1001,'Лист15'!$H$1:$H1001,$H$1,'Лист15'!$A$1:$A1001,$C11)</f>
        <v>20</v>
      </c>
      <c r="J11" s="1565">
        <f t="shared" si="33"/>
        <v>0.6451612903</v>
      </c>
      <c r="K11" s="1561">
        <f>COUNTIFS('Лист15'!$H$1:$H1001,$K$1,'Лист15'!$A$1:$A1001,$C11)</f>
        <v>3</v>
      </c>
      <c r="L11" s="1564">
        <f>SUMIFS('Лист15'!$G$1:$G1001,'Лист15'!$H$1:$H1001,$K$1,'Лист15'!$A$1:$A1001,$C11)</f>
        <v>27</v>
      </c>
      <c r="M11" s="1565">
        <f t="shared" si="34"/>
        <v>0.9</v>
      </c>
      <c r="N11" s="1561">
        <f>COUNTIFS('Лист15'!$H$1:$H1001,$N$1,'Лист15'!$A$1:$A1001,$C11)</f>
        <v>5</v>
      </c>
      <c r="O11" s="1564">
        <f>SUMIFS('Лист15'!$G$1:$G1001,'Лист15'!$H$1:$H1001,$N$1,'Лист15'!$A$1:$A1001,$C11)</f>
        <v>27</v>
      </c>
      <c r="P11" s="1566">
        <f t="shared" si="35"/>
        <v>0.9</v>
      </c>
      <c r="Q11" s="1561">
        <f>COUNTIFS('Лист15'!$H$1:$H1001,$Q$1,'Лист15'!$A$1:$A1001,$C11)</f>
        <v>1</v>
      </c>
      <c r="R11" s="1564">
        <f>SUMIFS('Лист15'!$G$1:$G1001,'Лист15'!$H$1:$H1001,$Q$1,'Лист15'!$A$1:$A1001,$C11)</f>
        <v>9</v>
      </c>
      <c r="S11" s="1566">
        <f t="shared" si="36"/>
        <v>0.3</v>
      </c>
      <c r="T11" s="1561">
        <f>COUNTIFS('Лист15'!$H$1:$H1001,$T$1,'Лист15'!$A$1:$A1001,$C11)</f>
        <v>0</v>
      </c>
      <c r="U11" s="1564">
        <f>SUMIFS('Лист15'!$G$1:$G1001,'Лист15'!$H$1:$H1001,$T$1,'Лист15'!$A$1:$A1001,$C11)</f>
        <v>0</v>
      </c>
      <c r="V11" s="1567">
        <f t="shared" si="37"/>
        <v>0</v>
      </c>
      <c r="W11" s="1568">
        <f>COUNTIFS('Лист15'!$H$1:$H1001,$W$1,'Лист15'!$A$1:$A1001,$C11)</f>
        <v>0</v>
      </c>
      <c r="X11" s="1569">
        <f>SUMIFS('Лист15'!$G$1:$G1001,'Лист15'!$H$1:$H1001,$W$1,'Лист15'!$A$1:$A1001,$C11)</f>
        <v>0</v>
      </c>
      <c r="Y11" s="1570">
        <f t="shared" si="38"/>
        <v>0</v>
      </c>
      <c r="Z11" s="1568">
        <f>COUNTIFS('Лист15'!$H$1:$H1001,$Z$1,'Лист15'!$A$1:$A1001,$C11)</f>
        <v>0</v>
      </c>
      <c r="AA11" s="1569">
        <f>SUMIFS('Лист15'!$G$1:$G1001,'Лист15'!$H$1:$H1001,$Z$1,'Лист15'!$A$1:$A1001,$C11)</f>
        <v>0</v>
      </c>
      <c r="AB11" s="1570">
        <f t="shared" si="39"/>
        <v>0</v>
      </c>
      <c r="AC11" s="1568">
        <f>COUNTIFS('Лист15'!$H$1:$H1001,$AC$1,'Лист15'!$A$1:$A1001,$C11)</f>
        <v>0</v>
      </c>
      <c r="AD11" s="1569">
        <f>SUMIFS('Лист15'!$G$1:$G1001,'Лист15'!$H$1:$H1001,$AC$1,'Лист15'!$A$1:$A1001,$C11)</f>
        <v>0</v>
      </c>
      <c r="AE11" s="1570">
        <f t="shared" si="40"/>
        <v>0</v>
      </c>
    </row>
    <row r="12" ht="17.25" customHeight="1">
      <c r="A12" s="1557" t="str">
        <f>'1. Справочник'!B5</f>
        <v>Марина</v>
      </c>
      <c r="B12" s="1558">
        <v>1.0</v>
      </c>
      <c r="C12" s="1572" t="str">
        <f>'1. Справочник'!C6</f>
        <v>WS В 807</v>
      </c>
      <c r="D12" s="1560" t="str">
        <f>#REF!</f>
        <v>#REF!</v>
      </c>
      <c r="E12" s="1561">
        <f>COUNTIFS('Лист15'!$H$1:$H1001,$E$1,'Лист15'!$A$1:$A1001,$C12)</f>
        <v>0</v>
      </c>
      <c r="F12" s="1561">
        <f>SUMIFS('Лист15'!$G$1:$G1001,'Лист15'!$H$1:$H1001,$E$1,'Лист15'!$A$1:$A1001,$C12)</f>
        <v>0</v>
      </c>
      <c r="G12" s="1562">
        <f t="shared" si="32"/>
        <v>0</v>
      </c>
      <c r="H12" s="1563">
        <f>COUNTIFS('Лист15'!$H$1:$H1001,$H$1,'Лист15'!$A$1:$A1001,$C12)</f>
        <v>0</v>
      </c>
      <c r="I12" s="1573"/>
      <c r="J12" s="1574"/>
      <c r="K12" s="1560"/>
      <c r="L12" s="1573"/>
      <c r="M12" s="1574"/>
      <c r="N12" s="1560"/>
      <c r="O12" s="1573"/>
      <c r="P12" s="1574"/>
      <c r="Q12" s="1560"/>
      <c r="R12" s="1573"/>
      <c r="S12" s="1574"/>
      <c r="T12" s="1560"/>
      <c r="U12" s="1573"/>
      <c r="V12" s="1575"/>
      <c r="W12" s="1576"/>
      <c r="X12" s="1577"/>
      <c r="Y12" s="1578"/>
      <c r="Z12" s="1576">
        <f>COUNTIFS('Лист15'!$H$1:$H1001,$Z$1,'Лист15'!$A$1:$A1001,$C12)</f>
        <v>0</v>
      </c>
      <c r="AA12" s="1577">
        <f>SUMIFS('Лист15'!$G$1:$G1001,'Лист15'!$H$1:$H1001,$Z$1,'Лист15'!$A$1:$A1001,$C12)</f>
        <v>0</v>
      </c>
      <c r="AB12" s="1578"/>
      <c r="AC12" s="1576">
        <f>COUNTIFS('Лист15'!$H$1:$H1001,$AC$1,'Лист15'!$A$1:$A1001,$C12)</f>
        <v>0</v>
      </c>
      <c r="AD12" s="1577">
        <f>SUMIFS('Лист15'!$G$1:$G1001,'Лист15'!$H$1:$H1001,$AC$1,'Лист15'!$A$1:$A1001,$C12)</f>
        <v>0</v>
      </c>
      <c r="AE12" s="1578"/>
    </row>
    <row r="13" ht="17.25" customHeight="1">
      <c r="A13" s="1557" t="str">
        <f>'1. Справочник'!B7</f>
        <v>Марина</v>
      </c>
      <c r="B13" s="1558">
        <v>1.0</v>
      </c>
      <c r="C13" s="1559" t="str">
        <f>'1. Справочник'!C7</f>
        <v>WS E 1202</v>
      </c>
      <c r="D13" s="1560" t="s">
        <v>321</v>
      </c>
      <c r="E13" s="1561">
        <f>COUNTIFS('Лист15'!$H$1:$H1001,$E$1,'Лист15'!$A$1:$A1001,$C13)</f>
        <v>2</v>
      </c>
      <c r="F13" s="1561">
        <f>SUMIFS('Лист15'!$G$1:$G1001,'Лист15'!$H$1:$H1001,$E$1,'Лист15'!$A$1:$A1001,$C13)</f>
        <v>34</v>
      </c>
      <c r="G13" s="1562">
        <f t="shared" si="32"/>
        <v>1.133333333</v>
      </c>
      <c r="H13" s="1563">
        <f>COUNTIFS('Лист15'!$H$1:$H1001,$H$1,'Лист15'!$A$1:$A1001,$C13)</f>
        <v>5</v>
      </c>
      <c r="I13" s="1564">
        <f>SUMIFS('Лист15'!$G$1:$G1001,'Лист15'!$H$1:$H1001,$H$1,'Лист15'!$A$1:$A1001,$C13)</f>
        <v>19</v>
      </c>
      <c r="J13" s="1565">
        <f t="shared" ref="J13:J21" si="41">I13/31</f>
        <v>0.6129032258</v>
      </c>
      <c r="K13" s="1561">
        <f>COUNTIFS('Лист15'!$H$1:$H1001,$K$1,'Лист15'!$A$1:$A1001,$C13)</f>
        <v>5</v>
      </c>
      <c r="L13" s="1564">
        <f>SUMIFS('Лист15'!$G$1:$G1001,'Лист15'!$H$1:$H1001,$K$1,'Лист15'!$A$1:$A1001,$C13)</f>
        <v>23</v>
      </c>
      <c r="M13" s="1565">
        <f t="shared" ref="M13:M18" si="42">L13/30</f>
        <v>0.7666666667</v>
      </c>
      <c r="N13" s="1561">
        <f>COUNTIFS('Лист15'!$H$1:$H1001,$N$1,'Лист15'!$A$1:$A1001,$C13)</f>
        <v>4</v>
      </c>
      <c r="O13" s="1564">
        <f>SUMIFS('Лист15'!$G$1:$G1001,'Лист15'!$H$1:$H1001,$N$1,'Лист15'!$A$1:$A1001,$C13)</f>
        <v>25</v>
      </c>
      <c r="P13" s="1566">
        <f t="shared" ref="P13:P21" si="43">O13/30</f>
        <v>0.8333333333</v>
      </c>
      <c r="Q13" s="1561">
        <f>COUNTIFS('Лист15'!$H$1:$H1001,$Q$1,'Лист15'!$A$1:$A1001,$C13)</f>
        <v>1</v>
      </c>
      <c r="R13" s="1564">
        <f>SUMIFS('Лист15'!$G$1:$G1001,'Лист15'!$H$1:$H1001,$Q$1,'Лист15'!$A$1:$A1001,$C13)</f>
        <v>7</v>
      </c>
      <c r="S13" s="1566">
        <f t="shared" ref="S13:S21" si="44">R13/30</f>
        <v>0.2333333333</v>
      </c>
      <c r="T13" s="1561">
        <f>COUNTIFS('Лист15'!$H$1:$H1001,$T$1,'Лист15'!$A$1:$A1001,$C13)</f>
        <v>0</v>
      </c>
      <c r="U13" s="1564">
        <f>SUMIFS('Лист15'!$G$1:$G1001,'Лист15'!$H$1:$H1001,$T$1,'Лист15'!$A$1:$A1001,$C13)</f>
        <v>0</v>
      </c>
      <c r="V13" s="1567">
        <f t="shared" ref="V13:V21" si="45">U13/30</f>
        <v>0</v>
      </c>
      <c r="W13" s="1568">
        <f>COUNTIFS('Лист15'!$H$1:$H1001,$W$1,'Лист15'!$A$1:$A1001,$C13)</f>
        <v>0</v>
      </c>
      <c r="X13" s="1569">
        <f>SUMIFS('Лист15'!$G$1:$G1001,'Лист15'!$H$1:$H1001,$W$1,'Лист15'!$A$1:$A1001,$C13)</f>
        <v>0</v>
      </c>
      <c r="Y13" s="1570">
        <f t="shared" ref="Y13:Y21" si="46">X13/30</f>
        <v>0</v>
      </c>
      <c r="Z13" s="1568">
        <f>COUNTIFS('Лист15'!$H$1:$H1001,$Z$1,'Лист15'!$A$1:$A1001,$C13)</f>
        <v>0</v>
      </c>
      <c r="AA13" s="1569">
        <f>SUMIFS('Лист15'!$G$1:$G1001,'Лист15'!$H$1:$H1001,$Z$1,'Лист15'!$A$1:$A1001,$C13)</f>
        <v>0</v>
      </c>
      <c r="AB13" s="1570">
        <f t="shared" ref="AB13:AB21" si="47">AA13/30</f>
        <v>0</v>
      </c>
      <c r="AC13" s="1568">
        <f>COUNTIFS('Лист15'!$H$1:$H1001,$AC$1,'Лист15'!$A$1:$A1001,$C13)</f>
        <v>0</v>
      </c>
      <c r="AD13" s="1569">
        <f>SUMIFS('Лист15'!$G$1:$G1001,'Лист15'!$H$1:$H1001,$AC$1,'Лист15'!$A$1:$A1001,$C13)</f>
        <v>0</v>
      </c>
      <c r="AE13" s="1570">
        <f t="shared" ref="AE13:AE21" si="48">AD13/30</f>
        <v>0</v>
      </c>
    </row>
    <row r="14" ht="17.25" customHeight="1">
      <c r="A14" s="1557" t="str">
        <f>'1. Справочник'!B8</f>
        <v>Марина</v>
      </c>
      <c r="B14" s="1558">
        <v>1.0</v>
      </c>
      <c r="C14" s="1559" t="str">
        <f>'1. Справочник'!C8</f>
        <v>WS A 409</v>
      </c>
      <c r="D14" s="1560" t="str">
        <f>#REF!</f>
        <v>#REF!</v>
      </c>
      <c r="E14" s="1561">
        <f>COUNTIFS('Лист15'!$H$1:$H1001,$E$1,'Лист15'!$A$1:$A1001,$C14)</f>
        <v>1</v>
      </c>
      <c r="F14" s="1561">
        <f>SUMIFS('Лист15'!$G$1:$G1001,'Лист15'!$H$1:$H1001,$E$1,'Лист15'!$A$1:$A1001,$C14)</f>
        <v>29</v>
      </c>
      <c r="G14" s="1562">
        <f t="shared" si="32"/>
        <v>0.9666666667</v>
      </c>
      <c r="H14" s="1563">
        <f>COUNTIFS('Лист15'!$H$1:$H1001,$H$1,'Лист15'!$A$1:$A1001,$C14)</f>
        <v>5</v>
      </c>
      <c r="I14" s="1564">
        <f>SUMIFS('Лист15'!$G$1:$G1001,'Лист15'!$H$1:$H1001,$H$1,'Лист15'!$A$1:$A1001,$C14)</f>
        <v>16</v>
      </c>
      <c r="J14" s="1565">
        <f t="shared" si="41"/>
        <v>0.5161290323</v>
      </c>
      <c r="K14" s="1561">
        <f>COUNTIFS('Лист15'!$H$1:$H1001,$K$1,'Лист15'!$A$1:$A1001,$C14)</f>
        <v>3</v>
      </c>
      <c r="L14" s="1564">
        <f>SUMIFS('Лист15'!$G$1:$G1001,'Лист15'!$H$1:$H1001,$K$1,'Лист15'!$A$1:$A1001,$C14)</f>
        <v>18</v>
      </c>
      <c r="M14" s="1571">
        <f t="shared" si="42"/>
        <v>0.6</v>
      </c>
      <c r="N14" s="1561">
        <f>COUNTIFS('Лист15'!$H$1:$H1001,$N$1,'Лист15'!$A$1:$A1001,$C14)</f>
        <v>9</v>
      </c>
      <c r="O14" s="1564">
        <f>SUMIFS('Лист15'!$G$1:$G1001,'Лист15'!$H$1:$H1001,$N$1,'Лист15'!$A$1:$A1001,$C14)</f>
        <v>34</v>
      </c>
      <c r="P14" s="1566">
        <f t="shared" si="43"/>
        <v>1.133333333</v>
      </c>
      <c r="Q14" s="1561">
        <f>COUNTIFS('Лист15'!$H$1:$H1001,$Q$1,'Лист15'!$A$1:$A1001,$C14)</f>
        <v>1</v>
      </c>
      <c r="R14" s="1564">
        <f>SUMIFS('Лист15'!$G$1:$G1001,'Лист15'!$H$1:$H1001,$Q$1,'Лист15'!$A$1:$A1001,$C14)</f>
        <v>4</v>
      </c>
      <c r="S14" s="1566">
        <f t="shared" si="44"/>
        <v>0.1333333333</v>
      </c>
      <c r="T14" s="1561">
        <f>COUNTIFS('Лист15'!$H$1:$H1001,$T$1,'Лист15'!$A$1:$A1001,$C14)</f>
        <v>0</v>
      </c>
      <c r="U14" s="1564">
        <f>SUMIFS('Лист15'!$G$1:$G1001,'Лист15'!$H$1:$H1001,$T$1,'Лист15'!$A$1:$A1001,$C14)</f>
        <v>0</v>
      </c>
      <c r="V14" s="1567">
        <f t="shared" si="45"/>
        <v>0</v>
      </c>
      <c r="W14" s="1568">
        <f>COUNTIFS('Лист15'!$H$1:$H1001,$W$1,'Лист15'!$A$1:$A1001,$C14)</f>
        <v>0</v>
      </c>
      <c r="X14" s="1569">
        <f>SUMIFS('Лист15'!$G$1:$G1001,'Лист15'!$H$1:$H1001,$W$1,'Лист15'!$A$1:$A1001,$C14)</f>
        <v>0</v>
      </c>
      <c r="Y14" s="1570">
        <f t="shared" si="46"/>
        <v>0</v>
      </c>
      <c r="Z14" s="1568">
        <f>COUNTIFS('Лист15'!$H$1:$H1001,$Z$1,'Лист15'!$A$1:$A1001,$C14)</f>
        <v>0</v>
      </c>
      <c r="AA14" s="1569">
        <f>SUMIFS('Лист15'!$G$1:$G1001,'Лист15'!$H$1:$H1001,$Z$1,'Лист15'!$A$1:$A1001,$C14)</f>
        <v>0</v>
      </c>
      <c r="AB14" s="1570">
        <f t="shared" si="47"/>
        <v>0</v>
      </c>
      <c r="AC14" s="1568">
        <f>COUNTIFS('Лист15'!$H$1:$H1001,$AC$1,'Лист15'!$A$1:$A1001,$C14)</f>
        <v>0</v>
      </c>
      <c r="AD14" s="1569">
        <f>SUMIFS('Лист15'!$G$1:$G1001,'Лист15'!$H$1:$H1001,$AC$1,'Лист15'!$A$1:$A1001,$C14)</f>
        <v>0</v>
      </c>
      <c r="AE14" s="1570">
        <f t="shared" si="48"/>
        <v>0</v>
      </c>
    </row>
    <row r="15" ht="17.25" customHeight="1">
      <c r="A15" s="1557" t="str">
        <f>'1. Справочник'!B9</f>
        <v>Марина</v>
      </c>
      <c r="B15" s="1558">
        <v>1.0</v>
      </c>
      <c r="C15" s="1559" t="str">
        <f>'1. Справочник'!C9</f>
        <v>WS A 608</v>
      </c>
      <c r="D15" s="1560" t="s">
        <v>321</v>
      </c>
      <c r="E15" s="1561">
        <f>COUNTIFS('Лист15'!$H$1:$H1001,$E$1,'Лист15'!$A$1:$A1001,$C15)</f>
        <v>1</v>
      </c>
      <c r="F15" s="1561">
        <f>SUMIFS('Лист15'!$G$1:$G1001,'Лист15'!$H$1:$H1001,$E$1,'Лист15'!$A$1:$A1001,$C15)</f>
        <v>3</v>
      </c>
      <c r="G15" s="1562">
        <f t="shared" si="32"/>
        <v>0.1</v>
      </c>
      <c r="H15" s="1563">
        <f>COUNTIFS('Лист15'!$H$1:$H1001,$H$1,'Лист15'!$A$1:$A1001,$C15)</f>
        <v>4</v>
      </c>
      <c r="I15" s="1564">
        <f>SUMIFS('Лист15'!$G$1:$G1001,'Лист15'!$H$1:$H1001,$H$1,'Лист15'!$A$1:$A1001,$C15)</f>
        <v>37</v>
      </c>
      <c r="J15" s="1565">
        <f t="shared" si="41"/>
        <v>1.193548387</v>
      </c>
      <c r="K15" s="1561">
        <f>COUNTIFS('Лист15'!$H$1:$H1001,$K$1,'Лист15'!$A$1:$A1001,$C15)</f>
        <v>6</v>
      </c>
      <c r="L15" s="1564">
        <f>SUMIFS('Лист15'!$G$1:$G1001,'Лист15'!$H$1:$H1001,$K$1,'Лист15'!$A$1:$A1001,$C15)</f>
        <v>27</v>
      </c>
      <c r="M15" s="1565">
        <f t="shared" si="42"/>
        <v>0.9</v>
      </c>
      <c r="N15" s="1561">
        <f>COUNTIFS('Лист15'!$H$1:$H1001,$N$1,'Лист15'!$A$1:$A1001,$C15)</f>
        <v>4</v>
      </c>
      <c r="O15" s="1564">
        <f>SUMIFS('Лист15'!$G$1:$G1001,'Лист15'!$H$1:$H1001,$N$1,'Лист15'!$A$1:$A1001,$C15)</f>
        <v>22</v>
      </c>
      <c r="P15" s="1566">
        <f t="shared" si="43"/>
        <v>0.7333333333</v>
      </c>
      <c r="Q15" s="1561">
        <f>COUNTIFS('Лист15'!$H$1:$H1001,$Q$1,'Лист15'!$A$1:$A1001,$C15)</f>
        <v>1</v>
      </c>
      <c r="R15" s="1564">
        <f>SUMIFS('Лист15'!$G$1:$G1001,'Лист15'!$H$1:$H1001,$Q$1,'Лист15'!$A$1:$A1001,$C15)</f>
        <v>4</v>
      </c>
      <c r="S15" s="1566">
        <f t="shared" si="44"/>
        <v>0.1333333333</v>
      </c>
      <c r="T15" s="1561">
        <f>COUNTIFS('Лист15'!$H$1:$H1001,$T$1,'Лист15'!$A$1:$A1001,$C15)</f>
        <v>0</v>
      </c>
      <c r="U15" s="1564">
        <f>SUMIFS('Лист15'!$G$1:$G1001,'Лист15'!$H$1:$H1001,$T$1,'Лист15'!$A$1:$A1001,$C15)</f>
        <v>0</v>
      </c>
      <c r="V15" s="1567">
        <f t="shared" si="45"/>
        <v>0</v>
      </c>
      <c r="W15" s="1568">
        <f>COUNTIFS('Лист15'!$H$1:$H1001,$W$1,'Лист15'!$A$1:$A1001,$C15)</f>
        <v>0</v>
      </c>
      <c r="X15" s="1569">
        <f>SUMIFS('Лист15'!$G$1:$G1001,'Лист15'!$H$1:$H1001,$W$1,'Лист15'!$A$1:$A1001,$C15)</f>
        <v>0</v>
      </c>
      <c r="Y15" s="1570">
        <f t="shared" si="46"/>
        <v>0</v>
      </c>
      <c r="Z15" s="1568">
        <f>COUNTIFS('Лист15'!$H$1:$H1001,$Z$1,'Лист15'!$A$1:$A1001,$C15)</f>
        <v>0</v>
      </c>
      <c r="AA15" s="1569">
        <f>SUMIFS('Лист15'!$G$1:$G1001,'Лист15'!$H$1:$H1001,$Z$1,'Лист15'!$A$1:$A1001,$C15)</f>
        <v>0</v>
      </c>
      <c r="AB15" s="1570">
        <f t="shared" si="47"/>
        <v>0</v>
      </c>
      <c r="AC15" s="1568">
        <f>COUNTIFS('Лист15'!$H$1:$H1001,$AC$1,'Лист15'!$A$1:$A1001,$C15)</f>
        <v>1</v>
      </c>
      <c r="AD15" s="1569">
        <f>SUMIFS('Лист15'!$G$1:$G1001,'Лист15'!$H$1:$H1001,$AC$1,'Лист15'!$A$1:$A1001,$C15)</f>
        <v>0</v>
      </c>
      <c r="AE15" s="1570">
        <f t="shared" si="48"/>
        <v>0</v>
      </c>
    </row>
    <row r="16" ht="17.25" customHeight="1">
      <c r="A16" s="1557" t="str">
        <f>'1. Справочник'!B10</f>
        <v>Марина</v>
      </c>
      <c r="B16" s="1558">
        <v>1.0</v>
      </c>
      <c r="C16" s="1559" t="str">
        <f>'1. Справочник'!C10</f>
        <v>WS A907</v>
      </c>
      <c r="D16" s="1560" t="s">
        <v>563</v>
      </c>
      <c r="E16" s="1561">
        <f>COUNTIFS('Лист15'!$H$1:$H1001,$E$1,'Лист15'!$A$1:$A1001,$C16)</f>
        <v>1</v>
      </c>
      <c r="F16" s="1561">
        <f>SUMIFS('Лист15'!$G$1:$G1001,'Лист15'!$H$1:$H1001,$E$1,'Лист15'!$A$1:$A1001,$C16)</f>
        <v>28</v>
      </c>
      <c r="G16" s="1562">
        <f t="shared" si="32"/>
        <v>0.9333333333</v>
      </c>
      <c r="H16" s="1563">
        <f>COUNTIFS('Лист15'!$H$1:$H1001,$H$1,'Лист15'!$A$1:$A1001,$C16)</f>
        <v>2</v>
      </c>
      <c r="I16" s="1564">
        <f>SUMIFS('Лист15'!$G$1:$G1001,'Лист15'!$H$1:$H1001,$H$1,'Лист15'!$A$1:$A1001,$C16)</f>
        <v>6</v>
      </c>
      <c r="J16" s="1565">
        <f t="shared" si="41"/>
        <v>0.1935483871</v>
      </c>
      <c r="K16" s="1561">
        <f>COUNTIFS('Лист15'!$H$1:$H1001,$K$1,'Лист15'!$A$1:$A1001,$C16)</f>
        <v>5</v>
      </c>
      <c r="L16" s="1564">
        <f>SUMIFS('Лист15'!$G$1:$G1001,'Лист15'!$H$1:$H1001,$K$1,'Лист15'!$A$1:$A1001,$C16)</f>
        <v>27</v>
      </c>
      <c r="M16" s="1565">
        <f t="shared" si="42"/>
        <v>0.9</v>
      </c>
      <c r="N16" s="1561">
        <f>COUNTIFS('Лист15'!$H$1:$H1001,$N$1,'Лист15'!$A$1:$A1001,$C16)</f>
        <v>3</v>
      </c>
      <c r="O16" s="1564">
        <f>SUMIFS('Лист15'!$G$1:$G1001,'Лист15'!$H$1:$H1001,$N$1,'Лист15'!$A$1:$A1001,$C16)</f>
        <v>20</v>
      </c>
      <c r="P16" s="1566">
        <f t="shared" si="43"/>
        <v>0.6666666667</v>
      </c>
      <c r="Q16" s="1561">
        <f>COUNTIFS('Лист15'!$H$1:$H1001,$Q$1,'Лист15'!$A$1:$A1001,$C16)</f>
        <v>2</v>
      </c>
      <c r="R16" s="1564">
        <f>SUMIFS('Лист15'!$G$1:$G1001,'Лист15'!$H$1:$H1001,$Q$1,'Лист15'!$A$1:$A1001,$C16)</f>
        <v>7</v>
      </c>
      <c r="S16" s="1566">
        <f t="shared" si="44"/>
        <v>0.2333333333</v>
      </c>
      <c r="T16" s="1561">
        <f>COUNTIFS('Лист15'!$H$1:$H1001,$T$1,'Лист15'!$A$1:$A1001,$C16)</f>
        <v>0</v>
      </c>
      <c r="U16" s="1564">
        <f>SUMIFS('Лист15'!$G$1:$G1001,'Лист15'!$H$1:$H1001,$T$1,'Лист15'!$A$1:$A1001,$C16)</f>
        <v>0</v>
      </c>
      <c r="V16" s="1567">
        <f t="shared" si="45"/>
        <v>0</v>
      </c>
      <c r="W16" s="1568">
        <f>COUNTIFS('Лист15'!$H$1:$H1001,$W$1,'Лист15'!$A$1:$A1001,$C16)</f>
        <v>0</v>
      </c>
      <c r="X16" s="1569">
        <f>SUMIFS('Лист15'!$G$1:$G1001,'Лист15'!$H$1:$H1001,$W$1,'Лист15'!$A$1:$A1001,$C16)</f>
        <v>0</v>
      </c>
      <c r="Y16" s="1570">
        <f t="shared" si="46"/>
        <v>0</v>
      </c>
      <c r="Z16" s="1568">
        <f>COUNTIFS('Лист15'!$H$1:$H1001,$Z$1,'Лист15'!$A$1:$A1001,$C16)</f>
        <v>0</v>
      </c>
      <c r="AA16" s="1569">
        <f>SUMIFS('Лист15'!$G$1:$G1001,'Лист15'!$H$1:$H1001,$Z$1,'Лист15'!$A$1:$A1001,$C16)</f>
        <v>0</v>
      </c>
      <c r="AB16" s="1570">
        <f t="shared" si="47"/>
        <v>0</v>
      </c>
      <c r="AC16" s="1568">
        <f>COUNTIFS('Лист15'!$H$1:$H1001,$AC$1,'Лист15'!$A$1:$A1001,$C16)</f>
        <v>0</v>
      </c>
      <c r="AD16" s="1569">
        <f>SUMIFS('Лист15'!$G$1:$G1001,'Лист15'!$H$1:$H1001,$AC$1,'Лист15'!$A$1:$A1001,$C16)</f>
        <v>0</v>
      </c>
      <c r="AE16" s="1570">
        <f t="shared" si="48"/>
        <v>0</v>
      </c>
    </row>
    <row r="17" ht="17.25" customHeight="1">
      <c r="A17" s="1557" t="str">
        <f>'1. Справочник'!B11</f>
        <v>Марина</v>
      </c>
      <c r="B17" s="1558">
        <v>1.0</v>
      </c>
      <c r="C17" s="1559" t="str">
        <f>'1. Справочник'!C11</f>
        <v>WS Е804</v>
      </c>
      <c r="D17" s="1560" t="s">
        <v>321</v>
      </c>
      <c r="E17" s="1561">
        <f>COUNTIFS('Лист15'!$H$1:$H1001,$E$1,'Лист15'!$A$1:$A1001,$C17)</f>
        <v>2</v>
      </c>
      <c r="F17" s="1561">
        <f>SUMIFS('Лист15'!$G$1:$G1001,'Лист15'!$H$1:$H1001,$E$1,'Лист15'!$A$1:$A1001,$C17)</f>
        <v>29</v>
      </c>
      <c r="G17" s="1562">
        <f t="shared" si="32"/>
        <v>0.9666666667</v>
      </c>
      <c r="H17" s="1563">
        <f>COUNTIFS('Лист15'!$H$1:$H1001,$H$1,'Лист15'!$A$1:$A1001,$C17)</f>
        <v>4</v>
      </c>
      <c r="I17" s="1564">
        <f>SUMIFS('Лист15'!$G$1:$G1001,'Лист15'!$H$1:$H1001,$H$1,'Лист15'!$A$1:$A1001,$C17)</f>
        <v>9</v>
      </c>
      <c r="J17" s="1565">
        <f t="shared" si="41"/>
        <v>0.2903225806</v>
      </c>
      <c r="K17" s="1561">
        <f>COUNTIFS('Лист15'!$H$1:$H1001,$K$1,'Лист15'!$A$1:$A1001,$C17)</f>
        <v>5</v>
      </c>
      <c r="L17" s="1564">
        <f>SUMIFS('Лист15'!$G$1:$G1001,'Лист15'!$H$1:$H1001,$K$1,'Лист15'!$A$1:$A1001,$C17)</f>
        <v>25</v>
      </c>
      <c r="M17" s="1565">
        <f t="shared" si="42"/>
        <v>0.8333333333</v>
      </c>
      <c r="N17" s="1561">
        <f>COUNTIFS('Лист15'!$H$1:$H1001,$N$1,'Лист15'!$A$1:$A1001,$C17)</f>
        <v>5</v>
      </c>
      <c r="O17" s="1564">
        <f>SUMIFS('Лист15'!$G$1:$G1001,'Лист15'!$H$1:$H1001,$N$1,'Лист15'!$A$1:$A1001,$C17)</f>
        <v>23</v>
      </c>
      <c r="P17" s="1566">
        <f t="shared" si="43"/>
        <v>0.7666666667</v>
      </c>
      <c r="Q17" s="1561">
        <f>COUNTIFS('Лист15'!$H$1:$H1001,$Q$1,'Лист15'!$A$1:$A1001,$C17)</f>
        <v>1</v>
      </c>
      <c r="R17" s="1564">
        <f>SUMIFS('Лист15'!$G$1:$G1001,'Лист15'!$H$1:$H1001,$Q$1,'Лист15'!$A$1:$A1001,$C17)</f>
        <v>7</v>
      </c>
      <c r="S17" s="1566">
        <f t="shared" si="44"/>
        <v>0.2333333333</v>
      </c>
      <c r="T17" s="1561">
        <f>COUNTIFS('Лист15'!$H$1:$H1001,$T$1,'Лист15'!$A$1:$A1001,$C17)</f>
        <v>0</v>
      </c>
      <c r="U17" s="1564">
        <f>SUMIFS('Лист15'!$G$1:$G1001,'Лист15'!$H$1:$H1001,$T$1,'Лист15'!$A$1:$A1001,$C17)</f>
        <v>0</v>
      </c>
      <c r="V17" s="1567">
        <f t="shared" si="45"/>
        <v>0</v>
      </c>
      <c r="W17" s="1568">
        <f>COUNTIFS('Лист15'!$H$1:$H1001,$W$1,'Лист15'!$A$1:$A1001,$C17)</f>
        <v>0</v>
      </c>
      <c r="X17" s="1569">
        <f>SUMIFS('Лист15'!$G$1:$G1001,'Лист15'!$H$1:$H1001,$W$1,'Лист15'!$A$1:$A1001,$C17)</f>
        <v>0</v>
      </c>
      <c r="Y17" s="1570">
        <f t="shared" si="46"/>
        <v>0</v>
      </c>
      <c r="Z17" s="1568">
        <f>COUNTIFS('Лист15'!$H$1:$H1001,$Z$1,'Лист15'!$A$1:$A1001,$C17)</f>
        <v>0</v>
      </c>
      <c r="AA17" s="1569">
        <f>SUMIFS('Лист15'!$G$1:$G1001,'Лист15'!$H$1:$H1001,$Z$1,'Лист15'!$A$1:$A1001,$C17)</f>
        <v>0</v>
      </c>
      <c r="AB17" s="1570">
        <f t="shared" si="47"/>
        <v>0</v>
      </c>
      <c r="AC17" s="1568">
        <f>COUNTIFS('Лист15'!$H$1:$H1001,$AC$1,'Лист15'!$A$1:$A1001,$C17)</f>
        <v>0</v>
      </c>
      <c r="AD17" s="1569">
        <f>SUMIFS('Лист15'!$G$1:$G1001,'Лист15'!$H$1:$H1001,$AC$1,'Лист15'!$A$1:$A1001,$C17)</f>
        <v>0</v>
      </c>
      <c r="AE17" s="1570">
        <f t="shared" si="48"/>
        <v>0</v>
      </c>
    </row>
    <row r="18" ht="17.25" customHeight="1">
      <c r="A18" s="1557" t="str">
        <f>'1. Справочник'!B12</f>
        <v>Марина</v>
      </c>
      <c r="B18" s="1558">
        <v>1.0</v>
      </c>
      <c r="C18" s="1559" t="str">
        <f>'1. Справочник'!C12</f>
        <v>WS E704</v>
      </c>
      <c r="D18" s="1560" t="s">
        <v>321</v>
      </c>
      <c r="E18" s="1561">
        <f>COUNTIFS('Лист15'!$H$1:$H1001,$E$1,'Лист15'!$A$1:$A1001,$C18)</f>
        <v>1</v>
      </c>
      <c r="F18" s="1561">
        <f>SUMIFS('Лист15'!$G$1:$G1001,'Лист15'!$H$1:$H1001,$E$1,'Лист15'!$A$1:$A1001,$C18)</f>
        <v>30</v>
      </c>
      <c r="G18" s="1562">
        <f t="shared" si="32"/>
        <v>1</v>
      </c>
      <c r="H18" s="1563">
        <f>COUNTIFS('Лист15'!$H$1:$H1001,$H$1,'Лист15'!$A$1:$A1001,$C18)</f>
        <v>4</v>
      </c>
      <c r="I18" s="1564">
        <f>SUMIFS('Лист15'!$G$1:$G1001,'Лист15'!$H$1:$H1001,$H$1,'Лист15'!$A$1:$A1001,$C18)</f>
        <v>26</v>
      </c>
      <c r="J18" s="1565">
        <f t="shared" si="41"/>
        <v>0.8387096774</v>
      </c>
      <c r="K18" s="1561">
        <f>COUNTIFS('Лист15'!$H$1:$H1001,$K$1,'Лист15'!$A$1:$A1001,$C18)</f>
        <v>5</v>
      </c>
      <c r="L18" s="1564">
        <f>SUMIFS('Лист15'!$G$1:$G1001,'Лист15'!$H$1:$H1001,$K$1,'Лист15'!$A$1:$A1001,$C18)</f>
        <v>24</v>
      </c>
      <c r="M18" s="1565">
        <f t="shared" si="42"/>
        <v>0.8</v>
      </c>
      <c r="N18" s="1561">
        <f>COUNTIFS('Лист15'!$H$1:$H1001,$N$1,'Лист15'!$A$1:$A1001,$C18)</f>
        <v>5</v>
      </c>
      <c r="O18" s="1564">
        <f>SUMIFS('Лист15'!$G$1:$G1001,'Лист15'!$H$1:$H1001,$N$1,'Лист15'!$A$1:$A1001,$C18)</f>
        <v>35</v>
      </c>
      <c r="P18" s="1566">
        <f t="shared" si="43"/>
        <v>1.166666667</v>
      </c>
      <c r="Q18" s="1561">
        <f>COUNTIFS('Лист15'!$H$1:$H1001,$Q$1,'Лист15'!$A$1:$A1001,$C18)</f>
        <v>1</v>
      </c>
      <c r="R18" s="1564">
        <f>SUMIFS('Лист15'!$G$1:$G1001,'Лист15'!$H$1:$H1001,$Q$1,'Лист15'!$A$1:$A1001,$C18)</f>
        <v>3</v>
      </c>
      <c r="S18" s="1566">
        <f t="shared" si="44"/>
        <v>0.1</v>
      </c>
      <c r="T18" s="1561">
        <f>COUNTIFS('Лист15'!$H$1:$H1001,$T$1,'Лист15'!$A$1:$A1001,$C18)</f>
        <v>0</v>
      </c>
      <c r="U18" s="1564">
        <f>SUMIFS('Лист15'!$G$1:$G1001,'Лист15'!$H$1:$H1001,$T$1,'Лист15'!$A$1:$A1001,$C18)</f>
        <v>0</v>
      </c>
      <c r="V18" s="1567">
        <f t="shared" si="45"/>
        <v>0</v>
      </c>
      <c r="W18" s="1568">
        <f>COUNTIFS('Лист15'!$H$1:$H1001,$W$1,'Лист15'!$A$1:$A1001,$C18)</f>
        <v>0</v>
      </c>
      <c r="X18" s="1569">
        <f>SUMIFS('Лист15'!$G$1:$G1001,'Лист15'!$H$1:$H1001,$W$1,'Лист15'!$A$1:$A1001,$C18)</f>
        <v>0</v>
      </c>
      <c r="Y18" s="1570">
        <f t="shared" si="46"/>
        <v>0</v>
      </c>
      <c r="Z18" s="1568">
        <f>COUNTIFS('Лист15'!$H$1:$H1001,$Z$1,'Лист15'!$A$1:$A1001,$C18)</f>
        <v>0</v>
      </c>
      <c r="AA18" s="1569">
        <f>SUMIFS('Лист15'!$G$1:$G1001,'Лист15'!$H$1:$H1001,$Z$1,'Лист15'!$A$1:$A1001,$C18)</f>
        <v>0</v>
      </c>
      <c r="AB18" s="1570">
        <f t="shared" si="47"/>
        <v>0</v>
      </c>
      <c r="AC18" s="1568">
        <f>COUNTIFS('Лист15'!$H$1:$H1001,$AC$1,'Лист15'!$A$1:$A1001,$C18)</f>
        <v>0</v>
      </c>
      <c r="AD18" s="1569">
        <f>SUMIFS('Лист15'!$G$1:$G1001,'Лист15'!$H$1:$H1001,$AC$1,'Лист15'!$A$1:$A1001,$C18)</f>
        <v>0</v>
      </c>
      <c r="AE18" s="1570">
        <f t="shared" si="48"/>
        <v>0</v>
      </c>
    </row>
    <row r="19" ht="17.25" customHeight="1">
      <c r="A19" s="1557" t="str">
        <f>'1. Справочник'!B13</f>
        <v>Марина</v>
      </c>
      <c r="B19" s="1558">
        <v>1.0</v>
      </c>
      <c r="C19" s="1559" t="str">
        <f>'1. Справочник'!C13</f>
        <v>WS A805</v>
      </c>
      <c r="D19" s="1560" t="s">
        <v>321</v>
      </c>
      <c r="E19" s="1561">
        <f>COUNTIFS('Лист15'!$H$1:$H1001,$E$1,'Лист15'!$A$1:$A1001,$C19)</f>
        <v>0</v>
      </c>
      <c r="F19" s="1561">
        <f>SUMIFS('Лист15'!$G$1:$G1001,'Лист15'!$H$1:$H1001,$E$1,'Лист15'!$A$1:$A1001,$C19)</f>
        <v>0</v>
      </c>
      <c r="G19" s="1562">
        <f t="shared" si="32"/>
        <v>0</v>
      </c>
      <c r="H19" s="1563">
        <f>COUNTIFS('Лист15'!$H$1:$H1001,$H$1,'Лист15'!$A$1:$A1001,$C19)</f>
        <v>0</v>
      </c>
      <c r="I19" s="1564">
        <f>SUMIFS('Лист15'!$G$1:$G1001,'Лист15'!$H$1:$H1001,$H$1,'Лист15'!$A$1:$A1001,$C19)</f>
        <v>0</v>
      </c>
      <c r="J19" s="1565">
        <f t="shared" si="41"/>
        <v>0</v>
      </c>
      <c r="K19" s="1561">
        <f>COUNTIFS('Лист15'!$H$1:$H1001,$K$1,'Лист15'!$A$1:$A1001,$C19)</f>
        <v>2</v>
      </c>
      <c r="L19" s="1564">
        <f>SUMIFS('Лист15'!$G$1:$G1001,'Лист15'!$H$1:$H1001,$K$1,'Лист15'!$A$1:$A1001,$C19)</f>
        <v>9</v>
      </c>
      <c r="M19" s="1565"/>
      <c r="N19" s="1561">
        <f>COUNTIFS('Лист15'!$H$1:$H1001,$N$1,'Лист15'!$A$1:$A1001,$C19)</f>
        <v>6</v>
      </c>
      <c r="O19" s="1564">
        <f>SUMIFS('Лист15'!$G$1:$G1001,'Лист15'!$H$1:$H1001,$N$1,'Лист15'!$A$1:$A1001,$C19)</f>
        <v>29</v>
      </c>
      <c r="P19" s="1566">
        <f t="shared" si="43"/>
        <v>0.9666666667</v>
      </c>
      <c r="Q19" s="1561">
        <f>COUNTIFS('Лист15'!$H$1:$H1001,$Q$1,'Лист15'!$A$1:$A1001,$C19)</f>
        <v>1</v>
      </c>
      <c r="R19" s="1564">
        <f>SUMIFS('Лист15'!$G$1:$G1001,'Лист15'!$H$1:$H1001,$Q$1,'Лист15'!$A$1:$A1001,$C19)</f>
        <v>4</v>
      </c>
      <c r="S19" s="1566">
        <f t="shared" si="44"/>
        <v>0.1333333333</v>
      </c>
      <c r="T19" s="1561">
        <f>COUNTIFS('Лист15'!$H$1:$H1001,$T$1,'Лист15'!$A$1:$A1001,$C19)</f>
        <v>0</v>
      </c>
      <c r="U19" s="1564">
        <f>SUMIFS('Лист15'!$G$1:$G1001,'Лист15'!$H$1:$H1001,$T$1,'Лист15'!$A$1:$A1001,$C19)</f>
        <v>0</v>
      </c>
      <c r="V19" s="1567">
        <f t="shared" si="45"/>
        <v>0</v>
      </c>
      <c r="W19" s="1568">
        <f>COUNTIFS('Лист15'!$H$1:$H1001,$W$1,'Лист15'!$A$1:$A1001,$C19)</f>
        <v>0</v>
      </c>
      <c r="X19" s="1569">
        <f>SUMIFS('Лист15'!$G$1:$G1001,'Лист15'!$H$1:$H1001,$W$1,'Лист15'!$A$1:$A1001,$C19)</f>
        <v>0</v>
      </c>
      <c r="Y19" s="1570">
        <f t="shared" si="46"/>
        <v>0</v>
      </c>
      <c r="Z19" s="1568">
        <f>COUNTIFS('Лист15'!$H$1:$H1001,$Z$1,'Лист15'!$A$1:$A1001,$C19)</f>
        <v>0</v>
      </c>
      <c r="AA19" s="1569">
        <f>SUMIFS('Лист15'!$G$1:$G1001,'Лист15'!$H$1:$H1001,$Z$1,'Лист15'!$A$1:$A1001,$C19)</f>
        <v>0</v>
      </c>
      <c r="AB19" s="1570">
        <f t="shared" si="47"/>
        <v>0</v>
      </c>
      <c r="AC19" s="1568">
        <f>COUNTIFS('Лист15'!$H$1:$H1001,$AC$1,'Лист15'!$A$1:$A1001,$C19)</f>
        <v>0</v>
      </c>
      <c r="AD19" s="1569">
        <f>SUMIFS('Лист15'!$G$1:$G1001,'Лист15'!$H$1:$H1001,$AC$1,'Лист15'!$A$1:$A1001,$C19)</f>
        <v>0</v>
      </c>
      <c r="AE19" s="1570">
        <f t="shared" si="48"/>
        <v>0</v>
      </c>
    </row>
    <row r="20" ht="17.25" customHeight="1">
      <c r="A20" s="1557" t="str">
        <f>'1. Справочник'!B14</f>
        <v>Марина</v>
      </c>
      <c r="B20" s="1558">
        <v>1.0</v>
      </c>
      <c r="C20" s="1559" t="str">
        <f>'1. Справочник'!C14</f>
        <v>WS F1103</v>
      </c>
      <c r="D20" s="1560" t="s">
        <v>518</v>
      </c>
      <c r="E20" s="1561">
        <f>COUNTIFS('Лист15'!$H$1:$H1001,$E$1,'Лист15'!$A$1:$A1001,$C20)</f>
        <v>0</v>
      </c>
      <c r="F20" s="1561">
        <f>SUMIFS('Лист15'!$G$1:$G1001,'Лист15'!$H$1:$H1001,$E$1,'Лист15'!$A$1:$A1001,$C20)</f>
        <v>0</v>
      </c>
      <c r="G20" s="1562">
        <f t="shared" si="32"/>
        <v>0</v>
      </c>
      <c r="H20" s="1563">
        <f>COUNTIFS('Лист15'!$H$1:$H1001,$H$1,'Лист15'!$A$1:$A1001,$C20)</f>
        <v>0</v>
      </c>
      <c r="I20" s="1564">
        <f>SUMIFS('Лист15'!$G$1:$G1001,'Лист15'!$H$1:$H1001,$H$1,'Лист15'!$A$1:$A1001,$C20)</f>
        <v>0</v>
      </c>
      <c r="J20" s="1565">
        <f t="shared" si="41"/>
        <v>0</v>
      </c>
      <c r="K20" s="1561">
        <f>COUNTIFS('Лист15'!$H$1:$H1001,$K$1,'Лист15'!$A$1:$A1001,$C20)</f>
        <v>2</v>
      </c>
      <c r="L20" s="1564">
        <f>SUMIFS('Лист15'!$G$1:$G1001,'Лист15'!$H$1:$H1001,$K$1,'Лист15'!$A$1:$A1001,$C20)</f>
        <v>14</v>
      </c>
      <c r="M20" s="1565">
        <f t="shared" ref="M20:M21" si="49">L20/30</f>
        <v>0.4666666667</v>
      </c>
      <c r="N20" s="1561">
        <f>COUNTIFS('Лист15'!$H$1:$H1001,$N$1,'Лист15'!$A$1:$A1001,$C20)</f>
        <v>5</v>
      </c>
      <c r="O20" s="1564">
        <f>SUMIFS('Лист15'!$G$1:$G1001,'Лист15'!$H$1:$H1001,$N$1,'Лист15'!$A$1:$A1001,$C20)</f>
        <v>30</v>
      </c>
      <c r="P20" s="1566">
        <f t="shared" si="43"/>
        <v>1</v>
      </c>
      <c r="Q20" s="1561">
        <f>COUNTIFS('Лист15'!$H$1:$H1001,$Q$1,'Лист15'!$A$1:$A1001,$C20)</f>
        <v>1</v>
      </c>
      <c r="R20" s="1564">
        <f>SUMIFS('Лист15'!$G$1:$G1001,'Лист15'!$H$1:$H1001,$Q$1,'Лист15'!$A$1:$A1001,$C20)</f>
        <v>8</v>
      </c>
      <c r="S20" s="1566">
        <f t="shared" si="44"/>
        <v>0.2666666667</v>
      </c>
      <c r="T20" s="1561">
        <f>COUNTIFS('Лист15'!$H$1:$H1001,$T$1,'Лист15'!$A$1:$A1001,$C20)</f>
        <v>0</v>
      </c>
      <c r="U20" s="1564">
        <f>SUMIFS('Лист15'!$G$1:$G1001,'Лист15'!$H$1:$H1001,$T$1,'Лист15'!$A$1:$A1001,$C20)</f>
        <v>0</v>
      </c>
      <c r="V20" s="1567">
        <f t="shared" si="45"/>
        <v>0</v>
      </c>
      <c r="W20" s="1568">
        <f>COUNTIFS('Лист15'!$H$1:$H1001,$W$1,'Лист15'!$A$1:$A1001,$C20)</f>
        <v>0</v>
      </c>
      <c r="X20" s="1569">
        <f>SUMIFS('Лист15'!$G$1:$G1001,'Лист15'!$H$1:$H1001,$W$1,'Лист15'!$A$1:$A1001,$C20)</f>
        <v>0</v>
      </c>
      <c r="Y20" s="1570">
        <f t="shared" si="46"/>
        <v>0</v>
      </c>
      <c r="Z20" s="1568">
        <f>COUNTIFS('Лист15'!$H$1:$H1001,$Z$1,'Лист15'!$A$1:$A1001,$C20)</f>
        <v>0</v>
      </c>
      <c r="AA20" s="1569">
        <f>SUMIFS('Лист15'!$G$1:$G1001,'Лист15'!$H$1:$H1001,$Z$1,'Лист15'!$A$1:$A1001,$C20)</f>
        <v>0</v>
      </c>
      <c r="AB20" s="1570">
        <f t="shared" si="47"/>
        <v>0</v>
      </c>
      <c r="AC20" s="1568">
        <f>COUNTIFS('Лист15'!$H$1:$H1001,$AC$1,'Лист15'!$A$1:$A1001,$C20)</f>
        <v>0</v>
      </c>
      <c r="AD20" s="1569">
        <f>SUMIFS('Лист15'!$G$1:$G1001,'Лист15'!$H$1:$H1001,$AC$1,'Лист15'!$A$1:$A1001,$C20)</f>
        <v>0</v>
      </c>
      <c r="AE20" s="1570">
        <f t="shared" si="48"/>
        <v>0</v>
      </c>
    </row>
    <row r="21" ht="17.25" customHeight="1">
      <c r="A21" s="1557" t="str">
        <f>'1. Справочник'!B16</f>
        <v>Светлана</v>
      </c>
      <c r="B21" s="1558">
        <v>1.0</v>
      </c>
      <c r="C21" s="1559" t="str">
        <f>'1. Справочник'!C16</f>
        <v>BV1318</v>
      </c>
      <c r="D21" s="1560" t="str">
        <f>'Стратегия'!G119</f>
        <v>90/10</v>
      </c>
      <c r="E21" s="1561">
        <f>COUNTIFS('Лист15'!$H$1:$H1001,$E$1,'Лист15'!$A$1:$A1001,$C21)</f>
        <v>0</v>
      </c>
      <c r="F21" s="1561">
        <f>SUMIFS('Лист15'!$G$1:$G1001,'Лист15'!$H$1:$H1001,$E$1,'Лист15'!$A$1:$A1001,$C21)</f>
        <v>0</v>
      </c>
      <c r="G21" s="1562">
        <f t="shared" si="32"/>
        <v>0</v>
      </c>
      <c r="H21" s="1563">
        <f>COUNTIFS('Лист15'!$H$1:$H1001,$H$1,'Лист15'!$A$1:$A1001,$C21)</f>
        <v>4</v>
      </c>
      <c r="I21" s="1564">
        <f>SUMIFS('Лист15'!$G$1:$G1001,'Лист15'!$H$1:$H1001,$H$1,'Лист15'!$A$1:$A1001,$C21)</f>
        <v>19</v>
      </c>
      <c r="J21" s="1565">
        <f t="shared" si="41"/>
        <v>0.6129032258</v>
      </c>
      <c r="K21" s="1561">
        <f>COUNTIFS('Лист15'!$H$1:$H1001,$K$1,'Лист15'!$A$1:$A1001,$C21)</f>
        <v>6</v>
      </c>
      <c r="L21" s="1564">
        <f>SUMIFS('Лист15'!$G$1:$G1001,'Лист15'!$H$1:$H1001,$K$1,'Лист15'!$A$1:$A1001,$C21)</f>
        <v>16</v>
      </c>
      <c r="M21" s="1565">
        <f t="shared" si="49"/>
        <v>0.5333333333</v>
      </c>
      <c r="N21" s="1561">
        <f>COUNTIFS('Лист15'!$H$1:$H1001,$N$1,'Лист15'!$A$1:$A1001,$C21)</f>
        <v>6</v>
      </c>
      <c r="O21" s="1564">
        <f>SUMIFS('Лист15'!$G$1:$G1001,'Лист15'!$H$1:$H1001,$N$1,'Лист15'!$A$1:$A1001,$C21)</f>
        <v>25</v>
      </c>
      <c r="P21" s="1566">
        <f t="shared" si="43"/>
        <v>0.8333333333</v>
      </c>
      <c r="Q21" s="1561">
        <f>COUNTIFS('Лист15'!$H$1:$H1001,$Q$1,'Лист15'!$A$1:$A1001,$C21)</f>
        <v>2</v>
      </c>
      <c r="R21" s="1564">
        <f>SUMIFS('Лист15'!$G$1:$G1001,'Лист15'!$H$1:$H1001,$Q$1,'Лист15'!$A$1:$A1001,$C21)</f>
        <v>16</v>
      </c>
      <c r="S21" s="1566">
        <f t="shared" si="44"/>
        <v>0.5333333333</v>
      </c>
      <c r="T21" s="1561">
        <f>COUNTIFS('Лист15'!$H$1:$H1001,$T$1,'Лист15'!$A$1:$A1001,$C21)</f>
        <v>0</v>
      </c>
      <c r="U21" s="1564">
        <f>SUMIFS('Лист15'!$G$1:$G1001,'Лист15'!$H$1:$H1001,$T$1,'Лист15'!$A$1:$A1001,$C21)</f>
        <v>0</v>
      </c>
      <c r="V21" s="1567">
        <f t="shared" si="45"/>
        <v>0</v>
      </c>
      <c r="W21" s="1568">
        <f>COUNTIFS('Лист15'!$H$1:$H1001,$W$1,'Лист15'!$A$1:$A1001,$C21)</f>
        <v>0</v>
      </c>
      <c r="X21" s="1569">
        <f>SUMIFS('Лист15'!$G$1:$G1001,'Лист15'!$H$1:$H1001,$W$1,'Лист15'!$A$1:$A1001,$C21)</f>
        <v>0</v>
      </c>
      <c r="Y21" s="1570">
        <f t="shared" si="46"/>
        <v>0</v>
      </c>
      <c r="Z21" s="1568">
        <f>COUNTIFS('Лист15'!$H$1:$H1001,$Z$1,'Лист15'!$A$1:$A1001,$C21)</f>
        <v>0</v>
      </c>
      <c r="AA21" s="1569">
        <f>SUMIFS('Лист15'!$G$1:$G1001,'Лист15'!$H$1:$H1001,$Z$1,'Лист15'!$A$1:$A1001,$C21)</f>
        <v>0</v>
      </c>
      <c r="AB21" s="1570">
        <f t="shared" si="47"/>
        <v>0</v>
      </c>
      <c r="AC21" s="1568">
        <f>COUNTIFS('Лист15'!$H$1:$H1001,$AC$1,'Лист15'!$A$1:$A1001,$C21)</f>
        <v>0</v>
      </c>
      <c r="AD21" s="1569">
        <f>SUMIFS('Лист15'!$G$1:$G1001,'Лист15'!$H$1:$H1001,$AC$1,'Лист15'!$A$1:$A1001,$C21)</f>
        <v>0</v>
      </c>
      <c r="AE21" s="1570">
        <f t="shared" si="48"/>
        <v>0</v>
      </c>
    </row>
    <row r="22" ht="17.25" customHeight="1">
      <c r="A22" s="1557" t="str">
        <f>'1. Справочник'!B17</f>
        <v>Светлана</v>
      </c>
      <c r="B22" s="1558">
        <v>1.0</v>
      </c>
      <c r="C22" s="1572" t="str">
        <f>'1. Справочник'!C17</f>
        <v>BV A 100</v>
      </c>
      <c r="D22" s="1560" t="str">
        <f>'Стратегия'!G35</f>
        <v>80/20</v>
      </c>
      <c r="E22" s="1561">
        <f>COUNTIFS('Лист15'!$H$1:$H1001,$E$1,'Лист15'!$A$1:$A1001,$C22)</f>
        <v>0</v>
      </c>
      <c r="F22" s="1561">
        <f>SUMIFS('Лист15'!$G$1:$G1001,'Лист15'!$H$1:$H1001,$E$1,'Лист15'!$A$1:$A1001,$C22)</f>
        <v>0</v>
      </c>
      <c r="G22" s="1562">
        <f t="shared" si="32"/>
        <v>0</v>
      </c>
      <c r="H22" s="1563">
        <f>COUNTIFS('Лист15'!$H$1:$H1001,$H$1,'Лист15'!$A$1:$A1001,$C22)</f>
        <v>0</v>
      </c>
      <c r="I22" s="1573"/>
      <c r="J22" s="1574"/>
      <c r="K22" s="1560"/>
      <c r="L22" s="1573"/>
      <c r="M22" s="1579"/>
      <c r="N22" s="1560"/>
      <c r="O22" s="1573"/>
      <c r="P22" s="1574"/>
      <c r="Q22" s="1560"/>
      <c r="R22" s="1573"/>
      <c r="S22" s="1574"/>
      <c r="T22" s="1560"/>
      <c r="U22" s="1573"/>
      <c r="V22" s="1575"/>
      <c r="W22" s="1576"/>
      <c r="X22" s="1577"/>
      <c r="Y22" s="1578"/>
      <c r="Z22" s="1576">
        <f>COUNTIFS('Лист15'!$H$1:$H1001,$Z$1,'Лист15'!$A$1:$A1001,$C22)</f>
        <v>0</v>
      </c>
      <c r="AA22" s="1577">
        <f>SUMIFS('Лист15'!$G$1:$G1001,'Лист15'!$H$1:$H1001,$Z$1,'Лист15'!$A$1:$A1001,$C22)</f>
        <v>0</v>
      </c>
      <c r="AB22" s="1578"/>
      <c r="AC22" s="1576">
        <f>COUNTIFS('Лист15'!$H$1:$H1001,$AC$1,'Лист15'!$A$1:$A1001,$C22)</f>
        <v>0</v>
      </c>
      <c r="AD22" s="1577">
        <f>SUMIFS('Лист15'!$G$1:$G1001,'Лист15'!$H$1:$H1001,$AC$1,'Лист15'!$A$1:$A1001,$C22)</f>
        <v>0</v>
      </c>
      <c r="AE22" s="1578"/>
    </row>
    <row r="23" ht="17.25" customHeight="1">
      <c r="A23" s="1557" t="str">
        <f>'1. Справочник'!B18</f>
        <v>Светлана</v>
      </c>
      <c r="B23" s="1558">
        <v>1.0</v>
      </c>
      <c r="C23" s="1559" t="str">
        <f>'1. Справочник'!C18</f>
        <v>Steps1123</v>
      </c>
      <c r="D23" s="1560" t="str">
        <f>'Стратегия'!G36</f>
        <v>80/20</v>
      </c>
      <c r="E23" s="1561">
        <f>COUNTIFS('Лист15'!$H$1:$H1001,$E$1,'Лист15'!$A$1:$A1001,$C23)</f>
        <v>0</v>
      </c>
      <c r="F23" s="1561">
        <f>SUMIFS('Лист15'!$G$1:$G1001,'Лист15'!$H$1:$H1001,$E$1,'Лист15'!$A$1:$A1001,$C23)</f>
        <v>0</v>
      </c>
      <c r="G23" s="1562">
        <f t="shared" si="32"/>
        <v>0</v>
      </c>
      <c r="H23" s="1563">
        <f>COUNTIFS('Лист15'!$H$1:$H1001,$H$1,'Лист15'!$A$1:$A1001,$C23)</f>
        <v>3</v>
      </c>
      <c r="I23" s="1564">
        <f>SUMIFS('Лист15'!$G$1:$G1001,'Лист15'!$H$1:$H1001,$H$1,'Лист15'!$A$1:$A1001,$C23)</f>
        <v>8</v>
      </c>
      <c r="J23" s="1565">
        <f>I23/31</f>
        <v>0.2580645161</v>
      </c>
      <c r="K23" s="1561">
        <f>COUNTIFS('Лист15'!$H$1:$H1001,$K$1,'Лист15'!$A$1:$A1001,$C23)</f>
        <v>5</v>
      </c>
      <c r="L23" s="1564">
        <v>30.0</v>
      </c>
      <c r="M23" s="1565">
        <f>L23/30</f>
        <v>1</v>
      </c>
      <c r="N23" s="1561">
        <f>COUNTIFS('Лист15'!$H$1:$H1001,$N$1,'Лист15'!$A$1:$A1001,$C23)</f>
        <v>4</v>
      </c>
      <c r="O23" s="1564">
        <f>SUMIFS('Лист15'!$G$1:$G1001,'Лист15'!$H$1:$H1001,$N$1,'Лист15'!$A$1:$A1001,$C23)</f>
        <v>20</v>
      </c>
      <c r="P23" s="1566">
        <f>O23/30</f>
        <v>0.6666666667</v>
      </c>
      <c r="Q23" s="1561">
        <f>COUNTIFS('Лист15'!$H$1:$H1001,$Q$1,'Лист15'!$A$1:$A1001,$C23)</f>
        <v>1</v>
      </c>
      <c r="R23" s="1564">
        <f>SUMIFS('Лист15'!$G$1:$G1001,'Лист15'!$H$1:$H1001,$Q$1,'Лист15'!$A$1:$A1001,$C23)</f>
        <v>31</v>
      </c>
      <c r="S23" s="1566">
        <f>R23/30</f>
        <v>1.033333333</v>
      </c>
      <c r="T23" s="1561">
        <f>COUNTIFS('Лист15'!$H$1:$H1001,$T$1,'Лист15'!$A$1:$A1001,$C23)</f>
        <v>0</v>
      </c>
      <c r="U23" s="1564">
        <f>SUMIFS('Лист15'!$G$1:$G1001,'Лист15'!$H$1:$H1001,$T$1,'Лист15'!$A$1:$A1001,$C23)</f>
        <v>0</v>
      </c>
      <c r="V23" s="1567">
        <f>U23/30</f>
        <v>0</v>
      </c>
      <c r="W23" s="1568">
        <f>COUNTIFS('Лист15'!$H$1:$H1001,$W$1,'Лист15'!$A$1:$A1001,$C23)</f>
        <v>0</v>
      </c>
      <c r="X23" s="1569">
        <f>SUMIFS('Лист15'!$G$1:$G1001,'Лист15'!$H$1:$H1001,$W$1,'Лист15'!$A$1:$A1001,$C23)</f>
        <v>0</v>
      </c>
      <c r="Y23" s="1570">
        <f t="shared" ref="Y23:Y32" si="50">X23/30</f>
        <v>0</v>
      </c>
      <c r="Z23" s="1568">
        <f>COUNTIFS('Лист15'!$H$1:$H1001,$Z$1,'Лист15'!$A$1:$A1001,$C23)</f>
        <v>0</v>
      </c>
      <c r="AA23" s="1569">
        <f>SUMIFS('Лист15'!$G$1:$G1001,'Лист15'!$H$1:$H1001,$Z$1,'Лист15'!$A$1:$A1001,$C23)</f>
        <v>0</v>
      </c>
      <c r="AB23" s="1570">
        <f t="shared" ref="AB23:AB32" si="51">AA23/30</f>
        <v>0</v>
      </c>
      <c r="AC23" s="1568">
        <f>COUNTIFS('Лист15'!$H$1:$H1001,$AC$1,'Лист15'!$A$1:$A1001,$C23)</f>
        <v>0</v>
      </c>
      <c r="AD23" s="1569">
        <f>SUMIFS('Лист15'!$G$1:$G1001,'Лист15'!$H$1:$H1001,$AC$1,'Лист15'!$A$1:$A1001,$C23)</f>
        <v>0</v>
      </c>
      <c r="AE23" s="1570">
        <f t="shared" ref="AE23:AE32" si="52">AD23/30</f>
        <v>0</v>
      </c>
    </row>
    <row r="24" ht="17.25" hidden="1" customHeight="1">
      <c r="A24" s="1557" t="str">
        <f>'1. Справочник'!B68</f>
        <v>Дарья</v>
      </c>
      <c r="B24" s="1558">
        <v>1.0</v>
      </c>
      <c r="C24" s="1559" t="str">
        <f>'1. Справочник'!C68</f>
        <v>Пиросмани 162</v>
      </c>
      <c r="D24" s="1560" t="str">
        <f>'Стратегия'!G37</f>
        <v>80/20</v>
      </c>
      <c r="E24" s="1561">
        <f>COUNTIFS('Лист15'!$H$1:$H1001,$E$1,'Лист15'!$A$1:$A1001,$C24)</f>
        <v>1</v>
      </c>
      <c r="F24" s="1561">
        <f>SUMIFS('Лист15'!$G$1:$G1001,'Лист15'!$H$1:$H1001,$E$1,'Лист15'!$A$1:$A1001,$C24)</f>
        <v>29</v>
      </c>
      <c r="G24" s="1562">
        <f t="shared" si="32"/>
        <v>0.9666666667</v>
      </c>
      <c r="H24" s="1563"/>
      <c r="I24" s="1564"/>
      <c r="J24" s="1565"/>
      <c r="K24" s="1561"/>
      <c r="L24" s="1564"/>
      <c r="M24" s="1565"/>
      <c r="N24" s="1561"/>
      <c r="O24" s="1564"/>
      <c r="P24" s="1566"/>
      <c r="Q24" s="1561"/>
      <c r="R24" s="1564"/>
      <c r="S24" s="1566"/>
      <c r="T24" s="1561">
        <f>COUNTIFS('Лист15'!$H$1:$H1001,$T$1,'Лист15'!$A$1:$A1001,$C24)</f>
        <v>0</v>
      </c>
      <c r="U24" s="1564">
        <f>SUMIFS('Лист15'!$G$1:$G1001,'Лист15'!$H$1:$H1001,$T$1,'Лист15'!$A$1:$A1001,$C24)</f>
        <v>0</v>
      </c>
      <c r="V24" s="1567"/>
      <c r="W24" s="1568">
        <f>COUNTIFS('Лист15'!$H$1:$H1001,$W$1,'Лист15'!$A$1:$A1001,$C24)</f>
        <v>0</v>
      </c>
      <c r="X24" s="1569">
        <f>SUMIFS('Лист15'!$G$1:$G1001,'Лист15'!$H$1:$H1001,$W$1,'Лист15'!$A$1:$A1001,$C24)</f>
        <v>0</v>
      </c>
      <c r="Y24" s="1570">
        <f t="shared" si="50"/>
        <v>0</v>
      </c>
      <c r="Z24" s="1568">
        <f>COUNTIFS('Лист15'!$H$1:$H1001,$Z$1,'Лист15'!$A$1:$A1001,$C24)</f>
        <v>0</v>
      </c>
      <c r="AA24" s="1569">
        <f>SUMIFS('Лист15'!$G$1:$G1001,'Лист15'!$H$1:$H1001,$Z$1,'Лист15'!$A$1:$A1001,$C24)</f>
        <v>0</v>
      </c>
      <c r="AB24" s="1570">
        <f t="shared" si="51"/>
        <v>0</v>
      </c>
      <c r="AC24" s="1568">
        <f>COUNTIFS('Лист15'!$H$1:$H1001,$AC$1,'Лист15'!$A$1:$A1001,$C24)</f>
        <v>0</v>
      </c>
      <c r="AD24" s="1569">
        <f>SUMIFS('Лист15'!$G$1:$G1001,'Лист15'!$H$1:$H1001,$AC$1,'Лист15'!$A$1:$A1001,$C24)</f>
        <v>0</v>
      </c>
      <c r="AE24" s="1570">
        <f t="shared" si="52"/>
        <v>0</v>
      </c>
    </row>
    <row r="25" ht="17.25" hidden="1" customHeight="1">
      <c r="A25" s="1557" t="str">
        <f>'1. Справочник'!B69</f>
        <v>Дарья</v>
      </c>
      <c r="B25" s="1558">
        <v>1.0</v>
      </c>
      <c r="C25" s="1559" t="str">
        <f>'1. Справочник'!C69</f>
        <v>Пиросмани 181</v>
      </c>
      <c r="D25" s="1560" t="str">
        <f>'Стратегия'!G38</f>
        <v>80/20</v>
      </c>
      <c r="E25" s="1561">
        <f>COUNTIFS('Лист15'!$H$1:$H1001,$E$1,'Лист15'!$A$1:$A1001,$C25)</f>
        <v>1</v>
      </c>
      <c r="F25" s="1561">
        <f>SUMIFS('Лист15'!$G$1:$G1001,'Лист15'!$H$1:$H1001,$E$1,'Лист15'!$A$1:$A1001,$C25)</f>
        <v>31</v>
      </c>
      <c r="G25" s="1562">
        <f t="shared" si="32"/>
        <v>1.033333333</v>
      </c>
      <c r="H25" s="1563"/>
      <c r="I25" s="1564"/>
      <c r="J25" s="1565"/>
      <c r="K25" s="1561"/>
      <c r="L25" s="1564"/>
      <c r="M25" s="1565"/>
      <c r="N25" s="1561"/>
      <c r="O25" s="1564"/>
      <c r="P25" s="1566"/>
      <c r="Q25" s="1561"/>
      <c r="R25" s="1564"/>
      <c r="S25" s="1566"/>
      <c r="T25" s="1561">
        <f>COUNTIFS('Лист15'!$H$1:$H1001,$T$1,'Лист15'!$A$1:$A1001,$C25)</f>
        <v>0</v>
      </c>
      <c r="U25" s="1564">
        <f>SUMIFS('Лист15'!$G$1:$G1001,'Лист15'!$H$1:$H1001,$T$1,'Лист15'!$A$1:$A1001,$C25)</f>
        <v>0</v>
      </c>
      <c r="V25" s="1567"/>
      <c r="W25" s="1568">
        <f>COUNTIFS('Лист15'!$H$1:$H1001,$W$1,'Лист15'!$A$1:$A1001,$C25)</f>
        <v>0</v>
      </c>
      <c r="X25" s="1569">
        <f>SUMIFS('Лист15'!$G$1:$G1001,'Лист15'!$H$1:$H1001,$W$1,'Лист15'!$A$1:$A1001,$C25)</f>
        <v>0</v>
      </c>
      <c r="Y25" s="1570">
        <f t="shared" si="50"/>
        <v>0</v>
      </c>
      <c r="Z25" s="1568">
        <f>COUNTIFS('Лист15'!$H$1:$H1001,$Z$1,'Лист15'!$A$1:$A1001,$C25)</f>
        <v>0</v>
      </c>
      <c r="AA25" s="1569">
        <f>SUMIFS('Лист15'!$G$1:$G1001,'Лист15'!$H$1:$H1001,$Z$1,'Лист15'!$A$1:$A1001,$C25)</f>
        <v>0</v>
      </c>
      <c r="AB25" s="1570">
        <f t="shared" si="51"/>
        <v>0</v>
      </c>
      <c r="AC25" s="1568">
        <f>COUNTIFS('Лист15'!$H$1:$H1001,$AC$1,'Лист15'!$A$1:$A1001,$C25)</f>
        <v>0</v>
      </c>
      <c r="AD25" s="1569">
        <f>SUMIFS('Лист15'!$G$1:$G1001,'Лист15'!$H$1:$H1001,$AC$1,'Лист15'!$A$1:$A1001,$C25)</f>
        <v>0</v>
      </c>
      <c r="AE25" s="1570">
        <f t="shared" si="52"/>
        <v>0</v>
      </c>
    </row>
    <row r="26" ht="17.25" hidden="1" customHeight="1">
      <c r="A26" s="1557" t="str">
        <f>'1. Справочник'!B70</f>
        <v>Юлия</v>
      </c>
      <c r="B26" s="1558">
        <v>1.0</v>
      </c>
      <c r="C26" s="1559" t="str">
        <f>'1. Справочник'!C70</f>
        <v>Pollo 2-2</v>
      </c>
      <c r="D26" s="1560" t="str">
        <f>'Стратегия'!G39</f>
        <v>100/0</v>
      </c>
      <c r="E26" s="1561">
        <f>COUNTIFS('Лист15'!$H$1:$H1001,$E$1,'Лист15'!$A$1:$A1001,$C26)</f>
        <v>1</v>
      </c>
      <c r="F26" s="1561">
        <f>SUMIFS('Лист15'!$G$1:$G1001,'Лист15'!$H$1:$H1001,$E$1,'Лист15'!$A$1:$A1001,$C26)</f>
        <v>11</v>
      </c>
      <c r="G26" s="1562">
        <f t="shared" si="32"/>
        <v>0.3666666667</v>
      </c>
      <c r="H26" s="1563"/>
      <c r="I26" s="1564"/>
      <c r="J26" s="1565"/>
      <c r="K26" s="1561"/>
      <c r="L26" s="1564"/>
      <c r="M26" s="1565"/>
      <c r="N26" s="1561"/>
      <c r="O26" s="1564"/>
      <c r="P26" s="1566"/>
      <c r="Q26" s="1561"/>
      <c r="R26" s="1564"/>
      <c r="S26" s="1566"/>
      <c r="T26" s="1561">
        <f>COUNTIFS('Лист15'!$H$1:$H1001,$T$1,'Лист15'!$A$1:$A1001,$C26)</f>
        <v>0</v>
      </c>
      <c r="U26" s="1564">
        <f>SUMIFS('Лист15'!$G$1:$G1001,'Лист15'!$H$1:$H1001,$T$1,'Лист15'!$A$1:$A1001,$C26)</f>
        <v>0</v>
      </c>
      <c r="V26" s="1567"/>
      <c r="W26" s="1568">
        <f>COUNTIFS('Лист15'!$H$1:$H1001,$W$1,'Лист15'!$A$1:$A1001,$C26)</f>
        <v>0</v>
      </c>
      <c r="X26" s="1569">
        <f>SUMIFS('Лист15'!$G$1:$G1001,'Лист15'!$H$1:$H1001,$W$1,'Лист15'!$A$1:$A1001,$C26)</f>
        <v>0</v>
      </c>
      <c r="Y26" s="1570">
        <f t="shared" si="50"/>
        <v>0</v>
      </c>
      <c r="Z26" s="1568">
        <f>COUNTIFS('Лист15'!$H$1:$H1001,$Z$1,'Лист15'!$A$1:$A1001,$C26)</f>
        <v>0</v>
      </c>
      <c r="AA26" s="1569">
        <f>SUMIFS('Лист15'!$G$1:$G1001,'Лист15'!$H$1:$H1001,$Z$1,'Лист15'!$A$1:$A1001,$C26)</f>
        <v>0</v>
      </c>
      <c r="AB26" s="1570">
        <f t="shared" si="51"/>
        <v>0</v>
      </c>
      <c r="AC26" s="1568">
        <f>COUNTIFS('Лист15'!$H$1:$H1001,$AC$1,'Лист15'!$A$1:$A1001,$C26)</f>
        <v>0</v>
      </c>
      <c r="AD26" s="1569">
        <f>SUMIFS('Лист15'!$G$1:$G1001,'Лист15'!$H$1:$H1001,$AC$1,'Лист15'!$A$1:$A1001,$C26)</f>
        <v>0</v>
      </c>
      <c r="AE26" s="1570">
        <f t="shared" si="52"/>
        <v>0</v>
      </c>
    </row>
    <row r="27" ht="17.25" hidden="1" customHeight="1">
      <c r="A27" s="1557" t="str">
        <f>'1. Справочник'!B71</f>
        <v>Юлия</v>
      </c>
      <c r="B27" s="1558">
        <v>1.0</v>
      </c>
      <c r="C27" s="1559" t="str">
        <f>'1. Справочник'!C71</f>
        <v>Pollo 3-5</v>
      </c>
      <c r="D27" s="1560" t="str">
        <f>'Стратегия'!G40</f>
        <v>90/10</v>
      </c>
      <c r="E27" s="1561">
        <f>COUNTIFS('Лист15'!$H$1:$H1001,$E$1,'Лист15'!$A$1:$A1001,$C27)</f>
        <v>1</v>
      </c>
      <c r="F27" s="1561">
        <f>SUMIFS('Лист15'!$G$1:$G1001,'Лист15'!$H$1:$H1001,$E$1,'Лист15'!$A$1:$A1001,$C27)</f>
        <v>29</v>
      </c>
      <c r="G27" s="1562">
        <f t="shared" si="32"/>
        <v>0.9666666667</v>
      </c>
      <c r="H27" s="1563"/>
      <c r="I27" s="1564"/>
      <c r="J27" s="1565"/>
      <c r="K27" s="1561"/>
      <c r="L27" s="1564"/>
      <c r="M27" s="1565"/>
      <c r="N27" s="1561"/>
      <c r="O27" s="1564"/>
      <c r="P27" s="1566"/>
      <c r="Q27" s="1561"/>
      <c r="R27" s="1564"/>
      <c r="S27" s="1566"/>
      <c r="T27" s="1561">
        <f>COUNTIFS('Лист15'!$H$1:$H1001,$T$1,'Лист15'!$A$1:$A1001,$C27)</f>
        <v>0</v>
      </c>
      <c r="U27" s="1564">
        <f>SUMIFS('Лист15'!$G$1:$G1001,'Лист15'!$H$1:$H1001,$T$1,'Лист15'!$A$1:$A1001,$C27)</f>
        <v>0</v>
      </c>
      <c r="V27" s="1567"/>
      <c r="W27" s="1568">
        <f>COUNTIFS('Лист15'!$H$1:$H1001,$W$1,'Лист15'!$A$1:$A1001,$C27)</f>
        <v>0</v>
      </c>
      <c r="X27" s="1569">
        <f>SUMIFS('Лист15'!$G$1:$G1001,'Лист15'!$H$1:$H1001,$W$1,'Лист15'!$A$1:$A1001,$C27)</f>
        <v>0</v>
      </c>
      <c r="Y27" s="1570">
        <f t="shared" si="50"/>
        <v>0</v>
      </c>
      <c r="Z27" s="1568">
        <f>COUNTIFS('Лист15'!$H$1:$H1001,$Z$1,'Лист15'!$A$1:$A1001,$C27)</f>
        <v>0</v>
      </c>
      <c r="AA27" s="1569">
        <f>SUMIFS('Лист15'!$G$1:$G1001,'Лист15'!$H$1:$H1001,$Z$1,'Лист15'!$A$1:$A1001,$C27)</f>
        <v>0</v>
      </c>
      <c r="AB27" s="1570">
        <f t="shared" si="51"/>
        <v>0</v>
      </c>
      <c r="AC27" s="1568">
        <f>COUNTIFS('Лист15'!$H$1:$H1001,$AC$1,'Лист15'!$A$1:$A1001,$C27)</f>
        <v>0</v>
      </c>
      <c r="AD27" s="1569">
        <f>SUMIFS('Лист15'!$G$1:$G1001,'Лист15'!$H$1:$H1001,$AC$1,'Лист15'!$A$1:$A1001,$C27)</f>
        <v>0</v>
      </c>
      <c r="AE27" s="1570">
        <f t="shared" si="52"/>
        <v>0</v>
      </c>
    </row>
    <row r="28" ht="17.25" hidden="1" customHeight="1">
      <c r="A28" s="1557" t="str">
        <f>'1. Справочник'!B72</f>
        <v>Юлия</v>
      </c>
      <c r="B28" s="1558">
        <v>1.0</v>
      </c>
      <c r="C28" s="1559" t="str">
        <f>'1. Справочник'!C72</f>
        <v>Polo 4-12</v>
      </c>
      <c r="D28" s="1560" t="s">
        <v>321</v>
      </c>
      <c r="E28" s="1561">
        <f>COUNTIFS('Лист15'!$H$1:$H1001,$E$1,'Лист15'!$A$1:$A1001,$C28)</f>
        <v>0</v>
      </c>
      <c r="F28" s="1561">
        <f>SUMIFS('Лист15'!$G$1:$G1001,'Лист15'!$H$1:$H1001,$E$1,'Лист15'!$A$1:$A1001,$C28)</f>
        <v>0</v>
      </c>
      <c r="G28" s="1562">
        <f t="shared" si="32"/>
        <v>0</v>
      </c>
      <c r="H28" s="1563"/>
      <c r="I28" s="1564"/>
      <c r="J28" s="1565"/>
      <c r="K28" s="1561"/>
      <c r="L28" s="1564"/>
      <c r="M28" s="1565"/>
      <c r="N28" s="1561"/>
      <c r="O28" s="1564"/>
      <c r="P28" s="1566"/>
      <c r="Q28" s="1561"/>
      <c r="R28" s="1564"/>
      <c r="S28" s="1566"/>
      <c r="T28" s="1561">
        <f>COUNTIFS('Лист15'!$H$1:$H1001,$T$1,'Лист15'!$A$1:$A1001,$C28)</f>
        <v>0</v>
      </c>
      <c r="U28" s="1564">
        <f>SUMIFS('Лист15'!$G$1:$G1001,'Лист15'!$H$1:$H1001,$T$1,'Лист15'!$A$1:$A1001,$C28)</f>
        <v>0</v>
      </c>
      <c r="V28" s="1567"/>
      <c r="W28" s="1568">
        <f>COUNTIFS('Лист15'!$H$1:$H1001,$W$1,'Лист15'!$A$1:$A1001,$C28)</f>
        <v>0</v>
      </c>
      <c r="X28" s="1569">
        <f>SUMIFS('Лист15'!$G$1:$G1001,'Лист15'!$H$1:$H1001,$W$1,'Лист15'!$A$1:$A1001,$C28)</f>
        <v>0</v>
      </c>
      <c r="Y28" s="1570">
        <f t="shared" si="50"/>
        <v>0</v>
      </c>
      <c r="Z28" s="1568">
        <f>COUNTIFS('Лист15'!$H$1:$H1001,$Z$1,'Лист15'!$A$1:$A1001,$C28)</f>
        <v>0</v>
      </c>
      <c r="AA28" s="1569">
        <f>SUMIFS('Лист15'!$G$1:$G1001,'Лист15'!$H$1:$H1001,$Z$1,'Лист15'!$A$1:$A1001,$C28)</f>
        <v>0</v>
      </c>
      <c r="AB28" s="1570">
        <f t="shared" si="51"/>
        <v>0</v>
      </c>
      <c r="AC28" s="1568">
        <f>COUNTIFS('Лист15'!$H$1:$H1001,$AC$1,'Лист15'!$A$1:$A1001,$C28)</f>
        <v>1</v>
      </c>
      <c r="AD28" s="1569">
        <f>SUMIFS('Лист15'!$G$1:$G1001,'Лист15'!$H$1:$H1001,$AC$1,'Лист15'!$A$1:$A1001,$C28)</f>
        <v>0</v>
      </c>
      <c r="AE28" s="1570">
        <f t="shared" si="52"/>
        <v>0</v>
      </c>
    </row>
    <row r="29" ht="17.25" customHeight="1">
      <c r="A29" s="1557" t="str">
        <f>'1. Справочник'!B34</f>
        <v>Борис</v>
      </c>
      <c r="B29" s="1558">
        <v>1.0</v>
      </c>
      <c r="C29" s="1559" t="str">
        <f>'1. Справочник'!C34</f>
        <v>С 1125</v>
      </c>
      <c r="D29" s="1560" t="str">
        <f>'Стратегия'!G43</f>
        <v>80/20</v>
      </c>
      <c r="E29" s="1561">
        <f>COUNTIFS('Лист15'!$H$1:$H1001,$E$1,'Лист15'!$A$1:$A1001,$C29)</f>
        <v>0</v>
      </c>
      <c r="F29" s="1561">
        <f>SUMIFS('Лист15'!$G$1:$G1001,'Лист15'!$H$1:$H1001,$E$1,'Лист15'!$A$1:$A1001,$C29)</f>
        <v>0</v>
      </c>
      <c r="G29" s="1562">
        <f t="shared" si="32"/>
        <v>0</v>
      </c>
      <c r="H29" s="1563">
        <f>COUNTIFS('Лист15'!$H$1:$H1001,$H$1,'Лист15'!$A$1:$A1001,$C29)</f>
        <v>6</v>
      </c>
      <c r="I29" s="1564">
        <f>SUMIFS('Лист15'!$G$1:$G1001,'Лист15'!$H$1:$H1001,$H$1,'Лист15'!$A$1:$A1001,$C29)</f>
        <v>14</v>
      </c>
      <c r="J29" s="1565">
        <f t="shared" ref="J29:J32" si="53">I29/31</f>
        <v>0.4516129032</v>
      </c>
      <c r="K29" s="1561">
        <f>COUNTIFS('Лист15'!$H$1:$H1001,$K$1,'Лист15'!$A$1:$A1001,$C29)</f>
        <v>6</v>
      </c>
      <c r="L29" s="1564">
        <f>SUMIFS('Лист15'!$G$1:$G1001,'Лист15'!$H$1:$H1001,$K$1,'Лист15'!$A$1:$A1001,$C29)</f>
        <v>19</v>
      </c>
      <c r="M29" s="1571">
        <f t="shared" ref="M29:M32" si="54">L29/30</f>
        <v>0.6333333333</v>
      </c>
      <c r="N29" s="1561">
        <f>COUNTIFS('Лист15'!$H$1:$H1001,$N$1,'Лист15'!$A$1:$A1001,$C29)</f>
        <v>2</v>
      </c>
      <c r="O29" s="1564">
        <f>SUMIFS('Лист15'!$G$1:$G1001,'Лист15'!$H$1:$H1001,$N$1,'Лист15'!$A$1:$A1001,$C29)</f>
        <v>11</v>
      </c>
      <c r="P29" s="1566">
        <f t="shared" ref="P29:P32" si="55">O29/30</f>
        <v>0.3666666667</v>
      </c>
      <c r="Q29" s="1561">
        <f>COUNTIFS('Лист15'!$H$1:$H1001,$Q$1,'Лист15'!$A$1:$A1001,$C29)</f>
        <v>1</v>
      </c>
      <c r="R29" s="1564">
        <f>SUMIFS('Лист15'!$G$1:$G1001,'Лист15'!$H$1:$H1001,$Q$1,'Лист15'!$A$1:$A1001,$C29)</f>
        <v>5</v>
      </c>
      <c r="S29" s="1566">
        <f t="shared" ref="S29:S32" si="56">R29/30</f>
        <v>0.1666666667</v>
      </c>
      <c r="T29" s="1561">
        <f>COUNTIFS('Лист15'!$H$1:$H1001,$T$1,'Лист15'!$A$1:$A1001,$C29)</f>
        <v>0</v>
      </c>
      <c r="U29" s="1564">
        <f>SUMIFS('Лист15'!$G$1:$G1001,'Лист15'!$H$1:$H1001,$T$1,'Лист15'!$A$1:$A1001,$C29)</f>
        <v>0</v>
      </c>
      <c r="V29" s="1567">
        <f t="shared" ref="V29:V32" si="57">U29/30</f>
        <v>0</v>
      </c>
      <c r="W29" s="1568">
        <f>COUNTIFS('Лист15'!$H$1:$H1001,$W$1,'Лист15'!$A$1:$A1001,$C29)</f>
        <v>0</v>
      </c>
      <c r="X29" s="1569">
        <f>SUMIFS('Лист15'!$G$1:$G1001,'Лист15'!$H$1:$H1001,$W$1,'Лист15'!$A$1:$A1001,$C29)</f>
        <v>0</v>
      </c>
      <c r="Y29" s="1570">
        <f t="shared" si="50"/>
        <v>0</v>
      </c>
      <c r="Z29" s="1568">
        <f>COUNTIFS('Лист15'!$H$1:$H1001,$Z$1,'Лист15'!$A$1:$A1001,$C29)</f>
        <v>0</v>
      </c>
      <c r="AA29" s="1569">
        <f>SUMIFS('Лист15'!$G$1:$G1001,'Лист15'!$H$1:$H1001,$Z$1,'Лист15'!$A$1:$A1001,$C29)</f>
        <v>0</v>
      </c>
      <c r="AB29" s="1570">
        <f t="shared" si="51"/>
        <v>0</v>
      </c>
      <c r="AC29" s="1568">
        <f>COUNTIFS('Лист15'!$H$1:$H1001,$AC$1,'Лист15'!$A$1:$A1001,$C29)</f>
        <v>0</v>
      </c>
      <c r="AD29" s="1569">
        <f>SUMIFS('Лист15'!$G$1:$G1001,'Лист15'!$H$1:$H1001,$AC$1,'Лист15'!$A$1:$A1001,$C29)</f>
        <v>0</v>
      </c>
      <c r="AE29" s="1570">
        <f t="shared" si="52"/>
        <v>0</v>
      </c>
    </row>
    <row r="30" ht="17.25" customHeight="1">
      <c r="A30" s="1557" t="str">
        <f>'1. Справочник'!B35</f>
        <v>Борис</v>
      </c>
      <c r="B30" s="1558">
        <v>1.0</v>
      </c>
      <c r="C30" s="1559" t="str">
        <f>'1. Справочник'!C35</f>
        <v>С 1443</v>
      </c>
      <c r="D30" s="1560" t="s">
        <v>518</v>
      </c>
      <c r="E30" s="1561">
        <f>COUNTIFS('Лист15'!$H$1:$H1001,$E$1,'Лист15'!$A$1:$A1001,$C30)</f>
        <v>0</v>
      </c>
      <c r="F30" s="1561">
        <f>SUMIFS('Лист15'!$G$1:$G1001,'Лист15'!$H$1:$H1001,$E$1,'Лист15'!$A$1:$A1001,$C30)</f>
        <v>0</v>
      </c>
      <c r="G30" s="1562">
        <f t="shared" si="32"/>
        <v>0</v>
      </c>
      <c r="H30" s="1563">
        <f>COUNTIFS('Лист15'!$H$1:$H1001,$H$1,'Лист15'!$A$1:$A1001,$C30)</f>
        <v>1</v>
      </c>
      <c r="I30" s="1564">
        <f>SUMIFS('Лист15'!$G$1:$G1001,'Лист15'!$H$1:$H1001,$H$1,'Лист15'!$A$1:$A1001,$C30)</f>
        <v>30</v>
      </c>
      <c r="J30" s="1565">
        <f t="shared" si="53"/>
        <v>0.9677419355</v>
      </c>
      <c r="K30" s="1561">
        <f>COUNTIFS('Лист15'!$H$1:$H1001,$K$1,'Лист15'!$A$1:$A1001,$C30)</f>
        <v>4</v>
      </c>
      <c r="L30" s="1564">
        <f>SUMIFS('Лист15'!$G$1:$G1001,'Лист15'!$H$1:$H1001,$K$1,'Лист15'!$A$1:$A1001,$C30)</f>
        <v>25</v>
      </c>
      <c r="M30" s="1565">
        <f t="shared" si="54"/>
        <v>0.8333333333</v>
      </c>
      <c r="N30" s="1561">
        <f>COUNTIFS('Лист15'!$H$1:$H1001,$N$1,'Лист15'!$A$1:$A1001,$C30)</f>
        <v>3</v>
      </c>
      <c r="O30" s="1564">
        <f>SUMIFS('Лист15'!$G$1:$G1001,'Лист15'!$H$1:$H1001,$N$1,'Лист15'!$A$1:$A1001,$C30)</f>
        <v>22</v>
      </c>
      <c r="P30" s="1566">
        <f t="shared" si="55"/>
        <v>0.7333333333</v>
      </c>
      <c r="Q30" s="1561">
        <f>COUNTIFS('Лист15'!$H$1:$H1001,$Q$1,'Лист15'!$A$1:$A1001,$C30)</f>
        <v>1</v>
      </c>
      <c r="R30" s="1564">
        <f>SUMIFS('Лист15'!$G$1:$G1001,'Лист15'!$H$1:$H1001,$Q$1,'Лист15'!$A$1:$A1001,$C30)</f>
        <v>5</v>
      </c>
      <c r="S30" s="1566">
        <f t="shared" si="56"/>
        <v>0.1666666667</v>
      </c>
      <c r="T30" s="1561">
        <f>COUNTIFS('Лист15'!$H$1:$H1001,$T$1,'Лист15'!$A$1:$A1001,$C30)</f>
        <v>0</v>
      </c>
      <c r="U30" s="1564">
        <f>SUMIFS('Лист15'!$G$1:$G1001,'Лист15'!$H$1:$H1001,$T$1,'Лист15'!$A$1:$A1001,$C30)</f>
        <v>0</v>
      </c>
      <c r="V30" s="1567">
        <f t="shared" si="57"/>
        <v>0</v>
      </c>
      <c r="W30" s="1568">
        <f>COUNTIFS('Лист15'!$H$1:$H1001,$W$1,'Лист15'!$A$1:$A1001,$C30)</f>
        <v>0</v>
      </c>
      <c r="X30" s="1569">
        <f>SUMIFS('Лист15'!$G$1:$G1001,'Лист15'!$H$1:$H1001,$W$1,'Лист15'!$A$1:$A1001,$C30)</f>
        <v>0</v>
      </c>
      <c r="Y30" s="1570">
        <f t="shared" si="50"/>
        <v>0</v>
      </c>
      <c r="Z30" s="1568">
        <f>COUNTIFS('Лист15'!$H$1:$H1001,$Z$1,'Лист15'!$A$1:$A1001,$C30)</f>
        <v>0</v>
      </c>
      <c r="AA30" s="1569">
        <f>SUMIFS('Лист15'!$G$1:$G1001,'Лист15'!$H$1:$H1001,$Z$1,'Лист15'!$A$1:$A1001,$C30)</f>
        <v>0</v>
      </c>
      <c r="AB30" s="1570">
        <f t="shared" si="51"/>
        <v>0</v>
      </c>
      <c r="AC30" s="1568">
        <f>COUNTIFS('Лист15'!$H$1:$H1001,$AC$1,'Лист15'!$A$1:$A1001,$C30)</f>
        <v>0</v>
      </c>
      <c r="AD30" s="1569">
        <f>SUMIFS('Лист15'!$G$1:$G1001,'Лист15'!$H$1:$H1001,$AC$1,'Лист15'!$A$1:$A1001,$C30)</f>
        <v>0</v>
      </c>
      <c r="AE30" s="1570">
        <f t="shared" si="52"/>
        <v>0</v>
      </c>
    </row>
    <row r="31" ht="17.25" customHeight="1">
      <c r="A31" s="1557" t="str">
        <f>'1. Справочник'!B36</f>
        <v>Борис</v>
      </c>
      <c r="B31" s="1558">
        <v>1.0</v>
      </c>
      <c r="C31" s="1559" t="str">
        <f>'1. Справочник'!C36</f>
        <v>C 4245</v>
      </c>
      <c r="D31" s="1560" t="str">
        <f>'Стратегия'!G3</f>
        <v>80/20</v>
      </c>
      <c r="E31" s="1561">
        <f>COUNTIFS('Лист15'!$H$1:$H1001,$E$1,'Лист15'!$A$1:$A1001,$C31)</f>
        <v>3</v>
      </c>
      <c r="F31" s="1561">
        <f>SUMIFS('Лист15'!$G$1:$G1001,'Лист15'!$H$1:$H1001,$E$1,'Лист15'!$A$1:$A1001,$C31)</f>
        <v>14</v>
      </c>
      <c r="G31" s="1562">
        <f t="shared" si="32"/>
        <v>0.4666666667</v>
      </c>
      <c r="H31" s="1563">
        <f>COUNTIFS('Лист15'!$H$1:$H1001,$H$1,'Лист15'!$A$1:$A1001,$C31)</f>
        <v>3</v>
      </c>
      <c r="I31" s="1564">
        <f>SUMIFS('Лист15'!$G$1:$G1001,'Лист15'!$H$1:$H1001,$H$1,'Лист15'!$A$1:$A1001,$C31)</f>
        <v>7</v>
      </c>
      <c r="J31" s="1565">
        <f t="shared" si="53"/>
        <v>0.2258064516</v>
      </c>
      <c r="K31" s="1561">
        <f>COUNTIFS('Лист15'!$H$1:$H1001,$K$1,'Лист15'!$A$1:$A1001,$C31)</f>
        <v>8</v>
      </c>
      <c r="L31" s="1564">
        <f>SUMIFS('Лист15'!$G$1:$G1001,'Лист15'!$H$1:$H1001,$K$1,'Лист15'!$A$1:$A1001,$C31)</f>
        <v>27</v>
      </c>
      <c r="M31" s="1565">
        <f t="shared" si="54"/>
        <v>0.9</v>
      </c>
      <c r="N31" s="1561">
        <f>COUNTIFS('Лист15'!$H$1:$H1001,$N$1,'Лист15'!$A$1:$A1001,$C31)</f>
        <v>5</v>
      </c>
      <c r="O31" s="1564">
        <f>SUMIFS('Лист15'!$G$1:$G1001,'Лист15'!$H$1:$H1001,$N$1,'Лист15'!$A$1:$A1001,$C31)</f>
        <v>26</v>
      </c>
      <c r="P31" s="1566">
        <f t="shared" si="55"/>
        <v>0.8666666667</v>
      </c>
      <c r="Q31" s="1561">
        <f>COUNTIFS('Лист15'!$H$1:$H1001,$Q$1,'Лист15'!$A$1:$A1001,$C31)</f>
        <v>2</v>
      </c>
      <c r="R31" s="1564">
        <f>SUMIFS('Лист15'!$G$1:$G1001,'Лист15'!$H$1:$H1001,$Q$1,'Лист15'!$A$1:$A1001,$C31)</f>
        <v>12</v>
      </c>
      <c r="S31" s="1566">
        <f t="shared" si="56"/>
        <v>0.4</v>
      </c>
      <c r="T31" s="1561">
        <f>COUNTIFS('Лист15'!$H$1:$H1001,$T$1,'Лист15'!$A$1:$A1001,$C31)</f>
        <v>0</v>
      </c>
      <c r="U31" s="1564">
        <f>SUMIFS('Лист15'!$G$1:$G1001,'Лист15'!$H$1:$H1001,$T$1,'Лист15'!$A$1:$A1001,$C31)</f>
        <v>0</v>
      </c>
      <c r="V31" s="1567">
        <f t="shared" si="57"/>
        <v>0</v>
      </c>
      <c r="W31" s="1568">
        <f>COUNTIFS('Лист15'!$H$1:$H1001,$W$1,'Лист15'!$A$1:$A1001,$C31)</f>
        <v>0</v>
      </c>
      <c r="X31" s="1569">
        <f>SUMIFS('Лист15'!$G$1:$G1001,'Лист15'!$H$1:$H1001,$W$1,'Лист15'!$A$1:$A1001,$C31)</f>
        <v>0</v>
      </c>
      <c r="Y31" s="1570">
        <f t="shared" si="50"/>
        <v>0</v>
      </c>
      <c r="Z31" s="1568">
        <f>COUNTIFS('Лист15'!$H$1:$H1001,$Z$1,'Лист15'!$A$1:$A1001,$C31)</f>
        <v>0</v>
      </c>
      <c r="AA31" s="1569">
        <f>SUMIFS('Лист15'!$G$1:$G1001,'Лист15'!$H$1:$H1001,$Z$1,'Лист15'!$A$1:$A1001,$C31)</f>
        <v>0</v>
      </c>
      <c r="AB31" s="1570">
        <f t="shared" si="51"/>
        <v>0</v>
      </c>
      <c r="AC31" s="1568">
        <f>COUNTIFS('Лист15'!$H$1:$H1001,$AC$1,'Лист15'!$A$1:$A1001,$C31)</f>
        <v>0</v>
      </c>
      <c r="AD31" s="1569">
        <f>SUMIFS('Лист15'!$G$1:$G1001,'Лист15'!$H$1:$H1001,$AC$1,'Лист15'!$A$1:$A1001,$C31)</f>
        <v>0</v>
      </c>
      <c r="AE31" s="1570">
        <f t="shared" si="52"/>
        <v>0</v>
      </c>
    </row>
    <row r="32" ht="17.25" customHeight="1">
      <c r="A32" s="1557" t="str">
        <f>'1. Справочник'!B37</f>
        <v>Борис</v>
      </c>
      <c r="B32" s="1558">
        <v>1.0</v>
      </c>
      <c r="C32" s="1559" t="str">
        <f>'1. Справочник'!C37</f>
        <v>А 4049</v>
      </c>
      <c r="D32" s="1560" t="str">
        <f>#REF!</f>
        <v>#REF!</v>
      </c>
      <c r="E32" s="1561">
        <f>COUNTIFS('Лист15'!$H$1:$H1001,$E$1,'Лист15'!$A$1:$A1001,$C32)</f>
        <v>5</v>
      </c>
      <c r="F32" s="1561">
        <f>SUMIFS('Лист15'!$G$1:$G1001,'Лист15'!$H$1:$H1001,$E$1,'Лист15'!$A$1:$A1001,$C32)</f>
        <v>27</v>
      </c>
      <c r="G32" s="1562">
        <f t="shared" si="32"/>
        <v>0.9</v>
      </c>
      <c r="H32" s="1563">
        <f>COUNTIFS('Лист15'!$H$1:$H1001,$H$1,'Лист15'!$A$1:$A1001,$C32)</f>
        <v>3</v>
      </c>
      <c r="I32" s="1564">
        <f>SUMIFS('Лист15'!$G$1:$G1001,'Лист15'!$H$1:$H1001,$H$1,'Лист15'!$A$1:$A1001,$C32)</f>
        <v>12</v>
      </c>
      <c r="J32" s="1565">
        <f t="shared" si="53"/>
        <v>0.3870967742</v>
      </c>
      <c r="K32" s="1561">
        <f>COUNTIFS('Лист15'!$H$1:$H1001,$K$1,'Лист15'!$A$1:$A1001,$C32)</f>
        <v>8</v>
      </c>
      <c r="L32" s="1564">
        <f>SUMIFS('Лист15'!$G$1:$G1001,'Лист15'!$H$1:$H1001,$K$1,'Лист15'!$A$1:$A1001,$C32)</f>
        <v>27</v>
      </c>
      <c r="M32" s="1571">
        <f t="shared" si="54"/>
        <v>0.9</v>
      </c>
      <c r="N32" s="1561">
        <f>COUNTIFS('Лист15'!$H$1:$H1001,$N$1,'Лист15'!$A$1:$A1001,$C32)</f>
        <v>5</v>
      </c>
      <c r="O32" s="1564">
        <f>SUMIFS('Лист15'!$G$1:$G1001,'Лист15'!$H$1:$H1001,$N$1,'Лист15'!$A$1:$A1001,$C32)</f>
        <v>24</v>
      </c>
      <c r="P32" s="1566">
        <f t="shared" si="55"/>
        <v>0.8</v>
      </c>
      <c r="Q32" s="1561">
        <f>COUNTIFS('Лист15'!$H$1:$H1001,$Q$1,'Лист15'!$A$1:$A1001,$C32)</f>
        <v>2</v>
      </c>
      <c r="R32" s="1564">
        <f>SUMIFS('Лист15'!$G$1:$G1001,'Лист15'!$H$1:$H1001,$Q$1,'Лист15'!$A$1:$A1001,$C32)</f>
        <v>10</v>
      </c>
      <c r="S32" s="1566">
        <f t="shared" si="56"/>
        <v>0.3333333333</v>
      </c>
      <c r="T32" s="1561">
        <f>COUNTIFS('Лист15'!$H$1:$H1001,$T$1,'Лист15'!$A$1:$A1001,$C32)</f>
        <v>0</v>
      </c>
      <c r="U32" s="1564">
        <f>SUMIFS('Лист15'!$G$1:$G1001,'Лист15'!$H$1:$H1001,$T$1,'Лист15'!$A$1:$A1001,$C32)</f>
        <v>0</v>
      </c>
      <c r="V32" s="1567">
        <f t="shared" si="57"/>
        <v>0</v>
      </c>
      <c r="W32" s="1568">
        <f>COUNTIFS('Лист15'!$H$1:$H1001,$W$1,'Лист15'!$A$1:$A1001,$C32)</f>
        <v>0</v>
      </c>
      <c r="X32" s="1569">
        <f>SUMIFS('Лист15'!$G$1:$G1001,'Лист15'!$H$1:$H1001,$W$1,'Лист15'!$A$1:$A1001,$C32)</f>
        <v>0</v>
      </c>
      <c r="Y32" s="1570">
        <f t="shared" si="50"/>
        <v>0</v>
      </c>
      <c r="Z32" s="1568">
        <f>COUNTIFS('Лист15'!$H$1:$H1001,$Z$1,'Лист15'!$A$1:$A1001,$C32)</f>
        <v>0</v>
      </c>
      <c r="AA32" s="1569">
        <f>SUMIFS('Лист15'!$G$1:$G1001,'Лист15'!$H$1:$H1001,$Z$1,'Лист15'!$A$1:$A1001,$C32)</f>
        <v>0</v>
      </c>
      <c r="AB32" s="1570">
        <f t="shared" si="51"/>
        <v>0</v>
      </c>
      <c r="AC32" s="1568">
        <f>COUNTIFS('Лист15'!$H$1:$H1001,$AC$1,'Лист15'!$A$1:$A1001,$C32)</f>
        <v>0</v>
      </c>
      <c r="AD32" s="1569">
        <f>SUMIFS('Лист15'!$G$1:$G1001,'Лист15'!$H$1:$H1001,$AC$1,'Лист15'!$A$1:$A1001,$C32)</f>
        <v>0</v>
      </c>
      <c r="AE32" s="1570">
        <f t="shared" si="52"/>
        <v>0</v>
      </c>
    </row>
    <row r="33" ht="17.25" customHeight="1">
      <c r="A33" s="1557" t="str">
        <f>'1. Справочник'!B38</f>
        <v>Борис</v>
      </c>
      <c r="B33" s="1558">
        <v>1.0</v>
      </c>
      <c r="C33" s="1559" t="str">
        <f>'1. Справочник'!C38</f>
        <v>C 732</v>
      </c>
      <c r="D33" s="1560" t="str">
        <f>'Стратегия'!G4</f>
        <v>90/10</v>
      </c>
      <c r="E33" s="1561">
        <f>COUNTIFS('Лист15'!$H$1:$H1001,$E$1,'Лист15'!$A$1:$A1001,$C33)</f>
        <v>0</v>
      </c>
      <c r="F33" s="1561">
        <f>SUMIFS('Лист15'!$G$1:$G1001,'Лист15'!$H$1:$H1001,$E$1,'Лист15'!$A$1:$A1001,$C33)</f>
        <v>0</v>
      </c>
      <c r="G33" s="1562">
        <f t="shared" si="32"/>
        <v>0</v>
      </c>
      <c r="H33" s="1563">
        <f>COUNTIFS('Лист15'!$H$1:$H1001,$H$1,'Лист15'!$A$1:$A1001,$C33)</f>
        <v>0</v>
      </c>
      <c r="I33" s="1573"/>
      <c r="J33" s="1574"/>
      <c r="K33" s="1560"/>
      <c r="L33" s="1573"/>
      <c r="M33" s="1574"/>
      <c r="N33" s="1560"/>
      <c r="O33" s="1573"/>
      <c r="P33" s="1574"/>
      <c r="Q33" s="1560"/>
      <c r="R33" s="1573"/>
      <c r="S33" s="1574"/>
      <c r="T33" s="1560"/>
      <c r="U33" s="1573"/>
      <c r="V33" s="1575"/>
      <c r="W33" s="1576"/>
      <c r="X33" s="1577"/>
      <c r="Y33" s="1578"/>
      <c r="Z33" s="1576">
        <f>COUNTIFS('Лист15'!$H$1:$H1001,$Z$1,'Лист15'!$A$1:$A1001,$C33)</f>
        <v>0</v>
      </c>
      <c r="AA33" s="1577">
        <f>SUMIFS('Лист15'!$G$1:$G1001,'Лист15'!$H$1:$H1001,$Z$1,'Лист15'!$A$1:$A1001,$C33)</f>
        <v>0</v>
      </c>
      <c r="AB33" s="1578"/>
      <c r="AC33" s="1576">
        <f>COUNTIFS('Лист15'!$H$1:$H1001,$AC$1,'Лист15'!$A$1:$A1001,$C33)</f>
        <v>0</v>
      </c>
      <c r="AD33" s="1577">
        <f>SUMIFS('Лист15'!$G$1:$G1001,'Лист15'!$H$1:$H1001,$AC$1,'Лист15'!$A$1:$A1001,$C33)</f>
        <v>0</v>
      </c>
      <c r="AE33" s="1578"/>
    </row>
    <row r="34" ht="17.25" customHeight="1">
      <c r="A34" s="1557" t="str">
        <f>'1. Справочник'!B39</f>
        <v>Борис</v>
      </c>
      <c r="B34" s="1558">
        <v>1.0</v>
      </c>
      <c r="C34" s="1559" t="str">
        <f>'1. Справочник'!C39</f>
        <v>С 2756</v>
      </c>
      <c r="D34" s="1560" t="str">
        <f>'Стратегия'!G5</f>
        <v>80/20</v>
      </c>
      <c r="E34" s="1561">
        <f>COUNTIFS('Лист15'!$H$1:$H1001,$E$1,'Лист15'!$A$1:$A1001,$C34)</f>
        <v>1</v>
      </c>
      <c r="F34" s="1561">
        <f>SUMIFS('Лист15'!$G$1:$G1001,'Лист15'!$H$1:$H1001,$E$1,'Лист15'!$A$1:$A1001,$C34)</f>
        <v>29</v>
      </c>
      <c r="G34" s="1562">
        <f t="shared" si="32"/>
        <v>0.9666666667</v>
      </c>
      <c r="H34" s="1563">
        <f>COUNTIFS('Лист15'!$H$1:$H1001,$H$1,'Лист15'!$A$1:$A1001,$C34)</f>
        <v>1</v>
      </c>
      <c r="I34" s="1564">
        <f>SUMIFS('Лист15'!$G$1:$G1001,'Лист15'!$H$1:$H1001,$H$1,'Лист15'!$A$1:$A1001,$C34)</f>
        <v>30</v>
      </c>
      <c r="J34" s="1565">
        <f t="shared" ref="J34:J38" si="58">I34/31</f>
        <v>0.9677419355</v>
      </c>
      <c r="K34" s="1561">
        <f>COUNTIFS('Лист15'!$H$1:$H1001,$K$1,'Лист15'!$A$1:$A1001,$C34)</f>
        <v>3</v>
      </c>
      <c r="L34" s="1564">
        <v>30.0</v>
      </c>
      <c r="M34" s="1565">
        <f t="shared" ref="M34:M36" si="59">L34/30</f>
        <v>1</v>
      </c>
      <c r="N34" s="1561">
        <f>COUNTIFS('Лист15'!$H$1:$H1001,$N$1,'Лист15'!$A$1:$A1001,$C34)</f>
        <v>3</v>
      </c>
      <c r="O34" s="1564">
        <f>SUMIFS('Лист15'!$G$1:$G1001,'Лист15'!$H$1:$H1001,$N$1,'Лист15'!$A$1:$A1001,$C34)</f>
        <v>45</v>
      </c>
      <c r="P34" s="1566">
        <f t="shared" ref="P34:P38" si="60">O34/30</f>
        <v>1.5</v>
      </c>
      <c r="Q34" s="1561">
        <f>COUNTIFS('Лист15'!$H$1:$H1001,$Q$1,'Лист15'!$A$1:$A1001,$C34)</f>
        <v>0</v>
      </c>
      <c r="R34" s="1564">
        <f>SUMIFS('Лист15'!$G$1:$G1001,'Лист15'!$H$1:$H1001,$Q$1,'Лист15'!$A$1:$A1001,$C34)</f>
        <v>0</v>
      </c>
      <c r="S34" s="1566">
        <f t="shared" ref="S34:S38" si="61">R34/30</f>
        <v>0</v>
      </c>
      <c r="T34" s="1561">
        <f>COUNTIFS('Лист15'!$H$1:$H1001,$T$1,'Лист15'!$A$1:$A1001,$C34)</f>
        <v>0</v>
      </c>
      <c r="U34" s="1564">
        <f>SUMIFS('Лист15'!$G$1:$G1001,'Лист15'!$H$1:$H1001,$T$1,'Лист15'!$A$1:$A1001,$C34)</f>
        <v>0</v>
      </c>
      <c r="V34" s="1567">
        <f t="shared" ref="V34:V38" si="62">U34/30</f>
        <v>0</v>
      </c>
      <c r="W34" s="1568">
        <f>COUNTIFS('Лист15'!$H$1:$H1001,$W$1,'Лист15'!$A$1:$A1001,$C34)</f>
        <v>0</v>
      </c>
      <c r="X34" s="1569">
        <f>SUMIFS('Лист15'!$G$1:$G1001,'Лист15'!$H$1:$H1001,$W$1,'Лист15'!$A$1:$A1001,$C34)</f>
        <v>0</v>
      </c>
      <c r="Y34" s="1570">
        <f t="shared" ref="Y34:Y43" si="63">X34/30</f>
        <v>0</v>
      </c>
      <c r="Z34" s="1568">
        <f>COUNTIFS('Лист15'!$H$1:$H1001,$Z$1,'Лист15'!$A$1:$A1001,$C34)</f>
        <v>0</v>
      </c>
      <c r="AA34" s="1569">
        <f>SUMIFS('Лист15'!$G$1:$G1001,'Лист15'!$H$1:$H1001,$Z$1,'Лист15'!$A$1:$A1001,$C34)</f>
        <v>0</v>
      </c>
      <c r="AB34" s="1570">
        <f t="shared" ref="AB34:AB49" si="64">AA34/30</f>
        <v>0</v>
      </c>
      <c r="AC34" s="1568">
        <f>COUNTIFS('Лист15'!$H$1:$H1001,$AC$1,'Лист15'!$A$1:$A1001,$C34)</f>
        <v>0</v>
      </c>
      <c r="AD34" s="1569">
        <f>SUMIFS('Лист15'!$G$1:$G1001,'Лист15'!$H$1:$H1001,$AC$1,'Лист15'!$A$1:$A1001,$C34)</f>
        <v>0</v>
      </c>
      <c r="AE34" s="1570">
        <f t="shared" ref="AE34:AE43" si="65">AD34/30</f>
        <v>0</v>
      </c>
    </row>
    <row r="35" ht="17.25" customHeight="1">
      <c r="A35" s="1580" t="str">
        <f>'1. Справочник'!B40</f>
        <v>Борис</v>
      </c>
      <c r="B35" s="1558">
        <v>1.0</v>
      </c>
      <c r="C35" s="1581" t="str">
        <f>'1. Справочник'!C40</f>
        <v>D 1321</v>
      </c>
      <c r="D35" s="1560" t="str">
        <f>'Стратегия'!G6</f>
        <v>80/20</v>
      </c>
      <c r="E35" s="1561">
        <f>COUNTIFS('Лист15'!$H$1:$H1001,$E$1,'Лист15'!$A$1:$A1001,$C35)</f>
        <v>0</v>
      </c>
      <c r="F35" s="1561">
        <f>SUMIFS('Лист15'!$G$1:$G1001,'Лист15'!$H$1:$H1001,$E$1,'Лист15'!$A$1:$A1001,$C35)</f>
        <v>0</v>
      </c>
      <c r="G35" s="1562">
        <f t="shared" si="32"/>
        <v>0</v>
      </c>
      <c r="H35" s="1563">
        <f>COUNTIFS('Лист15'!$H$1:$H1001,$H$1,'Лист15'!$A$1:$A1001,$C35)</f>
        <v>3</v>
      </c>
      <c r="I35" s="1564">
        <f>SUMIFS('Лист15'!$G$1:$G1001,'Лист15'!$H$1:$H1001,$H$1,'Лист15'!$A$1:$A1001,$C35)</f>
        <v>18</v>
      </c>
      <c r="J35" s="1565">
        <f t="shared" si="58"/>
        <v>0.5806451613</v>
      </c>
      <c r="K35" s="1561">
        <f>COUNTIFS('Лист15'!$H$1:$H1001,$K$1,'Лист15'!$A$1:$A1001,$C35)</f>
        <v>3</v>
      </c>
      <c r="L35" s="1564">
        <f>SUMIFS('Лист15'!$G$1:$G1001,'Лист15'!$H$1:$H1001,$K$1,'Лист15'!$A$1:$A1001,$C35)</f>
        <v>17</v>
      </c>
      <c r="M35" s="1571">
        <f t="shared" si="59"/>
        <v>0.5666666667</v>
      </c>
      <c r="N35" s="1561">
        <f>COUNTIFS('Лист15'!$H$1:$H1001,$N$1,'Лист15'!$A$1:$A1001,$C35)</f>
        <v>5</v>
      </c>
      <c r="O35" s="1564">
        <f>SUMIFS('Лист15'!$G$1:$G1001,'Лист15'!$H$1:$H1001,$N$1,'Лист15'!$A$1:$A1001,$C35)</f>
        <v>40</v>
      </c>
      <c r="P35" s="1566">
        <f t="shared" si="60"/>
        <v>1.333333333</v>
      </c>
      <c r="Q35" s="1561">
        <f>COUNTIFS('Лист15'!$H$1:$H1001,$Q$1,'Лист15'!$A$1:$A1001,$C35)</f>
        <v>0</v>
      </c>
      <c r="R35" s="1564">
        <f>SUMIFS('Лист15'!$G$1:$G1001,'Лист15'!$H$1:$H1001,$Q$1,'Лист15'!$A$1:$A1001,$C35)</f>
        <v>0</v>
      </c>
      <c r="S35" s="1566">
        <f t="shared" si="61"/>
        <v>0</v>
      </c>
      <c r="T35" s="1561">
        <f>COUNTIFS('Лист15'!$H$1:$H1001,$T$1,'Лист15'!$A$1:$A1001,$C35)</f>
        <v>0</v>
      </c>
      <c r="U35" s="1564">
        <f>SUMIFS('Лист15'!$G$1:$G1001,'Лист15'!$H$1:$H1001,$T$1,'Лист15'!$A$1:$A1001,$C35)</f>
        <v>0</v>
      </c>
      <c r="V35" s="1567">
        <f t="shared" si="62"/>
        <v>0</v>
      </c>
      <c r="W35" s="1568">
        <f>COUNTIFS('Лист15'!$H$1:$H1001,$W$1,'Лист15'!$A$1:$A1001,$C35)</f>
        <v>0</v>
      </c>
      <c r="X35" s="1569">
        <f>SUMIFS('Лист15'!$G$1:$G1001,'Лист15'!$H$1:$H1001,$W$1,'Лист15'!$A$1:$A1001,$C35)</f>
        <v>0</v>
      </c>
      <c r="Y35" s="1570">
        <f t="shared" si="63"/>
        <v>0</v>
      </c>
      <c r="Z35" s="1568">
        <f>COUNTIFS('Лист15'!$H$1:$H1001,$Z$1,'Лист15'!$A$1:$A1001,$C35)</f>
        <v>0</v>
      </c>
      <c r="AA35" s="1569">
        <f>SUMIFS('Лист15'!$G$1:$G1001,'Лист15'!$H$1:$H1001,$Z$1,'Лист15'!$A$1:$A1001,$C35)</f>
        <v>0</v>
      </c>
      <c r="AB35" s="1570">
        <f t="shared" si="64"/>
        <v>0</v>
      </c>
      <c r="AC35" s="1568">
        <f>COUNTIFS('Лист15'!$H$1:$H1001,$AC$1,'Лист15'!$A$1:$A1001,$C35)</f>
        <v>0</v>
      </c>
      <c r="AD35" s="1569">
        <f>SUMIFS('Лист15'!$G$1:$G1001,'Лист15'!$H$1:$H1001,$AC$1,'Лист15'!$A$1:$A1001,$C35)</f>
        <v>0</v>
      </c>
      <c r="AE35" s="1570">
        <f t="shared" si="65"/>
        <v>0</v>
      </c>
    </row>
    <row r="36" ht="17.25" customHeight="1">
      <c r="A36" s="1580" t="str">
        <f>'1. Справочник'!B41</f>
        <v>Борис</v>
      </c>
      <c r="B36" s="1558">
        <v>1.0</v>
      </c>
      <c r="C36" s="1581" t="str">
        <f>'1. Справочник'!C41</f>
        <v>D2 1625</v>
      </c>
      <c r="D36" s="1560" t="str">
        <f>'Стратегия'!G8</f>
        <v>80/20</v>
      </c>
      <c r="E36" s="1561">
        <f>COUNTIFS('Лист15'!$H$1:$H1001,$E$1,'Лист15'!$A$1:$A1001,$C36)</f>
        <v>2</v>
      </c>
      <c r="F36" s="1561">
        <f>SUMIFS('Лист15'!$G$1:$G1001,'Лист15'!$H$1:$H1001,$E$1,'Лист15'!$A$1:$A1001,$C36)</f>
        <v>16</v>
      </c>
      <c r="G36" s="1562">
        <f t="shared" si="32"/>
        <v>0.5333333333</v>
      </c>
      <c r="H36" s="1563">
        <f>COUNTIFS('Лист15'!$H$1:$H1001,$H$1,'Лист15'!$A$1:$A1001,$C36)</f>
        <v>6</v>
      </c>
      <c r="I36" s="1564">
        <f>SUMIFS('Лист15'!$G$1:$G1001,'Лист15'!$H$1:$H1001,$H$1,'Лист15'!$A$1:$A1001,$C36)</f>
        <v>17</v>
      </c>
      <c r="J36" s="1565">
        <f t="shared" si="58"/>
        <v>0.5483870968</v>
      </c>
      <c r="K36" s="1561">
        <f>COUNTIFS('Лист15'!$H$1:$H1001,$K$1,'Лист15'!$A$1:$A1001,$C36)</f>
        <v>4</v>
      </c>
      <c r="L36" s="1564">
        <f>SUMIFS('Лист15'!$G$1:$G1001,'Лист15'!$H$1:$H1001,$K$1,'Лист15'!$A$1:$A1001,$C36)</f>
        <v>22</v>
      </c>
      <c r="M36" s="1565">
        <f t="shared" si="59"/>
        <v>0.7333333333</v>
      </c>
      <c r="N36" s="1561">
        <f>COUNTIFS('Лист15'!$H$1:$H1001,$N$1,'Лист15'!$A$1:$A1001,$C36)</f>
        <v>5</v>
      </c>
      <c r="O36" s="1564">
        <f>SUMIFS('Лист15'!$G$1:$G1001,'Лист15'!$H$1:$H1001,$N$1,'Лист15'!$A$1:$A1001,$C36)</f>
        <v>19</v>
      </c>
      <c r="P36" s="1566">
        <f t="shared" si="60"/>
        <v>0.6333333333</v>
      </c>
      <c r="Q36" s="1561">
        <f>COUNTIFS('Лист15'!$H$1:$H1001,$Q$1,'Лист15'!$A$1:$A1001,$C36)</f>
        <v>2</v>
      </c>
      <c r="R36" s="1564">
        <f>SUMIFS('Лист15'!$G$1:$G1001,'Лист15'!$H$1:$H1001,$Q$1,'Лист15'!$A$1:$A1001,$C36)</f>
        <v>15</v>
      </c>
      <c r="S36" s="1566">
        <f t="shared" si="61"/>
        <v>0.5</v>
      </c>
      <c r="T36" s="1561">
        <f>COUNTIFS('Лист15'!$H$1:$H1001,$T$1,'Лист15'!$A$1:$A1001,$C36)</f>
        <v>0</v>
      </c>
      <c r="U36" s="1564">
        <f>SUMIFS('Лист15'!$G$1:$G1001,'Лист15'!$H$1:$H1001,$T$1,'Лист15'!$A$1:$A1001,$C36)</f>
        <v>0</v>
      </c>
      <c r="V36" s="1567">
        <f t="shared" si="62"/>
        <v>0</v>
      </c>
      <c r="W36" s="1568">
        <f>COUNTIFS('Лист15'!$H$1:$H1001,$W$1,'Лист15'!$A$1:$A1001,$C36)</f>
        <v>0</v>
      </c>
      <c r="X36" s="1569">
        <f>SUMIFS('Лист15'!$G$1:$G1001,'Лист15'!$H$1:$H1001,$W$1,'Лист15'!$A$1:$A1001,$C36)</f>
        <v>0</v>
      </c>
      <c r="Y36" s="1570">
        <f t="shared" si="63"/>
        <v>0</v>
      </c>
      <c r="Z36" s="1568">
        <f>COUNTIFS('Лист15'!$H$1:$H1001,$Z$1,'Лист15'!$A$1:$A1001,$C36)</f>
        <v>0</v>
      </c>
      <c r="AA36" s="1569">
        <f>SUMIFS('Лист15'!$G$1:$G1001,'Лист15'!$H$1:$H1001,$Z$1,'Лист15'!$A$1:$A1001,$C36)</f>
        <v>0</v>
      </c>
      <c r="AB36" s="1570">
        <f t="shared" si="64"/>
        <v>0</v>
      </c>
      <c r="AC36" s="1568">
        <f>COUNTIFS('Лист15'!$H$1:$H1001,$AC$1,'Лист15'!$A$1:$A1001,$C36)</f>
        <v>0</v>
      </c>
      <c r="AD36" s="1569">
        <f>SUMIFS('Лист15'!$G$1:$G1001,'Лист15'!$H$1:$H1001,$AC$1,'Лист15'!$A$1:$A1001,$C36)</f>
        <v>0</v>
      </c>
      <c r="AE36" s="1570">
        <f t="shared" si="65"/>
        <v>0</v>
      </c>
    </row>
    <row r="37" ht="17.25" customHeight="1">
      <c r="A37" s="1580" t="str">
        <f>'1. Справочник'!B42</f>
        <v>Борис</v>
      </c>
      <c r="B37" s="1558">
        <v>1.0</v>
      </c>
      <c r="C37" s="1581" t="str">
        <f>'1. Справочник'!C42</f>
        <v>D2 3216</v>
      </c>
      <c r="D37" s="1560" t="str">
        <f>'Стратегия'!G9</f>
        <v>90/10</v>
      </c>
      <c r="E37" s="1561">
        <f>COUNTIFS('Лист15'!$H$1:$H1001,$E$1,'Лист15'!$A$1:$A1001,$C37)</f>
        <v>0</v>
      </c>
      <c r="F37" s="1561">
        <f>SUMIFS('Лист15'!$G$1:$G1001,'Лист15'!$H$1:$H1001,$E$1,'Лист15'!$A$1:$A1001,$C37)</f>
        <v>0</v>
      </c>
      <c r="G37" s="1562">
        <f t="shared" si="32"/>
        <v>0</v>
      </c>
      <c r="H37" s="1563">
        <f>COUNTIFS('Лист15'!$H$1:$H1001,$H$1,'Лист15'!$A$1:$A1001,$C37)</f>
        <v>2</v>
      </c>
      <c r="I37" s="1564">
        <f>SUMIFS('Лист15'!$G$1:$G1001,'Лист15'!$H$1:$H1001,$H$1,'Лист15'!$A$1:$A1001,$C37)</f>
        <v>15</v>
      </c>
      <c r="J37" s="1565">
        <f t="shared" si="58"/>
        <v>0.4838709677</v>
      </c>
      <c r="K37" s="1561">
        <f>COUNTIFS('Лист15'!$H$1:$H1001,$K$1,'Лист15'!$A$1:$A1001,$C37)</f>
        <v>4</v>
      </c>
      <c r="L37" s="1564">
        <f>SUMIFS('Лист15'!$G$1:$G1001,'Лист15'!$H$1:$H1001,$K$1,'Лист15'!$A$1:$A1001,$C37)</f>
        <v>15</v>
      </c>
      <c r="M37" s="1565"/>
      <c r="N37" s="1561">
        <f>COUNTIFS('Лист15'!$H$1:$H1001,$N$1,'Лист15'!$A$1:$A1001,$C37)</f>
        <v>3</v>
      </c>
      <c r="O37" s="1564">
        <f>SUMIFS('Лист15'!$G$1:$G1001,'Лист15'!$H$1:$H1001,$N$1,'Лист15'!$A$1:$A1001,$C37)</f>
        <v>18</v>
      </c>
      <c r="P37" s="1566">
        <f t="shared" si="60"/>
        <v>0.6</v>
      </c>
      <c r="Q37" s="1561">
        <f>COUNTIFS('Лист15'!$H$1:$H1001,$Q$1,'Лист15'!$A$1:$A1001,$C37)</f>
        <v>1</v>
      </c>
      <c r="R37" s="1564">
        <f>SUMIFS('Лист15'!$G$1:$G1001,'Лист15'!$H$1:$H1001,$Q$1,'Лист15'!$A$1:$A1001,$C37)</f>
        <v>6</v>
      </c>
      <c r="S37" s="1566">
        <f t="shared" si="61"/>
        <v>0.2</v>
      </c>
      <c r="T37" s="1561">
        <f>COUNTIFS('Лист15'!$H$1:$H1001,$T$1,'Лист15'!$A$1:$A1001,$C37)</f>
        <v>0</v>
      </c>
      <c r="U37" s="1564">
        <f>SUMIFS('Лист15'!$G$1:$G1001,'Лист15'!$H$1:$H1001,$T$1,'Лист15'!$A$1:$A1001,$C37)</f>
        <v>0</v>
      </c>
      <c r="V37" s="1567">
        <f t="shared" si="62"/>
        <v>0</v>
      </c>
      <c r="W37" s="1568">
        <f>COUNTIFS('Лист15'!$H$1:$H1001,$W$1,'Лист15'!$A$1:$A1001,$C37)</f>
        <v>0</v>
      </c>
      <c r="X37" s="1569">
        <f>SUMIFS('Лист15'!$G$1:$G1001,'Лист15'!$H$1:$H1001,$W$1,'Лист15'!$A$1:$A1001,$C37)</f>
        <v>0</v>
      </c>
      <c r="Y37" s="1570">
        <f t="shared" si="63"/>
        <v>0</v>
      </c>
      <c r="Z37" s="1568">
        <f>COUNTIFS('Лист15'!$H$1:$H1001,$Z$1,'Лист15'!$A$1:$A1001,$C37)</f>
        <v>0</v>
      </c>
      <c r="AA37" s="1569">
        <f>SUMIFS('Лист15'!$G$1:$G1001,'Лист15'!$H$1:$H1001,$Z$1,'Лист15'!$A$1:$A1001,$C37)</f>
        <v>0</v>
      </c>
      <c r="AB37" s="1570">
        <f t="shared" si="64"/>
        <v>0</v>
      </c>
      <c r="AC37" s="1568">
        <f>COUNTIFS('Лист15'!$H$1:$H1001,$AC$1,'Лист15'!$A$1:$A1001,$C37)</f>
        <v>1</v>
      </c>
      <c r="AD37" s="1569">
        <f>SUMIFS('Лист15'!$G$1:$G1001,'Лист15'!$H$1:$H1001,$AC$1,'Лист15'!$A$1:$A1001,$C37)</f>
        <v>0</v>
      </c>
      <c r="AE37" s="1570">
        <f t="shared" si="65"/>
        <v>0</v>
      </c>
    </row>
    <row r="38" ht="17.25" customHeight="1">
      <c r="A38" s="1580" t="str">
        <f>'1. Справочник'!B43</f>
        <v>Борис</v>
      </c>
      <c r="B38" s="1558">
        <v>1.0</v>
      </c>
      <c r="C38" s="1581" t="str">
        <f>'1. Справочник'!C43</f>
        <v>D1 3902</v>
      </c>
      <c r="D38" s="1560" t="str">
        <f>'Стратегия'!G10</f>
        <v>80/20</v>
      </c>
      <c r="E38" s="1561">
        <f>COUNTIFS('Лист15'!$H$1:$H1001,$E$1,'Лист15'!$A$1:$A1001,$C38)</f>
        <v>0</v>
      </c>
      <c r="F38" s="1561">
        <f>SUMIFS('Лист15'!$G$1:$G1001,'Лист15'!$H$1:$H1001,$E$1,'Лист15'!$A$1:$A1001,$C38)</f>
        <v>0</v>
      </c>
      <c r="G38" s="1562">
        <f t="shared" si="32"/>
        <v>0</v>
      </c>
      <c r="H38" s="1563">
        <f>COUNTIFS('Лист15'!$H$1:$H1001,$H$1,'Лист15'!$A$1:$A1001,$C38)</f>
        <v>0</v>
      </c>
      <c r="I38" s="1564">
        <f>SUMIFS('Лист15'!$G$1:$G1001,'Лист15'!$H$1:$H1001,$H$1,'Лист15'!$A$1:$A1001,$C38)</f>
        <v>0</v>
      </c>
      <c r="J38" s="1565">
        <f t="shared" si="58"/>
        <v>0</v>
      </c>
      <c r="K38" s="1561">
        <f>COUNTIFS('Лист15'!$H$1:$H1001,$K$1,'Лист15'!$A$1:$A1001,$C38)</f>
        <v>0</v>
      </c>
      <c r="L38" s="1564">
        <f>SUMIFS('Лист15'!$G$1:$G1001,'Лист15'!$H$1:$H1001,$K$1,'Лист15'!$A$1:$A1001,$C38)</f>
        <v>0</v>
      </c>
      <c r="M38" s="1565">
        <f>L38/30</f>
        <v>0</v>
      </c>
      <c r="N38" s="1561">
        <f>COUNTIFS('Лист15'!$H$1:$H1001,$N$1,'Лист15'!$A$1:$A1001,$C38)</f>
        <v>2</v>
      </c>
      <c r="O38" s="1564">
        <f>SUMIFS('Лист15'!$G$1:$G1001,'Лист15'!$H$1:$H1001,$N$1,'Лист15'!$A$1:$A1001,$C38)</f>
        <v>8</v>
      </c>
      <c r="P38" s="1566">
        <f t="shared" si="60"/>
        <v>0.2666666667</v>
      </c>
      <c r="Q38" s="1561">
        <f>COUNTIFS('Лист15'!$H$1:$H1001,$Q$1,'Лист15'!$A$1:$A1001,$C38)</f>
        <v>1</v>
      </c>
      <c r="R38" s="1564">
        <f>SUMIFS('Лист15'!$G$1:$G1001,'Лист15'!$H$1:$H1001,$Q$1,'Лист15'!$A$1:$A1001,$C38)</f>
        <v>3</v>
      </c>
      <c r="S38" s="1566">
        <f t="shared" si="61"/>
        <v>0.1</v>
      </c>
      <c r="T38" s="1561">
        <f>COUNTIFS('Лист15'!$H$1:$H1001,$T$1,'Лист15'!$A$1:$A1001,$C38)</f>
        <v>0</v>
      </c>
      <c r="U38" s="1564">
        <f>SUMIFS('Лист15'!$G$1:$G1001,'Лист15'!$H$1:$H1001,$T$1,'Лист15'!$A$1:$A1001,$C38)</f>
        <v>0</v>
      </c>
      <c r="V38" s="1567">
        <f t="shared" si="62"/>
        <v>0</v>
      </c>
      <c r="W38" s="1568">
        <f>COUNTIFS('Лист15'!$H$1:$H1001,$W$1,'Лист15'!$A$1:$A1001,$C38)</f>
        <v>0</v>
      </c>
      <c r="X38" s="1569">
        <f>SUMIFS('Лист15'!$G$1:$G1001,'Лист15'!$H$1:$H1001,$W$1,'Лист15'!$A$1:$A1001,$C38)</f>
        <v>0</v>
      </c>
      <c r="Y38" s="1570">
        <f t="shared" si="63"/>
        <v>0</v>
      </c>
      <c r="Z38" s="1568">
        <f>COUNTIFS('Лист15'!$H$1:$H1001,$Z$1,'Лист15'!$A$1:$A1001,$C38)</f>
        <v>0</v>
      </c>
      <c r="AA38" s="1569">
        <f>SUMIFS('Лист15'!$G$1:$G1001,'Лист15'!$H$1:$H1001,$Z$1,'Лист15'!$A$1:$A1001,$C38)</f>
        <v>0</v>
      </c>
      <c r="AB38" s="1570">
        <f t="shared" si="64"/>
        <v>0</v>
      </c>
      <c r="AC38" s="1568">
        <f>COUNTIFS('Лист15'!$H$1:$H1001,$AC$1,'Лист15'!$A$1:$A1001,$C38)</f>
        <v>0</v>
      </c>
      <c r="AD38" s="1569">
        <f>SUMIFS('Лист15'!$G$1:$G1001,'Лист15'!$H$1:$H1001,$AC$1,'Лист15'!$A$1:$A1001,$C38)</f>
        <v>0</v>
      </c>
      <c r="AE38" s="1570">
        <f t="shared" si="65"/>
        <v>0</v>
      </c>
    </row>
    <row r="39" ht="17.25" customHeight="1">
      <c r="A39" s="1580" t="str">
        <f>'1. Справочник'!B44</f>
        <v>Борис</v>
      </c>
      <c r="B39" s="1558">
        <v>1.0</v>
      </c>
      <c r="C39" s="1581" t="str">
        <f>'1. Справочник'!C44</f>
        <v>D2 503</v>
      </c>
      <c r="D39" s="1560"/>
      <c r="E39" s="1561"/>
      <c r="F39" s="1561"/>
      <c r="G39" s="1562"/>
      <c r="H39" s="1563"/>
      <c r="I39" s="1564"/>
      <c r="J39" s="1565"/>
      <c r="K39" s="1561"/>
      <c r="L39" s="1564"/>
      <c r="M39" s="1571"/>
      <c r="N39" s="1561"/>
      <c r="O39" s="1564"/>
      <c r="P39" s="1566"/>
      <c r="Q39" s="1561"/>
      <c r="R39" s="1564"/>
      <c r="S39" s="1566"/>
      <c r="T39" s="1561">
        <f>COUNTIFS('Лист15'!$H$1:$H1001,$T$1,'Лист15'!$A$1:$A1001,$C39)</f>
        <v>0</v>
      </c>
      <c r="U39" s="1564">
        <f>SUMIFS('Лист15'!$G$1:$G1001,'Лист15'!$H$1:$H1001,$T$1,'Лист15'!$A$1:$A1001,$C39)</f>
        <v>0</v>
      </c>
      <c r="V39" s="1567"/>
      <c r="W39" s="1568">
        <f>COUNTIFS('Лист15'!$H$1:$H1001,$W$1,'Лист15'!$A$1:$A1001,$C39)</f>
        <v>0</v>
      </c>
      <c r="X39" s="1569">
        <f>SUMIFS('Лист15'!$G$1:$G1001,'Лист15'!$H$1:$H1001,$W$1,'Лист15'!$A$1:$A1001,$C39)</f>
        <v>0</v>
      </c>
      <c r="Y39" s="1570">
        <f t="shared" si="63"/>
        <v>0</v>
      </c>
      <c r="Z39" s="1568">
        <f>COUNTIFS('Лист15'!$H$1:$H1001,$Z$1,'Лист15'!$A$1:$A1001,$C39)</f>
        <v>0</v>
      </c>
      <c r="AA39" s="1569">
        <f>SUMIFS('Лист15'!$G$1:$G1001,'Лист15'!$H$1:$H1001,$Z$1,'Лист15'!$A$1:$A1001,$C39)</f>
        <v>0</v>
      </c>
      <c r="AB39" s="1570">
        <f t="shared" si="64"/>
        <v>0</v>
      </c>
      <c r="AC39" s="1568">
        <f>COUNTIFS('Лист15'!$H$1:$H1001,$AC$1,'Лист15'!$A$1:$A1001,$C39)</f>
        <v>0</v>
      </c>
      <c r="AD39" s="1569">
        <f>SUMIFS('Лист15'!$G$1:$G1001,'Лист15'!$H$1:$H1001,$AC$1,'Лист15'!$A$1:$A1001,$C39)</f>
        <v>0</v>
      </c>
      <c r="AE39" s="1570">
        <f t="shared" si="65"/>
        <v>0</v>
      </c>
    </row>
    <row r="40" ht="17.25" customHeight="1">
      <c r="A40" s="1580" t="str">
        <f>'1. Справочник'!B45</f>
        <v>Дина</v>
      </c>
      <c r="B40" s="1558">
        <v>1.0</v>
      </c>
      <c r="C40" s="1581" t="str">
        <f>'1. Справочник'!C45</f>
        <v>CM 1604</v>
      </c>
      <c r="D40" s="1560" t="str">
        <f>'Стратегия'!G46</f>
        <v>80/20</v>
      </c>
      <c r="E40" s="1561">
        <f>COUNTIFS('Лист15'!$H$1:$H1001,$E$1,'Лист15'!$A$1:$A1001,$C40)</f>
        <v>4</v>
      </c>
      <c r="F40" s="1561">
        <f>SUMIFS('Лист15'!$G$1:$G1001,'Лист15'!$H$1:$H1001,$E$1,'Лист15'!$A$1:$A1001,$C40)</f>
        <v>18</v>
      </c>
      <c r="G40" s="1562">
        <f t="shared" ref="G40:G42" si="66">F40/30</f>
        <v>0.6</v>
      </c>
      <c r="H40" s="1563">
        <f>COUNTIFS('Лист15'!$H$1:$H1001,$H$1,'Лист15'!$A$1:$A1001,$C40)</f>
        <v>3</v>
      </c>
      <c r="I40" s="1564">
        <f>SUMIFS('Лист15'!$G$1:$G1001,'Лист15'!$H$1:$H1001,$H$1,'Лист15'!$A$1:$A1001,$C40)</f>
        <v>13</v>
      </c>
      <c r="J40" s="1565">
        <f t="shared" ref="J40:J42" si="67">I40/31</f>
        <v>0.4193548387</v>
      </c>
      <c r="K40" s="1561">
        <f>COUNTIFS('Лист15'!$H$1:$H1001,$K$1,'Лист15'!$A$1:$A1001,$C40)</f>
        <v>4</v>
      </c>
      <c r="L40" s="1564">
        <f>SUMIFS('Лист15'!$G$1:$G1001,'Лист15'!$H$1:$H1001,$K$1,'Лист15'!$A$1:$A1001,$C40)</f>
        <v>17</v>
      </c>
      <c r="M40" s="1571">
        <f t="shared" ref="M40:M42" si="68">L40/30</f>
        <v>0.5666666667</v>
      </c>
      <c r="N40" s="1561">
        <f>COUNTIFS('Лист15'!$H$1:$H1001,$N$1,'Лист15'!$A$1:$A1001,$C40)</f>
        <v>8</v>
      </c>
      <c r="O40" s="1564">
        <f>SUMIFS('Лист15'!$G$1:$G1001,'Лист15'!$H$1:$H1001,$N$1,'Лист15'!$A$1:$A1001,$C40)</f>
        <v>30</v>
      </c>
      <c r="P40" s="1566">
        <f t="shared" ref="P40:P42" si="69">O40/30</f>
        <v>1</v>
      </c>
      <c r="Q40" s="1561">
        <f>COUNTIFS('Лист15'!$H$1:$H1001,$Q$1,'Лист15'!$A$1:$A1001,$C40)</f>
        <v>2</v>
      </c>
      <c r="R40" s="1564">
        <f>SUMIFS('Лист15'!$G$1:$G1001,'Лист15'!$H$1:$H1001,$Q$1,'Лист15'!$A$1:$A1001,$C40)</f>
        <v>11</v>
      </c>
      <c r="S40" s="1566">
        <f t="shared" ref="S40:S42" si="70">R40/30</f>
        <v>0.3666666667</v>
      </c>
      <c r="T40" s="1561">
        <f>COUNTIFS('Лист15'!$H$1:$H1001,$T$1,'Лист15'!$A$1:$A1001,$C40)</f>
        <v>0</v>
      </c>
      <c r="U40" s="1564">
        <f>SUMIFS('Лист15'!$G$1:$G1001,'Лист15'!$H$1:$H1001,$T$1,'Лист15'!$A$1:$A1001,$C40)</f>
        <v>0</v>
      </c>
      <c r="V40" s="1567">
        <f t="shared" ref="V40:V42" si="71">U40/30</f>
        <v>0</v>
      </c>
      <c r="W40" s="1568">
        <f>COUNTIFS('Лист15'!$H$1:$H1001,$W$1,'Лист15'!$A$1:$A1001,$C40)</f>
        <v>0</v>
      </c>
      <c r="X40" s="1569">
        <f>SUMIFS('Лист15'!$G$1:$G1001,'Лист15'!$H$1:$H1001,$W$1,'Лист15'!$A$1:$A1001,$C40)</f>
        <v>0</v>
      </c>
      <c r="Y40" s="1570">
        <f t="shared" si="63"/>
        <v>0</v>
      </c>
      <c r="Z40" s="1568">
        <f>COUNTIFS('Лист15'!$H$1:$H1001,$Z$1,'Лист15'!$A$1:$A1001,$C40)</f>
        <v>0</v>
      </c>
      <c r="AA40" s="1569">
        <f>SUMIFS('Лист15'!$G$1:$G1001,'Лист15'!$H$1:$H1001,$Z$1,'Лист15'!$A$1:$A1001,$C40)</f>
        <v>0</v>
      </c>
      <c r="AB40" s="1570">
        <f t="shared" si="64"/>
        <v>0</v>
      </c>
      <c r="AC40" s="1568">
        <f>COUNTIFS('Лист15'!$H$1:$H1001,$AC$1,'Лист15'!$A$1:$A1001,$C40)</f>
        <v>0</v>
      </c>
      <c r="AD40" s="1569">
        <f>SUMIFS('Лист15'!$G$1:$G1001,'Лист15'!$H$1:$H1001,$AC$1,'Лист15'!$A$1:$A1001,$C40)</f>
        <v>0</v>
      </c>
      <c r="AE40" s="1570">
        <f t="shared" si="65"/>
        <v>0</v>
      </c>
    </row>
    <row r="41" ht="17.25" customHeight="1">
      <c r="A41" s="1580" t="str">
        <f>'1. Справочник'!B46</f>
        <v>Дина</v>
      </c>
      <c r="B41" s="1558">
        <v>1.0</v>
      </c>
      <c r="C41" s="1581" t="str">
        <f>'1. Справочник'!C46</f>
        <v>CM 1606</v>
      </c>
      <c r="D41" s="1560" t="str">
        <f>'Стратегия'!G47</f>
        <v>80/20</v>
      </c>
      <c r="E41" s="1561">
        <f>COUNTIFS('Лист15'!$H$1:$H1001,$E$1,'Лист15'!$A$1:$A1001,$C41)</f>
        <v>6</v>
      </c>
      <c r="F41" s="1561">
        <f>SUMIFS('Лист15'!$G$1:$G1001,'Лист15'!$H$1:$H1001,$E$1,'Лист15'!$A$1:$A1001,$C41)</f>
        <v>23</v>
      </c>
      <c r="G41" s="1562">
        <f t="shared" si="66"/>
        <v>0.7666666667</v>
      </c>
      <c r="H41" s="1563">
        <f>COUNTIFS('Лист15'!$H$1:$H1001,$H$1,'Лист15'!$A$1:$A1001,$C41)</f>
        <v>6</v>
      </c>
      <c r="I41" s="1564">
        <f>SUMIFS('Лист15'!$G$1:$G1001,'Лист15'!$H$1:$H1001,$H$1,'Лист15'!$A$1:$A1001,$C41)</f>
        <v>27</v>
      </c>
      <c r="J41" s="1565">
        <f t="shared" si="67"/>
        <v>0.8709677419</v>
      </c>
      <c r="K41" s="1561">
        <f>COUNTIFS('Лист15'!$H$1:$H1001,$K$1,'Лист15'!$A$1:$A1001,$C41)</f>
        <v>4</v>
      </c>
      <c r="L41" s="1564">
        <f>SUMIFS('Лист15'!$G$1:$G1001,'Лист15'!$H$1:$H1001,$K$1,'Лист15'!$A$1:$A1001,$C41)</f>
        <v>18</v>
      </c>
      <c r="M41" s="1571">
        <f t="shared" si="68"/>
        <v>0.6</v>
      </c>
      <c r="N41" s="1561">
        <f>COUNTIFS('Лист15'!$H$1:$H1001,$N$1,'Лист15'!$A$1:$A1001,$C41)</f>
        <v>5</v>
      </c>
      <c r="O41" s="1564">
        <f>SUMIFS('Лист15'!$G$1:$G1001,'Лист15'!$H$1:$H1001,$N$1,'Лист15'!$A$1:$A1001,$C41)</f>
        <v>26</v>
      </c>
      <c r="P41" s="1566">
        <f t="shared" si="69"/>
        <v>0.8666666667</v>
      </c>
      <c r="Q41" s="1561">
        <f>COUNTIFS('Лист15'!$H$1:$H1001,$Q$1,'Лист15'!$A$1:$A1001,$C41)</f>
        <v>3</v>
      </c>
      <c r="R41" s="1564">
        <f>SUMIFS('Лист15'!$G$1:$G1001,'Лист15'!$H$1:$H1001,$Q$1,'Лист15'!$A$1:$A1001,$C41)</f>
        <v>11</v>
      </c>
      <c r="S41" s="1566">
        <f t="shared" si="70"/>
        <v>0.3666666667</v>
      </c>
      <c r="T41" s="1561">
        <f>COUNTIFS('Лист15'!$H$1:$H1001,$T$1,'Лист15'!$A$1:$A1001,$C41)</f>
        <v>0</v>
      </c>
      <c r="U41" s="1564">
        <f>SUMIFS('Лист15'!$G$1:$G1001,'Лист15'!$H$1:$H1001,$T$1,'Лист15'!$A$1:$A1001,$C41)</f>
        <v>0</v>
      </c>
      <c r="V41" s="1567">
        <f t="shared" si="71"/>
        <v>0</v>
      </c>
      <c r="W41" s="1568">
        <f>COUNTIFS('Лист15'!$H$1:$H1001,$W$1,'Лист15'!$A$1:$A1001,$C41)</f>
        <v>0</v>
      </c>
      <c r="X41" s="1569">
        <f>SUMIFS('Лист15'!$G$1:$G1001,'Лист15'!$H$1:$H1001,$W$1,'Лист15'!$A$1:$A1001,$C41)</f>
        <v>0</v>
      </c>
      <c r="Y41" s="1570">
        <f t="shared" si="63"/>
        <v>0</v>
      </c>
      <c r="Z41" s="1568">
        <f>COUNTIFS('Лист15'!$H$1:$H1001,$Z$1,'Лист15'!$A$1:$A1001,$C41)</f>
        <v>0</v>
      </c>
      <c r="AA41" s="1569">
        <f>SUMIFS('Лист15'!$G$1:$G1001,'Лист15'!$H$1:$H1001,$Z$1,'Лист15'!$A$1:$A1001,$C41)</f>
        <v>0</v>
      </c>
      <c r="AB41" s="1570">
        <f t="shared" si="64"/>
        <v>0</v>
      </c>
      <c r="AC41" s="1568">
        <f>COUNTIFS('Лист15'!$H$1:$H1001,$AC$1,'Лист15'!$A$1:$A1001,$C41)</f>
        <v>0</v>
      </c>
      <c r="AD41" s="1569">
        <f>SUMIFS('Лист15'!$G$1:$G1001,'Лист15'!$H$1:$H1001,$AC$1,'Лист15'!$A$1:$A1001,$C41)</f>
        <v>0</v>
      </c>
      <c r="AE41" s="1570">
        <f t="shared" si="65"/>
        <v>0</v>
      </c>
    </row>
    <row r="42" ht="17.25" customHeight="1">
      <c r="A42" s="1580" t="str">
        <f>'1. Справочник'!B47</f>
        <v>Дина</v>
      </c>
      <c r="B42" s="1558">
        <v>1.0</v>
      </c>
      <c r="C42" s="1581" t="str">
        <f>'1. Справочник'!C47</f>
        <v>CM 1931</v>
      </c>
      <c r="D42" s="1560" t="str">
        <f>'Стратегия'!G48</f>
        <v>80/20</v>
      </c>
      <c r="E42" s="1561">
        <f>COUNTIFS('Лист15'!$H$1:$H1001,$E$1,'Лист15'!$A$1:$A1001,$C42)</f>
        <v>2</v>
      </c>
      <c r="F42" s="1561">
        <f>SUMIFS('Лист15'!$G$1:$G1001,'Лист15'!$H$1:$H1001,$E$1,'Лист15'!$A$1:$A1001,$C42)</f>
        <v>4</v>
      </c>
      <c r="G42" s="1562">
        <f t="shared" si="66"/>
        <v>0.1333333333</v>
      </c>
      <c r="H42" s="1563">
        <f>COUNTIFS('Лист15'!$H$1:$H1001,$H$1,'Лист15'!$A$1:$A1001,$C42)</f>
        <v>3</v>
      </c>
      <c r="I42" s="1564">
        <f>SUMIFS('Лист15'!$G$1:$G1001,'Лист15'!$H$1:$H1001,$H$1,'Лист15'!$A$1:$A1001,$C42)</f>
        <v>18</v>
      </c>
      <c r="J42" s="1565">
        <f t="shared" si="67"/>
        <v>0.5806451613</v>
      </c>
      <c r="K42" s="1561">
        <f>COUNTIFS('Лист15'!$H$1:$H1001,$K$1,'Лист15'!$A$1:$A1001,$C42)</f>
        <v>5</v>
      </c>
      <c r="L42" s="1564">
        <f>SUMIFS('Лист15'!$G$1:$G1001,'Лист15'!$H$1:$H1001,$K$1,'Лист15'!$A$1:$A1001,$C42)</f>
        <v>23</v>
      </c>
      <c r="M42" s="1565">
        <f t="shared" si="68"/>
        <v>0.7666666667</v>
      </c>
      <c r="N42" s="1561">
        <f>COUNTIFS('Лист15'!$H$1:$H1001,$N$1,'Лист15'!$A$1:$A1001,$C42)</f>
        <v>5</v>
      </c>
      <c r="O42" s="1564">
        <f>SUMIFS('Лист15'!$G$1:$G1001,'Лист15'!$H$1:$H1001,$N$1,'Лист15'!$A$1:$A1001,$C42)</f>
        <v>25</v>
      </c>
      <c r="P42" s="1566">
        <f t="shared" si="69"/>
        <v>0.8333333333</v>
      </c>
      <c r="Q42" s="1561">
        <f>COUNTIFS('Лист15'!$H$1:$H1001,$Q$1,'Лист15'!$A$1:$A1001,$C42)</f>
        <v>2</v>
      </c>
      <c r="R42" s="1564">
        <f>SUMIFS('Лист15'!$G$1:$G1001,'Лист15'!$H$1:$H1001,$Q$1,'Лист15'!$A$1:$A1001,$C42)</f>
        <v>9</v>
      </c>
      <c r="S42" s="1566">
        <f t="shared" si="70"/>
        <v>0.3</v>
      </c>
      <c r="T42" s="1561">
        <f>COUNTIFS('Лист15'!$H$1:$H1001,$T$1,'Лист15'!$A$1:$A1001,$C42)</f>
        <v>0</v>
      </c>
      <c r="U42" s="1564">
        <f>SUMIFS('Лист15'!$G$1:$G1001,'Лист15'!$H$1:$H1001,$T$1,'Лист15'!$A$1:$A1001,$C42)</f>
        <v>0</v>
      </c>
      <c r="V42" s="1567">
        <f t="shared" si="71"/>
        <v>0</v>
      </c>
      <c r="W42" s="1568">
        <f>COUNTIFS('Лист15'!$H$1:$H1001,$W$1,'Лист15'!$A$1:$A1001,$C42)</f>
        <v>0</v>
      </c>
      <c r="X42" s="1569">
        <f>SUMIFS('Лист15'!$G$1:$G1001,'Лист15'!$H$1:$H1001,$W$1,'Лист15'!$A$1:$A1001,$C42)</f>
        <v>0</v>
      </c>
      <c r="Y42" s="1570">
        <f t="shared" si="63"/>
        <v>0</v>
      </c>
      <c r="Z42" s="1568">
        <f>COUNTIFS('Лист15'!$H$1:$H1001,$Z$1,'Лист15'!$A$1:$A1001,$C42)</f>
        <v>0</v>
      </c>
      <c r="AA42" s="1569">
        <f>SUMIFS('Лист15'!$G$1:$G1001,'Лист15'!$H$1:$H1001,$Z$1,'Лист15'!$A$1:$A1001,$C42)</f>
        <v>0</v>
      </c>
      <c r="AB42" s="1570">
        <f t="shared" si="64"/>
        <v>0</v>
      </c>
      <c r="AC42" s="1568">
        <f>COUNTIFS('Лист15'!$H$1:$H1001,$AC$1,'Лист15'!$A$1:$A1001,$C42)</f>
        <v>0</v>
      </c>
      <c r="AD42" s="1569">
        <f>SUMIFS('Лист15'!$G$1:$G1001,'Лист15'!$H$1:$H1001,$AC$1,'Лист15'!$A$1:$A1001,$C42)</f>
        <v>0</v>
      </c>
      <c r="AE42" s="1570">
        <f t="shared" si="65"/>
        <v>0</v>
      </c>
    </row>
    <row r="43" ht="17.25" customHeight="1">
      <c r="A43" s="1580" t="str">
        <f>'1. Справочник'!B48</f>
        <v>Дина</v>
      </c>
      <c r="B43" s="1558">
        <v>1.0</v>
      </c>
      <c r="C43" s="1581" t="str">
        <f>'1. Справочник'!C48</f>
        <v>CM 1304</v>
      </c>
      <c r="D43" s="1582"/>
      <c r="E43" s="1561"/>
      <c r="F43" s="1561"/>
      <c r="G43" s="1562"/>
      <c r="H43" s="1563"/>
      <c r="I43" s="1564"/>
      <c r="J43" s="1565"/>
      <c r="K43" s="1561"/>
      <c r="L43" s="1564"/>
      <c r="M43" s="1565"/>
      <c r="N43" s="1561"/>
      <c r="O43" s="1564"/>
      <c r="P43" s="1566"/>
      <c r="Q43" s="1561"/>
      <c r="R43" s="1564"/>
      <c r="S43" s="1566"/>
      <c r="T43" s="1561">
        <f>COUNTIFS('Лист15'!$H$1:$H1001,$T$1,'Лист15'!$A$1:$A1001,$C43)</f>
        <v>0</v>
      </c>
      <c r="U43" s="1564">
        <f>SUMIFS('Лист15'!$G$1:$G1001,'Лист15'!$H$1:$H1001,$T$1,'Лист15'!$A$1:$A1001,$C43)</f>
        <v>0</v>
      </c>
      <c r="V43" s="1567"/>
      <c r="W43" s="1568">
        <f>COUNTIFS('Лист15'!$H$1:$H1001,$W$1,'Лист15'!$A$1:$A1001,$C43)</f>
        <v>0</v>
      </c>
      <c r="X43" s="1569">
        <f>SUMIFS('Лист15'!$G$1:$G1001,'Лист15'!$H$1:$H1001,$W$1,'Лист15'!$A$1:$A1001,$C43)</f>
        <v>0</v>
      </c>
      <c r="Y43" s="1570">
        <f t="shared" si="63"/>
        <v>0</v>
      </c>
      <c r="Z43" s="1568">
        <f>COUNTIFS('Лист15'!$H$1:$H1001,$Z$1,'Лист15'!$A$1:$A1001,$C43)</f>
        <v>0</v>
      </c>
      <c r="AA43" s="1569">
        <f>SUMIFS('Лист15'!$G$1:$G1001,'Лист15'!$H$1:$H1001,$Z$1,'Лист15'!$A$1:$A1001,$C43)</f>
        <v>0</v>
      </c>
      <c r="AB43" s="1570">
        <f t="shared" si="64"/>
        <v>0</v>
      </c>
      <c r="AC43" s="1568">
        <f>COUNTIFS('Лист15'!$H$1:$H1001,$AC$1,'Лист15'!$A$1:$A1001,$C43)</f>
        <v>0</v>
      </c>
      <c r="AD43" s="1569">
        <f>SUMIFS('Лист15'!$G$1:$G1001,'Лист15'!$H$1:$H1001,$AC$1,'Лист15'!$A$1:$A1001,$C43)</f>
        <v>0</v>
      </c>
      <c r="AE43" s="1570">
        <f t="shared" si="65"/>
        <v>0</v>
      </c>
    </row>
    <row r="44" ht="17.25" customHeight="1">
      <c r="A44" s="1580" t="str">
        <f>'1. Справочник'!B49</f>
        <v>Дина</v>
      </c>
      <c r="B44" s="1558"/>
      <c r="C44" s="1581" t="str">
        <f>'1. Справочник'!C49</f>
        <v>CM 1327</v>
      </c>
      <c r="D44" s="1582"/>
      <c r="E44" s="1561"/>
      <c r="F44" s="1561"/>
      <c r="G44" s="1562"/>
      <c r="H44" s="1563"/>
      <c r="I44" s="1564"/>
      <c r="J44" s="1565"/>
      <c r="K44" s="1561"/>
      <c r="L44" s="1564"/>
      <c r="M44" s="1565"/>
      <c r="N44" s="1561"/>
      <c r="O44" s="1564"/>
      <c r="P44" s="1566"/>
      <c r="Q44" s="1561"/>
      <c r="R44" s="1564"/>
      <c r="S44" s="1566"/>
      <c r="T44" s="1561"/>
      <c r="U44" s="1564"/>
      <c r="V44" s="1567"/>
      <c r="W44" s="1568"/>
      <c r="X44" s="1569"/>
      <c r="Y44" s="1570"/>
      <c r="Z44" s="1568">
        <f>COUNTIFS('Лист15'!$H$1:$H1001,$Z$1,'Лист15'!$A$1:$A1001,$C44)</f>
        <v>0</v>
      </c>
      <c r="AA44" s="1569">
        <f>SUMIFS('Лист15'!$G$1:$G1001,'Лист15'!$H$1:$H1001,$Z$1,'Лист15'!$A$1:$A1001,$C44)</f>
        <v>0</v>
      </c>
      <c r="AB44" s="1570">
        <f t="shared" si="64"/>
        <v>0</v>
      </c>
      <c r="AC44" s="1568">
        <f>COUNTIFS('Лист15'!$H$1:$H1001,$AC$1,'Лист15'!$A$1:$A1001,$C44)</f>
        <v>0</v>
      </c>
      <c r="AD44" s="1569">
        <f>SUMIFS('Лист15'!$G$1:$G1001,'Лист15'!$H$1:$H1001,$AC$1,'Лист15'!$A$1:$A1001,$C44)</f>
        <v>0</v>
      </c>
      <c r="AE44" s="1570"/>
    </row>
    <row r="45" ht="17.25" customHeight="1">
      <c r="A45" s="1580" t="str">
        <f>'1. Справочник'!B50</f>
        <v>Дина</v>
      </c>
      <c r="B45" s="1558">
        <v>1.0</v>
      </c>
      <c r="C45" s="1581" t="str">
        <f>'1. Справочник'!C50</f>
        <v>Int 2905</v>
      </c>
      <c r="D45" s="1560" t="str">
        <f>'Стратегия'!G63</f>
        <v>80/20</v>
      </c>
      <c r="E45" s="1561">
        <f>COUNTIFS('Лист15'!$H$1:$H1001,$E$1,'Лист15'!$A$1:$A1001,$C45)</f>
        <v>1</v>
      </c>
      <c r="F45" s="1561">
        <f>SUMIFS('Лист15'!$G$1:$G1001,'Лист15'!$H$1:$H1001,$E$1,'Лист15'!$A$1:$A1001,$C45)</f>
        <v>29</v>
      </c>
      <c r="G45" s="1562">
        <f t="shared" ref="G45:G49" si="72">F45/30</f>
        <v>0.9666666667</v>
      </c>
      <c r="H45" s="1563">
        <f>COUNTIFS('Лист15'!$H$1:$H1001,$H$1,'Лист15'!$A$1:$A1001,$C45)</f>
        <v>1</v>
      </c>
      <c r="I45" s="1564">
        <f>SUMIFS('Лист15'!$G$1:$G1001,'Лист15'!$H$1:$H1001,$H$1,'Лист15'!$A$1:$A1001,$C45)</f>
        <v>30</v>
      </c>
      <c r="J45" s="1565">
        <f t="shared" ref="J45:J49" si="73">I45/31</f>
        <v>0.9677419355</v>
      </c>
      <c r="K45" s="1561">
        <f>COUNTIFS('Лист15'!$H$1:$H1001,$K$1,'Лист15'!$A$1:$A1001,$C45)</f>
        <v>1</v>
      </c>
      <c r="L45" s="1564">
        <f>SUMIFS('Лист15'!$G$1:$G1001,'Лист15'!$H$1:$H1001,$K$1,'Лист15'!$A$1:$A1001,$C45)</f>
        <v>30</v>
      </c>
      <c r="M45" s="1565">
        <f>L45/30</f>
        <v>1</v>
      </c>
      <c r="N45" s="1561">
        <f>COUNTIFS('Лист15'!$H$1:$H1001,$N$1,'Лист15'!$A$1:$A1001,$C45)</f>
        <v>1</v>
      </c>
      <c r="O45" s="1564">
        <f>SUMIFS('Лист15'!$G$1:$G1001,'Лист15'!$H$1:$H1001,$N$1,'Лист15'!$A$1:$A1001,$C45)</f>
        <v>28</v>
      </c>
      <c r="P45" s="1566">
        <f t="shared" ref="P45:P49" si="74">O45/30</f>
        <v>0.9333333333</v>
      </c>
      <c r="Q45" s="1561">
        <f>COUNTIFS('Лист15'!$H$1:$H1001,$Q$1,'Лист15'!$A$1:$A1001,$C45)</f>
        <v>3</v>
      </c>
      <c r="R45" s="1564">
        <f>SUMIFS('Лист15'!$G$1:$G1001,'Лист15'!$H$1:$H1001,$Q$1,'Лист15'!$A$1:$A1001,$C45)</f>
        <v>34</v>
      </c>
      <c r="S45" s="1566">
        <f t="shared" ref="S45:S49" si="75">R45/30</f>
        <v>1.133333333</v>
      </c>
      <c r="T45" s="1561">
        <f>COUNTIFS('Лист15'!$H$1:$H1001,$T$1,'Лист15'!$A$1:$A1001,$C45)</f>
        <v>0</v>
      </c>
      <c r="U45" s="1564">
        <f>SUMIFS('Лист15'!$G$1:$G1001,'Лист15'!$H$1:$H1001,$T$1,'Лист15'!$A$1:$A1001,$C45)</f>
        <v>0</v>
      </c>
      <c r="V45" s="1567">
        <f t="shared" ref="V45:V49" si="76">U45/30</f>
        <v>0</v>
      </c>
      <c r="W45" s="1568">
        <f>COUNTIFS('Лист15'!$H$1:$H1001,$W$1,'Лист15'!$A$1:$A1001,$C45)</f>
        <v>0</v>
      </c>
      <c r="X45" s="1569">
        <f>SUMIFS('Лист15'!$G$1:$G1001,'Лист15'!$H$1:$H1001,$W$1,'Лист15'!$A$1:$A1001,$C45)</f>
        <v>0</v>
      </c>
      <c r="Y45" s="1570">
        <f t="shared" ref="Y45:Y49" si="77">X45/30</f>
        <v>0</v>
      </c>
      <c r="Z45" s="1568">
        <f>COUNTIFS('Лист15'!$H$1:$H1001,$Z$1,'Лист15'!$A$1:$A1001,$C45)</f>
        <v>0</v>
      </c>
      <c r="AA45" s="1569">
        <f>SUMIFS('Лист15'!$G$1:$G1001,'Лист15'!$H$1:$H1001,$Z$1,'Лист15'!$A$1:$A1001,$C45)</f>
        <v>0</v>
      </c>
      <c r="AB45" s="1570">
        <f t="shared" si="64"/>
        <v>0</v>
      </c>
      <c r="AC45" s="1568">
        <f>COUNTIFS('Лист15'!$H$1:$H1001,$AC$1,'Лист15'!$A$1:$A1001,$C45)</f>
        <v>0</v>
      </c>
      <c r="AD45" s="1569">
        <f>SUMIFS('Лист15'!$G$1:$G1001,'Лист15'!$H$1:$H1001,$AC$1,'Лист15'!$A$1:$A1001,$C45)</f>
        <v>0</v>
      </c>
      <c r="AE45" s="1570">
        <f t="shared" ref="AE45:AE49" si="78">AD45/30</f>
        <v>0</v>
      </c>
    </row>
    <row r="46" ht="17.25" customHeight="1">
      <c r="A46" s="1580" t="str">
        <f>'1. Справочник'!B51</f>
        <v>Дина</v>
      </c>
      <c r="B46" s="1558">
        <v>1.0</v>
      </c>
      <c r="C46" s="1581" t="str">
        <f>'1. Справочник'!C51</f>
        <v>Int 2612</v>
      </c>
      <c r="D46" s="1560" t="str">
        <f>'Стратегия'!G51</f>
        <v>90/10</v>
      </c>
      <c r="E46" s="1561">
        <f>COUNTIFS('Лист15'!$H$1:$H1001,$E$1,'Лист15'!$A$1:$A1001,$C46)</f>
        <v>0</v>
      </c>
      <c r="F46" s="1561">
        <f>SUMIFS('Лист15'!$G$1:$G1001,'Лист15'!$H$1:$H1001,$E$1,'Лист15'!$A$1:$A1001,$C46)</f>
        <v>0</v>
      </c>
      <c r="G46" s="1562">
        <f t="shared" si="72"/>
        <v>0</v>
      </c>
      <c r="H46" s="1563">
        <f>COUNTIFS('Лист15'!$H$1:$H1001,$H$1,'Лист15'!$A$1:$A1001,$C46)</f>
        <v>0</v>
      </c>
      <c r="I46" s="1564">
        <f>SUMIFS('Лист15'!$G$1:$G1001,'Лист15'!$H$1:$H1001,$H$1,'Лист15'!$A$1:$A1001,$C46)</f>
        <v>0</v>
      </c>
      <c r="J46" s="1565">
        <f t="shared" si="73"/>
        <v>0</v>
      </c>
      <c r="K46" s="1561">
        <f>COUNTIFS('Лист15'!$H$1:$H1001,$K$1,'Лист15'!$A$1:$A1001,$C46)</f>
        <v>3</v>
      </c>
      <c r="L46" s="1564">
        <f>SUMIFS('Лист15'!$G$1:$G1001,'Лист15'!$H$1:$H1001,$K$1,'Лист15'!$A$1:$A1001,$C46)</f>
        <v>13</v>
      </c>
      <c r="M46" s="1565"/>
      <c r="N46" s="1561">
        <f>COUNTIFS('Лист15'!$H$1:$H1001,$N$1,'Лист15'!$A$1:$A1001,$C46)</f>
        <v>5</v>
      </c>
      <c r="O46" s="1564">
        <f>SUMIFS('Лист15'!$G$1:$G1001,'Лист15'!$H$1:$H1001,$N$1,'Лист15'!$A$1:$A1001,$C46)</f>
        <v>31</v>
      </c>
      <c r="P46" s="1566">
        <f t="shared" si="74"/>
        <v>1.033333333</v>
      </c>
      <c r="Q46" s="1561">
        <f>COUNTIFS('Лист15'!$H$1:$H1001,$Q$1,'Лист15'!$A$1:$A1001,$C46)</f>
        <v>1</v>
      </c>
      <c r="R46" s="1564">
        <f>SUMIFS('Лист15'!$G$1:$G1001,'Лист15'!$H$1:$H1001,$Q$1,'Лист15'!$A$1:$A1001,$C46)</f>
        <v>6</v>
      </c>
      <c r="S46" s="1566">
        <f t="shared" si="75"/>
        <v>0.2</v>
      </c>
      <c r="T46" s="1561">
        <f>COUNTIFS('Лист15'!$H$1:$H1001,$T$1,'Лист15'!$A$1:$A1001,$C46)</f>
        <v>0</v>
      </c>
      <c r="U46" s="1564">
        <f>SUMIFS('Лист15'!$G$1:$G1001,'Лист15'!$H$1:$H1001,$T$1,'Лист15'!$A$1:$A1001,$C46)</f>
        <v>0</v>
      </c>
      <c r="V46" s="1567">
        <f t="shared" si="76"/>
        <v>0</v>
      </c>
      <c r="W46" s="1568">
        <f>COUNTIFS('Лист15'!$H$1:$H1001,$W$1,'Лист15'!$A$1:$A1001,$C46)</f>
        <v>0</v>
      </c>
      <c r="X46" s="1569">
        <f>SUMIFS('Лист15'!$G$1:$G1001,'Лист15'!$H$1:$H1001,$W$1,'Лист15'!$A$1:$A1001,$C46)</f>
        <v>0</v>
      </c>
      <c r="Y46" s="1570">
        <f t="shared" si="77"/>
        <v>0</v>
      </c>
      <c r="Z46" s="1568">
        <f>COUNTIFS('Лист15'!$H$1:$H1001,$Z$1,'Лист15'!$A$1:$A1001,$C46)</f>
        <v>0</v>
      </c>
      <c r="AA46" s="1569">
        <f>SUMIFS('Лист15'!$G$1:$G1001,'Лист15'!$H$1:$H1001,$Z$1,'Лист15'!$A$1:$A1001,$C46)</f>
        <v>0</v>
      </c>
      <c r="AB46" s="1570">
        <f t="shared" si="64"/>
        <v>0</v>
      </c>
      <c r="AC46" s="1568">
        <f>COUNTIFS('Лист15'!$H$1:$H1001,$AC$1,'Лист15'!$A$1:$A1001,$C46)</f>
        <v>0</v>
      </c>
      <c r="AD46" s="1569">
        <f>SUMIFS('Лист15'!$G$1:$G1001,'Лист15'!$H$1:$H1001,$AC$1,'Лист15'!$A$1:$A1001,$C46)</f>
        <v>0</v>
      </c>
      <c r="AE46" s="1570">
        <f t="shared" si="78"/>
        <v>0</v>
      </c>
    </row>
    <row r="47" ht="17.25" customHeight="1">
      <c r="A47" s="1580" t="str">
        <f>'1. Справочник'!B52</f>
        <v>Дина</v>
      </c>
      <c r="B47" s="1558">
        <v>1.0</v>
      </c>
      <c r="C47" s="1581" t="str">
        <f>'1. Справочник'!C52</f>
        <v>Шар 2505</v>
      </c>
      <c r="D47" s="1560" t="str">
        <f>'Стратегия'!G52</f>
        <v>80/20</v>
      </c>
      <c r="E47" s="1561">
        <f>COUNTIFS('Лист15'!$H$1:$H1001,$E$1,'Лист15'!$A$1:$A1001,$C47)</f>
        <v>2</v>
      </c>
      <c r="F47" s="1561">
        <f>SUMIFS('Лист15'!$G$1:$G1001,'Лист15'!$H$1:$H1001,$E$1,'Лист15'!$A$1:$A1001,$C47)</f>
        <v>18</v>
      </c>
      <c r="G47" s="1562">
        <f t="shared" si="72"/>
        <v>0.6</v>
      </c>
      <c r="H47" s="1563">
        <f>COUNTIFS('Лист15'!$H$1:$H1001,$H$1,'Лист15'!$A$1:$A1001,$C47)</f>
        <v>2</v>
      </c>
      <c r="I47" s="1564">
        <f>SUMIFS('Лист15'!$G$1:$G1001,'Лист15'!$H$1:$H1001,$H$1,'Лист15'!$A$1:$A1001,$C47)</f>
        <v>39</v>
      </c>
      <c r="J47" s="1565">
        <f t="shared" si="73"/>
        <v>1.258064516</v>
      </c>
      <c r="K47" s="1561">
        <f>COUNTIFS('Лист15'!$H$1:$H1001,$K$1,'Лист15'!$A$1:$A1001,$C47)</f>
        <v>1</v>
      </c>
      <c r="L47" s="1564">
        <f>SUMIFS('Лист15'!$G$1:$G1001,'Лист15'!$H$1:$H1001,$K$1,'Лист15'!$A$1:$A1001,$C47)</f>
        <v>6</v>
      </c>
      <c r="M47" s="1571">
        <f t="shared" ref="M47:M49" si="79">L47/30</f>
        <v>0.2</v>
      </c>
      <c r="N47" s="1561">
        <f>COUNTIFS('Лист15'!$H$1:$H1001,$N$1,'Лист15'!$A$1:$A1001,$C47)</f>
        <v>6</v>
      </c>
      <c r="O47" s="1564">
        <f>SUMIFS('Лист15'!$G$1:$G1001,'Лист15'!$H$1:$H1001,$N$1,'Лист15'!$A$1:$A1001,$C47)</f>
        <v>24</v>
      </c>
      <c r="P47" s="1566">
        <f t="shared" si="74"/>
        <v>0.8</v>
      </c>
      <c r="Q47" s="1561">
        <f>COUNTIFS('Лист15'!$H$1:$H1001,$Q$1,'Лист15'!$A$1:$A1001,$C47)</f>
        <v>1</v>
      </c>
      <c r="R47" s="1564">
        <f>SUMIFS('Лист15'!$G$1:$G1001,'Лист15'!$H$1:$H1001,$Q$1,'Лист15'!$A$1:$A1001,$C47)</f>
        <v>18</v>
      </c>
      <c r="S47" s="1566">
        <f t="shared" si="75"/>
        <v>0.6</v>
      </c>
      <c r="T47" s="1561">
        <f>COUNTIFS('Лист15'!$H$1:$H1001,$T$1,'Лист15'!$A$1:$A1001,$C47)</f>
        <v>0</v>
      </c>
      <c r="U47" s="1564">
        <f>SUMIFS('Лист15'!$G$1:$G1001,'Лист15'!$H$1:$H1001,$T$1,'Лист15'!$A$1:$A1001,$C47)</f>
        <v>0</v>
      </c>
      <c r="V47" s="1567">
        <f t="shared" si="76"/>
        <v>0</v>
      </c>
      <c r="W47" s="1568">
        <f>COUNTIFS('Лист15'!$H$1:$H1001,$W$1,'Лист15'!$A$1:$A1001,$C47)</f>
        <v>0</v>
      </c>
      <c r="X47" s="1569">
        <f>SUMIFS('Лист15'!$G$1:$G1001,'Лист15'!$H$1:$H1001,$W$1,'Лист15'!$A$1:$A1001,$C47)</f>
        <v>0</v>
      </c>
      <c r="Y47" s="1570">
        <f t="shared" si="77"/>
        <v>0</v>
      </c>
      <c r="Z47" s="1568">
        <f>COUNTIFS('Лист15'!$H$1:$H1001,$Z$1,'Лист15'!$A$1:$A1001,$C47)</f>
        <v>0</v>
      </c>
      <c r="AA47" s="1569">
        <f>SUMIFS('Лист15'!$G$1:$G1001,'Лист15'!$H$1:$H1001,$Z$1,'Лист15'!$A$1:$A1001,$C47)</f>
        <v>0</v>
      </c>
      <c r="AB47" s="1570">
        <f t="shared" si="64"/>
        <v>0</v>
      </c>
      <c r="AC47" s="1568">
        <f>COUNTIFS('Лист15'!$H$1:$H1001,$AC$1,'Лист15'!$A$1:$A1001,$C47)</f>
        <v>0</v>
      </c>
      <c r="AD47" s="1569">
        <f>SUMIFS('Лист15'!$G$1:$G1001,'Лист15'!$H$1:$H1001,$AC$1,'Лист15'!$A$1:$A1001,$C47)</f>
        <v>0</v>
      </c>
      <c r="AE47" s="1570">
        <f t="shared" si="78"/>
        <v>0</v>
      </c>
    </row>
    <row r="48" ht="17.25" customHeight="1">
      <c r="A48" s="1580" t="str">
        <f>'1. Справочник'!B74</f>
        <v>Юлия</v>
      </c>
      <c r="B48" s="1558">
        <v>1.0</v>
      </c>
      <c r="C48" s="1581" t="str">
        <f>'1. Справочник'!C57</f>
        <v>PT2604</v>
      </c>
      <c r="D48" s="1582" t="str">
        <f>'Стратегия'!G56</f>
        <v>70/30</v>
      </c>
      <c r="E48" s="1561">
        <f>COUNTIFS('Лист15'!$H$1:$H1001,$E$1,'Лист15'!$A$1:$A1001,$C48)</f>
        <v>4</v>
      </c>
      <c r="F48" s="1561">
        <f>SUMIFS('Лист15'!$G$1:$G1001,'Лист15'!$H$1:$H1001,$E$1,'Лист15'!$A$1:$A1001,$C48)</f>
        <v>18</v>
      </c>
      <c r="G48" s="1562">
        <f t="shared" si="72"/>
        <v>0.6</v>
      </c>
      <c r="H48" s="1563">
        <f>COUNTIFS('Лист15'!$H$1:$H1001,$H$1,'Лист15'!$A$1:$A1001,$C48)</f>
        <v>5</v>
      </c>
      <c r="I48" s="1564">
        <f>SUMIFS('Лист15'!$G$1:$G1001,'Лист15'!$H$1:$H1001,$H$1,'Лист15'!$A$1:$A1001,$C48)</f>
        <v>24</v>
      </c>
      <c r="J48" s="1565">
        <f t="shared" si="73"/>
        <v>0.7741935484</v>
      </c>
      <c r="K48" s="1561">
        <f>COUNTIFS('Лист15'!$H$1:$H1001,$K$1,'Лист15'!$A$1:$A1001,$C48)</f>
        <v>7</v>
      </c>
      <c r="L48" s="1564">
        <f>SUMIFS('Лист15'!$G$1:$G1001,'Лист15'!$H$1:$H1001,$K$1,'Лист15'!$A$1:$A1001,$C48)</f>
        <v>24</v>
      </c>
      <c r="M48" s="1565">
        <f t="shared" si="79"/>
        <v>0.8</v>
      </c>
      <c r="N48" s="1561">
        <f>COUNTIFS('Лист15'!$H$1:$H1001,$N$1,'Лист15'!$A$1:$A1001,$C48)</f>
        <v>6</v>
      </c>
      <c r="O48" s="1564">
        <f>SUMIFS('Лист15'!$G$1:$G1001,'Лист15'!$H$1:$H1001,$N$1,'Лист15'!$A$1:$A1001,$C48)</f>
        <v>24</v>
      </c>
      <c r="P48" s="1566">
        <f t="shared" si="74"/>
        <v>0.8</v>
      </c>
      <c r="Q48" s="1561">
        <f>COUNTIFS('Лист15'!$H$1:$H1001,$Q$1,'Лист15'!$A$1:$A1001,$C48)</f>
        <v>2</v>
      </c>
      <c r="R48" s="1564">
        <f>SUMIFS('Лист15'!$G$1:$G1001,'Лист15'!$H$1:$H1001,$Q$1,'Лист15'!$A$1:$A1001,$C48)</f>
        <v>7</v>
      </c>
      <c r="S48" s="1566">
        <f t="shared" si="75"/>
        <v>0.2333333333</v>
      </c>
      <c r="T48" s="1561">
        <f>COUNTIFS('Лист15'!$H$1:$H1001,$T$1,'Лист15'!$A$1:$A1001,$C48)</f>
        <v>0</v>
      </c>
      <c r="U48" s="1564">
        <f>SUMIFS('Лист15'!$G$1:$G1001,'Лист15'!$H$1:$H1001,$T$1,'Лист15'!$A$1:$A1001,$C48)</f>
        <v>0</v>
      </c>
      <c r="V48" s="1567">
        <f t="shared" si="76"/>
        <v>0</v>
      </c>
      <c r="W48" s="1568">
        <f>COUNTIFS('Лист15'!$H$1:$H1001,$W$1,'Лист15'!$A$1:$A1001,$C48)</f>
        <v>0</v>
      </c>
      <c r="X48" s="1569">
        <f>SUMIFS('Лист15'!$G$1:$G1001,'Лист15'!$H$1:$H1001,$W$1,'Лист15'!$A$1:$A1001,$C48)</f>
        <v>0</v>
      </c>
      <c r="Y48" s="1570">
        <f t="shared" si="77"/>
        <v>0</v>
      </c>
      <c r="Z48" s="1568">
        <f>COUNTIFS('Лист15'!$H$1:$H1001,$Z$1,'Лист15'!$A$1:$A1001,$C48)</f>
        <v>0</v>
      </c>
      <c r="AA48" s="1569">
        <f>SUMIFS('Лист15'!$G$1:$G1001,'Лист15'!$H$1:$H1001,$Z$1,'Лист15'!$A$1:$A1001,$C48)</f>
        <v>0</v>
      </c>
      <c r="AB48" s="1570">
        <f t="shared" si="64"/>
        <v>0</v>
      </c>
      <c r="AC48" s="1568">
        <f>COUNTIFS('Лист15'!$H$1:$H1001,$AC$1,'Лист15'!$A$1:$A1001,$C48)</f>
        <v>0</v>
      </c>
      <c r="AD48" s="1569">
        <f>SUMIFS('Лист15'!$G$1:$G1001,'Лист15'!$H$1:$H1001,$AC$1,'Лист15'!$A$1:$A1001,$C48)</f>
        <v>0</v>
      </c>
      <c r="AE48" s="1570">
        <f t="shared" si="78"/>
        <v>0</v>
      </c>
    </row>
    <row r="49" ht="17.25" customHeight="1">
      <c r="A49" s="1580" t="str">
        <f>'1. Справочник'!B55</f>
        <v>Юлия</v>
      </c>
      <c r="B49" s="1558">
        <v>1.0</v>
      </c>
      <c r="C49" s="1581" t="str">
        <f>'1. Справочник'!C58</f>
        <v>PT2704</v>
      </c>
      <c r="D49" s="1582" t="str">
        <f>'Стратегия'!G57</f>
        <v>70/30</v>
      </c>
      <c r="E49" s="1561">
        <f>COUNTIFS('Лист15'!$H$1:$H1001,$E$1,'Лист15'!$A$1:$A1001,$C49)</f>
        <v>7</v>
      </c>
      <c r="F49" s="1561">
        <f>SUMIFS('Лист15'!$G$1:$G1001,'Лист15'!$H$1:$H1001,$E$1,'Лист15'!$A$1:$A1001,$C49)</f>
        <v>17</v>
      </c>
      <c r="G49" s="1562">
        <f t="shared" si="72"/>
        <v>0.5666666667</v>
      </c>
      <c r="H49" s="1563">
        <f>COUNTIFS('Лист15'!$H$1:$H1001,$H$1,'Лист15'!$A$1:$A1001,$C49)</f>
        <v>7</v>
      </c>
      <c r="I49" s="1564">
        <f>SUMIFS('Лист15'!$G$1:$G1001,'Лист15'!$H$1:$H1001,$H$1,'Лист15'!$A$1:$A1001,$C49)</f>
        <v>25</v>
      </c>
      <c r="J49" s="1565">
        <f t="shared" si="73"/>
        <v>0.8064516129</v>
      </c>
      <c r="K49" s="1561">
        <f>COUNTIFS('Лист15'!$H$1:$H1001,$K$1,'Лист15'!$A$1:$A1001,$C49)</f>
        <v>10</v>
      </c>
      <c r="L49" s="1564">
        <v>30.0</v>
      </c>
      <c r="M49" s="1565">
        <f t="shared" si="79"/>
        <v>1</v>
      </c>
      <c r="N49" s="1561">
        <f>COUNTIFS('Лист15'!$H$1:$H1001,$N$1,'Лист15'!$A$1:$A1001,$C49)</f>
        <v>5</v>
      </c>
      <c r="O49" s="1564">
        <f>SUMIFS('Лист15'!$G$1:$G1001,'Лист15'!$H$1:$H1001,$N$1,'Лист15'!$A$1:$A1001,$C49)</f>
        <v>24</v>
      </c>
      <c r="P49" s="1566">
        <f t="shared" si="74"/>
        <v>0.8</v>
      </c>
      <c r="Q49" s="1561">
        <f>COUNTIFS('Лист15'!$H$1:$H1001,$Q$1,'Лист15'!$A$1:$A1001,$C49)</f>
        <v>2</v>
      </c>
      <c r="R49" s="1564">
        <f>SUMIFS('Лист15'!$G$1:$G1001,'Лист15'!$H$1:$H1001,$Q$1,'Лист15'!$A$1:$A1001,$C49)</f>
        <v>6</v>
      </c>
      <c r="S49" s="1566">
        <f t="shared" si="75"/>
        <v>0.2</v>
      </c>
      <c r="T49" s="1561">
        <f>COUNTIFS('Лист15'!$H$1:$H1001,$T$1,'Лист15'!$A$1:$A1001,$C49)</f>
        <v>0</v>
      </c>
      <c r="U49" s="1564">
        <f>SUMIFS('Лист15'!$G$1:$G1001,'Лист15'!$H$1:$H1001,$T$1,'Лист15'!$A$1:$A1001,$C49)</f>
        <v>0</v>
      </c>
      <c r="V49" s="1567">
        <f t="shared" si="76"/>
        <v>0</v>
      </c>
      <c r="W49" s="1568">
        <f>COUNTIFS('Лист15'!$H$1:$H1001,$W$1,'Лист15'!$A$1:$A1001,$C49)</f>
        <v>0</v>
      </c>
      <c r="X49" s="1569">
        <f>SUMIFS('Лист15'!$G$1:$G1001,'Лист15'!$H$1:$H1001,$W$1,'Лист15'!$A$1:$A1001,$C49)</f>
        <v>0</v>
      </c>
      <c r="Y49" s="1570">
        <f t="shared" si="77"/>
        <v>0</v>
      </c>
      <c r="Z49" s="1568">
        <f>COUNTIFS('Лист15'!$H$1:$H1001,$Z$1,'Лист15'!$A$1:$A1001,$C49)</f>
        <v>0</v>
      </c>
      <c r="AA49" s="1569">
        <f>SUMIFS('Лист15'!$G$1:$G1001,'Лист15'!$H$1:$H1001,$Z$1,'Лист15'!$A$1:$A1001,$C49)</f>
        <v>0</v>
      </c>
      <c r="AB49" s="1570">
        <f t="shared" si="64"/>
        <v>0</v>
      </c>
      <c r="AC49" s="1568">
        <f>COUNTIFS('Лист15'!$H$1:$H1001,$AC$1,'Лист15'!$A$1:$A1001,$C49)</f>
        <v>0</v>
      </c>
      <c r="AD49" s="1569">
        <f>SUMIFS('Лист15'!$G$1:$G1001,'Лист15'!$H$1:$H1001,$AC$1,'Лист15'!$A$1:$A1001,$C49)</f>
        <v>0</v>
      </c>
      <c r="AE49" s="1570">
        <f t="shared" si="78"/>
        <v>0</v>
      </c>
    </row>
    <row r="50" ht="17.25" customHeight="1">
      <c r="A50" s="1580" t="str">
        <f>'1. Справочник'!B56</f>
        <v>Юлия</v>
      </c>
      <c r="B50" s="1558"/>
      <c r="C50" s="1581" t="str">
        <f>'1. Справочник'!C59</f>
        <v>PT3604</v>
      </c>
      <c r="D50" s="1582"/>
      <c r="E50" s="1561"/>
      <c r="F50" s="1561"/>
      <c r="G50" s="1562"/>
      <c r="H50" s="1563"/>
      <c r="I50" s="1564"/>
      <c r="J50" s="1565"/>
      <c r="K50" s="1561"/>
      <c r="L50" s="1564"/>
      <c r="M50" s="1565"/>
      <c r="N50" s="1561"/>
      <c r="O50" s="1564"/>
      <c r="P50" s="1566"/>
      <c r="Q50" s="1561"/>
      <c r="R50" s="1564"/>
      <c r="S50" s="1566"/>
      <c r="T50" s="1561"/>
      <c r="U50" s="1564"/>
      <c r="V50" s="1567"/>
      <c r="W50" s="1568"/>
      <c r="X50" s="1569"/>
      <c r="Y50" s="1570"/>
      <c r="Z50" s="1568">
        <f>COUNTIFS('Лист15'!$H$1:$H1001,$Z$1,'Лист15'!$A$1:$A1001,$C50)</f>
        <v>0</v>
      </c>
      <c r="AA50" s="1569">
        <f>SUMIFS('Лист15'!$G$1:$G1001,'Лист15'!$H$1:$H1001,$Z$1,'Лист15'!$A$1:$A1001,$C50)</f>
        <v>0</v>
      </c>
      <c r="AB50" s="1570"/>
      <c r="AC50" s="1568">
        <f>COUNTIFS('Лист15'!$H$1:$H1001,$AC$1,'Лист15'!$A$1:$A1001,$C50)</f>
        <v>0</v>
      </c>
      <c r="AD50" s="1569">
        <f>SUMIFS('Лист15'!$G$1:$G1001,'Лист15'!$H$1:$H1001,$AC$1,'Лист15'!$A$1:$A1001,$C50)</f>
        <v>0</v>
      </c>
      <c r="AE50" s="1570"/>
    </row>
    <row r="51" ht="17.25" customHeight="1">
      <c r="A51" s="1580" t="str">
        <f>'1. Справочник'!B60</f>
        <v>Дина</v>
      </c>
      <c r="B51" s="1558">
        <v>1.0</v>
      </c>
      <c r="C51" s="1581" t="str">
        <f>'1. Справочник'!C60</f>
        <v>NW 2-5</v>
      </c>
      <c r="D51" s="1560" t="str">
        <f>'Стратегия'!G59</f>
        <v>80/20</v>
      </c>
      <c r="E51" s="1561">
        <f>COUNTIFS('Лист15'!$H$1:$H1001,$E$1,'Лист15'!$A$1:$A1001,$C51)</f>
        <v>0</v>
      </c>
      <c r="F51" s="1561">
        <f>SUMIFS('Лист15'!$G$1:$G1001,'Лист15'!$H$1:$H1001,$E$1,'Лист15'!$A$1:$A1001,$C51)</f>
        <v>0</v>
      </c>
      <c r="G51" s="1562">
        <f t="shared" ref="G51:G58" si="80">F51/30</f>
        <v>0</v>
      </c>
      <c r="H51" s="1563">
        <f>COUNTIFS('Лист15'!$H$1:$H1001,$H$1,'Лист15'!$A$1:$A1001,$C51)</f>
        <v>0</v>
      </c>
      <c r="I51" s="1564">
        <f>SUMIFS('Лист15'!$G$1:$G1001,'Лист15'!$H$1:$H1001,$H$1,'Лист15'!$A$1:$A1001,$C51)</f>
        <v>0</v>
      </c>
      <c r="J51" s="1565">
        <f t="shared" ref="J51:J58" si="81">I51/31</f>
        <v>0</v>
      </c>
      <c r="K51" s="1561">
        <f>COUNTIFS('Лист15'!$H$1:$H1001,$K$1,'Лист15'!$A$1:$A1001,$C51)</f>
        <v>0</v>
      </c>
      <c r="L51" s="1564">
        <f>SUMIFS('Лист15'!$G$1:$G1001,'Лист15'!$H$1:$H1001,$K$1,'Лист15'!$A$1:$A1001,$C51)</f>
        <v>0</v>
      </c>
      <c r="M51" s="1565"/>
      <c r="N51" s="1561">
        <f>COUNTIFS('Лист15'!$H$1:$H1001,$N$1,'Лист15'!$A$1:$A1001,$C51)</f>
        <v>0</v>
      </c>
      <c r="O51" s="1564">
        <f>SUMIFS('Лист15'!$G$1:$G1001,'Лист15'!$H$1:$H1001,$N$1,'Лист15'!$A$1:$A1001,$C51)</f>
        <v>0</v>
      </c>
      <c r="P51" s="1566">
        <f t="shared" ref="P51:P58" si="82">O51/30</f>
        <v>0</v>
      </c>
      <c r="Q51" s="1561">
        <f>COUNTIFS('Лист15'!$H$1:$H1001,$Q$1,'Лист15'!$A$1:$A1001,$C51)</f>
        <v>0</v>
      </c>
      <c r="R51" s="1564">
        <f>SUMIFS('Лист15'!$G$1:$G1001,'Лист15'!$H$1:$H1001,$Q$1,'Лист15'!$A$1:$A1001,$C51)</f>
        <v>0</v>
      </c>
      <c r="S51" s="1566">
        <f t="shared" ref="S51:S58" si="83">R51/30</f>
        <v>0</v>
      </c>
      <c r="T51" s="1561">
        <f>COUNTIFS('Лист15'!$H$1:$H1001,$T$1,'Лист15'!$A$1:$A1001,$C51)</f>
        <v>0</v>
      </c>
      <c r="U51" s="1564">
        <f>SUMIFS('Лист15'!$G$1:$G1001,'Лист15'!$H$1:$H1001,$T$1,'Лист15'!$A$1:$A1001,$C51)</f>
        <v>0</v>
      </c>
      <c r="V51" s="1567">
        <f t="shared" ref="V51:V58" si="84">U51/30</f>
        <v>0</v>
      </c>
      <c r="W51" s="1568">
        <f>COUNTIFS('Лист15'!$H$1:$H1001,$W$1,'Лист15'!$A$1:$A1001,$C51)</f>
        <v>0</v>
      </c>
      <c r="X51" s="1569">
        <f>SUMIFS('Лист15'!$G$1:$G1001,'Лист15'!$H$1:$H1001,$W$1,'Лист15'!$A$1:$A1001,$C51)</f>
        <v>0</v>
      </c>
      <c r="Y51" s="1570">
        <f t="shared" ref="Y51:Y99" si="85">X51/30</f>
        <v>0</v>
      </c>
      <c r="Z51" s="1568">
        <f>COUNTIFS('Лист15'!$H$1:$H1001,$Z$1,'Лист15'!$A$1:$A1001,$C51)</f>
        <v>0</v>
      </c>
      <c r="AA51" s="1569">
        <f>SUMIFS('Лист15'!$G$1:$G1001,'Лист15'!$H$1:$H1001,$Z$1,'Лист15'!$A$1:$A1001,$C51)</f>
        <v>0</v>
      </c>
      <c r="AB51" s="1570">
        <f t="shared" ref="AB51:AB99" si="86">AA51/30</f>
        <v>0</v>
      </c>
      <c r="AC51" s="1568">
        <f>COUNTIFS('Лист15'!$H$1:$H1001,$AC$1,'Лист15'!$A$1:$A1001,$C51)</f>
        <v>0</v>
      </c>
      <c r="AD51" s="1569">
        <f>SUMIFS('Лист15'!$G$1:$G1001,'Лист15'!$H$1:$H1001,$AC$1,'Лист15'!$A$1:$A1001,$C51)</f>
        <v>0</v>
      </c>
      <c r="AE51" s="1570">
        <f t="shared" ref="AE51:AE99" si="87">AD51/30</f>
        <v>0</v>
      </c>
    </row>
    <row r="52" ht="17.25" customHeight="1">
      <c r="A52" s="1580" t="str">
        <f>'1. Справочник'!B136</f>
        <v>Дина</v>
      </c>
      <c r="B52" s="1558">
        <v>1.0</v>
      </c>
      <c r="C52" s="1581" t="str">
        <f>'1. Справочник'!C136</f>
        <v>NW 4-9</v>
      </c>
      <c r="D52" s="1560" t="str">
        <f>'Стратегия'!G60</f>
        <v>80/20</v>
      </c>
      <c r="E52" s="1561">
        <f>COUNTIFS('Лист15'!$H$1:$H1001,$E$1,'Лист15'!$A$1:$A1001,$C52)</f>
        <v>0</v>
      </c>
      <c r="F52" s="1561">
        <f>SUMIFS('Лист15'!$G$1:$G1001,'Лист15'!$H$1:$H1001,$E$1,'Лист15'!$A$1:$A1001,$C52)</f>
        <v>0</v>
      </c>
      <c r="G52" s="1562">
        <f t="shared" si="80"/>
        <v>0</v>
      </c>
      <c r="H52" s="1563">
        <f>COUNTIFS('Лист15'!$H$1:$H1001,$H$1,'Лист15'!$A$1:$A1001,$C52)</f>
        <v>0</v>
      </c>
      <c r="I52" s="1564">
        <f>SUMIFS('Лист15'!$G$1:$G1001,'Лист15'!$H$1:$H1001,$H$1,'Лист15'!$A$1:$A1001,$C52)</f>
        <v>0</v>
      </c>
      <c r="J52" s="1565">
        <f t="shared" si="81"/>
        <v>0</v>
      </c>
      <c r="K52" s="1561">
        <f>COUNTIFS('Лист15'!$H$1:$H1001,$K$1,'Лист15'!$A$1:$A1001,$C52)</f>
        <v>0</v>
      </c>
      <c r="L52" s="1564">
        <f>SUMIFS('Лист15'!$G$1:$G1001,'Лист15'!$H$1:$H1001,$K$1,'Лист15'!$A$1:$A1001,$C52)</f>
        <v>0</v>
      </c>
      <c r="M52" s="1565"/>
      <c r="N52" s="1561">
        <f>COUNTIFS('Лист15'!$H$1:$H1001,$N$1,'Лист15'!$A$1:$A1001,$C52)</f>
        <v>7</v>
      </c>
      <c r="O52" s="1564">
        <f>SUMIFS('Лист15'!$G$1:$G1001,'Лист15'!$H$1:$H1001,$N$1,'Лист15'!$A$1:$A1001,$C52)</f>
        <v>30</v>
      </c>
      <c r="P52" s="1566">
        <f t="shared" si="82"/>
        <v>1</v>
      </c>
      <c r="Q52" s="1561">
        <f>COUNTIFS('Лист15'!$H$1:$H1001,$Q$1,'Лист15'!$A$1:$A1001,$C52)</f>
        <v>1</v>
      </c>
      <c r="R52" s="1564">
        <f>SUMIFS('Лист15'!$G$1:$G1001,'Лист15'!$H$1:$H1001,$Q$1,'Лист15'!$A$1:$A1001,$C52)</f>
        <v>5</v>
      </c>
      <c r="S52" s="1566">
        <f t="shared" si="83"/>
        <v>0.1666666667</v>
      </c>
      <c r="T52" s="1561">
        <f>COUNTIFS('Лист15'!$H$1:$H1001,$T$1,'Лист15'!$A$1:$A1001,$C52)</f>
        <v>0</v>
      </c>
      <c r="U52" s="1564">
        <f>SUMIFS('Лист15'!$G$1:$G1001,'Лист15'!$H$1:$H1001,$T$1,'Лист15'!$A$1:$A1001,$C52)</f>
        <v>0</v>
      </c>
      <c r="V52" s="1567">
        <f t="shared" si="84"/>
        <v>0</v>
      </c>
      <c r="W52" s="1568">
        <f>COUNTIFS('Лист15'!$H$1:$H1001,$W$1,'Лист15'!$A$1:$A1001,$C52)</f>
        <v>0</v>
      </c>
      <c r="X52" s="1569">
        <f>SUMIFS('Лист15'!$G$1:$G1001,'Лист15'!$H$1:$H1001,$W$1,'Лист15'!$A$1:$A1001,$C52)</f>
        <v>0</v>
      </c>
      <c r="Y52" s="1570">
        <f t="shared" si="85"/>
        <v>0</v>
      </c>
      <c r="Z52" s="1568">
        <f>COUNTIFS('Лист15'!$H$1:$H1001,$Z$1,'Лист15'!$A$1:$A1001,$C52)</f>
        <v>0</v>
      </c>
      <c r="AA52" s="1569">
        <f>SUMIFS('Лист15'!$G$1:$G1001,'Лист15'!$H$1:$H1001,$Z$1,'Лист15'!$A$1:$A1001,$C52)</f>
        <v>0</v>
      </c>
      <c r="AB52" s="1570">
        <f t="shared" si="86"/>
        <v>0</v>
      </c>
      <c r="AC52" s="1568">
        <f>COUNTIFS('Лист15'!$H$1:$H1001,$AC$1,'Лист15'!$A$1:$A1001,$C52)</f>
        <v>0</v>
      </c>
      <c r="AD52" s="1569">
        <f>SUMIFS('Лист15'!$G$1:$G1001,'Лист15'!$H$1:$H1001,$AC$1,'Лист15'!$A$1:$A1001,$C52)</f>
        <v>0</v>
      </c>
      <c r="AE52" s="1570">
        <f t="shared" si="87"/>
        <v>0</v>
      </c>
    </row>
    <row r="53" ht="17.25" customHeight="1">
      <c r="A53" s="1580" t="str">
        <f>'1. Справочник'!B137</f>
        <v>Дина</v>
      </c>
      <c r="B53" s="1558">
        <v>1.0</v>
      </c>
      <c r="C53" s="1581" t="str">
        <f>'1. Справочник'!C137</f>
        <v>NW 4-10</v>
      </c>
      <c r="D53" s="1560" t="str">
        <f>'Стратегия'!G61</f>
        <v>80/20</v>
      </c>
      <c r="E53" s="1561">
        <f>COUNTIFS('Лист15'!$H$1:$H1001,$E$1,'Лист15'!$A$1:$A1001,$C53)</f>
        <v>0</v>
      </c>
      <c r="F53" s="1561">
        <f>SUMIFS('Лист15'!$G$1:$G1001,'Лист15'!$H$1:$H1001,$E$1,'Лист15'!$A$1:$A1001,$C53)</f>
        <v>0</v>
      </c>
      <c r="G53" s="1562">
        <f t="shared" si="80"/>
        <v>0</v>
      </c>
      <c r="H53" s="1563">
        <f>COUNTIFS('Лист15'!$H$1:$H1001,$H$1,'Лист15'!$A$1:$A1001,$C53)</f>
        <v>0</v>
      </c>
      <c r="I53" s="1564">
        <f>SUMIFS('Лист15'!$G$1:$G1001,'Лист15'!$H$1:$H1001,$H$1,'Лист15'!$A$1:$A1001,$C53)</f>
        <v>0</v>
      </c>
      <c r="J53" s="1565">
        <f t="shared" si="81"/>
        <v>0</v>
      </c>
      <c r="K53" s="1561">
        <f>COUNTIFS('Лист15'!$H$1:$H1001,$K$1,'Лист15'!$A$1:$A1001,$C53)</f>
        <v>0</v>
      </c>
      <c r="L53" s="1564">
        <f>SUMIFS('Лист15'!$G$1:$G1001,'Лист15'!$H$1:$H1001,$K$1,'Лист15'!$A$1:$A1001,$C53)</f>
        <v>0</v>
      </c>
      <c r="M53" s="1565"/>
      <c r="N53" s="1561">
        <f>COUNTIFS('Лист15'!$H$1:$H1001,$N$1,'Лист15'!$A$1:$A1001,$C53)</f>
        <v>5</v>
      </c>
      <c r="O53" s="1564">
        <f>SUMIFS('Лист15'!$G$1:$G1001,'Лист15'!$H$1:$H1001,$N$1,'Лист15'!$A$1:$A1001,$C53)</f>
        <v>30</v>
      </c>
      <c r="P53" s="1566">
        <f t="shared" si="82"/>
        <v>1</v>
      </c>
      <c r="Q53" s="1561">
        <f>COUNTIFS('Лист15'!$H$1:$H1001,$Q$1,'Лист15'!$A$1:$A1001,$C53)</f>
        <v>3</v>
      </c>
      <c r="R53" s="1564">
        <f>SUMIFS('Лист15'!$G$1:$G1001,'Лист15'!$H$1:$H1001,$Q$1,'Лист15'!$A$1:$A1001,$C53)</f>
        <v>9</v>
      </c>
      <c r="S53" s="1566">
        <f t="shared" si="83"/>
        <v>0.3</v>
      </c>
      <c r="T53" s="1561">
        <f>COUNTIFS('Лист15'!$H$1:$H1001,$T$1,'Лист15'!$A$1:$A1001,$C53)</f>
        <v>0</v>
      </c>
      <c r="U53" s="1564">
        <f>SUMIFS('Лист15'!$G$1:$G1001,'Лист15'!$H$1:$H1001,$T$1,'Лист15'!$A$1:$A1001,$C53)</f>
        <v>0</v>
      </c>
      <c r="V53" s="1567">
        <f t="shared" si="84"/>
        <v>0</v>
      </c>
      <c r="W53" s="1568">
        <f>COUNTIFS('Лист15'!$H$1:$H1001,$W$1,'Лист15'!$A$1:$A1001,$C53)</f>
        <v>0</v>
      </c>
      <c r="X53" s="1569">
        <f>SUMIFS('Лист15'!$G$1:$G1001,'Лист15'!$H$1:$H1001,$W$1,'Лист15'!$A$1:$A1001,$C53)</f>
        <v>0</v>
      </c>
      <c r="Y53" s="1570">
        <f t="shared" si="85"/>
        <v>0</v>
      </c>
      <c r="Z53" s="1568">
        <f>COUNTIFS('Лист15'!$H$1:$H1001,$Z$1,'Лист15'!$A$1:$A1001,$C53)</f>
        <v>0</v>
      </c>
      <c r="AA53" s="1569">
        <f>SUMIFS('Лист15'!$G$1:$G1001,'Лист15'!$H$1:$H1001,$Z$1,'Лист15'!$A$1:$A1001,$C53)</f>
        <v>0</v>
      </c>
      <c r="AB53" s="1570">
        <f t="shared" si="86"/>
        <v>0</v>
      </c>
      <c r="AC53" s="1568">
        <f>COUNTIFS('Лист15'!$H$1:$H1001,$AC$1,'Лист15'!$A$1:$A1001,$C53)</f>
        <v>0</v>
      </c>
      <c r="AD53" s="1569">
        <f>SUMIFS('Лист15'!$G$1:$G1001,'Лист15'!$H$1:$H1001,$AC$1,'Лист15'!$A$1:$A1001,$C53)</f>
        <v>0</v>
      </c>
      <c r="AE53" s="1570">
        <f t="shared" si="87"/>
        <v>0</v>
      </c>
    </row>
    <row r="54" ht="17.25" customHeight="1">
      <c r="A54" s="1580" t="str">
        <f>'1. Справочник'!B138</f>
        <v>Дина</v>
      </c>
      <c r="B54" s="1558">
        <v>1.0</v>
      </c>
      <c r="C54" s="1581" t="str">
        <f>'1. Справочник'!C138</f>
        <v>NW 10-6</v>
      </c>
      <c r="D54" s="1560" t="str">
        <f>'Стратегия'!G62</f>
        <v>80/20</v>
      </c>
      <c r="E54" s="1561">
        <f>COUNTIFS('Лист15'!$H$1:$H1001,$E$1,'Лист15'!$A$1:$A1001,$C54)</f>
        <v>0</v>
      </c>
      <c r="F54" s="1561">
        <f>SUMIFS('Лист15'!$G$1:$G1001,'Лист15'!$H$1:$H1001,$E$1,'Лист15'!$A$1:$A1001,$C54)</f>
        <v>0</v>
      </c>
      <c r="G54" s="1562">
        <f t="shared" si="80"/>
        <v>0</v>
      </c>
      <c r="H54" s="1563">
        <f>COUNTIFS('Лист15'!$H$1:$H1001,$H$1,'Лист15'!$A$1:$A1001,$C54)</f>
        <v>0</v>
      </c>
      <c r="I54" s="1564">
        <f>SUMIFS('Лист15'!$G$1:$G1001,'Лист15'!$H$1:$H1001,$H$1,'Лист15'!$A$1:$A1001,$C54)</f>
        <v>0</v>
      </c>
      <c r="J54" s="1565">
        <f t="shared" si="81"/>
        <v>0</v>
      </c>
      <c r="K54" s="1561">
        <f>COUNTIFS('Лист15'!$H$1:$H1001,$K$1,'Лист15'!$A$1:$A1001,$C54)</f>
        <v>0</v>
      </c>
      <c r="L54" s="1564">
        <f>SUMIFS('Лист15'!$G$1:$G1001,'Лист15'!$H$1:$H1001,$K$1,'Лист15'!$A$1:$A1001,$C54)</f>
        <v>0</v>
      </c>
      <c r="M54" s="1565"/>
      <c r="N54" s="1561">
        <f>COUNTIFS('Лист15'!$H$1:$H1001,$N$1,'Лист15'!$A$1:$A1001,$C54)</f>
        <v>5</v>
      </c>
      <c r="O54" s="1564">
        <f>SUMIFS('Лист15'!$G$1:$G1001,'Лист15'!$H$1:$H1001,$N$1,'Лист15'!$A$1:$A1001,$C54)</f>
        <v>25</v>
      </c>
      <c r="P54" s="1566">
        <f t="shared" si="82"/>
        <v>0.8333333333</v>
      </c>
      <c r="Q54" s="1561">
        <f>COUNTIFS('Лист15'!$H$1:$H1001,$Q$1,'Лист15'!$A$1:$A1001,$C54)</f>
        <v>0</v>
      </c>
      <c r="R54" s="1564">
        <f>SUMIFS('Лист15'!$G$1:$G1001,'Лист15'!$H$1:$H1001,$Q$1,'Лист15'!$A$1:$A1001,$C54)</f>
        <v>0</v>
      </c>
      <c r="S54" s="1566">
        <f t="shared" si="83"/>
        <v>0</v>
      </c>
      <c r="T54" s="1561">
        <f>COUNTIFS('Лист15'!$H$1:$H1001,$T$1,'Лист15'!$A$1:$A1001,$C54)</f>
        <v>0</v>
      </c>
      <c r="U54" s="1564">
        <f>SUMIFS('Лист15'!$G$1:$G1001,'Лист15'!$H$1:$H1001,$T$1,'Лист15'!$A$1:$A1001,$C54)</f>
        <v>0</v>
      </c>
      <c r="V54" s="1567">
        <f t="shared" si="84"/>
        <v>0</v>
      </c>
      <c r="W54" s="1568">
        <f>COUNTIFS('Лист15'!$H$1:$H1001,$W$1,'Лист15'!$A$1:$A1001,$C54)</f>
        <v>0</v>
      </c>
      <c r="X54" s="1569">
        <f>SUMIFS('Лист15'!$G$1:$G1001,'Лист15'!$H$1:$H1001,$W$1,'Лист15'!$A$1:$A1001,$C54)</f>
        <v>0</v>
      </c>
      <c r="Y54" s="1570">
        <f t="shared" si="85"/>
        <v>0</v>
      </c>
      <c r="Z54" s="1568">
        <f>COUNTIFS('Лист15'!$H$1:$H1001,$Z$1,'Лист15'!$A$1:$A1001,$C54)</f>
        <v>0</v>
      </c>
      <c r="AA54" s="1569">
        <f>SUMIFS('Лист15'!$G$1:$G1001,'Лист15'!$H$1:$H1001,$Z$1,'Лист15'!$A$1:$A1001,$C54)</f>
        <v>0</v>
      </c>
      <c r="AB54" s="1570">
        <f t="shared" si="86"/>
        <v>0</v>
      </c>
      <c r="AC54" s="1568">
        <f>COUNTIFS('Лист15'!$H$1:$H1001,$AC$1,'Лист15'!$A$1:$A1001,$C54)</f>
        <v>0</v>
      </c>
      <c r="AD54" s="1569">
        <f>SUMIFS('Лист15'!$G$1:$G1001,'Лист15'!$H$1:$H1001,$AC$1,'Лист15'!$A$1:$A1001,$C54)</f>
        <v>0</v>
      </c>
      <c r="AE54" s="1570">
        <f t="shared" si="87"/>
        <v>0</v>
      </c>
    </row>
    <row r="55" ht="17.25" customHeight="1">
      <c r="A55" s="1580" t="str">
        <f>'1. Справочник'!B63</f>
        <v>Юлия</v>
      </c>
      <c r="B55" s="1558">
        <v>1.0</v>
      </c>
      <c r="C55" s="1581" t="str">
        <f>'1. Справочник'!C63</f>
        <v>MZ 718</v>
      </c>
      <c r="D55" s="1582" t="str">
        <f>'Стратегия'!G64</f>
        <v>80/20</v>
      </c>
      <c r="E55" s="1561">
        <f>COUNTIFS('Лист15'!$H$1:$H1001,$E$1,'Лист15'!$A$1:$A1001,$C55)</f>
        <v>0</v>
      </c>
      <c r="F55" s="1561">
        <f>SUMIFS('Лист15'!$G$1:$G1001,'Лист15'!$H$1:$H1001,$E$1,'Лист15'!$A$1:$A1001,$C55)</f>
        <v>0</v>
      </c>
      <c r="G55" s="1562">
        <f t="shared" si="80"/>
        <v>0</v>
      </c>
      <c r="H55" s="1563">
        <f>COUNTIFS('Лист15'!$H$1:$H1001,$H$1,'Лист15'!$A$1:$A1001,$C55)</f>
        <v>6</v>
      </c>
      <c r="I55" s="1564">
        <f>SUMIFS('Лист15'!$G$1:$G1001,'Лист15'!$H$1:$H1001,$H$1,'Лист15'!$A$1:$A1001,$C55)</f>
        <v>20</v>
      </c>
      <c r="J55" s="1565">
        <f t="shared" si="81"/>
        <v>0.6451612903</v>
      </c>
      <c r="K55" s="1561">
        <f>COUNTIFS('Лист15'!$H$1:$H1001,$K$1,'Лист15'!$A$1:$A1001,$C55)</f>
        <v>6</v>
      </c>
      <c r="L55" s="1564">
        <f>SUMIFS('Лист15'!$G$1:$G1001,'Лист15'!$H$1:$H1001,$K$1,'Лист15'!$A$1:$A1001,$C55)</f>
        <v>20</v>
      </c>
      <c r="M55" s="1565">
        <f t="shared" ref="M55:M56" si="88">L55/30</f>
        <v>0.6666666667</v>
      </c>
      <c r="N55" s="1561">
        <f>COUNTIFS('Лист15'!$H$1:$H1001,$N$1,'Лист15'!$A$1:$A1001,$C55)</f>
        <v>5</v>
      </c>
      <c r="O55" s="1564">
        <f>SUMIFS('Лист15'!$G$1:$G1001,'Лист15'!$H$1:$H1001,$N$1,'Лист15'!$A$1:$A1001,$C55)</f>
        <v>24</v>
      </c>
      <c r="P55" s="1566">
        <f t="shared" si="82"/>
        <v>0.8</v>
      </c>
      <c r="Q55" s="1561">
        <f>COUNTIFS('Лист15'!$H$1:$H1001,$Q$1,'Лист15'!$A$1:$A1001,$C55)</f>
        <v>3</v>
      </c>
      <c r="R55" s="1564">
        <f>SUMIFS('Лист15'!$G$1:$G1001,'Лист15'!$H$1:$H1001,$Q$1,'Лист15'!$A$1:$A1001,$C55)</f>
        <v>11</v>
      </c>
      <c r="S55" s="1566">
        <f t="shared" si="83"/>
        <v>0.3666666667</v>
      </c>
      <c r="T55" s="1561">
        <f>COUNTIFS('Лист15'!$H$1:$H1001,$T$1,'Лист15'!$A$1:$A1001,$C55)</f>
        <v>0</v>
      </c>
      <c r="U55" s="1564">
        <f>SUMIFS('Лист15'!$G$1:$G1001,'Лист15'!$H$1:$H1001,$T$1,'Лист15'!$A$1:$A1001,$C55)</f>
        <v>0</v>
      </c>
      <c r="V55" s="1567">
        <f t="shared" si="84"/>
        <v>0</v>
      </c>
      <c r="W55" s="1568">
        <f>COUNTIFS('Лист15'!$H$1:$H1001,$W$1,'Лист15'!$A$1:$A1001,$C55)</f>
        <v>0</v>
      </c>
      <c r="X55" s="1569">
        <f>SUMIFS('Лист15'!$G$1:$G1001,'Лист15'!$H$1:$H1001,$W$1,'Лист15'!$A$1:$A1001,$C55)</f>
        <v>0</v>
      </c>
      <c r="Y55" s="1570">
        <f t="shared" si="85"/>
        <v>0</v>
      </c>
      <c r="Z55" s="1568">
        <f>COUNTIFS('Лист15'!$H$1:$H1001,$Z$1,'Лист15'!$A$1:$A1001,$C55)</f>
        <v>0</v>
      </c>
      <c r="AA55" s="1569">
        <f>SUMIFS('Лист15'!$G$1:$G1001,'Лист15'!$H$1:$H1001,$Z$1,'Лист15'!$A$1:$A1001,$C55)</f>
        <v>0</v>
      </c>
      <c r="AB55" s="1570">
        <f t="shared" si="86"/>
        <v>0</v>
      </c>
      <c r="AC55" s="1568">
        <f>COUNTIFS('Лист15'!$H$1:$H1001,$AC$1,'Лист15'!$A$1:$A1001,$C55)</f>
        <v>0</v>
      </c>
      <c r="AD55" s="1569">
        <f>SUMIFS('Лист15'!$G$1:$G1001,'Лист15'!$H$1:$H1001,$AC$1,'Лист15'!$A$1:$A1001,$C55)</f>
        <v>0</v>
      </c>
      <c r="AE55" s="1570">
        <f t="shared" si="87"/>
        <v>0</v>
      </c>
    </row>
    <row r="56" ht="17.25" customHeight="1">
      <c r="A56" s="1580" t="str">
        <f>'1. Справочник'!B64</f>
        <v>Юлия</v>
      </c>
      <c r="B56" s="1558">
        <v>1.0</v>
      </c>
      <c r="C56" s="1581" t="str">
        <f>'1. Справочник'!C64</f>
        <v>MZ 913</v>
      </c>
      <c r="D56" s="1582" t="str">
        <f>'Стратегия'!G65</f>
        <v>80/20</v>
      </c>
      <c r="E56" s="1561">
        <f>COUNTIFS('Лист15'!$H$1:$H1001,$E$1,'Лист15'!$A$1:$A1001,$C56)</f>
        <v>0</v>
      </c>
      <c r="F56" s="1561">
        <f>SUMIFS('Лист15'!$G$1:$G1001,'Лист15'!$H$1:$H1001,$E$1,'Лист15'!$A$1:$A1001,$C56)</f>
        <v>0</v>
      </c>
      <c r="G56" s="1562">
        <f t="shared" si="80"/>
        <v>0</v>
      </c>
      <c r="H56" s="1563">
        <f>COUNTIFS('Лист15'!$H$1:$H1001,$H$1,'Лист15'!$A$1:$A1001,$C56)</f>
        <v>3</v>
      </c>
      <c r="I56" s="1564">
        <f>SUMIFS('Лист15'!$G$1:$G1001,'Лист15'!$H$1:$H1001,$H$1,'Лист15'!$A$1:$A1001,$C56)</f>
        <v>16</v>
      </c>
      <c r="J56" s="1565">
        <f t="shared" si="81"/>
        <v>0.5161290323</v>
      </c>
      <c r="K56" s="1561">
        <f>COUNTIFS('Лист15'!$H$1:$H1001,$K$1,'Лист15'!$A$1:$A1001,$C56)</f>
        <v>6</v>
      </c>
      <c r="L56" s="1564">
        <f>SUMIFS('Лист15'!$G$1:$G1001,'Лист15'!$H$1:$H1001,$K$1,'Лист15'!$A$1:$A1001,$C56)</f>
        <v>28</v>
      </c>
      <c r="M56" s="1565">
        <f t="shared" si="88"/>
        <v>0.9333333333</v>
      </c>
      <c r="N56" s="1561">
        <f>COUNTIFS('Лист15'!$H$1:$H1001,$N$1,'Лист15'!$A$1:$A1001,$C56)</f>
        <v>5</v>
      </c>
      <c r="O56" s="1564">
        <f>SUMIFS('Лист15'!$G$1:$G1001,'Лист15'!$H$1:$H1001,$N$1,'Лист15'!$A$1:$A1001,$C56)</f>
        <v>35</v>
      </c>
      <c r="P56" s="1566">
        <f t="shared" si="82"/>
        <v>1.166666667</v>
      </c>
      <c r="Q56" s="1561">
        <f>COUNTIFS('Лист15'!$H$1:$H1001,$Q$1,'Лист15'!$A$1:$A1001,$C56)</f>
        <v>1</v>
      </c>
      <c r="R56" s="1564">
        <f>SUMIFS('Лист15'!$G$1:$G1001,'Лист15'!$H$1:$H1001,$Q$1,'Лист15'!$A$1:$A1001,$C56)</f>
        <v>1</v>
      </c>
      <c r="S56" s="1566">
        <f t="shared" si="83"/>
        <v>0.03333333333</v>
      </c>
      <c r="T56" s="1561">
        <f>COUNTIFS('Лист15'!$H$1:$H1001,$T$1,'Лист15'!$A$1:$A1001,$C56)</f>
        <v>0</v>
      </c>
      <c r="U56" s="1564">
        <f>SUMIFS('Лист15'!$G$1:$G1001,'Лист15'!$H$1:$H1001,$T$1,'Лист15'!$A$1:$A1001,$C56)</f>
        <v>0</v>
      </c>
      <c r="V56" s="1567">
        <f t="shared" si="84"/>
        <v>0</v>
      </c>
      <c r="W56" s="1568">
        <f>COUNTIFS('Лист15'!$H$1:$H1001,$W$1,'Лист15'!$A$1:$A1001,$C56)</f>
        <v>0</v>
      </c>
      <c r="X56" s="1569">
        <f>SUMIFS('Лист15'!$G$1:$G1001,'Лист15'!$H$1:$H1001,$W$1,'Лист15'!$A$1:$A1001,$C56)</f>
        <v>0</v>
      </c>
      <c r="Y56" s="1570">
        <f t="shared" si="85"/>
        <v>0</v>
      </c>
      <c r="Z56" s="1568">
        <f>COUNTIFS('Лист15'!$H$1:$H1001,$Z$1,'Лист15'!$A$1:$A1001,$C56)</f>
        <v>0</v>
      </c>
      <c r="AA56" s="1569">
        <f>SUMIFS('Лист15'!$G$1:$G1001,'Лист15'!$H$1:$H1001,$Z$1,'Лист15'!$A$1:$A1001,$C56)</f>
        <v>0</v>
      </c>
      <c r="AB56" s="1570">
        <f t="shared" si="86"/>
        <v>0</v>
      </c>
      <c r="AC56" s="1568">
        <f>COUNTIFS('Лист15'!$H$1:$H1001,$AC$1,'Лист15'!$A$1:$A1001,$C56)</f>
        <v>0</v>
      </c>
      <c r="AD56" s="1569">
        <f>SUMIFS('Лист15'!$G$1:$G1001,'Лист15'!$H$1:$H1001,$AC$1,'Лист15'!$A$1:$A1001,$C56)</f>
        <v>0</v>
      </c>
      <c r="AE56" s="1570">
        <f t="shared" si="87"/>
        <v>0</v>
      </c>
    </row>
    <row r="57" ht="17.25" customHeight="1">
      <c r="A57" s="1580" t="str">
        <f>'1. Справочник'!B65</f>
        <v>Юлия</v>
      </c>
      <c r="B57" s="1558">
        <v>1.0</v>
      </c>
      <c r="C57" s="1581" t="str">
        <f>'1. Справочник'!C65</f>
        <v>MZ 1408</v>
      </c>
      <c r="D57" s="1560" t="str">
        <f>'Стратегия'!G66</f>
        <v>80/20</v>
      </c>
      <c r="E57" s="1561">
        <f>COUNTIFS('Лист15'!$H$1:$H1001,$E$1,'Лист15'!$A$1:$A1001,$C57)</f>
        <v>0</v>
      </c>
      <c r="F57" s="1561">
        <f>SUMIFS('Лист15'!$G$1:$G1001,'Лист15'!$H$1:$H1001,$E$1,'Лист15'!$A$1:$A1001,$C57)</f>
        <v>0</v>
      </c>
      <c r="G57" s="1562">
        <f t="shared" si="80"/>
        <v>0</v>
      </c>
      <c r="H57" s="1563">
        <f>COUNTIFS('Лист15'!$H$1:$H1001,$H$1,'Лист15'!$A$1:$A1001,$C57)</f>
        <v>0</v>
      </c>
      <c r="I57" s="1564">
        <f>SUMIFS('Лист15'!$G$1:$G1001,'Лист15'!$H$1:$H1001,$H$1,'Лист15'!$A$1:$A1001,$C57)</f>
        <v>0</v>
      </c>
      <c r="J57" s="1565">
        <f t="shared" si="81"/>
        <v>0</v>
      </c>
      <c r="K57" s="1561">
        <f>COUNTIFS('Лист15'!$H$1:$H1001,$K$1,'Лист15'!$A$1:$A1001,$C57)</f>
        <v>0</v>
      </c>
      <c r="L57" s="1564">
        <f>SUMIFS('Лист15'!$G$1:$G1001,'Лист15'!$H$1:$H1001,$K$1,'Лист15'!$A$1:$A1001,$C57)</f>
        <v>0</v>
      </c>
      <c r="M57" s="1565"/>
      <c r="N57" s="1561">
        <f>COUNTIFS('Лист15'!$H$1:$H1001,$N$1,'Лист15'!$A$1:$A1001,$C57)</f>
        <v>3</v>
      </c>
      <c r="O57" s="1564">
        <f>SUMIFS('Лист15'!$G$1:$G1001,'Лист15'!$H$1:$H1001,$N$1,'Лист15'!$A$1:$A1001,$C57)</f>
        <v>21</v>
      </c>
      <c r="P57" s="1566">
        <f t="shared" si="82"/>
        <v>0.7</v>
      </c>
      <c r="Q57" s="1561">
        <f>COUNTIFS('Лист15'!$H$1:$H1001,$Q$1,'Лист15'!$A$1:$A1001,$C57)</f>
        <v>0</v>
      </c>
      <c r="R57" s="1564">
        <f>SUMIFS('Лист15'!$G$1:$G1001,'Лист15'!$H$1:$H1001,$Q$1,'Лист15'!$A$1:$A1001,$C57)</f>
        <v>0</v>
      </c>
      <c r="S57" s="1566">
        <f t="shared" si="83"/>
        <v>0</v>
      </c>
      <c r="T57" s="1561">
        <f>COUNTIFS('Лист15'!$H$1:$H1001,$T$1,'Лист15'!$A$1:$A1001,$C57)</f>
        <v>0</v>
      </c>
      <c r="U57" s="1564">
        <f>SUMIFS('Лист15'!$G$1:$G1001,'Лист15'!$H$1:$H1001,$T$1,'Лист15'!$A$1:$A1001,$C57)</f>
        <v>0</v>
      </c>
      <c r="V57" s="1567">
        <f t="shared" si="84"/>
        <v>0</v>
      </c>
      <c r="W57" s="1568">
        <f>COUNTIFS('Лист15'!$H$1:$H1001,$W$1,'Лист15'!$A$1:$A1001,$C57)</f>
        <v>0</v>
      </c>
      <c r="X57" s="1569">
        <f>SUMIFS('Лист15'!$G$1:$G1001,'Лист15'!$H$1:$H1001,$W$1,'Лист15'!$A$1:$A1001,$C57)</f>
        <v>0</v>
      </c>
      <c r="Y57" s="1570">
        <f t="shared" si="85"/>
        <v>0</v>
      </c>
      <c r="Z57" s="1568">
        <f>COUNTIFS('Лист15'!$H$1:$H1001,$Z$1,'Лист15'!$A$1:$A1001,$C57)</f>
        <v>0</v>
      </c>
      <c r="AA57" s="1569">
        <f>SUMIFS('Лист15'!$G$1:$G1001,'Лист15'!$H$1:$H1001,$Z$1,'Лист15'!$A$1:$A1001,$C57)</f>
        <v>0</v>
      </c>
      <c r="AB57" s="1570">
        <f t="shared" si="86"/>
        <v>0</v>
      </c>
      <c r="AC57" s="1568">
        <f>COUNTIFS('Лист15'!$H$1:$H1001,$AC$1,'Лист15'!$A$1:$A1001,$C57)</f>
        <v>0</v>
      </c>
      <c r="AD57" s="1569">
        <f>SUMIFS('Лист15'!$G$1:$G1001,'Лист15'!$H$1:$H1001,$AC$1,'Лист15'!$A$1:$A1001,$C57)</f>
        <v>0</v>
      </c>
      <c r="AE57" s="1570">
        <f t="shared" si="87"/>
        <v>0</v>
      </c>
    </row>
    <row r="58" ht="17.25" customHeight="1">
      <c r="A58" s="1580" t="str">
        <f>'1. Справочник'!B66</f>
        <v>Юлия</v>
      </c>
      <c r="B58" s="1558">
        <v>1.0</v>
      </c>
      <c r="C58" s="1581" t="str">
        <f>'1. Справочник'!C66</f>
        <v>MZ А 1113</v>
      </c>
      <c r="D58" s="1560" t="str">
        <f>'Стратегия'!G67</f>
        <v>80/20</v>
      </c>
      <c r="E58" s="1561">
        <f>COUNTIFS('Лист15'!$H$1:$H1001,$E$1,'Лист15'!$A$1:$A1001,$C58)</f>
        <v>0</v>
      </c>
      <c r="F58" s="1561">
        <f>SUMIFS('Лист15'!$G$1:$G1001,'Лист15'!$H$1:$H1001,$E$1,'Лист15'!$A$1:$A1001,$C58)</f>
        <v>0</v>
      </c>
      <c r="G58" s="1562">
        <f t="shared" si="80"/>
        <v>0</v>
      </c>
      <c r="H58" s="1563">
        <f>COUNTIFS('Лист15'!$H$1:$H1001,$H$1,'Лист15'!$A$1:$A1001,$C58)</f>
        <v>0</v>
      </c>
      <c r="I58" s="1564">
        <f>SUMIFS('Лист15'!$G$1:$G1001,'Лист15'!$H$1:$H1001,$H$1,'Лист15'!$A$1:$A1001,$C58)</f>
        <v>0</v>
      </c>
      <c r="J58" s="1565">
        <f t="shared" si="81"/>
        <v>0</v>
      </c>
      <c r="K58" s="1561">
        <f>COUNTIFS('Лист15'!$H$1:$H1001,$K$1,'Лист15'!$A$1:$A1001,$C58)</f>
        <v>0</v>
      </c>
      <c r="L58" s="1564">
        <f>SUMIFS('Лист15'!$G$1:$G1001,'Лист15'!$H$1:$H1001,$K$1,'Лист15'!$A$1:$A1001,$C58)</f>
        <v>0</v>
      </c>
      <c r="M58" s="1565"/>
      <c r="N58" s="1561">
        <f>COUNTIFS('Лист15'!$H$1:$H1001,$N$1,'Лист15'!$A$1:$A1001,$C58)</f>
        <v>0</v>
      </c>
      <c r="O58" s="1564">
        <f>SUMIFS('Лист15'!$G$1:$G1001,'Лист15'!$H$1:$H1001,$N$1,'Лист15'!$A$1:$A1001,$C58)</f>
        <v>0</v>
      </c>
      <c r="P58" s="1566">
        <f t="shared" si="82"/>
        <v>0</v>
      </c>
      <c r="Q58" s="1561">
        <f>COUNTIFS('Лист15'!$H$1:$H1001,$Q$1,'Лист15'!$A$1:$A1001,$C58)</f>
        <v>0</v>
      </c>
      <c r="R58" s="1564">
        <f>SUMIFS('Лист15'!$G$1:$G1001,'Лист15'!$H$1:$H1001,$Q$1,'Лист15'!$A$1:$A1001,$C58)</f>
        <v>0</v>
      </c>
      <c r="S58" s="1566">
        <f t="shared" si="83"/>
        <v>0</v>
      </c>
      <c r="T58" s="1561">
        <f>COUNTIFS('Лист15'!$H$1:$H1001,$T$1,'Лист15'!$A$1:$A1001,$C58)</f>
        <v>0</v>
      </c>
      <c r="U58" s="1564">
        <f>SUMIFS('Лист15'!$G$1:$G1001,'Лист15'!$H$1:$H1001,$T$1,'Лист15'!$A$1:$A1001,$C58)</f>
        <v>0</v>
      </c>
      <c r="V58" s="1567">
        <f t="shared" si="84"/>
        <v>0</v>
      </c>
      <c r="W58" s="1568">
        <f>COUNTIFS('Лист15'!$H$1:$H1001,$W$1,'Лист15'!$A$1:$A1001,$C58)</f>
        <v>0</v>
      </c>
      <c r="X58" s="1569">
        <f>SUMIFS('Лист15'!$G$1:$G1001,'Лист15'!$H$1:$H1001,$W$1,'Лист15'!$A$1:$A1001,$C58)</f>
        <v>0</v>
      </c>
      <c r="Y58" s="1570">
        <f t="shared" si="85"/>
        <v>0</v>
      </c>
      <c r="Z58" s="1568">
        <f>COUNTIFS('Лист15'!$H$1:$H1001,$Z$1,'Лист15'!$A$1:$A1001,$C58)</f>
        <v>0</v>
      </c>
      <c r="AA58" s="1569">
        <f>SUMIFS('Лист15'!$G$1:$G1001,'Лист15'!$H$1:$H1001,$Z$1,'Лист15'!$A$1:$A1001,$C58)</f>
        <v>0</v>
      </c>
      <c r="AB58" s="1570">
        <f t="shared" si="86"/>
        <v>0</v>
      </c>
      <c r="AC58" s="1568">
        <f>COUNTIFS('Лист15'!$H$1:$H1001,$AC$1,'Лист15'!$A$1:$A1001,$C58)</f>
        <v>0</v>
      </c>
      <c r="AD58" s="1569">
        <f>SUMIFS('Лист15'!$G$1:$G1001,'Лист15'!$H$1:$H1001,$AC$1,'Лист15'!$A$1:$A1001,$C58)</f>
        <v>0</v>
      </c>
      <c r="AE58" s="1570">
        <f t="shared" si="87"/>
        <v>0</v>
      </c>
    </row>
    <row r="59" ht="17.25" customHeight="1">
      <c r="A59" s="1580" t="str">
        <f>'1. Справочник'!B67</f>
        <v>Юлия</v>
      </c>
      <c r="B59" s="1558"/>
      <c r="C59" s="1581" t="str">
        <f>'1. Справочник'!C67</f>
        <v>MZ C 511</v>
      </c>
      <c r="D59" s="1560"/>
      <c r="E59" s="1561"/>
      <c r="F59" s="1561"/>
      <c r="G59" s="1562"/>
      <c r="H59" s="1563"/>
      <c r="I59" s="1564"/>
      <c r="J59" s="1565"/>
      <c r="K59" s="1561"/>
      <c r="L59" s="1564"/>
      <c r="M59" s="1565"/>
      <c r="N59" s="1561"/>
      <c r="O59" s="1564"/>
      <c r="P59" s="1566"/>
      <c r="Q59" s="1561">
        <f>COUNTIFS('Лист15'!$H$1:$H1001,$Q$1,'Лист15'!$A$1:$A1001,$C59)</f>
        <v>0</v>
      </c>
      <c r="R59" s="1564">
        <f>SUMIFS('Лист15'!$G$1:$G1001,'Лист15'!$H$1:$H1001,$Q$1,'Лист15'!$A$1:$A1001,$C59)</f>
        <v>0</v>
      </c>
      <c r="S59" s="1566"/>
      <c r="T59" s="1561">
        <f>COUNTIFS('Лист15'!$H$1:$H1001,$T$1,'Лист15'!$A$1:$A1001,$C59)</f>
        <v>0</v>
      </c>
      <c r="U59" s="1564">
        <f>SUMIFS('Лист15'!$G$1:$G1001,'Лист15'!$H$1:$H1001,$T$1,'Лист15'!$A$1:$A1001,$C59)</f>
        <v>0</v>
      </c>
      <c r="V59" s="1567"/>
      <c r="W59" s="1568">
        <f>COUNTIFS('Лист15'!$H$1:$H1001,$W$1,'Лист15'!$A$1:$A1001,$C59)</f>
        <v>0</v>
      </c>
      <c r="X59" s="1569">
        <f>SUMIFS('Лист15'!$G$1:$G1001,'Лист15'!$H$1:$H1001,$W$1,'Лист15'!$A$1:$A1001,$C59)</f>
        <v>0</v>
      </c>
      <c r="Y59" s="1570">
        <f t="shared" si="85"/>
        <v>0</v>
      </c>
      <c r="Z59" s="1568">
        <f>COUNTIFS('Лист15'!$H$1:$H1001,$Z$1,'Лист15'!$A$1:$A1001,$C59)</f>
        <v>0</v>
      </c>
      <c r="AA59" s="1569">
        <f>SUMIFS('Лист15'!$G$1:$G1001,'Лист15'!$H$1:$H1001,$Z$1,'Лист15'!$A$1:$A1001,$C59)</f>
        <v>0</v>
      </c>
      <c r="AB59" s="1570">
        <f t="shared" si="86"/>
        <v>0</v>
      </c>
      <c r="AC59" s="1568">
        <f>COUNTIFS('Лист15'!$H$1:$H1001,$AC$1,'Лист15'!$A$1:$A1001,$C59)</f>
        <v>0</v>
      </c>
      <c r="AD59" s="1569">
        <f>SUMIFS('Лист15'!$G$1:$G1001,'Лист15'!$H$1:$H1001,$AC$1,'Лист15'!$A$1:$A1001,$C59)</f>
        <v>0</v>
      </c>
      <c r="AE59" s="1570">
        <f t="shared" si="87"/>
        <v>0</v>
      </c>
    </row>
    <row r="60" ht="17.25" customHeight="1">
      <c r="A60" s="1580" t="str">
        <f>'1. Справочник'!B75</f>
        <v/>
      </c>
      <c r="B60" s="1558">
        <v>1.0</v>
      </c>
      <c r="C60" s="1583" t="str">
        <f>'1. Справочник'!C75</f>
        <v>DL 11-1112</v>
      </c>
      <c r="D60" s="1560" t="str">
        <f>'Стратегия'!G120</f>
        <v>90/10</v>
      </c>
      <c r="E60" s="1561">
        <f>COUNTIFS('Лист15'!$H$1:$H1001,$E$1,'Лист15'!$A$1:$A1001,$C60)</f>
        <v>0</v>
      </c>
      <c r="F60" s="1561">
        <f>SUMIFS('Лист15'!$G$1:$G1001,'Лист15'!$H$1:$H1001,$E$1,'Лист15'!$A$1:$A1001,$C60)</f>
        <v>0</v>
      </c>
      <c r="G60" s="1562">
        <f t="shared" ref="G60:G75" si="89">F60/30</f>
        <v>0</v>
      </c>
      <c r="H60" s="1563">
        <f>COUNTIFS('Лист15'!$H$1:$H1001,$H$1,'Лист15'!$A$1:$A1001,$C60)</f>
        <v>0</v>
      </c>
      <c r="I60" s="1564">
        <f>SUMIFS('Лист15'!$G$1:$G1001,'Лист15'!$H$1:$H1001,$H$1,'Лист15'!$A$1:$A1001,$C60)</f>
        <v>0</v>
      </c>
      <c r="J60" s="1565">
        <f t="shared" ref="J60:J99" si="90">I60/31</f>
        <v>0</v>
      </c>
      <c r="K60" s="1561">
        <f>COUNTIFS('Лист15'!$H$1:$H1001,$K$1,'Лист15'!$A$1:$A1001,$C60)</f>
        <v>2</v>
      </c>
      <c r="L60" s="1564">
        <f>SUMIFS('Лист15'!$G$1:$G1001,'Лист15'!$H$1:$H1001,$K$1,'Лист15'!$A$1:$A1001,$C60)</f>
        <v>10</v>
      </c>
      <c r="M60" s="1565">
        <f t="shared" ref="M60:M73" si="91">L60/30</f>
        <v>0.3333333333</v>
      </c>
      <c r="N60" s="1561">
        <f>COUNTIFS('Лист15'!$H$1:$H1001,$N$1,'Лист15'!$A$1:$A1001,$C60)</f>
        <v>3</v>
      </c>
      <c r="O60" s="1564">
        <f>SUMIFS('Лист15'!$G$1:$G1001,'Лист15'!$H$1:$H1001,$N$1,'Лист15'!$A$1:$A1001,$C60)</f>
        <v>10</v>
      </c>
      <c r="P60" s="1566">
        <f t="shared" ref="P60:P99" si="92">O60/30</f>
        <v>0.3333333333</v>
      </c>
      <c r="Q60" s="1561">
        <f>COUNTIFS('Лист15'!$H$1:$H1001,$Q$1,'Лист15'!$A$1:$A1001,$C60)</f>
        <v>1</v>
      </c>
      <c r="R60" s="1564">
        <f>SUMIFS('Лист15'!$G$1:$G1001,'Лист15'!$H$1:$H1001,$Q$1,'Лист15'!$A$1:$A1001,$C60)</f>
        <v>8</v>
      </c>
      <c r="S60" s="1566">
        <f t="shared" ref="S60:S99" si="93">R60/30</f>
        <v>0.2666666667</v>
      </c>
      <c r="T60" s="1561">
        <f>COUNTIFS('Лист15'!$H$1:$H1001,$T$1,'Лист15'!$A$1:$A1001,$C60)</f>
        <v>0</v>
      </c>
      <c r="U60" s="1564">
        <f>SUMIFS('Лист15'!$G$1:$G1001,'Лист15'!$H$1:$H1001,$T$1,'Лист15'!$A$1:$A1001,$C60)</f>
        <v>0</v>
      </c>
      <c r="V60" s="1567">
        <f t="shared" ref="V60:V99" si="94">U60/30</f>
        <v>0</v>
      </c>
      <c r="W60" s="1568">
        <f>COUNTIFS('Лист15'!$H$1:$H1001,$W$1,'Лист15'!$A$1:$A1001,$C60)</f>
        <v>0</v>
      </c>
      <c r="X60" s="1569">
        <f>SUMIFS('Лист15'!$G$1:$G1001,'Лист15'!$H$1:$H1001,$W$1,'Лист15'!$A$1:$A1001,$C60)</f>
        <v>0</v>
      </c>
      <c r="Y60" s="1570">
        <f t="shared" si="85"/>
        <v>0</v>
      </c>
      <c r="Z60" s="1568">
        <f>COUNTIFS('Лист15'!$H$1:$H1001,$Z$1,'Лист15'!$A$1:$A1001,$C60)</f>
        <v>0</v>
      </c>
      <c r="AA60" s="1569">
        <f>SUMIFS('Лист15'!$G$1:$G1001,'Лист15'!$H$1:$H1001,$Z$1,'Лист15'!$A$1:$A1001,$C60)</f>
        <v>0</v>
      </c>
      <c r="AB60" s="1570">
        <f t="shared" si="86"/>
        <v>0</v>
      </c>
      <c r="AC60" s="1568">
        <f>COUNTIFS('Лист15'!$H$1:$H1001,$AC$1,'Лист15'!$A$1:$A1001,$C60)</f>
        <v>0</v>
      </c>
      <c r="AD60" s="1569">
        <f>SUMIFS('Лист15'!$G$1:$G1001,'Лист15'!$H$1:$H1001,$AC$1,'Лист15'!$A$1:$A1001,$C60)</f>
        <v>0</v>
      </c>
      <c r="AE60" s="1570">
        <f t="shared" si="87"/>
        <v>0</v>
      </c>
    </row>
    <row r="61" ht="17.25" customHeight="1">
      <c r="A61" s="1580" t="str">
        <f>'1. Справочник'!B76</f>
        <v/>
      </c>
      <c r="B61" s="1558">
        <v>1.0</v>
      </c>
      <c r="C61" s="1583" t="str">
        <f>'1. Справочник'!C76</f>
        <v>DL 11-1305</v>
      </c>
      <c r="D61" s="1560" t="str">
        <f>'Стратегия'!G70</f>
        <v>80/20</v>
      </c>
      <c r="E61" s="1561">
        <f>COUNTIFS('Лист15'!$H$1:$H1001,$E$1,'Лист15'!$A$1:$A1001,$C61)</f>
        <v>0</v>
      </c>
      <c r="F61" s="1561">
        <f>SUMIFS('Лист15'!$G$1:$G1001,'Лист15'!$H$1:$H1001,$E$1,'Лист15'!$A$1:$A1001,$C61)</f>
        <v>0</v>
      </c>
      <c r="G61" s="1562">
        <f t="shared" si="89"/>
        <v>0</v>
      </c>
      <c r="H61" s="1563">
        <f>COUNTIFS('Лист15'!$H$1:$H1001,$H$1,'Лист15'!$A$1:$A1001,$C61)</f>
        <v>0</v>
      </c>
      <c r="I61" s="1564">
        <f>SUMIFS('Лист15'!$G$1:$G1001,'Лист15'!$H$1:$H1001,$H$1,'Лист15'!$A$1:$A1001,$C61)</f>
        <v>0</v>
      </c>
      <c r="J61" s="1565">
        <f t="shared" si="90"/>
        <v>0</v>
      </c>
      <c r="K61" s="1561">
        <f>COUNTIFS('Лист15'!$H$1:$H1001,$K$1,'Лист15'!$A$1:$A1001,$C61)</f>
        <v>4</v>
      </c>
      <c r="L61" s="1564">
        <f>SUMIFS('Лист15'!$G$1:$G1001,'Лист15'!$H$1:$H1001,$K$1,'Лист15'!$A$1:$A1001,$C61)</f>
        <v>27</v>
      </c>
      <c r="M61" s="1565">
        <f t="shared" si="91"/>
        <v>0.9</v>
      </c>
      <c r="N61" s="1561">
        <f>COUNTIFS('Лист15'!$H$1:$H1001,$N$1,'Лист15'!$A$1:$A1001,$C61)</f>
        <v>4</v>
      </c>
      <c r="O61" s="1564">
        <f>SUMIFS('Лист15'!$G$1:$G1001,'Лист15'!$H$1:$H1001,$N$1,'Лист15'!$A$1:$A1001,$C61)</f>
        <v>17</v>
      </c>
      <c r="P61" s="1566">
        <f t="shared" si="92"/>
        <v>0.5666666667</v>
      </c>
      <c r="Q61" s="1561">
        <f>COUNTIFS('Лист15'!$H$1:$H1001,$Q$1,'Лист15'!$A$1:$A1001,$C61)</f>
        <v>1</v>
      </c>
      <c r="R61" s="1564">
        <f>SUMIFS('Лист15'!$G$1:$G1001,'Лист15'!$H$1:$H1001,$Q$1,'Лист15'!$A$1:$A1001,$C61)</f>
        <v>6</v>
      </c>
      <c r="S61" s="1566">
        <f t="shared" si="93"/>
        <v>0.2</v>
      </c>
      <c r="T61" s="1561">
        <f>COUNTIFS('Лист15'!$H$1:$H1001,$T$1,'Лист15'!$A$1:$A1001,$C61)</f>
        <v>0</v>
      </c>
      <c r="U61" s="1564">
        <f>SUMIFS('Лист15'!$G$1:$G1001,'Лист15'!$H$1:$H1001,$T$1,'Лист15'!$A$1:$A1001,$C61)</f>
        <v>0</v>
      </c>
      <c r="V61" s="1567">
        <f t="shared" si="94"/>
        <v>0</v>
      </c>
      <c r="W61" s="1568">
        <f>COUNTIFS('Лист15'!$H$1:$H1001,$W$1,'Лист15'!$A$1:$A1001,$C61)</f>
        <v>0</v>
      </c>
      <c r="X61" s="1569">
        <f>SUMIFS('Лист15'!$G$1:$G1001,'Лист15'!$H$1:$H1001,$W$1,'Лист15'!$A$1:$A1001,$C61)</f>
        <v>0</v>
      </c>
      <c r="Y61" s="1570">
        <f t="shared" si="85"/>
        <v>0</v>
      </c>
      <c r="Z61" s="1568">
        <f>COUNTIFS('Лист15'!$H$1:$H1001,$Z$1,'Лист15'!$A$1:$A1001,$C61)</f>
        <v>0</v>
      </c>
      <c r="AA61" s="1569">
        <f>SUMIFS('Лист15'!$G$1:$G1001,'Лист15'!$H$1:$H1001,$Z$1,'Лист15'!$A$1:$A1001,$C61)</f>
        <v>0</v>
      </c>
      <c r="AB61" s="1570">
        <f t="shared" si="86"/>
        <v>0</v>
      </c>
      <c r="AC61" s="1568">
        <f>COUNTIFS('Лист15'!$H$1:$H1001,$AC$1,'Лист15'!$A$1:$A1001,$C61)</f>
        <v>0</v>
      </c>
      <c r="AD61" s="1569">
        <f>SUMIFS('Лист15'!$G$1:$G1001,'Лист15'!$H$1:$H1001,$AC$1,'Лист15'!$A$1:$A1001,$C61)</f>
        <v>0</v>
      </c>
      <c r="AE61" s="1570">
        <f t="shared" si="87"/>
        <v>0</v>
      </c>
    </row>
    <row r="62" ht="17.25" customHeight="1">
      <c r="A62" s="1580" t="str">
        <f>'1. Справочник'!B77</f>
        <v/>
      </c>
      <c r="B62" s="1558">
        <v>1.0</v>
      </c>
      <c r="C62" s="1583" t="str">
        <f>'1. Справочник'!C77</f>
        <v>DL 14-516</v>
      </c>
      <c r="D62" s="1560" t="str">
        <f>'Стратегия'!G71</f>
        <v>Лето</v>
      </c>
      <c r="E62" s="1561">
        <f>COUNTIFS('Лист15'!$H$1:$H1001,$E$1,'Лист15'!$A$1:$A1001,$C62)</f>
        <v>0</v>
      </c>
      <c r="F62" s="1561">
        <f>SUMIFS('Лист15'!$G$1:$G1001,'Лист15'!$H$1:$H1001,$E$1,'Лист15'!$A$1:$A1001,$C62)</f>
        <v>0</v>
      </c>
      <c r="G62" s="1562">
        <f t="shared" si="89"/>
        <v>0</v>
      </c>
      <c r="H62" s="1563">
        <f>COUNTIFS('Лист15'!$H$1:$H1001,$H$1,'Лист15'!$A$1:$A1001,$C62)</f>
        <v>1</v>
      </c>
      <c r="I62" s="1564">
        <f>SUMIFS('Лист15'!$G$1:$G1001,'Лист15'!$H$1:$H1001,$H$1,'Лист15'!$A$1:$A1001,$C62)</f>
        <v>11</v>
      </c>
      <c r="J62" s="1565">
        <f t="shared" si="90"/>
        <v>0.3548387097</v>
      </c>
      <c r="K62" s="1561">
        <f>COUNTIFS('Лист15'!$H$1:$H1001,$K$1,'Лист15'!$A$1:$A1001,$C62)</f>
        <v>2</v>
      </c>
      <c r="L62" s="1564">
        <f>SUMIFS('Лист15'!$G$1:$G1001,'Лист15'!$H$1:$H1001,$K$1,'Лист15'!$A$1:$A1001,$C62)</f>
        <v>12</v>
      </c>
      <c r="M62" s="1565">
        <f t="shared" si="91"/>
        <v>0.4</v>
      </c>
      <c r="N62" s="1561">
        <f>COUNTIFS('Лист15'!$H$1:$H1001,$N$1,'Лист15'!$A$1:$A1001,$C62)</f>
        <v>3</v>
      </c>
      <c r="O62" s="1564">
        <f>SUMIFS('Лист15'!$G$1:$G1001,'Лист15'!$H$1:$H1001,$N$1,'Лист15'!$A$1:$A1001,$C62)</f>
        <v>28</v>
      </c>
      <c r="P62" s="1566">
        <f t="shared" si="92"/>
        <v>0.9333333333</v>
      </c>
      <c r="Q62" s="1561">
        <f>COUNTIFS('Лист15'!$H$1:$H1001,$Q$1,'Лист15'!$A$1:$A1001,$C62)</f>
        <v>2</v>
      </c>
      <c r="R62" s="1564">
        <f>SUMIFS('Лист15'!$G$1:$G1001,'Лист15'!$H$1:$H1001,$Q$1,'Лист15'!$A$1:$A1001,$C62)</f>
        <v>10</v>
      </c>
      <c r="S62" s="1566">
        <f t="shared" si="93"/>
        <v>0.3333333333</v>
      </c>
      <c r="T62" s="1561">
        <f>COUNTIFS('Лист15'!$H$1:$H1001,$T$1,'Лист15'!$A$1:$A1001,$C62)</f>
        <v>0</v>
      </c>
      <c r="U62" s="1564">
        <f>SUMIFS('Лист15'!$G$1:$G1001,'Лист15'!$H$1:$H1001,$T$1,'Лист15'!$A$1:$A1001,$C62)</f>
        <v>0</v>
      </c>
      <c r="V62" s="1567">
        <f t="shared" si="94"/>
        <v>0</v>
      </c>
      <c r="W62" s="1568">
        <f>COUNTIFS('Лист15'!$H$1:$H1001,$W$1,'Лист15'!$A$1:$A1001,$C62)</f>
        <v>0</v>
      </c>
      <c r="X62" s="1569">
        <f>SUMIFS('Лист15'!$G$1:$G1001,'Лист15'!$H$1:$H1001,$W$1,'Лист15'!$A$1:$A1001,$C62)</f>
        <v>0</v>
      </c>
      <c r="Y62" s="1570">
        <f t="shared" si="85"/>
        <v>0</v>
      </c>
      <c r="Z62" s="1568">
        <f>COUNTIFS('Лист15'!$H$1:$H1001,$Z$1,'Лист15'!$A$1:$A1001,$C62)</f>
        <v>0</v>
      </c>
      <c r="AA62" s="1569">
        <f>SUMIFS('Лист15'!$G$1:$G1001,'Лист15'!$H$1:$H1001,$Z$1,'Лист15'!$A$1:$A1001,$C62)</f>
        <v>0</v>
      </c>
      <c r="AB62" s="1570">
        <f t="shared" si="86"/>
        <v>0</v>
      </c>
      <c r="AC62" s="1568">
        <f>COUNTIFS('Лист15'!$H$1:$H1001,$AC$1,'Лист15'!$A$1:$A1001,$C62)</f>
        <v>0</v>
      </c>
      <c r="AD62" s="1569">
        <f>SUMIFS('Лист15'!$G$1:$G1001,'Лист15'!$H$1:$H1001,$AC$1,'Лист15'!$A$1:$A1001,$C62)</f>
        <v>0</v>
      </c>
      <c r="AE62" s="1570">
        <f t="shared" si="87"/>
        <v>0</v>
      </c>
    </row>
    <row r="63" ht="17.25" customHeight="1">
      <c r="A63" s="1580" t="str">
        <f>'1. Справочник'!B78</f>
        <v/>
      </c>
      <c r="B63" s="1558">
        <v>1.0</v>
      </c>
      <c r="C63" s="1583" t="str">
        <f>'1. Справочник'!C78</f>
        <v>DL 14-702</v>
      </c>
      <c r="D63" s="1560" t="str">
        <f>'Стратегия'!G72</f>
        <v>80/20</v>
      </c>
      <c r="E63" s="1561">
        <f>COUNTIFS('Лист15'!$H$1:$H1001,$E$1,'Лист15'!$A$1:$A1001,$C63)</f>
        <v>0</v>
      </c>
      <c r="F63" s="1561">
        <f>SUMIFS('Лист15'!$G$1:$G1001,'Лист15'!$H$1:$H1001,$E$1,'Лист15'!$A$1:$A1001,$C63)</f>
        <v>0</v>
      </c>
      <c r="G63" s="1562">
        <f t="shared" si="89"/>
        <v>0</v>
      </c>
      <c r="H63" s="1563">
        <f>COUNTIFS('Лист15'!$H$1:$H1001,$H$1,'Лист15'!$A$1:$A1001,$C63)</f>
        <v>1</v>
      </c>
      <c r="I63" s="1564">
        <f>SUMIFS('Лист15'!$G$1:$G1001,'Лист15'!$H$1:$H1001,$H$1,'Лист15'!$A$1:$A1001,$C63)</f>
        <v>6</v>
      </c>
      <c r="J63" s="1565">
        <f t="shared" si="90"/>
        <v>0.1935483871</v>
      </c>
      <c r="K63" s="1561">
        <f>COUNTIFS('Лист15'!$H$1:$H1001,$K$1,'Лист15'!$A$1:$A1001,$C63)</f>
        <v>3</v>
      </c>
      <c r="L63" s="1564">
        <f>SUMIFS('Лист15'!$G$1:$G1001,'Лист15'!$H$1:$H1001,$K$1,'Лист15'!$A$1:$A1001,$C63)</f>
        <v>9</v>
      </c>
      <c r="M63" s="1565">
        <f t="shared" si="91"/>
        <v>0.3</v>
      </c>
      <c r="N63" s="1561">
        <f>COUNTIFS('Лист15'!$H$1:$H1001,$N$1,'Лист15'!$A$1:$A1001,$C63)</f>
        <v>6</v>
      </c>
      <c r="O63" s="1564">
        <f>SUMIFS('Лист15'!$G$1:$G1001,'Лист15'!$H$1:$H1001,$N$1,'Лист15'!$A$1:$A1001,$C63)</f>
        <v>29</v>
      </c>
      <c r="P63" s="1566">
        <f t="shared" si="92"/>
        <v>0.9666666667</v>
      </c>
      <c r="Q63" s="1561">
        <f>COUNTIFS('Лист15'!$H$1:$H1001,$Q$1,'Лист15'!$A$1:$A1001,$C63)</f>
        <v>0</v>
      </c>
      <c r="R63" s="1564">
        <f>SUMIFS('Лист15'!$G$1:$G1001,'Лист15'!$H$1:$H1001,$Q$1,'Лист15'!$A$1:$A1001,$C63)</f>
        <v>0</v>
      </c>
      <c r="S63" s="1566">
        <f t="shared" si="93"/>
        <v>0</v>
      </c>
      <c r="T63" s="1561">
        <f>COUNTIFS('Лист15'!$H$1:$H1001,$T$1,'Лист15'!$A$1:$A1001,$C63)</f>
        <v>0</v>
      </c>
      <c r="U63" s="1564">
        <f>SUMIFS('Лист15'!$G$1:$G1001,'Лист15'!$H$1:$H1001,$T$1,'Лист15'!$A$1:$A1001,$C63)</f>
        <v>0</v>
      </c>
      <c r="V63" s="1567">
        <f t="shared" si="94"/>
        <v>0</v>
      </c>
      <c r="W63" s="1568">
        <f>COUNTIFS('Лист15'!$H$1:$H1001,$W$1,'Лист15'!$A$1:$A1001,$C63)</f>
        <v>0</v>
      </c>
      <c r="X63" s="1569">
        <f>SUMIFS('Лист15'!$G$1:$G1001,'Лист15'!$H$1:$H1001,$W$1,'Лист15'!$A$1:$A1001,$C63)</f>
        <v>0</v>
      </c>
      <c r="Y63" s="1570">
        <f t="shared" si="85"/>
        <v>0</v>
      </c>
      <c r="Z63" s="1568">
        <f>COUNTIFS('Лист15'!$H$1:$H1001,$Z$1,'Лист15'!$A$1:$A1001,$C63)</f>
        <v>0</v>
      </c>
      <c r="AA63" s="1569">
        <f>SUMIFS('Лист15'!$G$1:$G1001,'Лист15'!$H$1:$H1001,$Z$1,'Лист15'!$A$1:$A1001,$C63)</f>
        <v>0</v>
      </c>
      <c r="AB63" s="1570">
        <f t="shared" si="86"/>
        <v>0</v>
      </c>
      <c r="AC63" s="1568">
        <f>COUNTIFS('Лист15'!$H$1:$H1001,$AC$1,'Лист15'!$A$1:$A1001,$C63)</f>
        <v>0</v>
      </c>
      <c r="AD63" s="1569">
        <f>SUMIFS('Лист15'!$G$1:$G1001,'Лист15'!$H$1:$H1001,$AC$1,'Лист15'!$A$1:$A1001,$C63)</f>
        <v>0</v>
      </c>
      <c r="AE63" s="1570">
        <f t="shared" si="87"/>
        <v>0</v>
      </c>
    </row>
    <row r="64" ht="17.25" customHeight="1">
      <c r="A64" s="1580" t="str">
        <f>'1. Справочник'!B79</f>
        <v/>
      </c>
      <c r="B64" s="1558">
        <v>1.0</v>
      </c>
      <c r="C64" s="1583" t="str">
        <f>'1. Справочник'!C79</f>
        <v>DL 14-1214</v>
      </c>
      <c r="D64" s="1560" t="str">
        <f>'Стратегия'!G73</f>
        <v>Лето</v>
      </c>
      <c r="E64" s="1561">
        <f>COUNTIFS('Лист15'!$H$1:$H1001,$E$1,'Лист15'!$A$1:$A1001,$C64)</f>
        <v>0</v>
      </c>
      <c r="F64" s="1561">
        <f>SUMIFS('Лист15'!$G$1:$G1001,'Лист15'!$H$1:$H1001,$E$1,'Лист15'!$A$1:$A1001,$C64)</f>
        <v>0</v>
      </c>
      <c r="G64" s="1562">
        <f t="shared" si="89"/>
        <v>0</v>
      </c>
      <c r="H64" s="1563">
        <f>COUNTIFS('Лист15'!$H$1:$H1001,$H$1,'Лист15'!$A$1:$A1001,$C64)</f>
        <v>0</v>
      </c>
      <c r="I64" s="1564">
        <f>SUMIFS('Лист15'!$G$1:$G1001,'Лист15'!$H$1:$H1001,$H$1,'Лист15'!$A$1:$A1001,$C64)</f>
        <v>0</v>
      </c>
      <c r="J64" s="1565">
        <f t="shared" si="90"/>
        <v>0</v>
      </c>
      <c r="K64" s="1561">
        <f>COUNTIFS('Лист15'!$H$1:$H1001,$K$1,'Лист15'!$A$1:$A1001,$C64)</f>
        <v>1</v>
      </c>
      <c r="L64" s="1564">
        <f>SUMIFS('Лист15'!$G$1:$G1001,'Лист15'!$H$1:$H1001,$K$1,'Лист15'!$A$1:$A1001,$C64)</f>
        <v>1</v>
      </c>
      <c r="M64" s="1565">
        <f t="shared" si="91"/>
        <v>0.03333333333</v>
      </c>
      <c r="N64" s="1561">
        <f>COUNTIFS('Лист15'!$H$1:$H1001,$N$1,'Лист15'!$A$1:$A1001,$C64)</f>
        <v>3</v>
      </c>
      <c r="O64" s="1564">
        <f>SUMIFS('Лист15'!$G$1:$G1001,'Лист15'!$H$1:$H1001,$N$1,'Лист15'!$A$1:$A1001,$C64)</f>
        <v>14</v>
      </c>
      <c r="P64" s="1566">
        <f t="shared" si="92"/>
        <v>0.4666666667</v>
      </c>
      <c r="Q64" s="1561">
        <f>COUNTIFS('Лист15'!$H$1:$H1001,$Q$1,'Лист15'!$A$1:$A1001,$C64)</f>
        <v>2</v>
      </c>
      <c r="R64" s="1564">
        <f>SUMIFS('Лист15'!$G$1:$G1001,'Лист15'!$H$1:$H1001,$Q$1,'Лист15'!$A$1:$A1001,$C64)</f>
        <v>7</v>
      </c>
      <c r="S64" s="1566">
        <f t="shared" si="93"/>
        <v>0.2333333333</v>
      </c>
      <c r="T64" s="1561">
        <f>COUNTIFS('Лист15'!$H$1:$H1001,$T$1,'Лист15'!$A$1:$A1001,$C64)</f>
        <v>0</v>
      </c>
      <c r="U64" s="1564">
        <f>SUMIFS('Лист15'!$G$1:$G1001,'Лист15'!$H$1:$H1001,$T$1,'Лист15'!$A$1:$A1001,$C64)</f>
        <v>0</v>
      </c>
      <c r="V64" s="1567">
        <f t="shared" si="94"/>
        <v>0</v>
      </c>
      <c r="W64" s="1568">
        <f>COUNTIFS('Лист15'!$H$1:$H1001,$W$1,'Лист15'!$A$1:$A1001,$C64)</f>
        <v>0</v>
      </c>
      <c r="X64" s="1569">
        <f>SUMIFS('Лист15'!$G$1:$G1001,'Лист15'!$H$1:$H1001,$W$1,'Лист15'!$A$1:$A1001,$C64)</f>
        <v>0</v>
      </c>
      <c r="Y64" s="1570">
        <f t="shared" si="85"/>
        <v>0</v>
      </c>
      <c r="Z64" s="1568">
        <f>COUNTIFS('Лист15'!$H$1:$H1001,$Z$1,'Лист15'!$A$1:$A1001,$C64)</f>
        <v>0</v>
      </c>
      <c r="AA64" s="1569">
        <f>SUMIFS('Лист15'!$G$1:$G1001,'Лист15'!$H$1:$H1001,$Z$1,'Лист15'!$A$1:$A1001,$C64)</f>
        <v>0</v>
      </c>
      <c r="AB64" s="1570">
        <f t="shared" si="86"/>
        <v>0</v>
      </c>
      <c r="AC64" s="1568">
        <f>COUNTIFS('Лист15'!$H$1:$H1001,$AC$1,'Лист15'!$A$1:$A1001,$C64)</f>
        <v>0</v>
      </c>
      <c r="AD64" s="1569">
        <f>SUMIFS('Лист15'!$G$1:$G1001,'Лист15'!$H$1:$H1001,$AC$1,'Лист15'!$A$1:$A1001,$C64)</f>
        <v>0</v>
      </c>
      <c r="AE64" s="1570">
        <f t="shared" si="87"/>
        <v>0</v>
      </c>
    </row>
    <row r="65" ht="17.25" customHeight="1">
      <c r="A65" s="1580" t="str">
        <f>'1. Справочник'!B80</f>
        <v/>
      </c>
      <c r="B65" s="1558">
        <v>1.0</v>
      </c>
      <c r="C65" s="1583" t="str">
        <f>'1. Справочник'!C80</f>
        <v>14-411</v>
      </c>
      <c r="D65" s="1560" t="str">
        <f>'Стратегия'!G74</f>
        <v>Лето</v>
      </c>
      <c r="E65" s="1561">
        <f>COUNTIFS('Лист15'!$H$1:$H1001,$E$1,'Лист15'!$A$1:$A1001,$C65)</f>
        <v>0</v>
      </c>
      <c r="F65" s="1561">
        <f>SUMIFS('Лист15'!$G$1:$G1001,'Лист15'!$H$1:$H1001,$E$1,'Лист15'!$A$1:$A1001,$C65)</f>
        <v>0</v>
      </c>
      <c r="G65" s="1562">
        <f t="shared" si="89"/>
        <v>0</v>
      </c>
      <c r="H65" s="1563">
        <f>COUNTIFS('Лист15'!$H$1:$H1001,$H$1,'Лист15'!$A$1:$A1001,$C65)</f>
        <v>1</v>
      </c>
      <c r="I65" s="1564">
        <f>SUMIFS('Лист15'!$G$1:$G1001,'Лист15'!$H$1:$H1001,$H$1,'Лист15'!$A$1:$A1001,$C65)</f>
        <v>5</v>
      </c>
      <c r="J65" s="1565">
        <f t="shared" si="90"/>
        <v>0.1612903226</v>
      </c>
      <c r="K65" s="1561">
        <f>COUNTIFS('Лист15'!$H$1:$H1001,$K$1,'Лист15'!$A$1:$A1001,$C65)</f>
        <v>5</v>
      </c>
      <c r="L65" s="1564">
        <f>SUMIFS('Лист15'!$G$1:$G1001,'Лист15'!$H$1:$H1001,$K$1,'Лист15'!$A$1:$A1001,$C65)</f>
        <v>24</v>
      </c>
      <c r="M65" s="1565">
        <f t="shared" si="91"/>
        <v>0.8</v>
      </c>
      <c r="N65" s="1561">
        <f>COUNTIFS('Лист15'!$H$1:$H1001,$N$1,'Лист15'!$A$1:$A1001,$C65)</f>
        <v>5</v>
      </c>
      <c r="O65" s="1564">
        <f>SUMIFS('Лист15'!$G$1:$G1001,'Лист15'!$H$1:$H1001,$N$1,'Лист15'!$A$1:$A1001,$C65)</f>
        <v>34</v>
      </c>
      <c r="P65" s="1566">
        <f t="shared" si="92"/>
        <v>1.133333333</v>
      </c>
      <c r="Q65" s="1561">
        <f>COUNTIFS('Лист15'!$H$1:$H1001,$Q$1,'Лист15'!$A$1:$A1001,$C65)</f>
        <v>0</v>
      </c>
      <c r="R65" s="1564">
        <f>SUMIFS('Лист15'!$G$1:$G1001,'Лист15'!$H$1:$H1001,$Q$1,'Лист15'!$A$1:$A1001,$C65)</f>
        <v>0</v>
      </c>
      <c r="S65" s="1566">
        <f t="shared" si="93"/>
        <v>0</v>
      </c>
      <c r="T65" s="1561">
        <f>COUNTIFS('Лист15'!$H$1:$H1001,$T$1,'Лист15'!$A$1:$A1001,$C65)</f>
        <v>0</v>
      </c>
      <c r="U65" s="1564">
        <f>SUMIFS('Лист15'!$G$1:$G1001,'Лист15'!$H$1:$H1001,$T$1,'Лист15'!$A$1:$A1001,$C65)</f>
        <v>0</v>
      </c>
      <c r="V65" s="1567">
        <f t="shared" si="94"/>
        <v>0</v>
      </c>
      <c r="W65" s="1568">
        <f>COUNTIFS('Лист15'!$H$1:$H1001,$W$1,'Лист15'!$A$1:$A1001,$C65)</f>
        <v>0</v>
      </c>
      <c r="X65" s="1569">
        <f>SUMIFS('Лист15'!$G$1:$G1001,'Лист15'!$H$1:$H1001,$W$1,'Лист15'!$A$1:$A1001,$C65)</f>
        <v>0</v>
      </c>
      <c r="Y65" s="1570">
        <f t="shared" si="85"/>
        <v>0</v>
      </c>
      <c r="Z65" s="1568">
        <f>COUNTIFS('Лист15'!$H$1:$H1001,$Z$1,'Лист15'!$A$1:$A1001,$C65)</f>
        <v>0</v>
      </c>
      <c r="AA65" s="1569">
        <f>SUMIFS('Лист15'!$G$1:$G1001,'Лист15'!$H$1:$H1001,$Z$1,'Лист15'!$A$1:$A1001,$C65)</f>
        <v>0</v>
      </c>
      <c r="AB65" s="1570">
        <f t="shared" si="86"/>
        <v>0</v>
      </c>
      <c r="AC65" s="1568">
        <f>COUNTIFS('Лист15'!$H$1:$H1001,$AC$1,'Лист15'!$A$1:$A1001,$C65)</f>
        <v>0</v>
      </c>
      <c r="AD65" s="1569">
        <f>SUMIFS('Лист15'!$G$1:$G1001,'Лист15'!$H$1:$H1001,$AC$1,'Лист15'!$A$1:$A1001,$C65)</f>
        <v>0</v>
      </c>
      <c r="AE65" s="1570">
        <f t="shared" si="87"/>
        <v>0</v>
      </c>
    </row>
    <row r="66" ht="17.25" customHeight="1">
      <c r="A66" s="1580" t="str">
        <f>'1. Справочник'!B81</f>
        <v/>
      </c>
      <c r="B66" s="1558">
        <v>1.0</v>
      </c>
      <c r="C66" s="1583" t="str">
        <f>'1. Справочник'!C81</f>
        <v>DL 4-09</v>
      </c>
      <c r="D66" s="1560" t="str">
        <f>'Стратегия'!G75</f>
        <v>80/20</v>
      </c>
      <c r="E66" s="1561">
        <f>COUNTIFS('Лист15'!$H$1:$H1001,$E$1,'Лист15'!$A$1:$A1001,$C66)</f>
        <v>0</v>
      </c>
      <c r="F66" s="1561">
        <f>SUMIFS('Лист15'!$G$1:$G1001,'Лист15'!$H$1:$H1001,$E$1,'Лист15'!$A$1:$A1001,$C66)</f>
        <v>0</v>
      </c>
      <c r="G66" s="1562">
        <f t="shared" si="89"/>
        <v>0</v>
      </c>
      <c r="H66" s="1563">
        <f>COUNTIFS('Лист15'!$H$1:$H1001,$H$1,'Лист15'!$A$1:$A1001,$C66)</f>
        <v>0</v>
      </c>
      <c r="I66" s="1564">
        <f>SUMIFS('Лист15'!$G$1:$G1001,'Лист15'!$H$1:$H1001,$H$1,'Лист15'!$A$1:$A1001,$C66)</f>
        <v>0</v>
      </c>
      <c r="J66" s="1565">
        <f t="shared" si="90"/>
        <v>0</v>
      </c>
      <c r="K66" s="1561">
        <f>COUNTIFS('Лист15'!$H$1:$H1001,$K$1,'Лист15'!$A$1:$A1001,$C66)</f>
        <v>2</v>
      </c>
      <c r="L66" s="1564">
        <f>SUMIFS('Лист15'!$G$1:$G1001,'Лист15'!$H$1:$H1001,$K$1,'Лист15'!$A$1:$A1001,$C66)</f>
        <v>6</v>
      </c>
      <c r="M66" s="1565">
        <f t="shared" si="91"/>
        <v>0.2</v>
      </c>
      <c r="N66" s="1561">
        <f>COUNTIFS('Лист15'!$H$1:$H1001,$N$1,'Лист15'!$A$1:$A1001,$C66)</f>
        <v>5</v>
      </c>
      <c r="O66" s="1564">
        <f>SUMIFS('Лист15'!$G$1:$G1001,'Лист15'!$H$1:$H1001,$N$1,'Лист15'!$A$1:$A1001,$C66)</f>
        <v>39</v>
      </c>
      <c r="P66" s="1566">
        <f t="shared" si="92"/>
        <v>1.3</v>
      </c>
      <c r="Q66" s="1561">
        <f>COUNTIFS('Лист15'!$H$1:$H1001,$Q$1,'Лист15'!$A$1:$A1001,$C66)</f>
        <v>0</v>
      </c>
      <c r="R66" s="1564">
        <f>SUMIFS('Лист15'!$G$1:$G1001,'Лист15'!$H$1:$H1001,$Q$1,'Лист15'!$A$1:$A1001,$C66)</f>
        <v>0</v>
      </c>
      <c r="S66" s="1566">
        <f t="shared" si="93"/>
        <v>0</v>
      </c>
      <c r="T66" s="1561">
        <f>COUNTIFS('Лист15'!$H$1:$H1001,$T$1,'Лист15'!$A$1:$A1001,$C66)</f>
        <v>0</v>
      </c>
      <c r="U66" s="1564">
        <f>SUMIFS('Лист15'!$G$1:$G1001,'Лист15'!$H$1:$H1001,$T$1,'Лист15'!$A$1:$A1001,$C66)</f>
        <v>0</v>
      </c>
      <c r="V66" s="1567">
        <f t="shared" si="94"/>
        <v>0</v>
      </c>
      <c r="W66" s="1568">
        <f>COUNTIFS('Лист15'!$H$1:$H1001,$W$1,'Лист15'!$A$1:$A1001,$C66)</f>
        <v>0</v>
      </c>
      <c r="X66" s="1569">
        <f>SUMIFS('Лист15'!$G$1:$G1001,'Лист15'!$H$1:$H1001,$W$1,'Лист15'!$A$1:$A1001,$C66)</f>
        <v>0</v>
      </c>
      <c r="Y66" s="1570">
        <f t="shared" si="85"/>
        <v>0</v>
      </c>
      <c r="Z66" s="1568">
        <f>COUNTIFS('Лист15'!$H$1:$H1001,$Z$1,'Лист15'!$A$1:$A1001,$C66)</f>
        <v>0</v>
      </c>
      <c r="AA66" s="1569">
        <f>SUMIFS('Лист15'!$G$1:$G1001,'Лист15'!$H$1:$H1001,$Z$1,'Лист15'!$A$1:$A1001,$C66)</f>
        <v>0</v>
      </c>
      <c r="AB66" s="1570">
        <f t="shared" si="86"/>
        <v>0</v>
      </c>
      <c r="AC66" s="1568">
        <f>COUNTIFS('Лист15'!$H$1:$H1001,$AC$1,'Лист15'!$A$1:$A1001,$C66)</f>
        <v>0</v>
      </c>
      <c r="AD66" s="1569">
        <f>SUMIFS('Лист15'!$G$1:$G1001,'Лист15'!$H$1:$H1001,$AC$1,'Лист15'!$A$1:$A1001,$C66)</f>
        <v>0</v>
      </c>
      <c r="AE66" s="1570">
        <f t="shared" si="87"/>
        <v>0</v>
      </c>
    </row>
    <row r="67" ht="17.25" customHeight="1">
      <c r="A67" s="1580" t="str">
        <f>'1. Справочник'!B82</f>
        <v/>
      </c>
      <c r="B67" s="1558">
        <v>1.0</v>
      </c>
      <c r="C67" s="1583" t="str">
        <f>'1. Справочник'!C82</f>
        <v>DL14-518</v>
      </c>
      <c r="D67" s="1560" t="str">
        <f>'Стратегия'!G76</f>
        <v>Лето</v>
      </c>
      <c r="E67" s="1561">
        <f>COUNTIFS('Лист15'!$H$1:$H1001,$E$1,'Лист15'!$A$1:$A1001,$C67)</f>
        <v>0</v>
      </c>
      <c r="F67" s="1561">
        <f>SUMIFS('Лист15'!$G$1:$G1001,'Лист15'!$H$1:$H1001,$E$1,'Лист15'!$A$1:$A1001,$C67)</f>
        <v>0</v>
      </c>
      <c r="G67" s="1562">
        <f t="shared" si="89"/>
        <v>0</v>
      </c>
      <c r="H67" s="1563">
        <f>COUNTIFS('Лист15'!$H$1:$H1001,$H$1,'Лист15'!$A$1:$A1001,$C67)</f>
        <v>1</v>
      </c>
      <c r="I67" s="1564">
        <f>SUMIFS('Лист15'!$G$1:$G1001,'Лист15'!$H$1:$H1001,$H$1,'Лист15'!$A$1:$A1001,$C67)</f>
        <v>4</v>
      </c>
      <c r="J67" s="1565">
        <f t="shared" si="90"/>
        <v>0.1290322581</v>
      </c>
      <c r="K67" s="1561">
        <f>COUNTIFS('Лист15'!$H$1:$H1001,$K$1,'Лист15'!$A$1:$A1001,$C67)</f>
        <v>4</v>
      </c>
      <c r="L67" s="1564">
        <f>SUMIFS('Лист15'!$G$1:$G1001,'Лист15'!$H$1:$H1001,$K$1,'Лист15'!$A$1:$A1001,$C67)</f>
        <v>15</v>
      </c>
      <c r="M67" s="1565">
        <f t="shared" si="91"/>
        <v>0.5</v>
      </c>
      <c r="N67" s="1561">
        <f>COUNTIFS('Лист15'!$H$1:$H1001,$N$1,'Лист15'!$A$1:$A1001,$C67)</f>
        <v>5</v>
      </c>
      <c r="O67" s="1564">
        <f>SUMIFS('Лист15'!$G$1:$G1001,'Лист15'!$H$1:$H1001,$N$1,'Лист15'!$A$1:$A1001,$C67)</f>
        <v>17</v>
      </c>
      <c r="P67" s="1566">
        <f t="shared" si="92"/>
        <v>0.5666666667</v>
      </c>
      <c r="Q67" s="1561">
        <f>COUNTIFS('Лист15'!$H$1:$H1001,$Q$1,'Лист15'!$A$1:$A1001,$C67)</f>
        <v>2</v>
      </c>
      <c r="R67" s="1564">
        <f>SUMIFS('Лист15'!$G$1:$G1001,'Лист15'!$H$1:$H1001,$Q$1,'Лист15'!$A$1:$A1001,$C67)</f>
        <v>4</v>
      </c>
      <c r="S67" s="1566">
        <f t="shared" si="93"/>
        <v>0.1333333333</v>
      </c>
      <c r="T67" s="1561">
        <f>COUNTIFS('Лист15'!$H$1:$H1001,$T$1,'Лист15'!$A$1:$A1001,$C67)</f>
        <v>0</v>
      </c>
      <c r="U67" s="1564">
        <f>SUMIFS('Лист15'!$G$1:$G1001,'Лист15'!$H$1:$H1001,$T$1,'Лист15'!$A$1:$A1001,$C67)</f>
        <v>0</v>
      </c>
      <c r="V67" s="1567">
        <f t="shared" si="94"/>
        <v>0</v>
      </c>
      <c r="W67" s="1568">
        <f>COUNTIFS('Лист15'!$H$1:$H1001,$W$1,'Лист15'!$A$1:$A1001,$C67)</f>
        <v>0</v>
      </c>
      <c r="X67" s="1569">
        <f>SUMIFS('Лист15'!$G$1:$G1001,'Лист15'!$H$1:$H1001,$W$1,'Лист15'!$A$1:$A1001,$C67)</f>
        <v>0</v>
      </c>
      <c r="Y67" s="1570">
        <f t="shared" si="85"/>
        <v>0</v>
      </c>
      <c r="Z67" s="1568">
        <f>COUNTIFS('Лист15'!$H$1:$H1001,$Z$1,'Лист15'!$A$1:$A1001,$C67)</f>
        <v>0</v>
      </c>
      <c r="AA67" s="1569">
        <f>SUMIFS('Лист15'!$G$1:$G1001,'Лист15'!$H$1:$H1001,$Z$1,'Лист15'!$A$1:$A1001,$C67)</f>
        <v>0</v>
      </c>
      <c r="AB67" s="1570">
        <f t="shared" si="86"/>
        <v>0</v>
      </c>
      <c r="AC67" s="1568">
        <f>COUNTIFS('Лист15'!$H$1:$H1001,$AC$1,'Лист15'!$A$1:$A1001,$C67)</f>
        <v>0</v>
      </c>
      <c r="AD67" s="1569">
        <f>SUMIFS('Лист15'!$G$1:$G1001,'Лист15'!$H$1:$H1001,$AC$1,'Лист15'!$A$1:$A1001,$C67)</f>
        <v>0</v>
      </c>
      <c r="AE67" s="1570">
        <f t="shared" si="87"/>
        <v>0</v>
      </c>
    </row>
    <row r="68" ht="17.25" customHeight="1">
      <c r="A68" s="1580" t="str">
        <f>'1. Справочник'!B83</f>
        <v/>
      </c>
      <c r="B68" s="1558">
        <v>1.0</v>
      </c>
      <c r="C68" s="1583" t="str">
        <f>'1. Справочник'!C83</f>
        <v>DL14-1405</v>
      </c>
      <c r="D68" s="1560" t="str">
        <f>'Стратегия'!G77</f>
        <v>80/20</v>
      </c>
      <c r="E68" s="1561">
        <f>COUNTIFS('Лист15'!$H$1:$H1001,$E$1,'Лист15'!$A$1:$A1001,$C68)</f>
        <v>0</v>
      </c>
      <c r="F68" s="1561">
        <f>SUMIFS('Лист15'!$G$1:$G1001,'Лист15'!$H$1:$H1001,$E$1,'Лист15'!$A$1:$A1001,$C68)</f>
        <v>0</v>
      </c>
      <c r="G68" s="1562">
        <f t="shared" si="89"/>
        <v>0</v>
      </c>
      <c r="H68" s="1563">
        <f>COUNTIFS('Лист15'!$H$1:$H1001,$H$1,'Лист15'!$A$1:$A1001,$C68)</f>
        <v>1</v>
      </c>
      <c r="I68" s="1564">
        <f>SUMIFS('Лист15'!$G$1:$G1001,'Лист15'!$H$1:$H1001,$H$1,'Лист15'!$A$1:$A1001,$C68)</f>
        <v>3</v>
      </c>
      <c r="J68" s="1565">
        <f t="shared" si="90"/>
        <v>0.09677419355</v>
      </c>
      <c r="K68" s="1561">
        <f>COUNTIFS('Лист15'!$H$1:$H1001,$K$1,'Лист15'!$A$1:$A1001,$C68)</f>
        <v>4</v>
      </c>
      <c r="L68" s="1564">
        <f>SUMIFS('Лист15'!$G$1:$G1001,'Лист15'!$H$1:$H1001,$K$1,'Лист15'!$A$1:$A1001,$C68)</f>
        <v>12</v>
      </c>
      <c r="M68" s="1565">
        <f t="shared" si="91"/>
        <v>0.4</v>
      </c>
      <c r="N68" s="1561">
        <f>COUNTIFS('Лист15'!$H$1:$H1001,$N$1,'Лист15'!$A$1:$A1001,$C68)</f>
        <v>6</v>
      </c>
      <c r="O68" s="1564">
        <f>SUMIFS('Лист15'!$G$1:$G1001,'Лист15'!$H$1:$H1001,$N$1,'Лист15'!$A$1:$A1001,$C68)</f>
        <v>24</v>
      </c>
      <c r="P68" s="1566">
        <f t="shared" si="92"/>
        <v>0.8</v>
      </c>
      <c r="Q68" s="1561">
        <f>COUNTIFS('Лист15'!$H$1:$H1001,$Q$1,'Лист15'!$A$1:$A1001,$C68)</f>
        <v>0</v>
      </c>
      <c r="R68" s="1564">
        <f>SUMIFS('Лист15'!$G$1:$G1001,'Лист15'!$H$1:$H1001,$Q$1,'Лист15'!$A$1:$A1001,$C68)</f>
        <v>0</v>
      </c>
      <c r="S68" s="1566">
        <f t="shared" si="93"/>
        <v>0</v>
      </c>
      <c r="T68" s="1561">
        <f>COUNTIFS('Лист15'!$H$1:$H1001,$T$1,'Лист15'!$A$1:$A1001,$C68)</f>
        <v>0</v>
      </c>
      <c r="U68" s="1564">
        <f>SUMIFS('Лист15'!$G$1:$G1001,'Лист15'!$H$1:$H1001,$T$1,'Лист15'!$A$1:$A1001,$C68)</f>
        <v>0</v>
      </c>
      <c r="V68" s="1567">
        <f t="shared" si="94"/>
        <v>0</v>
      </c>
      <c r="W68" s="1568">
        <f>COUNTIFS('Лист15'!$H$1:$H1001,$W$1,'Лист15'!$A$1:$A1001,$C68)</f>
        <v>0</v>
      </c>
      <c r="X68" s="1569">
        <f>SUMIFS('Лист15'!$G$1:$G1001,'Лист15'!$H$1:$H1001,$W$1,'Лист15'!$A$1:$A1001,$C68)</f>
        <v>0</v>
      </c>
      <c r="Y68" s="1570">
        <f t="shared" si="85"/>
        <v>0</v>
      </c>
      <c r="Z68" s="1568">
        <f>COUNTIFS('Лист15'!$H$1:$H1001,$Z$1,'Лист15'!$A$1:$A1001,$C68)</f>
        <v>0</v>
      </c>
      <c r="AA68" s="1569">
        <f>SUMIFS('Лист15'!$G$1:$G1001,'Лист15'!$H$1:$H1001,$Z$1,'Лист15'!$A$1:$A1001,$C68)</f>
        <v>0</v>
      </c>
      <c r="AB68" s="1570">
        <f t="shared" si="86"/>
        <v>0</v>
      </c>
      <c r="AC68" s="1568">
        <f>COUNTIFS('Лист15'!$H$1:$H1001,$AC$1,'Лист15'!$A$1:$A1001,$C68)</f>
        <v>0</v>
      </c>
      <c r="AD68" s="1569">
        <f>SUMIFS('Лист15'!$G$1:$G1001,'Лист15'!$H$1:$H1001,$AC$1,'Лист15'!$A$1:$A1001,$C68)</f>
        <v>0</v>
      </c>
      <c r="AE68" s="1570">
        <f t="shared" si="87"/>
        <v>0</v>
      </c>
    </row>
    <row r="69" ht="17.25" customHeight="1">
      <c r="A69" s="1580" t="str">
        <f>'1. Справочник'!B84</f>
        <v/>
      </c>
      <c r="B69" s="1558">
        <v>1.0</v>
      </c>
      <c r="C69" s="1583" t="str">
        <f>'1. Справочник'!C84</f>
        <v>DL 14-505</v>
      </c>
      <c r="D69" s="1560" t="str">
        <f>'Стратегия'!G78</f>
        <v>Лето</v>
      </c>
      <c r="E69" s="1561">
        <f>COUNTIFS('Лист15'!$H$1:$H1001,$E$1,'Лист15'!$A$1:$A1001,$C69)</f>
        <v>0</v>
      </c>
      <c r="F69" s="1561">
        <f>SUMIFS('Лист15'!$G$1:$G1001,'Лист15'!$H$1:$H1001,$E$1,'Лист15'!$A$1:$A1001,$C69)</f>
        <v>0</v>
      </c>
      <c r="G69" s="1562">
        <f t="shared" si="89"/>
        <v>0</v>
      </c>
      <c r="H69" s="1563">
        <f>COUNTIFS('Лист15'!$H$1:$H1001,$H$1,'Лист15'!$A$1:$A1001,$C69)</f>
        <v>2</v>
      </c>
      <c r="I69" s="1564">
        <f>SUMIFS('Лист15'!$G$1:$G1001,'Лист15'!$H$1:$H1001,$H$1,'Лист15'!$A$1:$A1001,$C69)</f>
        <v>7</v>
      </c>
      <c r="J69" s="1565">
        <f t="shared" si="90"/>
        <v>0.2258064516</v>
      </c>
      <c r="K69" s="1561">
        <f>COUNTIFS('Лист15'!$H$1:$H1001,$K$1,'Лист15'!$A$1:$A1001,$C69)</f>
        <v>3</v>
      </c>
      <c r="L69" s="1564">
        <f>SUMIFS('Лист15'!$G$1:$G1001,'Лист15'!$H$1:$H1001,$K$1,'Лист15'!$A$1:$A1001,$C69)</f>
        <v>18</v>
      </c>
      <c r="M69" s="1565">
        <f t="shared" si="91"/>
        <v>0.6</v>
      </c>
      <c r="N69" s="1561">
        <f>COUNTIFS('Лист15'!$H$1:$H1001,$N$1,'Лист15'!$A$1:$A1001,$C69)</f>
        <v>3</v>
      </c>
      <c r="O69" s="1564">
        <f>SUMIFS('Лист15'!$G$1:$G1001,'Лист15'!$H$1:$H1001,$N$1,'Лист15'!$A$1:$A1001,$C69)</f>
        <v>29</v>
      </c>
      <c r="P69" s="1566">
        <f t="shared" si="92"/>
        <v>0.9666666667</v>
      </c>
      <c r="Q69" s="1561">
        <f>COUNTIFS('Лист15'!$H$1:$H1001,$Q$1,'Лист15'!$A$1:$A1001,$C69)</f>
        <v>2</v>
      </c>
      <c r="R69" s="1564">
        <f>SUMIFS('Лист15'!$G$1:$G1001,'Лист15'!$H$1:$H1001,$Q$1,'Лист15'!$A$1:$A1001,$C69)</f>
        <v>10</v>
      </c>
      <c r="S69" s="1566">
        <f t="shared" si="93"/>
        <v>0.3333333333</v>
      </c>
      <c r="T69" s="1561">
        <f>COUNTIFS('Лист15'!$H$1:$H1001,$T$1,'Лист15'!$A$1:$A1001,$C69)</f>
        <v>0</v>
      </c>
      <c r="U69" s="1564">
        <f>SUMIFS('Лист15'!$G$1:$G1001,'Лист15'!$H$1:$H1001,$T$1,'Лист15'!$A$1:$A1001,$C69)</f>
        <v>0</v>
      </c>
      <c r="V69" s="1567">
        <f t="shared" si="94"/>
        <v>0</v>
      </c>
      <c r="W69" s="1568">
        <f>COUNTIFS('Лист15'!$H$1:$H1001,$W$1,'Лист15'!$A$1:$A1001,$C69)</f>
        <v>0</v>
      </c>
      <c r="X69" s="1569">
        <f>SUMIFS('Лист15'!$G$1:$G1001,'Лист15'!$H$1:$H1001,$W$1,'Лист15'!$A$1:$A1001,$C69)</f>
        <v>0</v>
      </c>
      <c r="Y69" s="1570">
        <f t="shared" si="85"/>
        <v>0</v>
      </c>
      <c r="Z69" s="1568">
        <f>COUNTIFS('Лист15'!$H$1:$H1001,$Z$1,'Лист15'!$A$1:$A1001,$C69)</f>
        <v>0</v>
      </c>
      <c r="AA69" s="1569">
        <f>SUMIFS('Лист15'!$G$1:$G1001,'Лист15'!$H$1:$H1001,$Z$1,'Лист15'!$A$1:$A1001,$C69)</f>
        <v>0</v>
      </c>
      <c r="AB69" s="1570">
        <f t="shared" si="86"/>
        <v>0</v>
      </c>
      <c r="AC69" s="1568">
        <f>COUNTIFS('Лист15'!$H$1:$H1001,$AC$1,'Лист15'!$A$1:$A1001,$C69)</f>
        <v>0</v>
      </c>
      <c r="AD69" s="1569">
        <f>SUMIFS('Лист15'!$G$1:$G1001,'Лист15'!$H$1:$H1001,$AC$1,'Лист15'!$A$1:$A1001,$C69)</f>
        <v>0</v>
      </c>
      <c r="AE69" s="1570">
        <f t="shared" si="87"/>
        <v>0</v>
      </c>
    </row>
    <row r="70" ht="17.25" customHeight="1">
      <c r="A70" s="1580" t="str">
        <f>'1. Справочник'!B85</f>
        <v/>
      </c>
      <c r="B70" s="1558">
        <v>1.0</v>
      </c>
      <c r="C70" s="1583" t="str">
        <f>'1. Справочник'!C85</f>
        <v>DL 14-1614</v>
      </c>
      <c r="D70" s="1560" t="str">
        <f>'Стратегия'!G79</f>
        <v>Лето</v>
      </c>
      <c r="E70" s="1561">
        <f>COUNTIFS('Лист15'!$H$1:$H1001,$E$1,'Лист15'!$A$1:$A1001,$C70)</f>
        <v>0</v>
      </c>
      <c r="F70" s="1561">
        <f>SUMIFS('Лист15'!$G$1:$G1001,'Лист15'!$H$1:$H1001,$E$1,'Лист15'!$A$1:$A1001,$C70)</f>
        <v>0</v>
      </c>
      <c r="G70" s="1562">
        <f t="shared" si="89"/>
        <v>0</v>
      </c>
      <c r="H70" s="1563">
        <f>COUNTIFS('Лист15'!$H$1:$H1001,$H$1,'Лист15'!$A$1:$A1001,$C70)</f>
        <v>0</v>
      </c>
      <c r="I70" s="1564">
        <f>SUMIFS('Лист15'!$G$1:$G1001,'Лист15'!$H$1:$H1001,$H$1,'Лист15'!$A$1:$A1001,$C70)</f>
        <v>0</v>
      </c>
      <c r="J70" s="1565">
        <f t="shared" si="90"/>
        <v>0</v>
      </c>
      <c r="K70" s="1561">
        <f>COUNTIFS('Лист15'!$H$1:$H1001,$K$1,'Лист15'!$A$1:$A1001,$C70)</f>
        <v>0</v>
      </c>
      <c r="L70" s="1564">
        <f>SUMIFS('Лист15'!$G$1:$G1001,'Лист15'!$H$1:$H1001,$K$1,'Лист15'!$A$1:$A1001,$C70)</f>
        <v>0</v>
      </c>
      <c r="M70" s="1565">
        <f t="shared" si="91"/>
        <v>0</v>
      </c>
      <c r="N70" s="1561">
        <f>COUNTIFS('Лист15'!$H$1:$H1001,$N$1,'Лист15'!$A$1:$A1001,$C70)</f>
        <v>0</v>
      </c>
      <c r="O70" s="1564">
        <f>SUMIFS('Лист15'!$G$1:$G1001,'Лист15'!$H$1:$H1001,$N$1,'Лист15'!$A$1:$A1001,$C70)</f>
        <v>0</v>
      </c>
      <c r="P70" s="1566">
        <f t="shared" si="92"/>
        <v>0</v>
      </c>
      <c r="Q70" s="1561">
        <f>COUNTIFS('Лист15'!$H$1:$H1001,$Q$1,'Лист15'!$A$1:$A1001,$C70)</f>
        <v>0</v>
      </c>
      <c r="R70" s="1564">
        <f>SUMIFS('Лист15'!$G$1:$G1001,'Лист15'!$H$1:$H1001,$Q$1,'Лист15'!$A$1:$A1001,$C70)</f>
        <v>0</v>
      </c>
      <c r="S70" s="1566">
        <f t="shared" si="93"/>
        <v>0</v>
      </c>
      <c r="T70" s="1561">
        <f>COUNTIFS('Лист15'!$H$1:$H1001,$T$1,'Лист15'!$A$1:$A1001,$C70)</f>
        <v>0</v>
      </c>
      <c r="U70" s="1564">
        <f>SUMIFS('Лист15'!$G$1:$G1001,'Лист15'!$H$1:$H1001,$T$1,'Лист15'!$A$1:$A1001,$C70)</f>
        <v>0</v>
      </c>
      <c r="V70" s="1567">
        <f t="shared" si="94"/>
        <v>0</v>
      </c>
      <c r="W70" s="1568">
        <f>COUNTIFS('Лист15'!$H$1:$H1001,$W$1,'Лист15'!$A$1:$A1001,$C70)</f>
        <v>0</v>
      </c>
      <c r="X70" s="1569">
        <f>SUMIFS('Лист15'!$G$1:$G1001,'Лист15'!$H$1:$H1001,$W$1,'Лист15'!$A$1:$A1001,$C70)</f>
        <v>0</v>
      </c>
      <c r="Y70" s="1570">
        <f t="shared" si="85"/>
        <v>0</v>
      </c>
      <c r="Z70" s="1568">
        <f>COUNTIFS('Лист15'!$H$1:$H1001,$Z$1,'Лист15'!$A$1:$A1001,$C70)</f>
        <v>0</v>
      </c>
      <c r="AA70" s="1569">
        <f>SUMIFS('Лист15'!$G$1:$G1001,'Лист15'!$H$1:$H1001,$Z$1,'Лист15'!$A$1:$A1001,$C70)</f>
        <v>0</v>
      </c>
      <c r="AB70" s="1570">
        <f t="shared" si="86"/>
        <v>0</v>
      </c>
      <c r="AC70" s="1568">
        <f>COUNTIFS('Лист15'!$H$1:$H1001,$AC$1,'Лист15'!$A$1:$A1001,$C70)</f>
        <v>0</v>
      </c>
      <c r="AD70" s="1569">
        <f>SUMIFS('Лист15'!$G$1:$G1001,'Лист15'!$H$1:$H1001,$AC$1,'Лист15'!$A$1:$A1001,$C70)</f>
        <v>0</v>
      </c>
      <c r="AE70" s="1570">
        <f t="shared" si="87"/>
        <v>0</v>
      </c>
    </row>
    <row r="71" ht="17.25" customHeight="1">
      <c r="A71" s="1580" t="str">
        <f>'1. Справочник'!B86</f>
        <v/>
      </c>
      <c r="B71" s="1558">
        <v>1.0</v>
      </c>
      <c r="C71" s="1583" t="str">
        <f>'1. Справочник'!C86</f>
        <v>DL 14-1710</v>
      </c>
      <c r="D71" s="1560" t="str">
        <f>'Стратегия'!G80</f>
        <v>Лето</v>
      </c>
      <c r="E71" s="1561">
        <f>COUNTIFS('Лист15'!$H$1:$H1001,$E$1,'Лист15'!$A$1:$A1001,$C71)</f>
        <v>0</v>
      </c>
      <c r="F71" s="1561">
        <f>SUMIFS('Лист15'!$G$1:$G1001,'Лист15'!$H$1:$H1001,$E$1,'Лист15'!$A$1:$A1001,$C71)</f>
        <v>0</v>
      </c>
      <c r="G71" s="1562">
        <f t="shared" si="89"/>
        <v>0</v>
      </c>
      <c r="H71" s="1563">
        <f>COUNTIFS('Лист15'!$H$1:$H1001,$H$1,'Лист15'!$A$1:$A1001,$C71)</f>
        <v>0</v>
      </c>
      <c r="I71" s="1564">
        <f>SUMIFS('Лист15'!$G$1:$G1001,'Лист15'!$H$1:$H1001,$H$1,'Лист15'!$A$1:$A1001,$C71)</f>
        <v>0</v>
      </c>
      <c r="J71" s="1565">
        <f t="shared" si="90"/>
        <v>0</v>
      </c>
      <c r="K71" s="1561">
        <f>COUNTIFS('Лист15'!$H$1:$H1001,$K$1,'Лист15'!$A$1:$A1001,$C71)</f>
        <v>4</v>
      </c>
      <c r="L71" s="1564">
        <f>SUMIFS('Лист15'!$G$1:$G1001,'Лист15'!$H$1:$H1001,$K$1,'Лист15'!$A$1:$A1001,$C71)</f>
        <v>14</v>
      </c>
      <c r="M71" s="1565">
        <f t="shared" si="91"/>
        <v>0.4666666667</v>
      </c>
      <c r="N71" s="1561">
        <f>COUNTIFS('Лист15'!$H$1:$H1001,$N$1,'Лист15'!$A$1:$A1001,$C71)</f>
        <v>4</v>
      </c>
      <c r="O71" s="1564">
        <f>SUMIFS('Лист15'!$G$1:$G1001,'Лист15'!$H$1:$H1001,$N$1,'Лист15'!$A$1:$A1001,$C71)</f>
        <v>18</v>
      </c>
      <c r="P71" s="1566">
        <f t="shared" si="92"/>
        <v>0.6</v>
      </c>
      <c r="Q71" s="1561">
        <f>COUNTIFS('Лист15'!$H$1:$H1001,$Q$1,'Лист15'!$A$1:$A1001,$C71)</f>
        <v>1</v>
      </c>
      <c r="R71" s="1564">
        <f>SUMIFS('Лист15'!$G$1:$G1001,'Лист15'!$H$1:$H1001,$Q$1,'Лист15'!$A$1:$A1001,$C71)</f>
        <v>4</v>
      </c>
      <c r="S71" s="1566">
        <f t="shared" si="93"/>
        <v>0.1333333333</v>
      </c>
      <c r="T71" s="1561">
        <f>COUNTIFS('Лист15'!$H$1:$H1001,$T$1,'Лист15'!$A$1:$A1001,$C71)</f>
        <v>0</v>
      </c>
      <c r="U71" s="1564">
        <f>SUMIFS('Лист15'!$G$1:$G1001,'Лист15'!$H$1:$H1001,$T$1,'Лист15'!$A$1:$A1001,$C71)</f>
        <v>0</v>
      </c>
      <c r="V71" s="1567">
        <f t="shared" si="94"/>
        <v>0</v>
      </c>
      <c r="W71" s="1568">
        <f>COUNTIFS('Лист15'!$H$1:$H1001,$W$1,'Лист15'!$A$1:$A1001,$C71)</f>
        <v>0</v>
      </c>
      <c r="X71" s="1569">
        <f>SUMIFS('Лист15'!$G$1:$G1001,'Лист15'!$H$1:$H1001,$W$1,'Лист15'!$A$1:$A1001,$C71)</f>
        <v>0</v>
      </c>
      <c r="Y71" s="1570">
        <f t="shared" si="85"/>
        <v>0</v>
      </c>
      <c r="Z71" s="1568">
        <f>COUNTIFS('Лист15'!$H$1:$H1001,$Z$1,'Лист15'!$A$1:$A1001,$C71)</f>
        <v>0</v>
      </c>
      <c r="AA71" s="1569">
        <f>SUMIFS('Лист15'!$G$1:$G1001,'Лист15'!$H$1:$H1001,$Z$1,'Лист15'!$A$1:$A1001,$C71)</f>
        <v>0</v>
      </c>
      <c r="AB71" s="1570">
        <f t="shared" si="86"/>
        <v>0</v>
      </c>
      <c r="AC71" s="1568">
        <f>COUNTIFS('Лист15'!$H$1:$H1001,$AC$1,'Лист15'!$A$1:$A1001,$C71)</f>
        <v>0</v>
      </c>
      <c r="AD71" s="1569">
        <f>SUMIFS('Лист15'!$G$1:$G1001,'Лист15'!$H$1:$H1001,$AC$1,'Лист15'!$A$1:$A1001,$C71)</f>
        <v>0</v>
      </c>
      <c r="AE71" s="1570">
        <f t="shared" si="87"/>
        <v>0</v>
      </c>
    </row>
    <row r="72" ht="17.25" customHeight="1">
      <c r="A72" s="1580" t="str">
        <f>'1. Справочник'!B87</f>
        <v/>
      </c>
      <c r="B72" s="1558">
        <v>1.0</v>
      </c>
      <c r="C72" s="1583" t="str">
        <f>'1. Справочник'!C87</f>
        <v>DL14-305</v>
      </c>
      <c r="D72" s="1560" t="str">
        <f>'Стратегия'!G81</f>
        <v>Лето</v>
      </c>
      <c r="E72" s="1561">
        <f>COUNTIFS('Лист15'!$H$1:$H1001,$E$1,'Лист15'!$A$1:$A1001,$C72)</f>
        <v>0</v>
      </c>
      <c r="F72" s="1561">
        <f>SUMIFS('Лист15'!$G$1:$G1001,'Лист15'!$H$1:$H1001,$E$1,'Лист15'!$A$1:$A1001,$C72)</f>
        <v>0</v>
      </c>
      <c r="G72" s="1562">
        <f t="shared" si="89"/>
        <v>0</v>
      </c>
      <c r="H72" s="1563">
        <f>COUNTIFS('Лист15'!$H$1:$H1001,$H$1,'Лист15'!$A$1:$A1001,$C72)</f>
        <v>0</v>
      </c>
      <c r="I72" s="1564">
        <f>SUMIFS('Лист15'!$G$1:$G1001,'Лист15'!$H$1:$H1001,$H$1,'Лист15'!$A$1:$A1001,$C72)</f>
        <v>0</v>
      </c>
      <c r="J72" s="1565">
        <f t="shared" si="90"/>
        <v>0</v>
      </c>
      <c r="K72" s="1561">
        <f>COUNTIFS('Лист15'!$H$1:$H1001,$K$1,'Лист15'!$A$1:$A1001,$C72)</f>
        <v>4</v>
      </c>
      <c r="L72" s="1564">
        <f>SUMIFS('Лист15'!$G$1:$G1001,'Лист15'!$H$1:$H1001,$K$1,'Лист15'!$A$1:$A1001,$C72)</f>
        <v>12</v>
      </c>
      <c r="M72" s="1565">
        <f t="shared" si="91"/>
        <v>0.4</v>
      </c>
      <c r="N72" s="1561">
        <f>COUNTIFS('Лист15'!$H$1:$H1001,$N$1,'Лист15'!$A$1:$A1001,$C72)</f>
        <v>4</v>
      </c>
      <c r="O72" s="1564">
        <f>SUMIFS('Лист15'!$G$1:$G1001,'Лист15'!$H$1:$H1001,$N$1,'Лист15'!$A$1:$A1001,$C72)</f>
        <v>21</v>
      </c>
      <c r="P72" s="1566">
        <f t="shared" si="92"/>
        <v>0.7</v>
      </c>
      <c r="Q72" s="1561">
        <f>COUNTIFS('Лист15'!$H$1:$H1001,$Q$1,'Лист15'!$A$1:$A1001,$C72)</f>
        <v>3</v>
      </c>
      <c r="R72" s="1564">
        <f>SUMIFS('Лист15'!$G$1:$G1001,'Лист15'!$H$1:$H1001,$Q$1,'Лист15'!$A$1:$A1001,$C72)</f>
        <v>12</v>
      </c>
      <c r="S72" s="1566">
        <f t="shared" si="93"/>
        <v>0.4</v>
      </c>
      <c r="T72" s="1561">
        <f>COUNTIFS('Лист15'!$H$1:$H1001,$T$1,'Лист15'!$A$1:$A1001,$C72)</f>
        <v>0</v>
      </c>
      <c r="U72" s="1564">
        <f>SUMIFS('Лист15'!$G$1:$G1001,'Лист15'!$H$1:$H1001,$T$1,'Лист15'!$A$1:$A1001,$C72)</f>
        <v>0</v>
      </c>
      <c r="V72" s="1567">
        <f t="shared" si="94"/>
        <v>0</v>
      </c>
      <c r="W72" s="1568">
        <f>COUNTIFS('Лист15'!$H$1:$H1001,$W$1,'Лист15'!$A$1:$A1001,$C72)</f>
        <v>0</v>
      </c>
      <c r="X72" s="1569">
        <f>SUMIFS('Лист15'!$G$1:$G1001,'Лист15'!$H$1:$H1001,$W$1,'Лист15'!$A$1:$A1001,$C72)</f>
        <v>0</v>
      </c>
      <c r="Y72" s="1570">
        <f t="shared" si="85"/>
        <v>0</v>
      </c>
      <c r="Z72" s="1568">
        <f>COUNTIFS('Лист15'!$H$1:$H1001,$Z$1,'Лист15'!$A$1:$A1001,$C72)</f>
        <v>0</v>
      </c>
      <c r="AA72" s="1569">
        <f>SUMIFS('Лист15'!$G$1:$G1001,'Лист15'!$H$1:$H1001,$Z$1,'Лист15'!$A$1:$A1001,$C72)</f>
        <v>0</v>
      </c>
      <c r="AB72" s="1570">
        <f t="shared" si="86"/>
        <v>0</v>
      </c>
      <c r="AC72" s="1568">
        <f>COUNTIFS('Лист15'!$H$1:$H1001,$AC$1,'Лист15'!$A$1:$A1001,$C72)</f>
        <v>0</v>
      </c>
      <c r="AD72" s="1569">
        <f>SUMIFS('Лист15'!$G$1:$G1001,'Лист15'!$H$1:$H1001,$AC$1,'Лист15'!$A$1:$A1001,$C72)</f>
        <v>0</v>
      </c>
      <c r="AE72" s="1570">
        <f t="shared" si="87"/>
        <v>0</v>
      </c>
    </row>
    <row r="73" ht="17.25" customHeight="1">
      <c r="A73" s="1580" t="str">
        <f>'1. Справочник'!B88</f>
        <v/>
      </c>
      <c r="B73" s="1558">
        <v>1.0</v>
      </c>
      <c r="C73" s="1583" t="str">
        <f>'1. Справочник'!C88</f>
        <v>DL14-501-502</v>
      </c>
      <c r="D73" s="1560" t="str">
        <f>'Стратегия'!G82</f>
        <v>Лето</v>
      </c>
      <c r="E73" s="1561">
        <f>COUNTIFS('Лист15'!$H$1:$H1001,$E$1,'Лист15'!$A$1:$A1001,$C73)</f>
        <v>0</v>
      </c>
      <c r="F73" s="1561">
        <f>SUMIFS('Лист15'!$G$1:$G1001,'Лист15'!$H$1:$H1001,$E$1,'Лист15'!$A$1:$A1001,$C73)</f>
        <v>0</v>
      </c>
      <c r="G73" s="1562">
        <f t="shared" si="89"/>
        <v>0</v>
      </c>
      <c r="H73" s="1563">
        <f>COUNTIFS('Лист15'!$H$1:$H1001,$H$1,'Лист15'!$A$1:$A1001,$C73)</f>
        <v>0</v>
      </c>
      <c r="I73" s="1564">
        <f>SUMIFS('Лист15'!$G$1:$G1001,'Лист15'!$H$1:$H1001,$H$1,'Лист15'!$A$1:$A1001,$C73)</f>
        <v>0</v>
      </c>
      <c r="J73" s="1565">
        <f t="shared" si="90"/>
        <v>0</v>
      </c>
      <c r="K73" s="1561">
        <f>COUNTIFS('Лист15'!$H$1:$H1001,$K$1,'Лист15'!$A$1:$A1001,$C73)</f>
        <v>2</v>
      </c>
      <c r="L73" s="1564">
        <f>SUMIFS('Лист15'!$G$1:$G1001,'Лист15'!$H$1:$H1001,$K$1,'Лист15'!$A$1:$A1001,$C73)</f>
        <v>8</v>
      </c>
      <c r="M73" s="1565">
        <f t="shared" si="91"/>
        <v>0.2666666667</v>
      </c>
      <c r="N73" s="1561">
        <f>COUNTIFS('Лист15'!$H$1:$H1001,$N$1,'Лист15'!$A$1:$A1001,$C73)</f>
        <v>4</v>
      </c>
      <c r="O73" s="1564">
        <f>SUMIFS('Лист15'!$G$1:$G1001,'Лист15'!$H$1:$H1001,$N$1,'Лист15'!$A$1:$A1001,$C73)</f>
        <v>22</v>
      </c>
      <c r="P73" s="1566">
        <f t="shared" si="92"/>
        <v>0.7333333333</v>
      </c>
      <c r="Q73" s="1561">
        <f>COUNTIFS('Лист15'!$H$1:$H1001,$Q$1,'Лист15'!$A$1:$A1001,$C73)</f>
        <v>2</v>
      </c>
      <c r="R73" s="1564">
        <f>SUMIFS('Лист15'!$G$1:$G1001,'Лист15'!$H$1:$H1001,$Q$1,'Лист15'!$A$1:$A1001,$C73)</f>
        <v>13</v>
      </c>
      <c r="S73" s="1566">
        <f t="shared" si="93"/>
        <v>0.4333333333</v>
      </c>
      <c r="T73" s="1561">
        <f>COUNTIFS('Лист15'!$H$1:$H1001,$T$1,'Лист15'!$A$1:$A1001,$C73)</f>
        <v>0</v>
      </c>
      <c r="U73" s="1564">
        <f>SUMIFS('Лист15'!$G$1:$G1001,'Лист15'!$H$1:$H1001,$T$1,'Лист15'!$A$1:$A1001,$C73)</f>
        <v>0</v>
      </c>
      <c r="V73" s="1567">
        <f t="shared" si="94"/>
        <v>0</v>
      </c>
      <c r="W73" s="1568">
        <f>COUNTIFS('Лист15'!$H$1:$H1001,$W$1,'Лист15'!$A$1:$A1001,$C73)</f>
        <v>0</v>
      </c>
      <c r="X73" s="1569">
        <f>SUMIFS('Лист15'!$G$1:$G1001,'Лист15'!$H$1:$H1001,$W$1,'Лист15'!$A$1:$A1001,$C73)</f>
        <v>0</v>
      </c>
      <c r="Y73" s="1570">
        <f t="shared" si="85"/>
        <v>0</v>
      </c>
      <c r="Z73" s="1568">
        <f>COUNTIFS('Лист15'!$H$1:$H1001,$Z$1,'Лист15'!$A$1:$A1001,$C73)</f>
        <v>0</v>
      </c>
      <c r="AA73" s="1569">
        <f>SUMIFS('Лист15'!$G$1:$G1001,'Лист15'!$H$1:$H1001,$Z$1,'Лист15'!$A$1:$A1001,$C73)</f>
        <v>0</v>
      </c>
      <c r="AB73" s="1570">
        <f t="shared" si="86"/>
        <v>0</v>
      </c>
      <c r="AC73" s="1568">
        <f>COUNTIFS('Лист15'!$H$1:$H1001,$AC$1,'Лист15'!$A$1:$A1001,$C73)</f>
        <v>0</v>
      </c>
      <c r="AD73" s="1569">
        <f>SUMIFS('Лист15'!$G$1:$G1001,'Лист15'!$H$1:$H1001,$AC$1,'Лист15'!$A$1:$A1001,$C73)</f>
        <v>0</v>
      </c>
      <c r="AE73" s="1570">
        <f t="shared" si="87"/>
        <v>0</v>
      </c>
    </row>
    <row r="74" ht="17.25" customHeight="1">
      <c r="A74" s="1580" t="str">
        <f>#REF!</f>
        <v>#REF!</v>
      </c>
      <c r="B74" s="1558">
        <v>1.0</v>
      </c>
      <c r="C74" s="1583" t="str">
        <f>#REF!</f>
        <v>#REF!</v>
      </c>
      <c r="D74" s="1560" t="str">
        <f>'Стратегия'!G83</f>
        <v>Лето</v>
      </c>
      <c r="E74" s="1561">
        <f>COUNTIFS('Лист15'!$H$1:$H1001,$E$1,'Лист15'!$A$1:$A1001,$C74)</f>
        <v>0</v>
      </c>
      <c r="F74" s="1561">
        <f>SUMIFS('Лист15'!$G$1:$G1001,'Лист15'!$H$1:$H1001,$E$1,'Лист15'!$A$1:$A1001,$C74)</f>
        <v>0</v>
      </c>
      <c r="G74" s="1562">
        <f t="shared" si="89"/>
        <v>0</v>
      </c>
      <c r="H74" s="1563">
        <f>COUNTIFS('Лист15'!$H$1:$H1001,$H$1,'Лист15'!$A$1:$A1001,$C74)</f>
        <v>0</v>
      </c>
      <c r="I74" s="1564">
        <f>SUMIFS('Лист15'!$G$1:$G1001,'Лист15'!$H$1:$H1001,$H$1,'Лист15'!$A$1:$A1001,$C74)</f>
        <v>0</v>
      </c>
      <c r="J74" s="1565">
        <f t="shared" si="90"/>
        <v>0</v>
      </c>
      <c r="K74" s="1561">
        <f>COUNTIFS('Лист15'!$H$1:$H1001,$K$1,'Лист15'!$A$1:$A1001,$C74)</f>
        <v>0</v>
      </c>
      <c r="L74" s="1564">
        <f>SUMIFS('Лист15'!$G$1:$G1001,'Лист15'!$H$1:$H1001,$K$1,'Лист15'!$A$1:$A1001,$C74)</f>
        <v>0</v>
      </c>
      <c r="M74" s="1565"/>
      <c r="N74" s="1561">
        <f>COUNTIFS('Лист15'!$H$1:$H1001,$N$1,'Лист15'!$A$1:$A1001,$C74)</f>
        <v>0</v>
      </c>
      <c r="O74" s="1564">
        <f>SUMIFS('Лист15'!$G$1:$G1001,'Лист15'!$H$1:$H1001,$N$1,'Лист15'!$A$1:$A1001,$C74)</f>
        <v>0</v>
      </c>
      <c r="P74" s="1566">
        <f t="shared" si="92"/>
        <v>0</v>
      </c>
      <c r="Q74" s="1561">
        <f>COUNTIFS('Лист15'!$H$1:$H1001,$Q$1,'Лист15'!$A$1:$A1001,$C74)</f>
        <v>0</v>
      </c>
      <c r="R74" s="1564">
        <f>SUMIFS('Лист15'!$G$1:$G1001,'Лист15'!$H$1:$H1001,$Q$1,'Лист15'!$A$1:$A1001,$C74)</f>
        <v>0</v>
      </c>
      <c r="S74" s="1566">
        <f t="shared" si="93"/>
        <v>0</v>
      </c>
      <c r="T74" s="1561">
        <f>COUNTIFS('Лист15'!$H$1:$H1001,$T$1,'Лист15'!$A$1:$A1001,$C74)</f>
        <v>0</v>
      </c>
      <c r="U74" s="1564">
        <f>SUMIFS('Лист15'!$G$1:$G1001,'Лист15'!$H$1:$H1001,$T$1,'Лист15'!$A$1:$A1001,$C74)</f>
        <v>0</v>
      </c>
      <c r="V74" s="1567">
        <f t="shared" si="94"/>
        <v>0</v>
      </c>
      <c r="W74" s="1568">
        <f>COUNTIFS('Лист15'!$H$1:$H1001,$W$1,'Лист15'!$A$1:$A1001,$C74)</f>
        <v>0</v>
      </c>
      <c r="X74" s="1569">
        <f>SUMIFS('Лист15'!$G$1:$G1001,'Лист15'!$H$1:$H1001,$W$1,'Лист15'!$A$1:$A1001,$C74)</f>
        <v>0</v>
      </c>
      <c r="Y74" s="1570">
        <f t="shared" si="85"/>
        <v>0</v>
      </c>
      <c r="Z74" s="1568">
        <f>COUNTIFS('Лист15'!$H$1:$H1001,$Z$1,'Лист15'!$A$1:$A1001,$C74)</f>
        <v>0</v>
      </c>
      <c r="AA74" s="1569">
        <f>SUMIFS('Лист15'!$G$1:$G1001,'Лист15'!$H$1:$H1001,$Z$1,'Лист15'!$A$1:$A1001,$C74)</f>
        <v>0</v>
      </c>
      <c r="AB74" s="1570">
        <f t="shared" si="86"/>
        <v>0</v>
      </c>
      <c r="AC74" s="1568">
        <f>COUNTIFS('Лист15'!$H$1:$H1001,$AC$1,'Лист15'!$A$1:$A1001,$C74)</f>
        <v>0</v>
      </c>
      <c r="AD74" s="1569">
        <f>SUMIFS('Лист15'!$G$1:$G1001,'Лист15'!$H$1:$H1001,$AC$1,'Лист15'!$A$1:$A1001,$C74)</f>
        <v>0</v>
      </c>
      <c r="AE74" s="1570">
        <f t="shared" si="87"/>
        <v>0</v>
      </c>
    </row>
    <row r="75" ht="17.25" customHeight="1">
      <c r="A75" s="1584" t="str">
        <f>'1. Справочник'!B89</f>
        <v/>
      </c>
      <c r="B75" s="1558">
        <v>1.0</v>
      </c>
      <c r="C75" s="1583" t="str">
        <f>'1. Справочник'!C89</f>
        <v>DL7-16</v>
      </c>
      <c r="D75" s="1560" t="str">
        <f>'Стратегия'!G84</f>
        <v>80/20</v>
      </c>
      <c r="E75" s="1561">
        <f>COUNTIFS('Лист15'!$H$1:$H1001,$E$1,'Лист15'!$A$1:$A1001,$C75)</f>
        <v>0</v>
      </c>
      <c r="F75" s="1561">
        <f>SUMIFS('Лист15'!$G$1:$G1001,'Лист15'!$H$1:$H1001,$E$1,'Лист15'!$A$1:$A1001,$C75)</f>
        <v>0</v>
      </c>
      <c r="G75" s="1562">
        <f t="shared" si="89"/>
        <v>0</v>
      </c>
      <c r="H75" s="1563">
        <f>COUNTIFS('Лист15'!$H$1:$H1001,$H$1,'Лист15'!$A$1:$A1001,$C75)</f>
        <v>0</v>
      </c>
      <c r="I75" s="1564">
        <f>SUMIFS('Лист15'!$G$1:$G1001,'Лист15'!$H$1:$H1001,$H$1,'Лист15'!$A$1:$A1001,$C75)</f>
        <v>0</v>
      </c>
      <c r="J75" s="1565">
        <f t="shared" si="90"/>
        <v>0</v>
      </c>
      <c r="K75" s="1561">
        <f>COUNTIFS('Лист15'!$H$1:$H1001,$K$1,'Лист15'!$A$1:$A1001,$C75)</f>
        <v>1</v>
      </c>
      <c r="L75" s="1564">
        <f>SUMIFS('Лист15'!$G$1:$G1001,'Лист15'!$H$1:$H1001,$K$1,'Лист15'!$A$1:$A1001,$C75)</f>
        <v>5</v>
      </c>
      <c r="M75" s="1565">
        <f t="shared" ref="M75:M99" si="95">L75/30</f>
        <v>0.1666666667</v>
      </c>
      <c r="N75" s="1561">
        <f>COUNTIFS('Лист15'!$H$1:$H1001,$N$1,'Лист15'!$A$1:$A1001,$C75)</f>
        <v>4</v>
      </c>
      <c r="O75" s="1564">
        <f>SUMIFS('Лист15'!$G$1:$G1001,'Лист15'!$H$1:$H1001,$N$1,'Лист15'!$A$1:$A1001,$C75)</f>
        <v>21</v>
      </c>
      <c r="P75" s="1566">
        <f t="shared" si="92"/>
        <v>0.7</v>
      </c>
      <c r="Q75" s="1561">
        <f>COUNTIFS('Лист15'!$H$1:$H1001,$Q$1,'Лист15'!$A$1:$A1001,$C75)</f>
        <v>0</v>
      </c>
      <c r="R75" s="1564">
        <f>SUMIFS('Лист15'!$G$1:$G1001,'Лист15'!$H$1:$H1001,$Q$1,'Лист15'!$A$1:$A1001,$C75)</f>
        <v>0</v>
      </c>
      <c r="S75" s="1566">
        <f t="shared" si="93"/>
        <v>0</v>
      </c>
      <c r="T75" s="1561">
        <f>COUNTIFS('Лист15'!$H$1:$H1001,$T$1,'Лист15'!$A$1:$A1001,$C75)</f>
        <v>0</v>
      </c>
      <c r="U75" s="1564">
        <f>SUMIFS('Лист15'!$G$1:$G1001,'Лист15'!$H$1:$H1001,$T$1,'Лист15'!$A$1:$A1001,$C75)</f>
        <v>0</v>
      </c>
      <c r="V75" s="1567">
        <f t="shared" si="94"/>
        <v>0</v>
      </c>
      <c r="W75" s="1568">
        <f>COUNTIFS('Лист15'!$H$1:$H1001,$W$1,'Лист15'!$A$1:$A1001,$C75)</f>
        <v>0</v>
      </c>
      <c r="X75" s="1569">
        <f>SUMIFS('Лист15'!$G$1:$G1001,'Лист15'!$H$1:$H1001,$W$1,'Лист15'!$A$1:$A1001,$C75)</f>
        <v>0</v>
      </c>
      <c r="Y75" s="1570">
        <f t="shared" si="85"/>
        <v>0</v>
      </c>
      <c r="Z75" s="1568">
        <f>COUNTIFS('Лист15'!$H$1:$H1001,$Z$1,'Лист15'!$A$1:$A1001,$C75)</f>
        <v>0</v>
      </c>
      <c r="AA75" s="1569">
        <f>SUMIFS('Лист15'!$G$1:$G1001,'Лист15'!$H$1:$H1001,$Z$1,'Лист15'!$A$1:$A1001,$C75)</f>
        <v>0</v>
      </c>
      <c r="AB75" s="1570">
        <f t="shared" si="86"/>
        <v>0</v>
      </c>
      <c r="AC75" s="1568">
        <f>COUNTIFS('Лист15'!$H$1:$H1001,$AC$1,'Лист15'!$A$1:$A1001,$C75)</f>
        <v>0</v>
      </c>
      <c r="AD75" s="1569">
        <f>SUMIFS('Лист15'!$G$1:$G1001,'Лист15'!$H$1:$H1001,$AC$1,'Лист15'!$A$1:$A1001,$C75)</f>
        <v>0</v>
      </c>
      <c r="AE75" s="1570">
        <f t="shared" si="87"/>
        <v>0</v>
      </c>
    </row>
    <row r="76" ht="17.25" customHeight="1">
      <c r="A76" s="1584" t="str">
        <f>'1. Справочник'!B90</f>
        <v/>
      </c>
      <c r="B76" s="1558"/>
      <c r="C76" s="1583" t="str">
        <f>'1. Справочник'!C90</f>
        <v>DL 13-206</v>
      </c>
      <c r="D76" s="1560"/>
      <c r="E76" s="1561"/>
      <c r="F76" s="1561"/>
      <c r="G76" s="1562"/>
      <c r="H76" s="1563">
        <f>COUNTIFS('Лист15'!$H$1:$H1001,$H$1,'Лист15'!$A$1:$A1001,$C76)</f>
        <v>0</v>
      </c>
      <c r="I76" s="1564">
        <f>SUMIFS('Лист15'!$G$1:$G1001,'Лист15'!$H$1:$H1001,$H$1,'Лист15'!$A$1:$A1001,$C76)</f>
        <v>0</v>
      </c>
      <c r="J76" s="1565">
        <f t="shared" si="90"/>
        <v>0</v>
      </c>
      <c r="K76" s="1561">
        <f>COUNTIFS('Лист15'!$H$1:$H1001,$K$1,'Лист15'!$A$1:$A1001,$C76)</f>
        <v>0</v>
      </c>
      <c r="L76" s="1564">
        <f>SUMIFS('Лист15'!$G$1:$G1001,'Лист15'!$H$1:$H1001,$K$1,'Лист15'!$A$1:$A1001,$C76)</f>
        <v>0</v>
      </c>
      <c r="M76" s="1565">
        <f t="shared" si="95"/>
        <v>0</v>
      </c>
      <c r="N76" s="1561">
        <f>COUNTIFS('Лист15'!$H$1:$H1001,$N$1,'Лист15'!$A$1:$A1001,$C76)</f>
        <v>2</v>
      </c>
      <c r="O76" s="1564">
        <f>SUMIFS('Лист15'!$G$1:$G1001,'Лист15'!$H$1:$H1001,$N$1,'Лист15'!$A$1:$A1001,$C76)</f>
        <v>10</v>
      </c>
      <c r="P76" s="1566">
        <f t="shared" si="92"/>
        <v>0.3333333333</v>
      </c>
      <c r="Q76" s="1561">
        <f>COUNTIFS('Лист15'!$H$1:$H1001,$Q$1,'Лист15'!$A$1:$A1001,$C76)</f>
        <v>2</v>
      </c>
      <c r="R76" s="1564">
        <f>SUMIFS('Лист15'!$G$1:$G1001,'Лист15'!$H$1:$H1001,$Q$1,'Лист15'!$A$1:$A1001,$C76)</f>
        <v>9</v>
      </c>
      <c r="S76" s="1566">
        <f t="shared" si="93"/>
        <v>0.3</v>
      </c>
      <c r="T76" s="1561">
        <f>COUNTIFS('Лист15'!$H$1:$H1001,$T$1,'Лист15'!$A$1:$A1001,$C76)</f>
        <v>0</v>
      </c>
      <c r="U76" s="1564">
        <f>SUMIFS('Лист15'!$G$1:$G1001,'Лист15'!$H$1:$H1001,$T$1,'Лист15'!$A$1:$A1001,$C76)</f>
        <v>0</v>
      </c>
      <c r="V76" s="1567">
        <f t="shared" si="94"/>
        <v>0</v>
      </c>
      <c r="W76" s="1568">
        <f>COUNTIFS('Лист15'!$H$1:$H1001,$W$1,'Лист15'!$A$1:$A1001,$C76)</f>
        <v>0</v>
      </c>
      <c r="X76" s="1569">
        <f>SUMIFS('Лист15'!$G$1:$G1001,'Лист15'!$H$1:$H1001,$W$1,'Лист15'!$A$1:$A1001,$C76)</f>
        <v>0</v>
      </c>
      <c r="Y76" s="1570">
        <f t="shared" si="85"/>
        <v>0</v>
      </c>
      <c r="Z76" s="1568">
        <f>COUNTIFS('Лист15'!$H$1:$H1001,$Z$1,'Лист15'!$A$1:$A1001,$C76)</f>
        <v>0</v>
      </c>
      <c r="AA76" s="1569">
        <f>SUMIFS('Лист15'!$G$1:$G1001,'Лист15'!$H$1:$H1001,$Z$1,'Лист15'!$A$1:$A1001,$C76)</f>
        <v>0</v>
      </c>
      <c r="AB76" s="1570">
        <f t="shared" si="86"/>
        <v>0</v>
      </c>
      <c r="AC76" s="1568">
        <f>COUNTIFS('Лист15'!$H$1:$H1001,$AC$1,'Лист15'!$A$1:$A1001,$C76)</f>
        <v>0</v>
      </c>
      <c r="AD76" s="1569">
        <f>SUMIFS('Лист15'!$G$1:$G1001,'Лист15'!$H$1:$H1001,$AC$1,'Лист15'!$A$1:$A1001,$C76)</f>
        <v>0</v>
      </c>
      <c r="AE76" s="1570">
        <f t="shared" si="87"/>
        <v>0</v>
      </c>
    </row>
    <row r="77" ht="17.25" customHeight="1">
      <c r="A77" s="1584" t="str">
        <f>'1. Справочник'!B92</f>
        <v/>
      </c>
      <c r="B77" s="1558"/>
      <c r="C77" s="1583" t="str">
        <f>'1. Справочник'!C92</f>
        <v>DL 13-709</v>
      </c>
      <c r="D77" s="1560"/>
      <c r="E77" s="1561"/>
      <c r="F77" s="1561"/>
      <c r="G77" s="1562"/>
      <c r="H77" s="1563">
        <f>COUNTIFS('Лист15'!$H$1:$H1001,$H$1,'Лист15'!$A$1:$A1001,$C77)</f>
        <v>0</v>
      </c>
      <c r="I77" s="1564">
        <f>SUMIFS('Лист15'!$G$1:$G1001,'Лист15'!$H$1:$H1001,$H$1,'Лист15'!$A$1:$A1001,$C77)</f>
        <v>0</v>
      </c>
      <c r="J77" s="1565">
        <f t="shared" si="90"/>
        <v>0</v>
      </c>
      <c r="K77" s="1561">
        <f>COUNTIFS('Лист15'!$H$1:$H1001,$K$1,'Лист15'!$A$1:$A1001,$C77)</f>
        <v>0</v>
      </c>
      <c r="L77" s="1564">
        <f>SUMIFS('Лист15'!$G$1:$G1001,'Лист15'!$H$1:$H1001,$K$1,'Лист15'!$A$1:$A1001,$C77)</f>
        <v>0</v>
      </c>
      <c r="M77" s="1565">
        <f t="shared" si="95"/>
        <v>0</v>
      </c>
      <c r="N77" s="1561">
        <f>COUNTIFS('Лист15'!$H$1:$H1001,$N$1,'Лист15'!$A$1:$A1001,$C77)</f>
        <v>4</v>
      </c>
      <c r="O77" s="1564">
        <f>SUMIFS('Лист15'!$G$1:$G1001,'Лист15'!$H$1:$H1001,$N$1,'Лист15'!$A$1:$A1001,$C77)</f>
        <v>20</v>
      </c>
      <c r="P77" s="1566">
        <f t="shared" si="92"/>
        <v>0.6666666667</v>
      </c>
      <c r="Q77" s="1561">
        <f>COUNTIFS('Лист15'!$H$1:$H1001,$Q$1,'Лист15'!$A$1:$A1001,$C77)</f>
        <v>2</v>
      </c>
      <c r="R77" s="1564">
        <f>SUMIFS('Лист15'!$G$1:$G1001,'Лист15'!$H$1:$H1001,$Q$1,'Лист15'!$A$1:$A1001,$C77)</f>
        <v>10</v>
      </c>
      <c r="S77" s="1566">
        <f t="shared" si="93"/>
        <v>0.3333333333</v>
      </c>
      <c r="T77" s="1561">
        <f>COUNTIFS('Лист15'!$H$1:$H1001,$T$1,'Лист15'!$A$1:$A1001,$C77)</f>
        <v>0</v>
      </c>
      <c r="U77" s="1564">
        <f>SUMIFS('Лист15'!$G$1:$G1001,'Лист15'!$H$1:$H1001,$T$1,'Лист15'!$A$1:$A1001,$C77)</f>
        <v>0</v>
      </c>
      <c r="V77" s="1567">
        <f t="shared" si="94"/>
        <v>0</v>
      </c>
      <c r="W77" s="1568">
        <f>COUNTIFS('Лист15'!$H$1:$H1001,$W$1,'Лист15'!$A$1:$A1001,$C77)</f>
        <v>0</v>
      </c>
      <c r="X77" s="1569">
        <f>SUMIFS('Лист15'!$G$1:$G1001,'Лист15'!$H$1:$H1001,$W$1,'Лист15'!$A$1:$A1001,$C77)</f>
        <v>0</v>
      </c>
      <c r="Y77" s="1570">
        <f t="shared" si="85"/>
        <v>0</v>
      </c>
      <c r="Z77" s="1568">
        <f>COUNTIFS('Лист15'!$H$1:$H1001,$Z$1,'Лист15'!$A$1:$A1001,$C77)</f>
        <v>0</v>
      </c>
      <c r="AA77" s="1569">
        <f>SUMIFS('Лист15'!$G$1:$G1001,'Лист15'!$H$1:$H1001,$Z$1,'Лист15'!$A$1:$A1001,$C77)</f>
        <v>0</v>
      </c>
      <c r="AB77" s="1570">
        <f t="shared" si="86"/>
        <v>0</v>
      </c>
      <c r="AC77" s="1568">
        <f>COUNTIFS('Лист15'!$H$1:$H1001,$AC$1,'Лист15'!$A$1:$A1001,$C77)</f>
        <v>0</v>
      </c>
      <c r="AD77" s="1569">
        <f>SUMIFS('Лист15'!$G$1:$G1001,'Лист15'!$H$1:$H1001,$AC$1,'Лист15'!$A$1:$A1001,$C77)</f>
        <v>0</v>
      </c>
      <c r="AE77" s="1570">
        <f t="shared" si="87"/>
        <v>0</v>
      </c>
    </row>
    <row r="78" ht="17.25" customHeight="1">
      <c r="A78" s="1584" t="str">
        <f>'1. Справочник'!B93</f>
        <v/>
      </c>
      <c r="B78" s="1558"/>
      <c r="C78" s="1583" t="str">
        <f>'1. Справочник'!C93</f>
        <v>DL 13-703</v>
      </c>
      <c r="D78" s="1560"/>
      <c r="E78" s="1561"/>
      <c r="F78" s="1561"/>
      <c r="G78" s="1562"/>
      <c r="H78" s="1563">
        <f>COUNTIFS('Лист15'!$H$1:$H1001,$H$1,'Лист15'!$A$1:$A1001,$C78)</f>
        <v>0</v>
      </c>
      <c r="I78" s="1564">
        <f>SUMIFS('Лист15'!$G$1:$G1001,'Лист15'!$H$1:$H1001,$H$1,'Лист15'!$A$1:$A1001,$C78)</f>
        <v>0</v>
      </c>
      <c r="J78" s="1565">
        <f t="shared" si="90"/>
        <v>0</v>
      </c>
      <c r="K78" s="1561">
        <f>COUNTIFS('Лист15'!$H$1:$H1001,$K$1,'Лист15'!$A$1:$A1001,$C78)</f>
        <v>0</v>
      </c>
      <c r="L78" s="1564">
        <f>SUMIFS('Лист15'!$G$1:$G1001,'Лист15'!$H$1:$H1001,$K$1,'Лист15'!$A$1:$A1001,$C78)</f>
        <v>0</v>
      </c>
      <c r="M78" s="1565">
        <f t="shared" si="95"/>
        <v>0</v>
      </c>
      <c r="N78" s="1561">
        <f>COUNTIFS('Лист15'!$H$1:$H1001,$N$1,'Лист15'!$A$1:$A1001,$C78)</f>
        <v>4</v>
      </c>
      <c r="O78" s="1564">
        <f>SUMIFS('Лист15'!$G$1:$G1001,'Лист15'!$H$1:$H1001,$N$1,'Лист15'!$A$1:$A1001,$C78)</f>
        <v>16</v>
      </c>
      <c r="P78" s="1566">
        <f t="shared" si="92"/>
        <v>0.5333333333</v>
      </c>
      <c r="Q78" s="1561">
        <f>COUNTIFS('Лист15'!$H$1:$H1001,$Q$1,'Лист15'!$A$1:$A1001,$C78)</f>
        <v>1</v>
      </c>
      <c r="R78" s="1564">
        <f>SUMIFS('Лист15'!$G$1:$G1001,'Лист15'!$H$1:$H1001,$Q$1,'Лист15'!$A$1:$A1001,$C78)</f>
        <v>8</v>
      </c>
      <c r="S78" s="1566">
        <f t="shared" si="93"/>
        <v>0.2666666667</v>
      </c>
      <c r="T78" s="1561">
        <f>COUNTIFS('Лист15'!$H$1:$H1001,$T$1,'Лист15'!$A$1:$A1001,$C78)</f>
        <v>0</v>
      </c>
      <c r="U78" s="1564">
        <f>SUMIFS('Лист15'!$G$1:$G1001,'Лист15'!$H$1:$H1001,$T$1,'Лист15'!$A$1:$A1001,$C78)</f>
        <v>0</v>
      </c>
      <c r="V78" s="1567">
        <f t="shared" si="94"/>
        <v>0</v>
      </c>
      <c r="W78" s="1568">
        <f>COUNTIFS('Лист15'!$H$1:$H1001,$W$1,'Лист15'!$A$1:$A1001,$C78)</f>
        <v>0</v>
      </c>
      <c r="X78" s="1569">
        <f>SUMIFS('Лист15'!$G$1:$G1001,'Лист15'!$H$1:$H1001,$W$1,'Лист15'!$A$1:$A1001,$C78)</f>
        <v>0</v>
      </c>
      <c r="Y78" s="1570">
        <f t="shared" si="85"/>
        <v>0</v>
      </c>
      <c r="Z78" s="1568">
        <f>COUNTIFS('Лист15'!$H$1:$H1001,$Z$1,'Лист15'!$A$1:$A1001,$C78)</f>
        <v>0</v>
      </c>
      <c r="AA78" s="1569">
        <f>SUMIFS('Лист15'!$G$1:$G1001,'Лист15'!$H$1:$H1001,$Z$1,'Лист15'!$A$1:$A1001,$C78)</f>
        <v>0</v>
      </c>
      <c r="AB78" s="1570">
        <f t="shared" si="86"/>
        <v>0</v>
      </c>
      <c r="AC78" s="1568">
        <f>COUNTIFS('Лист15'!$H$1:$H1001,$AC$1,'Лист15'!$A$1:$A1001,$C78)</f>
        <v>0</v>
      </c>
      <c r="AD78" s="1569">
        <f>SUMIFS('Лист15'!$G$1:$G1001,'Лист15'!$H$1:$H1001,$AC$1,'Лист15'!$A$1:$A1001,$C78)</f>
        <v>0</v>
      </c>
      <c r="AE78" s="1570">
        <f t="shared" si="87"/>
        <v>0</v>
      </c>
    </row>
    <row r="79" ht="17.25" customHeight="1">
      <c r="A79" s="1584" t="str">
        <f>'1. Справочник'!B140</f>
        <v/>
      </c>
      <c r="B79" s="1558">
        <v>1.0</v>
      </c>
      <c r="C79" s="1583" t="str">
        <f>'1. Справочник'!C140</f>
        <v>TGA1</v>
      </c>
      <c r="D79" s="1560" t="str">
        <f>'Стратегия'!G93</f>
        <v>❌</v>
      </c>
      <c r="E79" s="1561">
        <f>COUNTIFS('Лист15'!$H$1:$H1001,$E$1,'Лист15'!$A$1:$A1001,$C79)</f>
        <v>0</v>
      </c>
      <c r="F79" s="1561">
        <f>SUMIFS('Лист15'!$G$1:$G1001,'Лист15'!$H$1:$H1001,$E$1,'Лист15'!$A$1:$A1001,$C79)</f>
        <v>0</v>
      </c>
      <c r="G79" s="1562">
        <f t="shared" ref="G79:G99" si="96">F79/30</f>
        <v>0</v>
      </c>
      <c r="H79" s="1563">
        <f>COUNTIFS('Лист15'!$H$1:$H1001,$H$1,'Лист15'!$A$1:$A1001,$C79)</f>
        <v>4</v>
      </c>
      <c r="I79" s="1564">
        <f>SUMIFS('Лист15'!$G$1:$G1001,'Лист15'!$H$1:$H1001,$H$1,'Лист15'!$A$1:$A1001,$C79)</f>
        <v>10</v>
      </c>
      <c r="J79" s="1565">
        <f t="shared" si="90"/>
        <v>0.3225806452</v>
      </c>
      <c r="K79" s="1561">
        <f>COUNTIFS('Лист15'!$H$1:$H1001,$K$1,'Лист15'!$A$1:$A1001,$C79)</f>
        <v>8</v>
      </c>
      <c r="L79" s="1564">
        <v>30.0</v>
      </c>
      <c r="M79" s="1565">
        <f t="shared" si="95"/>
        <v>1</v>
      </c>
      <c r="N79" s="1561">
        <f>COUNTIFS('Лист15'!$H$1:$H1001,$N$1,'Лист15'!$A$1:$A1001,$C79)</f>
        <v>5</v>
      </c>
      <c r="O79" s="1564">
        <f>SUMIFS('Лист15'!$G$1:$G1001,'Лист15'!$H$1:$H1001,$N$1,'Лист15'!$A$1:$A1001,$C79)</f>
        <v>25</v>
      </c>
      <c r="P79" s="1566">
        <f t="shared" si="92"/>
        <v>0.8333333333</v>
      </c>
      <c r="Q79" s="1585">
        <f>COUNTIFS('Лист15'!$H$1:$H1001,$Q$1,'Лист15'!$A$1:$A1001,$C79)</f>
        <v>1</v>
      </c>
      <c r="R79" s="1586">
        <f>SUMIFS('Лист15'!$G$1:$G1001,'Лист15'!$H$1:$H1001,$Q$1,'Лист15'!$A$1:$A1001,$C79)</f>
        <v>14</v>
      </c>
      <c r="S79" s="1566">
        <f t="shared" si="93"/>
        <v>0.4666666667</v>
      </c>
      <c r="T79" s="1585">
        <f>COUNTIFS('Лист15'!$H$1:$H1001,$T$1,'Лист15'!$A$1:$A1001,$C79)</f>
        <v>0</v>
      </c>
      <c r="U79" s="1586">
        <f>SUMIFS('Лист15'!$G$1:$G1001,'Лист15'!$H$1:$H1001,$T$1,'Лист15'!$A$1:$A1001,$C79)</f>
        <v>0</v>
      </c>
      <c r="V79" s="1567">
        <f t="shared" si="94"/>
        <v>0</v>
      </c>
      <c r="W79" s="1568">
        <f>COUNTIFS('Лист15'!$H$1:$H1001,$W$1,'Лист15'!$A$1:$A1001,$C79)</f>
        <v>0</v>
      </c>
      <c r="X79" s="1569">
        <f>SUMIFS('Лист15'!$G$1:$G1001,'Лист15'!$H$1:$H1001,$W$1,'Лист15'!$A$1:$A1001,$C79)</f>
        <v>0</v>
      </c>
      <c r="Y79" s="1570">
        <f t="shared" si="85"/>
        <v>0</v>
      </c>
      <c r="Z79" s="1568">
        <f>COUNTIFS('Лист15'!$H$1:$H1001,$Z$1,'Лист15'!$A$1:$A1001,$C79)</f>
        <v>0</v>
      </c>
      <c r="AA79" s="1569">
        <f>SUMIFS('Лист15'!$G$1:$G1001,'Лист15'!$H$1:$H1001,$Z$1,'Лист15'!$A$1:$A1001,$C79)</f>
        <v>0</v>
      </c>
      <c r="AB79" s="1570">
        <f t="shared" si="86"/>
        <v>0</v>
      </c>
      <c r="AC79" s="1568">
        <f>COUNTIFS('Лист15'!$H$1:$H1001,$AC$1,'Лист15'!$A$1:$A1001,$C79)</f>
        <v>0</v>
      </c>
      <c r="AD79" s="1569">
        <f>SUMIFS('Лист15'!$G$1:$G1001,'Лист15'!$H$1:$H1001,$AC$1,'Лист15'!$A$1:$A1001,$C79)</f>
        <v>0</v>
      </c>
      <c r="AE79" s="1570">
        <f t="shared" si="87"/>
        <v>0</v>
      </c>
    </row>
    <row r="80" ht="17.25" customHeight="1">
      <c r="A80" s="1584" t="str">
        <f>'1. Справочник'!B98</f>
        <v>Светлана</v>
      </c>
      <c r="B80" s="1558">
        <v>1.0</v>
      </c>
      <c r="C80" s="1583" t="str">
        <f>'1. Справочник'!C98</f>
        <v>TGA2</v>
      </c>
      <c r="D80" s="1560" t="str">
        <f>'Стратегия'!G94</f>
        <v>80/20</v>
      </c>
      <c r="E80" s="1561">
        <f>COUNTIFS('Лист15'!$H$1:$H1001,$E$1,'Лист15'!$A$1:$A1001,$C80)</f>
        <v>0</v>
      </c>
      <c r="F80" s="1561">
        <f>SUMIFS('Лист15'!$G$1:$G1001,'Лист15'!$H$1:$H1001,$E$1,'Лист15'!$A$1:$A1001,$C80)</f>
        <v>0</v>
      </c>
      <c r="G80" s="1562">
        <f t="shared" si="96"/>
        <v>0</v>
      </c>
      <c r="H80" s="1563">
        <f>COUNTIFS('Лист15'!$H$1:$H1001,$H$1,'Лист15'!$A$1:$A1001,$C80)</f>
        <v>1</v>
      </c>
      <c r="I80" s="1564">
        <f>SUMIFS('Лист15'!$G$1:$G1001,'Лист15'!$H$1:$H1001,$H$1,'Лист15'!$A$1:$A1001,$C80)</f>
        <v>3</v>
      </c>
      <c r="J80" s="1565">
        <f t="shared" si="90"/>
        <v>0.09677419355</v>
      </c>
      <c r="K80" s="1561">
        <f>COUNTIFS('Лист15'!$H$1:$H1001,$K$1,'Лист15'!$A$1:$A1001,$C80)</f>
        <v>4</v>
      </c>
      <c r="L80" s="1564">
        <f>SUMIFS('Лист15'!$G$1:$G1001,'Лист15'!$H$1:$H1001,$K$1,'Лист15'!$A$1:$A1001,$C80)</f>
        <v>14</v>
      </c>
      <c r="M80" s="1565">
        <f t="shared" si="95"/>
        <v>0.4666666667</v>
      </c>
      <c r="N80" s="1561">
        <f>COUNTIFS('Лист15'!$H$1:$H1001,$N$1,'Лист15'!$A$1:$A1001,$C80)</f>
        <v>7</v>
      </c>
      <c r="O80" s="1564">
        <f>SUMIFS('Лист15'!$G$1:$G1001,'Лист15'!$H$1:$H1001,$N$1,'Лист15'!$A$1:$A1001,$C80)</f>
        <v>28</v>
      </c>
      <c r="P80" s="1566">
        <f t="shared" si="92"/>
        <v>0.9333333333</v>
      </c>
      <c r="Q80" s="1585">
        <f>COUNTIFS('Лист15'!$H$1:$H1001,$Q$1,'Лист15'!$A$1:$A1001,$C80)</f>
        <v>1</v>
      </c>
      <c r="R80" s="1586">
        <f>SUMIFS('Лист15'!$G$1:$G1001,'Лист15'!$H$1:$H1001,$Q$1,'Лист15'!$A$1:$A1001,$C80)</f>
        <v>5</v>
      </c>
      <c r="S80" s="1566">
        <f t="shared" si="93"/>
        <v>0.1666666667</v>
      </c>
      <c r="T80" s="1585">
        <f>COUNTIFS('Лист15'!$H$1:$H1001,$T$1,'Лист15'!$A$1:$A1001,$C80)</f>
        <v>0</v>
      </c>
      <c r="U80" s="1586">
        <f>SUMIFS('Лист15'!$G$1:$G1001,'Лист15'!$H$1:$H1001,$T$1,'Лист15'!$A$1:$A1001,$C80)</f>
        <v>0</v>
      </c>
      <c r="V80" s="1567">
        <f t="shared" si="94"/>
        <v>0</v>
      </c>
      <c r="W80" s="1568">
        <f>COUNTIFS('Лист15'!$H$1:$H1001,$W$1,'Лист15'!$A$1:$A1001,$C80)</f>
        <v>0</v>
      </c>
      <c r="X80" s="1569">
        <f>SUMIFS('Лист15'!$G$1:$G1001,'Лист15'!$H$1:$H1001,$W$1,'Лист15'!$A$1:$A1001,$C80)</f>
        <v>0</v>
      </c>
      <c r="Y80" s="1570">
        <f t="shared" si="85"/>
        <v>0</v>
      </c>
      <c r="Z80" s="1568">
        <f>COUNTIFS('Лист15'!$H$1:$H1001,$Z$1,'Лист15'!$A$1:$A1001,$C80)</f>
        <v>0</v>
      </c>
      <c r="AA80" s="1569">
        <f>SUMIFS('Лист15'!$G$1:$G1001,'Лист15'!$H$1:$H1001,$Z$1,'Лист15'!$A$1:$A1001,$C80)</f>
        <v>0</v>
      </c>
      <c r="AB80" s="1570">
        <f t="shared" si="86"/>
        <v>0</v>
      </c>
      <c r="AC80" s="1568">
        <f>COUNTIFS('Лист15'!$H$1:$H1001,$AC$1,'Лист15'!$A$1:$A1001,$C80)</f>
        <v>0</v>
      </c>
      <c r="AD80" s="1569">
        <f>SUMIFS('Лист15'!$G$1:$G1001,'Лист15'!$H$1:$H1001,$AC$1,'Лист15'!$A$1:$A1001,$C80)</f>
        <v>0</v>
      </c>
      <c r="AE80" s="1570">
        <f t="shared" si="87"/>
        <v>0</v>
      </c>
    </row>
    <row r="81" ht="17.25" customHeight="1">
      <c r="A81" s="1584" t="str">
        <f>'1. Справочник'!B141</f>
        <v/>
      </c>
      <c r="B81" s="1558">
        <v>1.0</v>
      </c>
      <c r="C81" s="1583" t="str">
        <f>'1. Справочник'!C141</f>
        <v>TGA3</v>
      </c>
      <c r="D81" s="1560" t="str">
        <f>'Стратегия'!G95</f>
        <v>80/20</v>
      </c>
      <c r="E81" s="1561">
        <f>COUNTIFS('Лист15'!$H$1:$H1001,$E$1,'Лист15'!$A$1:$A1001,$C81)</f>
        <v>1</v>
      </c>
      <c r="F81" s="1561">
        <f>SUMIFS('Лист15'!$G$1:$G1001,'Лист15'!$H$1:$H1001,$E$1,'Лист15'!$A$1:$A1001,$C81)</f>
        <v>7</v>
      </c>
      <c r="G81" s="1562">
        <f t="shared" si="96"/>
        <v>0.2333333333</v>
      </c>
      <c r="H81" s="1563">
        <f>COUNTIFS('Лист15'!$H$1:$H1001,$H$1,'Лист15'!$A$1:$A1001,$C81)</f>
        <v>1</v>
      </c>
      <c r="I81" s="1564">
        <f>SUMIFS('Лист15'!$G$1:$G1001,'Лист15'!$H$1:$H1001,$H$1,'Лист15'!$A$1:$A1001,$C81)</f>
        <v>1</v>
      </c>
      <c r="J81" s="1565">
        <f t="shared" si="90"/>
        <v>0.03225806452</v>
      </c>
      <c r="K81" s="1561">
        <f>COUNTIFS('Лист15'!$H$1:$H1001,$K$1,'Лист15'!$A$1:$A1001,$C81)</f>
        <v>6</v>
      </c>
      <c r="L81" s="1564">
        <f>SUMIFS('Лист15'!$G$1:$G1001,'Лист15'!$H$1:$H1001,$K$1,'Лист15'!$A$1:$A1001,$C81)</f>
        <v>20</v>
      </c>
      <c r="M81" s="1565">
        <f t="shared" si="95"/>
        <v>0.6666666667</v>
      </c>
      <c r="N81" s="1561">
        <f>COUNTIFS('Лист15'!$H$1:$H1001,$N$1,'Лист15'!$A$1:$A1001,$C81)</f>
        <v>5</v>
      </c>
      <c r="O81" s="1564">
        <f>SUMIFS('Лист15'!$G$1:$G1001,'Лист15'!$H$1:$H1001,$N$1,'Лист15'!$A$1:$A1001,$C81)</f>
        <v>34</v>
      </c>
      <c r="P81" s="1566">
        <f t="shared" si="92"/>
        <v>1.133333333</v>
      </c>
      <c r="Q81" s="1585">
        <f>COUNTIFS('Лист15'!$H$1:$H1001,$Q$1,'Лист15'!$A$1:$A1001,$C81)</f>
        <v>2</v>
      </c>
      <c r="R81" s="1586">
        <f>SUMIFS('Лист15'!$G$1:$G1001,'Лист15'!$H$1:$H1001,$Q$1,'Лист15'!$A$1:$A1001,$C81)</f>
        <v>6</v>
      </c>
      <c r="S81" s="1566">
        <f t="shared" si="93"/>
        <v>0.2</v>
      </c>
      <c r="T81" s="1585">
        <f>COUNTIFS('Лист15'!$H$1:$H1001,$T$1,'Лист15'!$A$1:$A1001,$C81)</f>
        <v>0</v>
      </c>
      <c r="U81" s="1586">
        <f>SUMIFS('Лист15'!$G$1:$G1001,'Лист15'!$H$1:$H1001,$T$1,'Лист15'!$A$1:$A1001,$C81)</f>
        <v>0</v>
      </c>
      <c r="V81" s="1567">
        <f t="shared" si="94"/>
        <v>0</v>
      </c>
      <c r="W81" s="1568">
        <f>COUNTIFS('Лист15'!$H$1:$H1001,$W$1,'Лист15'!$A$1:$A1001,$C81)</f>
        <v>0</v>
      </c>
      <c r="X81" s="1569">
        <f>SUMIFS('Лист15'!$G$1:$G1001,'Лист15'!$H$1:$H1001,$W$1,'Лист15'!$A$1:$A1001,$C81)</f>
        <v>0</v>
      </c>
      <c r="Y81" s="1570">
        <f t="shared" si="85"/>
        <v>0</v>
      </c>
      <c r="Z81" s="1568">
        <f>COUNTIFS('Лист15'!$H$1:$H1001,$Z$1,'Лист15'!$A$1:$A1001,$C81)</f>
        <v>0</v>
      </c>
      <c r="AA81" s="1569">
        <f>SUMIFS('Лист15'!$G$1:$G1001,'Лист15'!$H$1:$H1001,$Z$1,'Лист15'!$A$1:$A1001,$C81)</f>
        <v>0</v>
      </c>
      <c r="AB81" s="1570">
        <f t="shared" si="86"/>
        <v>0</v>
      </c>
      <c r="AC81" s="1568">
        <f>COUNTIFS('Лист15'!$H$1:$H1001,$AC$1,'Лист15'!$A$1:$A1001,$C81)</f>
        <v>0</v>
      </c>
      <c r="AD81" s="1569">
        <f>SUMIFS('Лист15'!$G$1:$G1001,'Лист15'!$H$1:$H1001,$AC$1,'Лист15'!$A$1:$A1001,$C81)</f>
        <v>0</v>
      </c>
      <c r="AE81" s="1570">
        <f t="shared" si="87"/>
        <v>0</v>
      </c>
    </row>
    <row r="82" ht="17.25" customHeight="1">
      <c r="A82" s="1584" t="str">
        <f>'1. Справочник'!B142</f>
        <v/>
      </c>
      <c r="B82" s="1558">
        <v>1.0</v>
      </c>
      <c r="C82" s="1583" t="str">
        <f>'1. Справочник'!C142</f>
        <v>TGA4</v>
      </c>
      <c r="D82" s="1560" t="str">
        <f>'Стратегия'!G96</f>
        <v>❌</v>
      </c>
      <c r="E82" s="1561">
        <f>COUNTIFS('Лист15'!$H$1:$H1001,$E$1,'Лист15'!$A$1:$A1001,$C82)</f>
        <v>0</v>
      </c>
      <c r="F82" s="1561">
        <f>SUMIFS('Лист15'!$G$1:$G1001,'Лист15'!$H$1:$H1001,$E$1,'Лист15'!$A$1:$A1001,$C82)</f>
        <v>0</v>
      </c>
      <c r="G82" s="1562">
        <f t="shared" si="96"/>
        <v>0</v>
      </c>
      <c r="H82" s="1563">
        <f>COUNTIFS('Лист15'!$H$1:$H1001,$H$1,'Лист15'!$A$1:$A1001,$C82)</f>
        <v>0</v>
      </c>
      <c r="I82" s="1564">
        <f>SUMIFS('Лист15'!$G$1:$G1001,'Лист15'!$H$1:$H1001,$H$1,'Лист15'!$A$1:$A1001,$C82)</f>
        <v>0</v>
      </c>
      <c r="J82" s="1565">
        <f t="shared" si="90"/>
        <v>0</v>
      </c>
      <c r="K82" s="1561">
        <f>COUNTIFS('Лист15'!$H$1:$H1001,$K$1,'Лист15'!$A$1:$A1001,$C82)</f>
        <v>2</v>
      </c>
      <c r="L82" s="1564">
        <f>SUMIFS('Лист15'!$G$1:$G1001,'Лист15'!$H$1:$H1001,$K$1,'Лист15'!$A$1:$A1001,$C82)</f>
        <v>8</v>
      </c>
      <c r="M82" s="1565">
        <f t="shared" si="95"/>
        <v>0.2666666667</v>
      </c>
      <c r="N82" s="1561">
        <f>COUNTIFS('Лист15'!$H$1:$H1001,$N$1,'Лист15'!$A$1:$A1001,$C82)</f>
        <v>4</v>
      </c>
      <c r="O82" s="1564">
        <f>SUMIFS('Лист15'!$G$1:$G1001,'Лист15'!$H$1:$H1001,$N$1,'Лист15'!$A$1:$A1001,$C82)</f>
        <v>19</v>
      </c>
      <c r="P82" s="1566">
        <f t="shared" si="92"/>
        <v>0.6333333333</v>
      </c>
      <c r="Q82" s="1585">
        <f>COUNTIFS('Лист15'!$H$1:$H1001,$Q$1,'Лист15'!$A$1:$A1001,$C82)</f>
        <v>5</v>
      </c>
      <c r="R82" s="1586">
        <f>SUMIFS('Лист15'!$G$1:$G1001,'Лист15'!$H$1:$H1001,$Q$1,'Лист15'!$A$1:$A1001,$C82)</f>
        <v>16</v>
      </c>
      <c r="S82" s="1566">
        <f t="shared" si="93"/>
        <v>0.5333333333</v>
      </c>
      <c r="T82" s="1585">
        <f>COUNTIFS('Лист15'!$H$1:$H1001,$T$1,'Лист15'!$A$1:$A1001,$C82)</f>
        <v>0</v>
      </c>
      <c r="U82" s="1586">
        <f>SUMIFS('Лист15'!$G$1:$G1001,'Лист15'!$H$1:$H1001,$T$1,'Лист15'!$A$1:$A1001,$C82)</f>
        <v>0</v>
      </c>
      <c r="V82" s="1567">
        <f t="shared" si="94"/>
        <v>0</v>
      </c>
      <c r="W82" s="1568">
        <f>COUNTIFS('Лист15'!$H$1:$H1001,$W$1,'Лист15'!$A$1:$A1001,$C82)</f>
        <v>0</v>
      </c>
      <c r="X82" s="1569">
        <f>SUMIFS('Лист15'!$G$1:$G1001,'Лист15'!$H$1:$H1001,$W$1,'Лист15'!$A$1:$A1001,$C82)</f>
        <v>0</v>
      </c>
      <c r="Y82" s="1570">
        <f t="shared" si="85"/>
        <v>0</v>
      </c>
      <c r="Z82" s="1568">
        <f>COUNTIFS('Лист15'!$H$1:$H1001,$Z$1,'Лист15'!$A$1:$A1001,$C82)</f>
        <v>0</v>
      </c>
      <c r="AA82" s="1569">
        <f>SUMIFS('Лист15'!$G$1:$G1001,'Лист15'!$H$1:$H1001,$Z$1,'Лист15'!$A$1:$A1001,$C82)</f>
        <v>0</v>
      </c>
      <c r="AB82" s="1570">
        <f t="shared" si="86"/>
        <v>0</v>
      </c>
      <c r="AC82" s="1568">
        <f>COUNTIFS('Лист15'!$H$1:$H1001,$AC$1,'Лист15'!$A$1:$A1001,$C82)</f>
        <v>0</v>
      </c>
      <c r="AD82" s="1569">
        <f>SUMIFS('Лист15'!$G$1:$G1001,'Лист15'!$H$1:$H1001,$AC$1,'Лист15'!$A$1:$A1001,$C82)</f>
        <v>0</v>
      </c>
      <c r="AE82" s="1570">
        <f t="shared" si="87"/>
        <v>0</v>
      </c>
    </row>
    <row r="83" ht="17.25" customHeight="1">
      <c r="A83" s="1584" t="str">
        <f>'1. Справочник'!B143</f>
        <v/>
      </c>
      <c r="B83" s="1558">
        <v>1.0</v>
      </c>
      <c r="C83" s="1583" t="str">
        <f>'1. Справочник'!C143</f>
        <v>TGA5</v>
      </c>
      <c r="D83" s="1560" t="str">
        <f>'Стратегия'!G97</f>
        <v>❌</v>
      </c>
      <c r="E83" s="1561">
        <f>COUNTIFS('Лист15'!$H$1:$H1001,$E$1,'Лист15'!$A$1:$A1001,$C83)</f>
        <v>0</v>
      </c>
      <c r="F83" s="1561">
        <f>SUMIFS('Лист15'!$G$1:$G1001,'Лист15'!$H$1:$H1001,$E$1,'Лист15'!$A$1:$A1001,$C83)</f>
        <v>0</v>
      </c>
      <c r="G83" s="1562">
        <f t="shared" si="96"/>
        <v>0</v>
      </c>
      <c r="H83" s="1563">
        <f>COUNTIFS('Лист15'!$H$1:$H1001,$H$1,'Лист15'!$A$1:$A1001,$C83)</f>
        <v>4</v>
      </c>
      <c r="I83" s="1564">
        <f>SUMIFS('Лист15'!$G$1:$G1001,'Лист15'!$H$1:$H1001,$H$1,'Лист15'!$A$1:$A1001,$C83)</f>
        <v>22</v>
      </c>
      <c r="J83" s="1565">
        <f t="shared" si="90"/>
        <v>0.7096774194</v>
      </c>
      <c r="K83" s="1561">
        <f>COUNTIFS('Лист15'!$H$1:$H1001,$K$1,'Лист15'!$A$1:$A1001,$C83)</f>
        <v>5</v>
      </c>
      <c r="L83" s="1564">
        <v>30.0</v>
      </c>
      <c r="M83" s="1565">
        <f t="shared" si="95"/>
        <v>1</v>
      </c>
      <c r="N83" s="1561">
        <f>COUNTIFS('Лист15'!$H$1:$H1001,$N$1,'Лист15'!$A$1:$A1001,$C83)</f>
        <v>5</v>
      </c>
      <c r="O83" s="1564">
        <f>SUMIFS('Лист15'!$G$1:$G1001,'Лист15'!$H$1:$H1001,$N$1,'Лист15'!$A$1:$A1001,$C83)</f>
        <v>31</v>
      </c>
      <c r="P83" s="1566">
        <f t="shared" si="92"/>
        <v>1.033333333</v>
      </c>
      <c r="Q83" s="1585">
        <f>COUNTIFS('Лист15'!$H$1:$H1001,$Q$1,'Лист15'!$A$1:$A1001,$C83)</f>
        <v>1</v>
      </c>
      <c r="R83" s="1586">
        <f>SUMIFS('Лист15'!$G$1:$G1001,'Лист15'!$H$1:$H1001,$Q$1,'Лист15'!$A$1:$A1001,$C83)</f>
        <v>5</v>
      </c>
      <c r="S83" s="1566">
        <f t="shared" si="93"/>
        <v>0.1666666667</v>
      </c>
      <c r="T83" s="1585">
        <f>COUNTIFS('Лист15'!$H$1:$H1001,$T$1,'Лист15'!$A$1:$A1001,$C83)</f>
        <v>0</v>
      </c>
      <c r="U83" s="1586">
        <f>SUMIFS('Лист15'!$G$1:$G1001,'Лист15'!$H$1:$H1001,$T$1,'Лист15'!$A$1:$A1001,$C83)</f>
        <v>0</v>
      </c>
      <c r="V83" s="1567">
        <f t="shared" si="94"/>
        <v>0</v>
      </c>
      <c r="W83" s="1568">
        <f>COUNTIFS('Лист15'!$H$1:$H1001,$W$1,'Лист15'!$A$1:$A1001,$C83)</f>
        <v>0</v>
      </c>
      <c r="X83" s="1569">
        <f>SUMIFS('Лист15'!$G$1:$G1001,'Лист15'!$H$1:$H1001,$W$1,'Лист15'!$A$1:$A1001,$C83)</f>
        <v>0</v>
      </c>
      <c r="Y83" s="1570">
        <f t="shared" si="85"/>
        <v>0</v>
      </c>
      <c r="Z83" s="1568">
        <f>COUNTIFS('Лист15'!$H$1:$H1001,$Z$1,'Лист15'!$A$1:$A1001,$C83)</f>
        <v>0</v>
      </c>
      <c r="AA83" s="1569">
        <f>SUMIFS('Лист15'!$G$1:$G1001,'Лист15'!$H$1:$H1001,$Z$1,'Лист15'!$A$1:$A1001,$C83)</f>
        <v>0</v>
      </c>
      <c r="AB83" s="1570">
        <f t="shared" si="86"/>
        <v>0</v>
      </c>
      <c r="AC83" s="1568">
        <f>COUNTIFS('Лист15'!$H$1:$H1001,$AC$1,'Лист15'!$A$1:$A1001,$C83)</f>
        <v>0</v>
      </c>
      <c r="AD83" s="1569">
        <f>SUMIFS('Лист15'!$G$1:$G1001,'Лист15'!$H$1:$H1001,$AC$1,'Лист15'!$A$1:$A1001,$C83)</f>
        <v>0</v>
      </c>
      <c r="AE83" s="1570">
        <f t="shared" si="87"/>
        <v>0</v>
      </c>
    </row>
    <row r="84" ht="17.25" customHeight="1">
      <c r="A84" s="1584" t="str">
        <f>'1. Справочник'!B144</f>
        <v/>
      </c>
      <c r="B84" s="1558">
        <v>1.0</v>
      </c>
      <c r="C84" s="1583" t="str">
        <f>'1. Справочник'!C144</f>
        <v>TGA6</v>
      </c>
      <c r="D84" s="1560" t="str">
        <f>'Стратегия'!G98</f>
        <v>❌</v>
      </c>
      <c r="E84" s="1561">
        <f>COUNTIFS('Лист15'!$H$1:$H1001,$E$1,'Лист15'!$A$1:$A1001,$C84)</f>
        <v>0</v>
      </c>
      <c r="F84" s="1561">
        <f>SUMIFS('Лист15'!$G$1:$G1001,'Лист15'!$H$1:$H1001,$E$1,'Лист15'!$A$1:$A1001,$C84)</f>
        <v>0</v>
      </c>
      <c r="G84" s="1562">
        <f t="shared" si="96"/>
        <v>0</v>
      </c>
      <c r="H84" s="1563">
        <f>COUNTIFS('Лист15'!$H$1:$H1001,$H$1,'Лист15'!$A$1:$A1001,$C84)</f>
        <v>2</v>
      </c>
      <c r="I84" s="1564">
        <f>SUMIFS('Лист15'!$G$1:$G1001,'Лист15'!$H$1:$H1001,$H$1,'Лист15'!$A$1:$A1001,$C84)</f>
        <v>9</v>
      </c>
      <c r="J84" s="1565">
        <f t="shared" si="90"/>
        <v>0.2903225806</v>
      </c>
      <c r="K84" s="1561">
        <f>COUNTIFS('Лист15'!$H$1:$H1001,$K$1,'Лист15'!$A$1:$A1001,$C84)</f>
        <v>2</v>
      </c>
      <c r="L84" s="1564">
        <f>SUMIFS('Лист15'!$G$1:$G1001,'Лист15'!$H$1:$H1001,$K$1,'Лист15'!$A$1:$A1001,$C84)</f>
        <v>14</v>
      </c>
      <c r="M84" s="1565">
        <f t="shared" si="95"/>
        <v>0.4666666667</v>
      </c>
      <c r="N84" s="1561">
        <f>COUNTIFS('Лист15'!$H$1:$H1001,$N$1,'Лист15'!$A$1:$A1001,$C84)</f>
        <v>4</v>
      </c>
      <c r="O84" s="1564">
        <f>SUMIFS('Лист15'!$G$1:$G1001,'Лист15'!$H$1:$H1001,$N$1,'Лист15'!$A$1:$A1001,$C84)</f>
        <v>28</v>
      </c>
      <c r="P84" s="1566">
        <f t="shared" si="92"/>
        <v>0.9333333333</v>
      </c>
      <c r="Q84" s="1585">
        <f>COUNTIFS('Лист15'!$H$1:$H1001,$Q$1,'Лист15'!$A$1:$A1001,$C84)</f>
        <v>0</v>
      </c>
      <c r="R84" s="1586">
        <f>SUMIFS('Лист15'!$G$1:$G1001,'Лист15'!$H$1:$H1001,$Q$1,'Лист15'!$A$1:$A1001,$C84)</f>
        <v>0</v>
      </c>
      <c r="S84" s="1566">
        <f t="shared" si="93"/>
        <v>0</v>
      </c>
      <c r="T84" s="1585">
        <f>COUNTIFS('Лист15'!$H$1:$H1001,$T$1,'Лист15'!$A$1:$A1001,$C84)</f>
        <v>0</v>
      </c>
      <c r="U84" s="1586">
        <f>SUMIFS('Лист15'!$G$1:$G1001,'Лист15'!$H$1:$H1001,$T$1,'Лист15'!$A$1:$A1001,$C84)</f>
        <v>0</v>
      </c>
      <c r="V84" s="1567">
        <f t="shared" si="94"/>
        <v>0</v>
      </c>
      <c r="W84" s="1568">
        <f>COUNTIFS('Лист15'!$H$1:$H1001,$W$1,'Лист15'!$A$1:$A1001,$C84)</f>
        <v>0</v>
      </c>
      <c r="X84" s="1569">
        <f>SUMIFS('Лист15'!$G$1:$G1001,'Лист15'!$H$1:$H1001,$W$1,'Лист15'!$A$1:$A1001,$C84)</f>
        <v>0</v>
      </c>
      <c r="Y84" s="1570">
        <f t="shared" si="85"/>
        <v>0</v>
      </c>
      <c r="Z84" s="1568">
        <f>COUNTIFS('Лист15'!$H$1:$H1001,$Z$1,'Лист15'!$A$1:$A1001,$C84)</f>
        <v>0</v>
      </c>
      <c r="AA84" s="1569">
        <f>SUMIFS('Лист15'!$G$1:$G1001,'Лист15'!$H$1:$H1001,$Z$1,'Лист15'!$A$1:$A1001,$C84)</f>
        <v>0</v>
      </c>
      <c r="AB84" s="1570">
        <f t="shared" si="86"/>
        <v>0</v>
      </c>
      <c r="AC84" s="1568">
        <f>COUNTIFS('Лист15'!$H$1:$H1001,$AC$1,'Лист15'!$A$1:$A1001,$C84)</f>
        <v>0</v>
      </c>
      <c r="AD84" s="1569">
        <f>SUMIFS('Лист15'!$G$1:$G1001,'Лист15'!$H$1:$H1001,$AC$1,'Лист15'!$A$1:$A1001,$C84)</f>
        <v>0</v>
      </c>
      <c r="AE84" s="1570">
        <f t="shared" si="87"/>
        <v>0</v>
      </c>
    </row>
    <row r="85" ht="17.25" customHeight="1">
      <c r="A85" s="1584" t="str">
        <f>'1. Справочник'!B145</f>
        <v/>
      </c>
      <c r="B85" s="1558">
        <v>1.0</v>
      </c>
      <c r="C85" s="1583" t="str">
        <f>'1. Справочник'!C145</f>
        <v>TGA7</v>
      </c>
      <c r="D85" s="1560" t="str">
        <f>'Стратегия'!G99</f>
        <v>70/30</v>
      </c>
      <c r="E85" s="1561">
        <f>COUNTIFS('Лист15'!$H$1:$H1001,$E$1,'Лист15'!$A$1:$A1001,$C85)</f>
        <v>0</v>
      </c>
      <c r="F85" s="1561">
        <f>SUMIFS('Лист15'!$G$1:$G1001,'Лист15'!$H$1:$H1001,$E$1,'Лист15'!$A$1:$A1001,$C85)</f>
        <v>0</v>
      </c>
      <c r="G85" s="1562">
        <f t="shared" si="96"/>
        <v>0</v>
      </c>
      <c r="H85" s="1563">
        <f>COUNTIFS('Лист15'!$H$1:$H1001,$H$1,'Лист15'!$A$1:$A1001,$C85)</f>
        <v>0</v>
      </c>
      <c r="I85" s="1564">
        <f>SUMIFS('Лист15'!$G$1:$G1001,'Лист15'!$H$1:$H1001,$H$1,'Лист15'!$A$1:$A1001,$C85)</f>
        <v>0</v>
      </c>
      <c r="J85" s="1565">
        <f t="shared" si="90"/>
        <v>0</v>
      </c>
      <c r="K85" s="1561">
        <f>COUNTIFS('Лист15'!$H$1:$H1001,$K$1,'Лист15'!$A$1:$A1001,$C85)</f>
        <v>2</v>
      </c>
      <c r="L85" s="1564">
        <f>SUMIFS('Лист15'!$G$1:$G1001,'Лист15'!$H$1:$H1001,$K$1,'Лист15'!$A$1:$A1001,$C85)</f>
        <v>14</v>
      </c>
      <c r="M85" s="1565">
        <f t="shared" si="95"/>
        <v>0.4666666667</v>
      </c>
      <c r="N85" s="1561">
        <f>COUNTIFS('Лист15'!$H$1:$H1001,$N$1,'Лист15'!$A$1:$A1001,$C85)</f>
        <v>4</v>
      </c>
      <c r="O85" s="1564">
        <f>SUMIFS('Лист15'!$G$1:$G1001,'Лист15'!$H$1:$H1001,$N$1,'Лист15'!$A$1:$A1001,$C85)</f>
        <v>30</v>
      </c>
      <c r="P85" s="1566">
        <f t="shared" si="92"/>
        <v>1</v>
      </c>
      <c r="Q85" s="1585">
        <f>COUNTIFS('Лист15'!$H$1:$H1001,$Q$1,'Лист15'!$A$1:$A1001,$C85)</f>
        <v>0</v>
      </c>
      <c r="R85" s="1586">
        <f>SUMIFS('Лист15'!$G$1:$G1001,'Лист15'!$H$1:$H1001,$Q$1,'Лист15'!$A$1:$A1001,$C85)</f>
        <v>0</v>
      </c>
      <c r="S85" s="1566">
        <f t="shared" si="93"/>
        <v>0</v>
      </c>
      <c r="T85" s="1585">
        <f>COUNTIFS('Лист15'!$H$1:$H1001,$T$1,'Лист15'!$A$1:$A1001,$C85)</f>
        <v>0</v>
      </c>
      <c r="U85" s="1586">
        <f>SUMIFS('Лист15'!$G$1:$G1001,'Лист15'!$H$1:$H1001,$T$1,'Лист15'!$A$1:$A1001,$C85)</f>
        <v>0</v>
      </c>
      <c r="V85" s="1567">
        <f t="shared" si="94"/>
        <v>0</v>
      </c>
      <c r="W85" s="1568">
        <f>COUNTIFS('Лист15'!$H$1:$H1001,$W$1,'Лист15'!$A$1:$A1001,$C85)</f>
        <v>0</v>
      </c>
      <c r="X85" s="1569">
        <f>SUMIFS('Лист15'!$G$1:$G1001,'Лист15'!$H$1:$H1001,$W$1,'Лист15'!$A$1:$A1001,$C85)</f>
        <v>0</v>
      </c>
      <c r="Y85" s="1570">
        <f t="shared" si="85"/>
        <v>0</v>
      </c>
      <c r="Z85" s="1568">
        <f>COUNTIFS('Лист15'!$H$1:$H1001,$Z$1,'Лист15'!$A$1:$A1001,$C85)</f>
        <v>0</v>
      </c>
      <c r="AA85" s="1569">
        <f>SUMIFS('Лист15'!$G$1:$G1001,'Лист15'!$H$1:$H1001,$Z$1,'Лист15'!$A$1:$A1001,$C85)</f>
        <v>0</v>
      </c>
      <c r="AB85" s="1570">
        <f t="shared" si="86"/>
        <v>0</v>
      </c>
      <c r="AC85" s="1568">
        <f>COUNTIFS('Лист15'!$H$1:$H1001,$AC$1,'Лист15'!$A$1:$A1001,$C85)</f>
        <v>0</v>
      </c>
      <c r="AD85" s="1569">
        <f>SUMIFS('Лист15'!$G$1:$G1001,'Лист15'!$H$1:$H1001,$AC$1,'Лист15'!$A$1:$A1001,$C85)</f>
        <v>0</v>
      </c>
      <c r="AE85" s="1570">
        <f t="shared" si="87"/>
        <v>0</v>
      </c>
    </row>
    <row r="86" ht="17.25" customHeight="1">
      <c r="A86" s="1584" t="str">
        <f>'1. Справочник'!B146</f>
        <v/>
      </c>
      <c r="B86" s="1558">
        <v>1.0</v>
      </c>
      <c r="C86" s="1583" t="str">
        <f>'1. Справочник'!C146</f>
        <v>TGA8</v>
      </c>
      <c r="D86" s="1560" t="str">
        <f>'Стратегия'!G100</f>
        <v>80/20</v>
      </c>
      <c r="E86" s="1561">
        <f>COUNTIFS('Лист15'!$H$1:$H1001,$E$1,'Лист15'!$A$1:$A1001,$C86)</f>
        <v>0</v>
      </c>
      <c r="F86" s="1561">
        <f>SUMIFS('Лист15'!$G$1:$G1001,'Лист15'!$H$1:$H1001,$E$1,'Лист15'!$A$1:$A1001,$C86)</f>
        <v>0</v>
      </c>
      <c r="G86" s="1562">
        <f t="shared" si="96"/>
        <v>0</v>
      </c>
      <c r="H86" s="1563">
        <f>COUNTIFS('Лист15'!$H$1:$H1001,$H$1,'Лист15'!$A$1:$A1001,$C86)</f>
        <v>0</v>
      </c>
      <c r="I86" s="1564">
        <f>SUMIFS('Лист15'!$G$1:$G1001,'Лист15'!$H$1:$H1001,$H$1,'Лист15'!$A$1:$A1001,$C86)</f>
        <v>0</v>
      </c>
      <c r="J86" s="1565">
        <f t="shared" si="90"/>
        <v>0</v>
      </c>
      <c r="K86" s="1561">
        <f>COUNTIFS('Лист15'!$H$1:$H1001,$K$1,'Лист15'!$A$1:$A1001,$C86)</f>
        <v>4</v>
      </c>
      <c r="L86" s="1564">
        <f>SUMIFS('Лист15'!$G$1:$G1001,'Лист15'!$H$1:$H1001,$K$1,'Лист15'!$A$1:$A1001,$C86)</f>
        <v>19</v>
      </c>
      <c r="M86" s="1565">
        <f t="shared" si="95"/>
        <v>0.6333333333</v>
      </c>
      <c r="N86" s="1561">
        <f>COUNTIFS('Лист15'!$H$1:$H1001,$N$1,'Лист15'!$A$1:$A1001,$C86)</f>
        <v>6</v>
      </c>
      <c r="O86" s="1564">
        <f>SUMIFS('Лист15'!$G$1:$G1001,'Лист15'!$H$1:$H1001,$N$1,'Лист15'!$A$1:$A1001,$C86)</f>
        <v>29</v>
      </c>
      <c r="P86" s="1566">
        <f t="shared" si="92"/>
        <v>0.9666666667</v>
      </c>
      <c r="Q86" s="1585">
        <f>COUNTIFS('Лист15'!$H$1:$H1001,$Q$1,'Лист15'!$A$1:$A1001,$C86)</f>
        <v>1</v>
      </c>
      <c r="R86" s="1586">
        <f>SUMIFS('Лист15'!$G$1:$G1001,'Лист15'!$H$1:$H1001,$Q$1,'Лист15'!$A$1:$A1001,$C86)</f>
        <v>2</v>
      </c>
      <c r="S86" s="1566">
        <f t="shared" si="93"/>
        <v>0.06666666667</v>
      </c>
      <c r="T86" s="1585">
        <f>COUNTIFS('Лист15'!$H$1:$H1001,$T$1,'Лист15'!$A$1:$A1001,$C86)</f>
        <v>0</v>
      </c>
      <c r="U86" s="1586">
        <f>SUMIFS('Лист15'!$G$1:$G1001,'Лист15'!$H$1:$H1001,$T$1,'Лист15'!$A$1:$A1001,$C86)</f>
        <v>0</v>
      </c>
      <c r="V86" s="1567">
        <f t="shared" si="94"/>
        <v>0</v>
      </c>
      <c r="W86" s="1568">
        <f>COUNTIFS('Лист15'!$H$1:$H1001,$W$1,'Лист15'!$A$1:$A1001,$C86)</f>
        <v>0</v>
      </c>
      <c r="X86" s="1569">
        <f>SUMIFS('Лист15'!$G$1:$G1001,'Лист15'!$H$1:$H1001,$W$1,'Лист15'!$A$1:$A1001,$C86)</f>
        <v>0</v>
      </c>
      <c r="Y86" s="1570">
        <f t="shared" si="85"/>
        <v>0</v>
      </c>
      <c r="Z86" s="1568">
        <f>COUNTIFS('Лист15'!$H$1:$H1001,$Z$1,'Лист15'!$A$1:$A1001,$C86)</f>
        <v>0</v>
      </c>
      <c r="AA86" s="1569">
        <f>SUMIFS('Лист15'!$G$1:$G1001,'Лист15'!$H$1:$H1001,$Z$1,'Лист15'!$A$1:$A1001,$C86)</f>
        <v>0</v>
      </c>
      <c r="AB86" s="1570">
        <f t="shared" si="86"/>
        <v>0</v>
      </c>
      <c r="AC86" s="1568">
        <f>COUNTIFS('Лист15'!$H$1:$H1001,$AC$1,'Лист15'!$A$1:$A1001,$C86)</f>
        <v>0</v>
      </c>
      <c r="AD86" s="1569">
        <f>SUMIFS('Лист15'!$G$1:$G1001,'Лист15'!$H$1:$H1001,$AC$1,'Лист15'!$A$1:$A1001,$C86)</f>
        <v>0</v>
      </c>
      <c r="AE86" s="1570">
        <f t="shared" si="87"/>
        <v>0</v>
      </c>
    </row>
    <row r="87" ht="17.25" customHeight="1">
      <c r="A87" s="1584" t="str">
        <f>'1. Справочник'!B99</f>
        <v>Светлана</v>
      </c>
      <c r="B87" s="1558">
        <v>1.0</v>
      </c>
      <c r="C87" s="1583" t="str">
        <f>'1. Справочник'!C99</f>
        <v>TGA9</v>
      </c>
      <c r="D87" s="1560" t="str">
        <f>'Стратегия'!G101</f>
        <v>80/20</v>
      </c>
      <c r="E87" s="1561">
        <f>COUNTIFS('Лист15'!$H$1:$H1001,$E$1,'Лист15'!$A$1:$A1001,$C87)</f>
        <v>0</v>
      </c>
      <c r="F87" s="1561">
        <f>SUMIFS('Лист15'!$G$1:$G1001,'Лист15'!$H$1:$H1001,$E$1,'Лист15'!$A$1:$A1001,$C87)</f>
        <v>0</v>
      </c>
      <c r="G87" s="1562">
        <f t="shared" si="96"/>
        <v>0</v>
      </c>
      <c r="H87" s="1563">
        <f>COUNTIFS('Лист15'!$H$1:$H1001,$H$1,'Лист15'!$A$1:$A1001,$C87)</f>
        <v>0</v>
      </c>
      <c r="I87" s="1564">
        <f>SUMIFS('Лист15'!$G$1:$G1001,'Лист15'!$H$1:$H1001,$H$1,'Лист15'!$A$1:$A1001,$C87)</f>
        <v>0</v>
      </c>
      <c r="J87" s="1565">
        <f t="shared" si="90"/>
        <v>0</v>
      </c>
      <c r="K87" s="1561">
        <f>COUNTIFS('Лист15'!$H$1:$H1001,$K$1,'Лист15'!$A$1:$A1001,$C87)</f>
        <v>1</v>
      </c>
      <c r="L87" s="1564">
        <f>SUMIFS('Лист15'!$G$1:$G1001,'Лист15'!$H$1:$H1001,$K$1,'Лист15'!$A$1:$A1001,$C87)</f>
        <v>5</v>
      </c>
      <c r="M87" s="1565">
        <f t="shared" si="95"/>
        <v>0.1666666667</v>
      </c>
      <c r="N87" s="1561">
        <f>COUNTIFS('Лист15'!$H$1:$H1001,$N$1,'Лист15'!$A$1:$A1001,$C87)</f>
        <v>7</v>
      </c>
      <c r="O87" s="1564">
        <f>SUMIFS('Лист15'!$G$1:$G1001,'Лист15'!$H$1:$H1001,$N$1,'Лист15'!$A$1:$A1001,$C87)</f>
        <v>47</v>
      </c>
      <c r="P87" s="1566">
        <f t="shared" si="92"/>
        <v>1.566666667</v>
      </c>
      <c r="Q87" s="1585">
        <f>COUNTIFS('Лист15'!$H$1:$H1001,$Q$1,'Лист15'!$A$1:$A1001,$C87)</f>
        <v>1</v>
      </c>
      <c r="R87" s="1586">
        <f>SUMIFS('Лист15'!$G$1:$G1001,'Лист15'!$H$1:$H1001,$Q$1,'Лист15'!$A$1:$A1001,$C87)</f>
        <v>9</v>
      </c>
      <c r="S87" s="1566">
        <f t="shared" si="93"/>
        <v>0.3</v>
      </c>
      <c r="T87" s="1585">
        <f>COUNTIFS('Лист15'!$H$1:$H1001,$T$1,'Лист15'!$A$1:$A1001,$C87)</f>
        <v>0</v>
      </c>
      <c r="U87" s="1586">
        <f>SUMIFS('Лист15'!$G$1:$G1001,'Лист15'!$H$1:$H1001,$T$1,'Лист15'!$A$1:$A1001,$C87)</f>
        <v>0</v>
      </c>
      <c r="V87" s="1567">
        <f t="shared" si="94"/>
        <v>0</v>
      </c>
      <c r="W87" s="1568">
        <f>COUNTIFS('Лист15'!$H$1:$H1001,$W$1,'Лист15'!$A$1:$A1001,$C87)</f>
        <v>0</v>
      </c>
      <c r="X87" s="1569">
        <f>SUMIFS('Лист15'!$G$1:$G1001,'Лист15'!$H$1:$H1001,$W$1,'Лист15'!$A$1:$A1001,$C87)</f>
        <v>0</v>
      </c>
      <c r="Y87" s="1570">
        <f t="shared" si="85"/>
        <v>0</v>
      </c>
      <c r="Z87" s="1568">
        <f>COUNTIFS('Лист15'!$H$1:$H1001,$Z$1,'Лист15'!$A$1:$A1001,$C87)</f>
        <v>0</v>
      </c>
      <c r="AA87" s="1569">
        <f>SUMIFS('Лист15'!$G$1:$G1001,'Лист15'!$H$1:$H1001,$Z$1,'Лист15'!$A$1:$A1001,$C87)</f>
        <v>0</v>
      </c>
      <c r="AB87" s="1570">
        <f t="shared" si="86"/>
        <v>0</v>
      </c>
      <c r="AC87" s="1568">
        <f>COUNTIFS('Лист15'!$H$1:$H1001,$AC$1,'Лист15'!$A$1:$A1001,$C87)</f>
        <v>0</v>
      </c>
      <c r="AD87" s="1569">
        <f>SUMIFS('Лист15'!$G$1:$G1001,'Лист15'!$H$1:$H1001,$AC$1,'Лист15'!$A$1:$A1001,$C87)</f>
        <v>0</v>
      </c>
      <c r="AE87" s="1570">
        <f t="shared" si="87"/>
        <v>0</v>
      </c>
    </row>
    <row r="88" ht="17.25" customHeight="1">
      <c r="A88" s="1584" t="str">
        <f>'1. Справочник'!B147</f>
        <v/>
      </c>
      <c r="B88" s="1558">
        <v>1.0</v>
      </c>
      <c r="C88" s="1583" t="str">
        <f>'1. Справочник'!C147</f>
        <v>TGA10</v>
      </c>
      <c r="D88" s="1560" t="str">
        <f>'Стратегия'!G102</f>
        <v>❌</v>
      </c>
      <c r="E88" s="1561">
        <f>COUNTIFS('Лист15'!$H$1:$H1001,$E$1,'Лист15'!$A$1:$A1001,$C88)</f>
        <v>0</v>
      </c>
      <c r="F88" s="1561">
        <f>SUMIFS('Лист15'!$G$1:$G1001,'Лист15'!$H$1:$H1001,$E$1,'Лист15'!$A$1:$A1001,$C88)</f>
        <v>0</v>
      </c>
      <c r="G88" s="1562">
        <f t="shared" si="96"/>
        <v>0</v>
      </c>
      <c r="H88" s="1563">
        <f>COUNTIFS('Лист15'!$H$1:$H1001,$H$1,'Лист15'!$A$1:$A1001,$C88)</f>
        <v>0</v>
      </c>
      <c r="I88" s="1564">
        <f>SUMIFS('Лист15'!$G$1:$G1001,'Лист15'!$H$1:$H1001,$H$1,'Лист15'!$A$1:$A1001,$C88)</f>
        <v>0</v>
      </c>
      <c r="J88" s="1565">
        <f t="shared" si="90"/>
        <v>0</v>
      </c>
      <c r="K88" s="1561">
        <f>COUNTIFS('Лист15'!$H$1:$H1001,$K$1,'Лист15'!$A$1:$A1001,$C88)</f>
        <v>2</v>
      </c>
      <c r="L88" s="1564">
        <f>SUMIFS('Лист15'!$G$1:$G1001,'Лист15'!$H$1:$H1001,$K$1,'Лист15'!$A$1:$A1001,$C88)</f>
        <v>23</v>
      </c>
      <c r="M88" s="1565">
        <f t="shared" si="95"/>
        <v>0.7666666667</v>
      </c>
      <c r="N88" s="1561">
        <f>COUNTIFS('Лист15'!$H$1:$H1001,$N$1,'Лист15'!$A$1:$A1001,$C88)</f>
        <v>2</v>
      </c>
      <c r="O88" s="1564">
        <f>SUMIFS('Лист15'!$G$1:$G1001,'Лист15'!$H$1:$H1001,$N$1,'Лист15'!$A$1:$A1001,$C88)</f>
        <v>10</v>
      </c>
      <c r="P88" s="1566">
        <f t="shared" si="92"/>
        <v>0.3333333333</v>
      </c>
      <c r="Q88" s="1585">
        <f>COUNTIFS('Лист15'!$H$1:$H1001,$Q$1,'Лист15'!$A$1:$A1001,$C88)</f>
        <v>2</v>
      </c>
      <c r="R88" s="1586">
        <f>SUMIFS('Лист15'!$G$1:$G1001,'Лист15'!$H$1:$H1001,$Q$1,'Лист15'!$A$1:$A1001,$C88)</f>
        <v>6</v>
      </c>
      <c r="S88" s="1566">
        <f t="shared" si="93"/>
        <v>0.2</v>
      </c>
      <c r="T88" s="1585">
        <f>COUNTIFS('Лист15'!$H$1:$H1001,$T$1,'Лист15'!$A$1:$A1001,$C88)</f>
        <v>0</v>
      </c>
      <c r="U88" s="1586">
        <f>SUMIFS('Лист15'!$G$1:$G1001,'Лист15'!$H$1:$H1001,$T$1,'Лист15'!$A$1:$A1001,$C88)</f>
        <v>0</v>
      </c>
      <c r="V88" s="1567">
        <f t="shared" si="94"/>
        <v>0</v>
      </c>
      <c r="W88" s="1568">
        <f>COUNTIFS('Лист15'!$H$1:$H1001,$W$1,'Лист15'!$A$1:$A1001,$C88)</f>
        <v>0</v>
      </c>
      <c r="X88" s="1569">
        <f>SUMIFS('Лист15'!$G$1:$G1001,'Лист15'!$H$1:$H1001,$W$1,'Лист15'!$A$1:$A1001,$C88)</f>
        <v>0</v>
      </c>
      <c r="Y88" s="1570">
        <f t="shared" si="85"/>
        <v>0</v>
      </c>
      <c r="Z88" s="1568">
        <f>COUNTIFS('Лист15'!$H$1:$H1001,$Z$1,'Лист15'!$A$1:$A1001,$C88)</f>
        <v>0</v>
      </c>
      <c r="AA88" s="1569">
        <f>SUMIFS('Лист15'!$G$1:$G1001,'Лист15'!$H$1:$H1001,$Z$1,'Лист15'!$A$1:$A1001,$C88)</f>
        <v>0</v>
      </c>
      <c r="AB88" s="1570">
        <f t="shared" si="86"/>
        <v>0</v>
      </c>
      <c r="AC88" s="1568">
        <f>COUNTIFS('Лист15'!$H$1:$H1001,$AC$1,'Лист15'!$A$1:$A1001,$C88)</f>
        <v>0</v>
      </c>
      <c r="AD88" s="1569">
        <f>SUMIFS('Лист15'!$G$1:$G1001,'Лист15'!$H$1:$H1001,$AC$1,'Лист15'!$A$1:$A1001,$C88)</f>
        <v>0</v>
      </c>
      <c r="AE88" s="1570">
        <f t="shared" si="87"/>
        <v>0</v>
      </c>
    </row>
    <row r="89" ht="17.25" customHeight="1">
      <c r="A89" s="1584" t="str">
        <f>'1. Справочник'!B148</f>
        <v/>
      </c>
      <c r="B89" s="1558">
        <v>1.0</v>
      </c>
      <c r="C89" s="1583" t="str">
        <f>'1. Справочник'!C148</f>
        <v>TGB1</v>
      </c>
      <c r="D89" s="1560" t="str">
        <f>'Стратегия'!G103</f>
        <v>❌</v>
      </c>
      <c r="E89" s="1561">
        <f>COUNTIFS('Лист15'!$H$1:$H1001,$E$1,'Лист15'!$A$1:$A1001,$C89)</f>
        <v>0</v>
      </c>
      <c r="F89" s="1561">
        <f>SUMIFS('Лист15'!$G$1:$G1001,'Лист15'!$H$1:$H1001,$E$1,'Лист15'!$A$1:$A1001,$C89)</f>
        <v>0</v>
      </c>
      <c r="G89" s="1562">
        <f t="shared" si="96"/>
        <v>0</v>
      </c>
      <c r="H89" s="1563">
        <f>COUNTIFS('Лист15'!$H$1:$H1001,$H$1,'Лист15'!$A$1:$A1001,$C89)</f>
        <v>0</v>
      </c>
      <c r="I89" s="1564">
        <f>SUMIFS('Лист15'!$G$1:$G1001,'Лист15'!$H$1:$H1001,$H$1,'Лист15'!$A$1:$A1001,$C89)</f>
        <v>0</v>
      </c>
      <c r="J89" s="1565">
        <f t="shared" si="90"/>
        <v>0</v>
      </c>
      <c r="K89" s="1561">
        <f>COUNTIFS('Лист15'!$H$1:$H1001,$K$1,'Лист15'!$A$1:$A1001,$C89)</f>
        <v>1</v>
      </c>
      <c r="L89" s="1564">
        <f>SUMIFS('Лист15'!$G$1:$G1001,'Лист15'!$H$1:$H1001,$K$1,'Лист15'!$A$1:$A1001,$C89)</f>
        <v>2</v>
      </c>
      <c r="M89" s="1565">
        <f t="shared" si="95"/>
        <v>0.06666666667</v>
      </c>
      <c r="N89" s="1561">
        <f>COUNTIFS('Лист15'!$H$1:$H1001,$N$1,'Лист15'!$A$1:$A1001,$C89)</f>
        <v>5</v>
      </c>
      <c r="O89" s="1564">
        <f>SUMIFS('Лист15'!$G$1:$G1001,'Лист15'!$H$1:$H1001,$N$1,'Лист15'!$A$1:$A1001,$C89)</f>
        <v>30</v>
      </c>
      <c r="P89" s="1566">
        <f t="shared" si="92"/>
        <v>1</v>
      </c>
      <c r="Q89" s="1585">
        <f>COUNTIFS('Лист15'!$H$1:$H1001,$Q$1,'Лист15'!$A$1:$A1001,$C89)</f>
        <v>2</v>
      </c>
      <c r="R89" s="1586">
        <f>SUMIFS('Лист15'!$G$1:$G1001,'Лист15'!$H$1:$H1001,$Q$1,'Лист15'!$A$1:$A1001,$C89)</f>
        <v>5</v>
      </c>
      <c r="S89" s="1566">
        <f t="shared" si="93"/>
        <v>0.1666666667</v>
      </c>
      <c r="T89" s="1585">
        <f>COUNTIFS('Лист15'!$H$1:$H1001,$T$1,'Лист15'!$A$1:$A1001,$C89)</f>
        <v>0</v>
      </c>
      <c r="U89" s="1586">
        <f>SUMIFS('Лист15'!$G$1:$G1001,'Лист15'!$H$1:$H1001,$T$1,'Лист15'!$A$1:$A1001,$C89)</f>
        <v>0</v>
      </c>
      <c r="V89" s="1567">
        <f t="shared" si="94"/>
        <v>0</v>
      </c>
      <c r="W89" s="1568">
        <f>COUNTIFS('Лист15'!$H$1:$H1001,$W$1,'Лист15'!$A$1:$A1001,$C89)</f>
        <v>0</v>
      </c>
      <c r="X89" s="1569">
        <f>SUMIFS('Лист15'!$G$1:$G1001,'Лист15'!$H$1:$H1001,$W$1,'Лист15'!$A$1:$A1001,$C89)</f>
        <v>0</v>
      </c>
      <c r="Y89" s="1570">
        <f t="shared" si="85"/>
        <v>0</v>
      </c>
      <c r="Z89" s="1568">
        <f>COUNTIFS('Лист15'!$H$1:$H1001,$Z$1,'Лист15'!$A$1:$A1001,$C89)</f>
        <v>0</v>
      </c>
      <c r="AA89" s="1569">
        <f>SUMIFS('Лист15'!$G$1:$G1001,'Лист15'!$H$1:$H1001,$Z$1,'Лист15'!$A$1:$A1001,$C89)</f>
        <v>0</v>
      </c>
      <c r="AB89" s="1570">
        <f t="shared" si="86"/>
        <v>0</v>
      </c>
      <c r="AC89" s="1568">
        <f>COUNTIFS('Лист15'!$H$1:$H1001,$AC$1,'Лист15'!$A$1:$A1001,$C89)</f>
        <v>0</v>
      </c>
      <c r="AD89" s="1569">
        <f>SUMIFS('Лист15'!$G$1:$G1001,'Лист15'!$H$1:$H1001,$AC$1,'Лист15'!$A$1:$A1001,$C89)</f>
        <v>0</v>
      </c>
      <c r="AE89" s="1570">
        <f t="shared" si="87"/>
        <v>0</v>
      </c>
    </row>
    <row r="90" ht="17.25" customHeight="1">
      <c r="A90" s="1584" t="str">
        <f>'1. Справочник'!B149</f>
        <v/>
      </c>
      <c r="B90" s="1558">
        <v>1.0</v>
      </c>
      <c r="C90" s="1583" t="str">
        <f>'1. Справочник'!C149</f>
        <v>TGB2</v>
      </c>
      <c r="D90" s="1560" t="str">
        <f>'Стратегия'!G104</f>
        <v>❌</v>
      </c>
      <c r="E90" s="1561">
        <f>COUNTIFS('Лист15'!$H$1:$H1001,$E$1,'Лист15'!$A$1:$A1001,$C90)</f>
        <v>0</v>
      </c>
      <c r="F90" s="1561">
        <f>SUMIFS('Лист15'!$G$1:$G1001,'Лист15'!$H$1:$H1001,$E$1,'Лист15'!$A$1:$A1001,$C90)</f>
        <v>0</v>
      </c>
      <c r="G90" s="1562">
        <f t="shared" si="96"/>
        <v>0</v>
      </c>
      <c r="H90" s="1563">
        <f>COUNTIFS('Лист15'!$H$1:$H1001,$H$1,'Лист15'!$A$1:$A1001,$C90)</f>
        <v>0</v>
      </c>
      <c r="I90" s="1564">
        <f>SUMIFS('Лист15'!$G$1:$G1001,'Лист15'!$H$1:$H1001,$H$1,'Лист15'!$A$1:$A1001,$C90)</f>
        <v>0</v>
      </c>
      <c r="J90" s="1565">
        <f t="shared" si="90"/>
        <v>0</v>
      </c>
      <c r="K90" s="1561">
        <f>COUNTIFS('Лист15'!$H$1:$H1001,$K$1,'Лист15'!$A$1:$A1001,$C90)</f>
        <v>5</v>
      </c>
      <c r="L90" s="1564">
        <f>SUMIFS('Лист15'!$G$1:$G1001,'Лист15'!$H$1:$H1001,$K$1,'Лист15'!$A$1:$A1001,$C90)</f>
        <v>26</v>
      </c>
      <c r="M90" s="1565">
        <f t="shared" si="95"/>
        <v>0.8666666667</v>
      </c>
      <c r="N90" s="1561">
        <f>COUNTIFS('Лист15'!$H$1:$H1001,$N$1,'Лист15'!$A$1:$A1001,$C90)</f>
        <v>6</v>
      </c>
      <c r="O90" s="1564">
        <f>SUMIFS('Лист15'!$G$1:$G1001,'Лист15'!$H$1:$H1001,$N$1,'Лист15'!$A$1:$A1001,$C90)</f>
        <v>22</v>
      </c>
      <c r="P90" s="1566">
        <f t="shared" si="92"/>
        <v>0.7333333333</v>
      </c>
      <c r="Q90" s="1585">
        <f>COUNTIFS('Лист15'!$H$1:$H1001,$Q$1,'Лист15'!$A$1:$A1001,$C90)</f>
        <v>1</v>
      </c>
      <c r="R90" s="1586">
        <f>SUMIFS('Лист15'!$G$1:$G1001,'Лист15'!$H$1:$H1001,$Q$1,'Лист15'!$A$1:$A1001,$C90)</f>
        <v>9</v>
      </c>
      <c r="S90" s="1566">
        <f t="shared" si="93"/>
        <v>0.3</v>
      </c>
      <c r="T90" s="1585">
        <f>COUNTIFS('Лист15'!$H$1:$H1001,$T$1,'Лист15'!$A$1:$A1001,$C90)</f>
        <v>0</v>
      </c>
      <c r="U90" s="1586">
        <f>SUMIFS('Лист15'!$G$1:$G1001,'Лист15'!$H$1:$H1001,$T$1,'Лист15'!$A$1:$A1001,$C90)</f>
        <v>0</v>
      </c>
      <c r="V90" s="1567">
        <f t="shared" si="94"/>
        <v>0</v>
      </c>
      <c r="W90" s="1568">
        <f>COUNTIFS('Лист15'!$H$1:$H1001,$W$1,'Лист15'!$A$1:$A1001,$C90)</f>
        <v>0</v>
      </c>
      <c r="X90" s="1569">
        <f>SUMIFS('Лист15'!$G$1:$G1001,'Лист15'!$H$1:$H1001,$W$1,'Лист15'!$A$1:$A1001,$C90)</f>
        <v>0</v>
      </c>
      <c r="Y90" s="1570">
        <f t="shared" si="85"/>
        <v>0</v>
      </c>
      <c r="Z90" s="1568">
        <f>COUNTIFS('Лист15'!$H$1:$H1001,$Z$1,'Лист15'!$A$1:$A1001,$C90)</f>
        <v>0</v>
      </c>
      <c r="AA90" s="1569">
        <f>SUMIFS('Лист15'!$G$1:$G1001,'Лист15'!$H$1:$H1001,$Z$1,'Лист15'!$A$1:$A1001,$C90)</f>
        <v>0</v>
      </c>
      <c r="AB90" s="1570">
        <f t="shared" si="86"/>
        <v>0</v>
      </c>
      <c r="AC90" s="1568">
        <f>COUNTIFS('Лист15'!$H$1:$H1001,$AC$1,'Лист15'!$A$1:$A1001,$C90)</f>
        <v>0</v>
      </c>
      <c r="AD90" s="1569">
        <f>SUMIFS('Лист15'!$G$1:$G1001,'Лист15'!$H$1:$H1001,$AC$1,'Лист15'!$A$1:$A1001,$C90)</f>
        <v>0</v>
      </c>
      <c r="AE90" s="1570">
        <f t="shared" si="87"/>
        <v>0</v>
      </c>
    </row>
    <row r="91" ht="17.25" customHeight="1">
      <c r="A91" s="1584" t="str">
        <f>'1. Справочник'!B100</f>
        <v>Светлана</v>
      </c>
      <c r="B91" s="1558">
        <v>1.0</v>
      </c>
      <c r="C91" s="1583" t="str">
        <f>'1. Справочник'!C100</f>
        <v>TGB3</v>
      </c>
      <c r="D91" s="1560" t="str">
        <f>'Стратегия'!G105</f>
        <v>80/20</v>
      </c>
      <c r="E91" s="1561">
        <f>COUNTIFS('Лист15'!$H$1:$H1001,$E$1,'Лист15'!$A$1:$A1001,$C91)</f>
        <v>0</v>
      </c>
      <c r="F91" s="1561">
        <f>SUMIFS('Лист15'!$G$1:$G1001,'Лист15'!$H$1:$H1001,$E$1,'Лист15'!$A$1:$A1001,$C91)</f>
        <v>0</v>
      </c>
      <c r="G91" s="1562">
        <f t="shared" si="96"/>
        <v>0</v>
      </c>
      <c r="H91" s="1563">
        <f>COUNTIFS('Лист15'!$H$1:$H1001,$H$1,'Лист15'!$A$1:$A1001,$C91)</f>
        <v>0</v>
      </c>
      <c r="I91" s="1564">
        <f>SUMIFS('Лист15'!$G$1:$G1001,'Лист15'!$H$1:$H1001,$H$1,'Лист15'!$A$1:$A1001,$C91)</f>
        <v>0</v>
      </c>
      <c r="J91" s="1565">
        <f t="shared" si="90"/>
        <v>0</v>
      </c>
      <c r="K91" s="1561">
        <f>COUNTIFS('Лист15'!$H$1:$H1001,$K$1,'Лист15'!$A$1:$A1001,$C91)</f>
        <v>1</v>
      </c>
      <c r="L91" s="1564">
        <f>SUMIFS('Лист15'!$G$1:$G1001,'Лист15'!$H$1:$H1001,$K$1,'Лист15'!$A$1:$A1001,$C91)</f>
        <v>14</v>
      </c>
      <c r="M91" s="1565">
        <f t="shared" si="95"/>
        <v>0.4666666667</v>
      </c>
      <c r="N91" s="1561">
        <f>COUNTIFS('Лист15'!$H$1:$H1001,$N$1,'Лист15'!$A$1:$A1001,$C91)</f>
        <v>6</v>
      </c>
      <c r="O91" s="1564">
        <f>SUMIFS('Лист15'!$G$1:$G1001,'Лист15'!$H$1:$H1001,$N$1,'Лист15'!$A$1:$A1001,$C91)</f>
        <v>24</v>
      </c>
      <c r="P91" s="1566">
        <f t="shared" si="92"/>
        <v>0.8</v>
      </c>
      <c r="Q91" s="1585">
        <f>COUNTIFS('Лист15'!$H$1:$H1001,$Q$1,'Лист15'!$A$1:$A1001,$C91)</f>
        <v>3</v>
      </c>
      <c r="R91" s="1586">
        <f>SUMIFS('Лист15'!$G$1:$G1001,'Лист15'!$H$1:$H1001,$Q$1,'Лист15'!$A$1:$A1001,$C91)</f>
        <v>16</v>
      </c>
      <c r="S91" s="1566">
        <f t="shared" si="93"/>
        <v>0.5333333333</v>
      </c>
      <c r="T91" s="1585">
        <f>COUNTIFS('Лист15'!$H$1:$H1001,$T$1,'Лист15'!$A$1:$A1001,$C91)</f>
        <v>0</v>
      </c>
      <c r="U91" s="1586">
        <f>SUMIFS('Лист15'!$G$1:$G1001,'Лист15'!$H$1:$H1001,$T$1,'Лист15'!$A$1:$A1001,$C91)</f>
        <v>0</v>
      </c>
      <c r="V91" s="1567">
        <f t="shared" si="94"/>
        <v>0</v>
      </c>
      <c r="W91" s="1568">
        <f>COUNTIFS('Лист15'!$H$1:$H1001,$W$1,'Лист15'!$A$1:$A1001,$C91)</f>
        <v>0</v>
      </c>
      <c r="X91" s="1569">
        <f>SUMIFS('Лист15'!$G$1:$G1001,'Лист15'!$H$1:$H1001,$W$1,'Лист15'!$A$1:$A1001,$C91)</f>
        <v>0</v>
      </c>
      <c r="Y91" s="1570">
        <f t="shared" si="85"/>
        <v>0</v>
      </c>
      <c r="Z91" s="1568">
        <f>COUNTIFS('Лист15'!$H$1:$H1001,$Z$1,'Лист15'!$A$1:$A1001,$C91)</f>
        <v>0</v>
      </c>
      <c r="AA91" s="1569">
        <f>SUMIFS('Лист15'!$G$1:$G1001,'Лист15'!$H$1:$H1001,$Z$1,'Лист15'!$A$1:$A1001,$C91)</f>
        <v>0</v>
      </c>
      <c r="AB91" s="1570">
        <f t="shared" si="86"/>
        <v>0</v>
      </c>
      <c r="AC91" s="1568">
        <f>COUNTIFS('Лист15'!$H$1:$H1001,$AC$1,'Лист15'!$A$1:$A1001,$C91)</f>
        <v>0</v>
      </c>
      <c r="AD91" s="1569">
        <f>SUMIFS('Лист15'!$G$1:$G1001,'Лист15'!$H$1:$H1001,$AC$1,'Лист15'!$A$1:$A1001,$C91)</f>
        <v>0</v>
      </c>
      <c r="AE91" s="1570">
        <f t="shared" si="87"/>
        <v>0</v>
      </c>
    </row>
    <row r="92" ht="17.25" customHeight="1">
      <c r="A92" s="1584" t="str">
        <f>'1. Справочник'!B150</f>
        <v/>
      </c>
      <c r="B92" s="1558">
        <v>1.0</v>
      </c>
      <c r="C92" s="1583" t="str">
        <f>'1. Справочник'!C150</f>
        <v>TGB4</v>
      </c>
      <c r="D92" s="1560" t="str">
        <f>'Стратегия'!G106</f>
        <v>❌</v>
      </c>
      <c r="E92" s="1561">
        <f>COUNTIFS('Лист15'!$H$1:$H1001,$E$1,'Лист15'!$A$1:$A1001,$C92)</f>
        <v>0</v>
      </c>
      <c r="F92" s="1561">
        <f>SUMIFS('Лист15'!$G$1:$G1001,'Лист15'!$H$1:$H1001,$E$1,'Лист15'!$A$1:$A1001,$C92)</f>
        <v>0</v>
      </c>
      <c r="G92" s="1562">
        <f t="shared" si="96"/>
        <v>0</v>
      </c>
      <c r="H92" s="1563">
        <f>COUNTIFS('Лист15'!$H$1:$H1001,$H$1,'Лист15'!$A$1:$A1001,$C92)</f>
        <v>0</v>
      </c>
      <c r="I92" s="1564">
        <f>SUMIFS('Лист15'!$G$1:$G1001,'Лист15'!$H$1:$H1001,$H$1,'Лист15'!$A$1:$A1001,$C92)</f>
        <v>0</v>
      </c>
      <c r="J92" s="1565">
        <f t="shared" si="90"/>
        <v>0</v>
      </c>
      <c r="K92" s="1561">
        <f>COUNTIFS('Лист15'!$H$1:$H1001,$K$1,'Лист15'!$A$1:$A1001,$C92)</f>
        <v>1</v>
      </c>
      <c r="L92" s="1564">
        <f>SUMIFS('Лист15'!$G$1:$G1001,'Лист15'!$H$1:$H1001,$K$1,'Лист15'!$A$1:$A1001,$C92)</f>
        <v>0</v>
      </c>
      <c r="M92" s="1565">
        <f t="shared" si="95"/>
        <v>0</v>
      </c>
      <c r="N92" s="1561">
        <f>COUNTIFS('Лист15'!$H$1:$H1001,$N$1,'Лист15'!$A$1:$A1001,$C92)</f>
        <v>5</v>
      </c>
      <c r="O92" s="1564">
        <f>SUMIFS('Лист15'!$G$1:$G1001,'Лист15'!$H$1:$H1001,$N$1,'Лист15'!$A$1:$A1001,$C92)</f>
        <v>27</v>
      </c>
      <c r="P92" s="1566">
        <f t="shared" si="92"/>
        <v>0.9</v>
      </c>
      <c r="Q92" s="1585">
        <f>COUNTIFS('Лист15'!$H$1:$H1001,$Q$1,'Лист15'!$A$1:$A1001,$C92)</f>
        <v>3</v>
      </c>
      <c r="R92" s="1586">
        <f>SUMIFS('Лист15'!$G$1:$G1001,'Лист15'!$H$1:$H1001,$Q$1,'Лист15'!$A$1:$A1001,$C92)</f>
        <v>16</v>
      </c>
      <c r="S92" s="1566">
        <f t="shared" si="93"/>
        <v>0.5333333333</v>
      </c>
      <c r="T92" s="1585">
        <f>COUNTIFS('Лист15'!$H$1:$H1001,$T$1,'Лист15'!$A$1:$A1001,$C92)</f>
        <v>0</v>
      </c>
      <c r="U92" s="1586">
        <f>SUMIFS('Лист15'!$G$1:$G1001,'Лист15'!$H$1:$H1001,$T$1,'Лист15'!$A$1:$A1001,$C92)</f>
        <v>0</v>
      </c>
      <c r="V92" s="1567">
        <f t="shared" si="94"/>
        <v>0</v>
      </c>
      <c r="W92" s="1568">
        <f>COUNTIFS('Лист15'!$H$1:$H1001,$W$1,'Лист15'!$A$1:$A1001,$C92)</f>
        <v>0</v>
      </c>
      <c r="X92" s="1569">
        <f>SUMIFS('Лист15'!$G$1:$G1001,'Лист15'!$H$1:$H1001,$W$1,'Лист15'!$A$1:$A1001,$C92)</f>
        <v>0</v>
      </c>
      <c r="Y92" s="1570">
        <f t="shared" si="85"/>
        <v>0</v>
      </c>
      <c r="Z92" s="1568">
        <f>COUNTIFS('Лист15'!$H$1:$H1001,$Z$1,'Лист15'!$A$1:$A1001,$C92)</f>
        <v>0</v>
      </c>
      <c r="AA92" s="1569">
        <f>SUMIFS('Лист15'!$G$1:$G1001,'Лист15'!$H$1:$H1001,$Z$1,'Лист15'!$A$1:$A1001,$C92)</f>
        <v>0</v>
      </c>
      <c r="AB92" s="1570">
        <f t="shared" si="86"/>
        <v>0</v>
      </c>
      <c r="AC92" s="1568">
        <f>COUNTIFS('Лист15'!$H$1:$H1001,$AC$1,'Лист15'!$A$1:$A1001,$C92)</f>
        <v>0</v>
      </c>
      <c r="AD92" s="1569">
        <f>SUMIFS('Лист15'!$G$1:$G1001,'Лист15'!$H$1:$H1001,$AC$1,'Лист15'!$A$1:$A1001,$C92)</f>
        <v>0</v>
      </c>
      <c r="AE92" s="1570">
        <f t="shared" si="87"/>
        <v>0</v>
      </c>
    </row>
    <row r="93" ht="17.25" customHeight="1">
      <c r="A93" s="1584" t="str">
        <f>'1. Справочник'!B151</f>
        <v/>
      </c>
      <c r="B93" s="1558">
        <v>1.0</v>
      </c>
      <c r="C93" s="1583" t="str">
        <f>'1. Справочник'!C151</f>
        <v>TGB5</v>
      </c>
      <c r="D93" s="1560" t="str">
        <f>'Стратегия'!G107</f>
        <v>❌</v>
      </c>
      <c r="E93" s="1561">
        <f>COUNTIFS('Лист15'!$H$1:$H1001,$E$1,'Лист15'!$A$1:$A1001,$C93)</f>
        <v>0</v>
      </c>
      <c r="F93" s="1561">
        <f>SUMIFS('Лист15'!$G$1:$G1001,'Лист15'!$H$1:$H1001,$E$1,'Лист15'!$A$1:$A1001,$C93)</f>
        <v>0</v>
      </c>
      <c r="G93" s="1562">
        <f t="shared" si="96"/>
        <v>0</v>
      </c>
      <c r="H93" s="1563">
        <f>COUNTIFS('Лист15'!$H$1:$H1001,$H$1,'Лист15'!$A$1:$A1001,$C93)</f>
        <v>0</v>
      </c>
      <c r="I93" s="1564">
        <f>SUMIFS('Лист15'!$G$1:$G1001,'Лист15'!$H$1:$H1001,$H$1,'Лист15'!$A$1:$A1001,$C93)</f>
        <v>0</v>
      </c>
      <c r="J93" s="1565">
        <f t="shared" si="90"/>
        <v>0</v>
      </c>
      <c r="K93" s="1561">
        <f>COUNTIFS('Лист15'!$H$1:$H1001,$K$1,'Лист15'!$A$1:$A1001,$C93)</f>
        <v>0</v>
      </c>
      <c r="L93" s="1564">
        <f>SUMIFS('Лист15'!$G$1:$G1001,'Лист15'!$H$1:$H1001,$K$1,'Лист15'!$A$1:$A1001,$C93)</f>
        <v>0</v>
      </c>
      <c r="M93" s="1565">
        <f t="shared" si="95"/>
        <v>0</v>
      </c>
      <c r="N93" s="1561">
        <f>COUNTIFS('Лист15'!$H$1:$H1001,$N$1,'Лист15'!$A$1:$A1001,$C93)</f>
        <v>5</v>
      </c>
      <c r="O93" s="1564">
        <f>SUMIFS('Лист15'!$G$1:$G1001,'Лист15'!$H$1:$H1001,$N$1,'Лист15'!$A$1:$A1001,$C93)</f>
        <v>24</v>
      </c>
      <c r="P93" s="1566">
        <f t="shared" si="92"/>
        <v>0.8</v>
      </c>
      <c r="Q93" s="1585">
        <f>COUNTIFS('Лист15'!$H$1:$H1001,$Q$1,'Лист15'!$A$1:$A1001,$C93)</f>
        <v>1</v>
      </c>
      <c r="R93" s="1586">
        <f>SUMIFS('Лист15'!$G$1:$G1001,'Лист15'!$H$1:$H1001,$Q$1,'Лист15'!$A$1:$A1001,$C93)</f>
        <v>4</v>
      </c>
      <c r="S93" s="1566">
        <f t="shared" si="93"/>
        <v>0.1333333333</v>
      </c>
      <c r="T93" s="1585">
        <f>COUNTIFS('Лист15'!$H$1:$H1001,$T$1,'Лист15'!$A$1:$A1001,$C93)</f>
        <v>0</v>
      </c>
      <c r="U93" s="1586">
        <f>SUMIFS('Лист15'!$G$1:$G1001,'Лист15'!$H$1:$H1001,$T$1,'Лист15'!$A$1:$A1001,$C93)</f>
        <v>0</v>
      </c>
      <c r="V93" s="1567">
        <f t="shared" si="94"/>
        <v>0</v>
      </c>
      <c r="W93" s="1568">
        <f>COUNTIFS('Лист15'!$H$1:$H1001,$W$1,'Лист15'!$A$1:$A1001,$C93)</f>
        <v>0</v>
      </c>
      <c r="X93" s="1569">
        <f>SUMIFS('Лист15'!$G$1:$G1001,'Лист15'!$H$1:$H1001,$W$1,'Лист15'!$A$1:$A1001,$C93)</f>
        <v>0</v>
      </c>
      <c r="Y93" s="1570">
        <f t="shared" si="85"/>
        <v>0</v>
      </c>
      <c r="Z93" s="1568">
        <f>COUNTIFS('Лист15'!$H$1:$H1001,$Z$1,'Лист15'!$A$1:$A1001,$C93)</f>
        <v>0</v>
      </c>
      <c r="AA93" s="1569">
        <f>SUMIFS('Лист15'!$G$1:$G1001,'Лист15'!$H$1:$H1001,$Z$1,'Лист15'!$A$1:$A1001,$C93)</f>
        <v>0</v>
      </c>
      <c r="AB93" s="1570">
        <f t="shared" si="86"/>
        <v>0</v>
      </c>
      <c r="AC93" s="1568">
        <f>COUNTIFS('Лист15'!$H$1:$H1001,$AC$1,'Лист15'!$A$1:$A1001,$C93)</f>
        <v>0</v>
      </c>
      <c r="AD93" s="1569">
        <f>SUMIFS('Лист15'!$G$1:$G1001,'Лист15'!$H$1:$H1001,$AC$1,'Лист15'!$A$1:$A1001,$C93)</f>
        <v>0</v>
      </c>
      <c r="AE93" s="1570">
        <f t="shared" si="87"/>
        <v>0</v>
      </c>
    </row>
    <row r="94" ht="17.25" customHeight="1">
      <c r="A94" s="1584" t="str">
        <f>'1. Справочник'!B152</f>
        <v/>
      </c>
      <c r="B94" s="1558">
        <v>1.0</v>
      </c>
      <c r="C94" s="1583" t="str">
        <f>'1. Справочник'!C152</f>
        <v>TGB6</v>
      </c>
      <c r="D94" s="1560" t="str">
        <f>'Стратегия'!G108</f>
        <v>❌</v>
      </c>
      <c r="E94" s="1561">
        <f>COUNTIFS('Лист15'!$H$1:$H1001,$E$1,'Лист15'!$A$1:$A1001,$C94)</f>
        <v>0</v>
      </c>
      <c r="F94" s="1561">
        <f>SUMIFS('Лист15'!$G$1:$G1001,'Лист15'!$H$1:$H1001,$E$1,'Лист15'!$A$1:$A1001,$C94)</f>
        <v>0</v>
      </c>
      <c r="G94" s="1562">
        <f t="shared" si="96"/>
        <v>0</v>
      </c>
      <c r="H94" s="1563">
        <f>COUNTIFS('Лист15'!$H$1:$H1001,$H$1,'Лист15'!$A$1:$A1001,$C94)</f>
        <v>0</v>
      </c>
      <c r="I94" s="1564">
        <f>SUMIFS('Лист15'!$G$1:$G1001,'Лист15'!$H$1:$H1001,$H$1,'Лист15'!$A$1:$A1001,$C94)</f>
        <v>0</v>
      </c>
      <c r="J94" s="1565">
        <f t="shared" si="90"/>
        <v>0</v>
      </c>
      <c r="K94" s="1561">
        <f>COUNTIFS('Лист15'!$H$1:$H1001,$K$1,'Лист15'!$A$1:$A1001,$C94)</f>
        <v>2</v>
      </c>
      <c r="L94" s="1564">
        <f>SUMIFS('Лист15'!$G$1:$G1001,'Лист15'!$H$1:$H1001,$K$1,'Лист15'!$A$1:$A1001,$C94)</f>
        <v>7</v>
      </c>
      <c r="M94" s="1565">
        <f t="shared" si="95"/>
        <v>0.2333333333</v>
      </c>
      <c r="N94" s="1561">
        <f>COUNTIFS('Лист15'!$H$1:$H1001,$N$1,'Лист15'!$A$1:$A1001,$C94)</f>
        <v>7</v>
      </c>
      <c r="O94" s="1564">
        <f>SUMIFS('Лист15'!$G$1:$G1001,'Лист15'!$H$1:$H1001,$N$1,'Лист15'!$A$1:$A1001,$C94)</f>
        <v>26</v>
      </c>
      <c r="P94" s="1566">
        <f t="shared" si="92"/>
        <v>0.8666666667</v>
      </c>
      <c r="Q94" s="1585">
        <f>COUNTIFS('Лист15'!$H$1:$H1001,$Q$1,'Лист15'!$A$1:$A1001,$C94)</f>
        <v>2</v>
      </c>
      <c r="R94" s="1586">
        <f>SUMIFS('Лист15'!$G$1:$G1001,'Лист15'!$H$1:$H1001,$Q$1,'Лист15'!$A$1:$A1001,$C94)</f>
        <v>8</v>
      </c>
      <c r="S94" s="1566">
        <f t="shared" si="93"/>
        <v>0.2666666667</v>
      </c>
      <c r="T94" s="1585">
        <f>COUNTIFS('Лист15'!$H$1:$H1001,$T$1,'Лист15'!$A$1:$A1001,$C94)</f>
        <v>0</v>
      </c>
      <c r="U94" s="1586">
        <f>SUMIFS('Лист15'!$G$1:$G1001,'Лист15'!$H$1:$H1001,$T$1,'Лист15'!$A$1:$A1001,$C94)</f>
        <v>0</v>
      </c>
      <c r="V94" s="1567">
        <f t="shared" si="94"/>
        <v>0</v>
      </c>
      <c r="W94" s="1568">
        <f>COUNTIFS('Лист15'!$H$1:$H1001,$W$1,'Лист15'!$A$1:$A1001,$C94)</f>
        <v>0</v>
      </c>
      <c r="X94" s="1569">
        <f>SUMIFS('Лист15'!$G$1:$G1001,'Лист15'!$H$1:$H1001,$W$1,'Лист15'!$A$1:$A1001,$C94)</f>
        <v>0</v>
      </c>
      <c r="Y94" s="1570">
        <f t="shared" si="85"/>
        <v>0</v>
      </c>
      <c r="Z94" s="1568">
        <f>COUNTIFS('Лист15'!$H$1:$H1001,$Z$1,'Лист15'!$A$1:$A1001,$C94)</f>
        <v>0</v>
      </c>
      <c r="AA94" s="1569">
        <f>SUMIFS('Лист15'!$G$1:$G1001,'Лист15'!$H$1:$H1001,$Z$1,'Лист15'!$A$1:$A1001,$C94)</f>
        <v>0</v>
      </c>
      <c r="AB94" s="1570">
        <f t="shared" si="86"/>
        <v>0</v>
      </c>
      <c r="AC94" s="1568">
        <f>COUNTIFS('Лист15'!$H$1:$H1001,$AC$1,'Лист15'!$A$1:$A1001,$C94)</f>
        <v>0</v>
      </c>
      <c r="AD94" s="1569">
        <f>SUMIFS('Лист15'!$G$1:$G1001,'Лист15'!$H$1:$H1001,$AC$1,'Лист15'!$A$1:$A1001,$C94)</f>
        <v>0</v>
      </c>
      <c r="AE94" s="1570">
        <f t="shared" si="87"/>
        <v>0</v>
      </c>
    </row>
    <row r="95" ht="17.25" customHeight="1">
      <c r="A95" s="1584" t="str">
        <f>'1. Справочник'!B153</f>
        <v/>
      </c>
      <c r="B95" s="1558">
        <v>1.0</v>
      </c>
      <c r="C95" s="1583" t="str">
        <f>'1. Справочник'!C153</f>
        <v>TGB7</v>
      </c>
      <c r="D95" s="1560" t="str">
        <f>'Стратегия'!G109</f>
        <v>❌</v>
      </c>
      <c r="E95" s="1561">
        <f>COUNTIFS('Лист15'!$H$1:$H1001,$E$1,'Лист15'!$A$1:$A1001,$C95)</f>
        <v>0</v>
      </c>
      <c r="F95" s="1561">
        <f>SUMIFS('Лист15'!$G$1:$G1001,'Лист15'!$H$1:$H1001,$E$1,'Лист15'!$A$1:$A1001,$C95)</f>
        <v>0</v>
      </c>
      <c r="G95" s="1562">
        <f t="shared" si="96"/>
        <v>0</v>
      </c>
      <c r="H95" s="1563">
        <f>COUNTIFS('Лист15'!$H$1:$H1001,$H$1,'Лист15'!$A$1:$A1001,$C95)</f>
        <v>0</v>
      </c>
      <c r="I95" s="1564">
        <f>SUMIFS('Лист15'!$G$1:$G1001,'Лист15'!$H$1:$H1001,$H$1,'Лист15'!$A$1:$A1001,$C95)</f>
        <v>0</v>
      </c>
      <c r="J95" s="1565">
        <f t="shared" si="90"/>
        <v>0</v>
      </c>
      <c r="K95" s="1561">
        <f>COUNTIFS('Лист15'!$H$1:$H1001,$K$1,'Лист15'!$A$1:$A1001,$C95)</f>
        <v>1</v>
      </c>
      <c r="L95" s="1564">
        <f>SUMIFS('Лист15'!$G$1:$G1001,'Лист15'!$H$1:$H1001,$K$1,'Лист15'!$A$1:$A1001,$C95)</f>
        <v>8</v>
      </c>
      <c r="M95" s="1565">
        <f t="shared" si="95"/>
        <v>0.2666666667</v>
      </c>
      <c r="N95" s="1561">
        <f>COUNTIFS('Лист15'!$H$1:$H1001,$N$1,'Лист15'!$A$1:$A1001,$C95)</f>
        <v>2</v>
      </c>
      <c r="O95" s="1564">
        <f>SUMIFS('Лист15'!$G$1:$G1001,'Лист15'!$H$1:$H1001,$N$1,'Лист15'!$A$1:$A1001,$C95)</f>
        <v>16</v>
      </c>
      <c r="P95" s="1566">
        <f t="shared" si="92"/>
        <v>0.5333333333</v>
      </c>
      <c r="Q95" s="1585">
        <f>COUNTIFS('Лист15'!$H$1:$H1001,$Q$1,'Лист15'!$A$1:$A1001,$C95)</f>
        <v>1</v>
      </c>
      <c r="R95" s="1586">
        <f>SUMIFS('Лист15'!$G$1:$G1001,'Лист15'!$H$1:$H1001,$Q$1,'Лист15'!$A$1:$A1001,$C95)</f>
        <v>6</v>
      </c>
      <c r="S95" s="1566">
        <f t="shared" si="93"/>
        <v>0.2</v>
      </c>
      <c r="T95" s="1585">
        <f>COUNTIFS('Лист15'!$H$1:$H1001,$T$1,'Лист15'!$A$1:$A1001,$C95)</f>
        <v>0</v>
      </c>
      <c r="U95" s="1586">
        <f>SUMIFS('Лист15'!$G$1:$G1001,'Лист15'!$H$1:$H1001,$T$1,'Лист15'!$A$1:$A1001,$C95)</f>
        <v>0</v>
      </c>
      <c r="V95" s="1567">
        <f t="shared" si="94"/>
        <v>0</v>
      </c>
      <c r="W95" s="1568">
        <f>COUNTIFS('Лист15'!$H$1:$H1001,$W$1,'Лист15'!$A$1:$A1001,$C95)</f>
        <v>0</v>
      </c>
      <c r="X95" s="1569">
        <f>SUMIFS('Лист15'!$G$1:$G1001,'Лист15'!$H$1:$H1001,$W$1,'Лист15'!$A$1:$A1001,$C95)</f>
        <v>0</v>
      </c>
      <c r="Y95" s="1570">
        <f t="shared" si="85"/>
        <v>0</v>
      </c>
      <c r="Z95" s="1568">
        <f>COUNTIFS('Лист15'!$H$1:$H1001,$Z$1,'Лист15'!$A$1:$A1001,$C95)</f>
        <v>0</v>
      </c>
      <c r="AA95" s="1569">
        <f>SUMIFS('Лист15'!$G$1:$G1001,'Лист15'!$H$1:$H1001,$Z$1,'Лист15'!$A$1:$A1001,$C95)</f>
        <v>0</v>
      </c>
      <c r="AB95" s="1570">
        <f t="shared" si="86"/>
        <v>0</v>
      </c>
      <c r="AC95" s="1568">
        <f>COUNTIFS('Лист15'!$H$1:$H1001,$AC$1,'Лист15'!$A$1:$A1001,$C95)</f>
        <v>0</v>
      </c>
      <c r="AD95" s="1569">
        <f>SUMIFS('Лист15'!$G$1:$G1001,'Лист15'!$H$1:$H1001,$AC$1,'Лист15'!$A$1:$A1001,$C95)</f>
        <v>0</v>
      </c>
      <c r="AE95" s="1570">
        <f t="shared" si="87"/>
        <v>0</v>
      </c>
    </row>
    <row r="96" ht="17.25" customHeight="1">
      <c r="A96" s="1584" t="str">
        <f>'1. Справочник'!B154</f>
        <v/>
      </c>
      <c r="B96" s="1558">
        <v>1.0</v>
      </c>
      <c r="C96" s="1583" t="str">
        <f>'1. Справочник'!C154</f>
        <v>TGB8</v>
      </c>
      <c r="D96" s="1560" t="str">
        <f>'Стратегия'!G110</f>
        <v>❌</v>
      </c>
      <c r="E96" s="1561">
        <f>COUNTIFS('Лист15'!$H$1:$H1001,$E$1,'Лист15'!$A$1:$A1001,$C96)</f>
        <v>0</v>
      </c>
      <c r="F96" s="1561">
        <f>SUMIFS('Лист15'!$G$1:$G1001,'Лист15'!$H$1:$H1001,$E$1,'Лист15'!$A$1:$A1001,$C96)</f>
        <v>0</v>
      </c>
      <c r="G96" s="1562">
        <f t="shared" si="96"/>
        <v>0</v>
      </c>
      <c r="H96" s="1563">
        <f>COUNTIFS('Лист15'!$H$1:$H1001,$H$1,'Лист15'!$A$1:$A1001,$C96)</f>
        <v>0</v>
      </c>
      <c r="I96" s="1564">
        <f>SUMIFS('Лист15'!$G$1:$G1001,'Лист15'!$H$1:$H1001,$H$1,'Лист15'!$A$1:$A1001,$C96)</f>
        <v>0</v>
      </c>
      <c r="J96" s="1565">
        <f t="shared" si="90"/>
        <v>0</v>
      </c>
      <c r="K96" s="1561">
        <f>COUNTIFS('Лист15'!$H$1:$H1001,$K$1,'Лист15'!$A$1:$A1001,$C96)</f>
        <v>1</v>
      </c>
      <c r="L96" s="1564">
        <f>SUMIFS('Лист15'!$G$1:$G1001,'Лист15'!$H$1:$H1001,$K$1,'Лист15'!$A$1:$A1001,$C96)</f>
        <v>3</v>
      </c>
      <c r="M96" s="1565">
        <f t="shared" si="95"/>
        <v>0.1</v>
      </c>
      <c r="N96" s="1561">
        <f>COUNTIFS('Лист15'!$H$1:$H1001,$N$1,'Лист15'!$A$1:$A1001,$C96)</f>
        <v>0</v>
      </c>
      <c r="O96" s="1564">
        <f>SUMIFS('Лист15'!$G$1:$G1001,'Лист15'!$H$1:$H1001,$N$1,'Лист15'!$A$1:$A1001,$C96)</f>
        <v>0</v>
      </c>
      <c r="P96" s="1566">
        <f t="shared" si="92"/>
        <v>0</v>
      </c>
      <c r="Q96" s="1585">
        <f>COUNTIFS('Лист15'!$H$1:$H1001,$Q$1,'Лист15'!$A$1:$A1001,$C96)</f>
        <v>1</v>
      </c>
      <c r="R96" s="1586">
        <f>SUMIFS('Лист15'!$G$1:$G1001,'Лист15'!$H$1:$H1001,$Q$1,'Лист15'!$A$1:$A1001,$C96)</f>
        <v>14</v>
      </c>
      <c r="S96" s="1566">
        <f t="shared" si="93"/>
        <v>0.4666666667</v>
      </c>
      <c r="T96" s="1585">
        <f>COUNTIFS('Лист15'!$H$1:$H1001,$T$1,'Лист15'!$A$1:$A1001,$C96)</f>
        <v>0</v>
      </c>
      <c r="U96" s="1586">
        <f>SUMIFS('Лист15'!$G$1:$G1001,'Лист15'!$H$1:$H1001,$T$1,'Лист15'!$A$1:$A1001,$C96)</f>
        <v>0</v>
      </c>
      <c r="V96" s="1567">
        <f t="shared" si="94"/>
        <v>0</v>
      </c>
      <c r="W96" s="1568">
        <f>COUNTIFS('Лист15'!$H$1:$H1001,$W$1,'Лист15'!$A$1:$A1001,$C96)</f>
        <v>0</v>
      </c>
      <c r="X96" s="1569">
        <f>SUMIFS('Лист15'!$G$1:$G1001,'Лист15'!$H$1:$H1001,$W$1,'Лист15'!$A$1:$A1001,$C96)</f>
        <v>0</v>
      </c>
      <c r="Y96" s="1570">
        <f t="shared" si="85"/>
        <v>0</v>
      </c>
      <c r="Z96" s="1568">
        <f>COUNTIFS('Лист15'!$H$1:$H1001,$Z$1,'Лист15'!$A$1:$A1001,$C96)</f>
        <v>0</v>
      </c>
      <c r="AA96" s="1569">
        <f>SUMIFS('Лист15'!$G$1:$G1001,'Лист15'!$H$1:$H1001,$Z$1,'Лист15'!$A$1:$A1001,$C96)</f>
        <v>0</v>
      </c>
      <c r="AB96" s="1570">
        <f t="shared" si="86"/>
        <v>0</v>
      </c>
      <c r="AC96" s="1568">
        <f>COUNTIFS('Лист15'!$H$1:$H1001,$AC$1,'Лист15'!$A$1:$A1001,$C96)</f>
        <v>0</v>
      </c>
      <c r="AD96" s="1569">
        <f>SUMIFS('Лист15'!$G$1:$G1001,'Лист15'!$H$1:$H1001,$AC$1,'Лист15'!$A$1:$A1001,$C96)</f>
        <v>0</v>
      </c>
      <c r="AE96" s="1570">
        <f t="shared" si="87"/>
        <v>0</v>
      </c>
    </row>
    <row r="97" ht="17.25" customHeight="1">
      <c r="A97" s="1584" t="str">
        <f>'1. Справочник'!B155</f>
        <v/>
      </c>
      <c r="B97" s="1558">
        <v>1.0</v>
      </c>
      <c r="C97" s="1583" t="str">
        <f>'1. Справочник'!C155</f>
        <v>TGB9</v>
      </c>
      <c r="D97" s="1560" t="str">
        <f>'Стратегия'!G111</f>
        <v>❌</v>
      </c>
      <c r="E97" s="1561">
        <f>COUNTIFS('Лист15'!$H$1:$H1001,$E$1,'Лист15'!$A$1:$A1001,$C97)</f>
        <v>0</v>
      </c>
      <c r="F97" s="1561">
        <f>SUMIFS('Лист15'!$G$1:$G1001,'Лист15'!$H$1:$H1001,$E$1,'Лист15'!$A$1:$A1001,$C97)</f>
        <v>0</v>
      </c>
      <c r="G97" s="1562">
        <f t="shared" si="96"/>
        <v>0</v>
      </c>
      <c r="H97" s="1563">
        <f>COUNTIFS('Лист15'!$H$1:$H1001,$H$1,'Лист15'!$A$1:$A1001,$C97)</f>
        <v>0</v>
      </c>
      <c r="I97" s="1564">
        <f>SUMIFS('Лист15'!$G$1:$G1001,'Лист15'!$H$1:$H1001,$H$1,'Лист15'!$A$1:$A1001,$C97)</f>
        <v>0</v>
      </c>
      <c r="J97" s="1565">
        <f t="shared" si="90"/>
        <v>0</v>
      </c>
      <c r="K97" s="1561">
        <f>COUNTIFS('Лист15'!$H$1:$H1001,$K$1,'Лист15'!$A$1:$A1001,$C97)</f>
        <v>3</v>
      </c>
      <c r="L97" s="1564">
        <f>SUMIFS('Лист15'!$G$1:$G1001,'Лист15'!$H$1:$H1001,$K$1,'Лист15'!$A$1:$A1001,$C97)</f>
        <v>14</v>
      </c>
      <c r="M97" s="1565">
        <f t="shared" si="95"/>
        <v>0.4666666667</v>
      </c>
      <c r="N97" s="1561">
        <f>COUNTIFS('Лист15'!$H$1:$H1001,$N$1,'Лист15'!$A$1:$A1001,$C97)</f>
        <v>6</v>
      </c>
      <c r="O97" s="1564">
        <f>SUMIFS('Лист15'!$G$1:$G1001,'Лист15'!$H$1:$H1001,$N$1,'Лист15'!$A$1:$A1001,$C97)</f>
        <v>24</v>
      </c>
      <c r="P97" s="1566">
        <f t="shared" si="92"/>
        <v>0.8</v>
      </c>
      <c r="Q97" s="1585">
        <f>COUNTIFS('Лист15'!$H$1:$H1001,$Q$1,'Лист15'!$A$1:$A1001,$C97)</f>
        <v>2</v>
      </c>
      <c r="R97" s="1586">
        <f>SUMIFS('Лист15'!$G$1:$G1001,'Лист15'!$H$1:$H1001,$Q$1,'Лист15'!$A$1:$A1001,$C97)</f>
        <v>28</v>
      </c>
      <c r="S97" s="1566">
        <f t="shared" si="93"/>
        <v>0.9333333333</v>
      </c>
      <c r="T97" s="1585">
        <f>COUNTIFS('Лист15'!$H$1:$H1001,$T$1,'Лист15'!$A$1:$A1001,$C97)</f>
        <v>0</v>
      </c>
      <c r="U97" s="1586">
        <f>SUMIFS('Лист15'!$G$1:$G1001,'Лист15'!$H$1:$H1001,$T$1,'Лист15'!$A$1:$A1001,$C97)</f>
        <v>0</v>
      </c>
      <c r="V97" s="1567">
        <f t="shared" si="94"/>
        <v>0</v>
      </c>
      <c r="W97" s="1568">
        <f>COUNTIFS('Лист15'!$H$1:$H1001,$W$1,'Лист15'!$A$1:$A1001,$C97)</f>
        <v>0</v>
      </c>
      <c r="X97" s="1569">
        <f>SUMIFS('Лист15'!$G$1:$G1001,'Лист15'!$H$1:$H1001,$W$1,'Лист15'!$A$1:$A1001,$C97)</f>
        <v>0</v>
      </c>
      <c r="Y97" s="1570">
        <f t="shared" si="85"/>
        <v>0</v>
      </c>
      <c r="Z97" s="1568">
        <f>COUNTIFS('Лист15'!$H$1:$H1001,$Z$1,'Лист15'!$A$1:$A1001,$C97)</f>
        <v>0</v>
      </c>
      <c r="AA97" s="1569">
        <f>SUMIFS('Лист15'!$G$1:$G1001,'Лист15'!$H$1:$H1001,$Z$1,'Лист15'!$A$1:$A1001,$C97)</f>
        <v>0</v>
      </c>
      <c r="AB97" s="1570">
        <f t="shared" si="86"/>
        <v>0</v>
      </c>
      <c r="AC97" s="1568">
        <f>COUNTIFS('Лист15'!$H$1:$H1001,$AC$1,'Лист15'!$A$1:$A1001,$C97)</f>
        <v>0</v>
      </c>
      <c r="AD97" s="1569">
        <f>SUMIFS('Лист15'!$G$1:$G1001,'Лист15'!$H$1:$H1001,$AC$1,'Лист15'!$A$1:$A1001,$C97)</f>
        <v>0</v>
      </c>
      <c r="AE97" s="1570">
        <f t="shared" si="87"/>
        <v>0</v>
      </c>
    </row>
    <row r="98" ht="17.25" customHeight="1">
      <c r="A98" s="1584" t="str">
        <f>'1. Справочник'!B156</f>
        <v/>
      </c>
      <c r="B98" s="1558">
        <v>1.0</v>
      </c>
      <c r="C98" s="1583" t="str">
        <f>'1. Справочник'!C156</f>
        <v>TGB10</v>
      </c>
      <c r="D98" s="1560" t="str">
        <f>'Стратегия'!G112</f>
        <v>❌</v>
      </c>
      <c r="E98" s="1561">
        <f>COUNTIFS('Лист15'!$H$1:$H1001,$E$1,'Лист15'!$A$1:$A1001,$C98)</f>
        <v>0</v>
      </c>
      <c r="F98" s="1561">
        <f>SUMIFS('Лист15'!$G$1:$G1001,'Лист15'!$H$1:$H1001,$E$1,'Лист15'!$A$1:$A1001,$C98)</f>
        <v>0</v>
      </c>
      <c r="G98" s="1562">
        <f t="shared" si="96"/>
        <v>0</v>
      </c>
      <c r="H98" s="1563">
        <f>COUNTIFS('Лист15'!$H$1:$H1001,$H$1,'Лист15'!$A$1:$A1001,$C98)</f>
        <v>0</v>
      </c>
      <c r="I98" s="1564">
        <f>SUMIFS('Лист15'!$G$1:$G1001,'Лист15'!$H$1:$H1001,$H$1,'Лист15'!$A$1:$A1001,$C98)</f>
        <v>0</v>
      </c>
      <c r="J98" s="1565">
        <f t="shared" si="90"/>
        <v>0</v>
      </c>
      <c r="K98" s="1561">
        <f>COUNTIFS('Лист15'!$H$1:$H1001,$K$1,'Лист15'!$A$1:$A1001,$C98)</f>
        <v>2</v>
      </c>
      <c r="L98" s="1564">
        <f>SUMIFS('Лист15'!$G$1:$G1001,'Лист15'!$H$1:$H1001,$K$1,'Лист15'!$A$1:$A1001,$C98)</f>
        <v>10</v>
      </c>
      <c r="M98" s="1565">
        <f t="shared" si="95"/>
        <v>0.3333333333</v>
      </c>
      <c r="N98" s="1561">
        <f>COUNTIFS('Лист15'!$H$1:$H1001,$N$1,'Лист15'!$A$1:$A1001,$C98)</f>
        <v>1</v>
      </c>
      <c r="O98" s="1564">
        <f>SUMIFS('Лист15'!$G$1:$G1001,'Лист15'!$H$1:$H1001,$N$1,'Лист15'!$A$1:$A1001,$C98)</f>
        <v>32</v>
      </c>
      <c r="P98" s="1566">
        <f t="shared" si="92"/>
        <v>1.066666667</v>
      </c>
      <c r="Q98" s="1585">
        <f>COUNTIFS('Лист15'!$H$1:$H1001,$Q$1,'Лист15'!$A$1:$A1001,$C98)</f>
        <v>1</v>
      </c>
      <c r="R98" s="1586">
        <f>SUMIFS('Лист15'!$G$1:$G1001,'Лист15'!$H$1:$H1001,$Q$1,'Лист15'!$A$1:$A1001,$C98)</f>
        <v>6</v>
      </c>
      <c r="S98" s="1566">
        <f t="shared" si="93"/>
        <v>0.2</v>
      </c>
      <c r="T98" s="1585">
        <f>COUNTIFS('Лист15'!$H$1:$H1001,$T$1,'Лист15'!$A$1:$A1001,$C98)</f>
        <v>0</v>
      </c>
      <c r="U98" s="1586">
        <f>SUMIFS('Лист15'!$G$1:$G1001,'Лист15'!$H$1:$H1001,$T$1,'Лист15'!$A$1:$A1001,$C98)</f>
        <v>0</v>
      </c>
      <c r="V98" s="1567">
        <f t="shared" si="94"/>
        <v>0</v>
      </c>
      <c r="W98" s="1568">
        <f>COUNTIFS('Лист15'!$H$1:$H1001,$W$1,'Лист15'!$A$1:$A1001,$C98)</f>
        <v>0</v>
      </c>
      <c r="X98" s="1569">
        <f>SUMIFS('Лист15'!$G$1:$G1001,'Лист15'!$H$1:$H1001,$W$1,'Лист15'!$A$1:$A1001,$C98)</f>
        <v>0</v>
      </c>
      <c r="Y98" s="1570">
        <f t="shared" si="85"/>
        <v>0</v>
      </c>
      <c r="Z98" s="1568">
        <f>COUNTIFS('Лист15'!$H$1:$H1001,$Z$1,'Лист15'!$A$1:$A1001,$C98)</f>
        <v>0</v>
      </c>
      <c r="AA98" s="1569">
        <f>SUMIFS('Лист15'!$G$1:$G1001,'Лист15'!$H$1:$H1001,$Z$1,'Лист15'!$A$1:$A1001,$C98)</f>
        <v>0</v>
      </c>
      <c r="AB98" s="1570">
        <f t="shared" si="86"/>
        <v>0</v>
      </c>
      <c r="AC98" s="1568">
        <f>COUNTIFS('Лист15'!$H$1:$H1001,$AC$1,'Лист15'!$A$1:$A1001,$C98)</f>
        <v>0</v>
      </c>
      <c r="AD98" s="1569">
        <f>SUMIFS('Лист15'!$G$1:$G1001,'Лист15'!$H$1:$H1001,$AC$1,'Лист15'!$A$1:$A1001,$C98)</f>
        <v>0</v>
      </c>
      <c r="AE98" s="1570">
        <f t="shared" si="87"/>
        <v>0</v>
      </c>
    </row>
    <row r="99" ht="17.25" customHeight="1">
      <c r="A99" s="1587" t="str">
        <f>'1. Справочник'!B157</f>
        <v/>
      </c>
      <c r="B99" s="1588">
        <v>1.0</v>
      </c>
      <c r="C99" s="1589" t="str">
        <f>'1. Справочник'!C157</f>
        <v>TGB11</v>
      </c>
      <c r="D99" s="1590" t="str">
        <f>'Стратегия'!G113</f>
        <v>80/20</v>
      </c>
      <c r="E99" s="1591">
        <f>COUNTIFS('Лист15'!$H$1:$H1001,$E$1,'Лист15'!$A$1:$A1001,$C99)</f>
        <v>0</v>
      </c>
      <c r="F99" s="1591">
        <f>SUMIFS('Лист15'!$G$1:$G1001,'Лист15'!$H$1:$H1001,$E$1,'Лист15'!$A$1:$A1001,$C99)</f>
        <v>0</v>
      </c>
      <c r="G99" s="1592">
        <f t="shared" si="96"/>
        <v>0</v>
      </c>
      <c r="H99" s="1593">
        <f>COUNTIFS('Лист15'!$H$1:$H1001,$H$1,'Лист15'!$A$1:$A1001,$C99)</f>
        <v>0</v>
      </c>
      <c r="I99" s="1594">
        <f>SUMIFS('Лист15'!$G$1:$G1001,'Лист15'!$H$1:$H1001,$H$1,'Лист15'!$A$1:$A1001,$C99)</f>
        <v>0</v>
      </c>
      <c r="J99" s="1595">
        <f t="shared" si="90"/>
        <v>0</v>
      </c>
      <c r="K99" s="1591">
        <f>COUNTIFS('Лист15'!$H$1:$H1001,$K$1,'Лист15'!$A$1:$A1001,$C99)</f>
        <v>0</v>
      </c>
      <c r="L99" s="1594">
        <f>SUMIFS('Лист15'!$G$1:$G1001,'Лист15'!$H$1:$H1001,$K$1,'Лист15'!$A$1:$A1001,$C99)</f>
        <v>0</v>
      </c>
      <c r="M99" s="1595">
        <f t="shared" si="95"/>
        <v>0</v>
      </c>
      <c r="N99" s="1591">
        <f>COUNTIFS('Лист15'!$H$1:$H1001,$N$1,'Лист15'!$A$1:$A1001,$C99)</f>
        <v>5</v>
      </c>
      <c r="O99" s="1594">
        <f>SUMIFS('Лист15'!$G$1:$G1001,'Лист15'!$H$1:$H1001,$N$1,'Лист15'!$A$1:$A1001,$C99)</f>
        <v>25</v>
      </c>
      <c r="P99" s="1596">
        <f t="shared" si="92"/>
        <v>0.8333333333</v>
      </c>
      <c r="Q99" s="1597">
        <f>COUNTIFS('Лист15'!$H$1:$H1001,$Q$1,'Лист15'!$A$1:$A1001,$C99)</f>
        <v>3</v>
      </c>
      <c r="R99" s="1598">
        <f>SUMIFS('Лист15'!$G$1:$G1001,'Лист15'!$H$1:$H1001,$Q$1,'Лист15'!$A$1:$A1001,$C99)</f>
        <v>16</v>
      </c>
      <c r="S99" s="1596">
        <f t="shared" si="93"/>
        <v>0.5333333333</v>
      </c>
      <c r="T99" s="1597">
        <f>COUNTIFS('Лист15'!$H$1:$H1001,$T$1,'Лист15'!$A$1:$A1001,$C99)</f>
        <v>0</v>
      </c>
      <c r="U99" s="1598">
        <f>SUMIFS('Лист15'!$G$1:$G1001,'Лист15'!$H$1:$H1001,$T$1,'Лист15'!$A$1:$A1001,$C99)</f>
        <v>0</v>
      </c>
      <c r="V99" s="1599">
        <f t="shared" si="94"/>
        <v>0</v>
      </c>
      <c r="W99" s="1600">
        <f>COUNTIFS('Лист15'!$H$1:$H1001,$W$1,'Лист15'!$A$1:$A1001,$C99)</f>
        <v>0</v>
      </c>
      <c r="X99" s="1601">
        <f>SUMIFS('Лист15'!$G$1:$G1001,'Лист15'!$H$1:$H1001,$W$1,'Лист15'!$A$1:$A1001,$C99)</f>
        <v>0</v>
      </c>
      <c r="Y99" s="1602">
        <f t="shared" si="85"/>
        <v>0</v>
      </c>
      <c r="Z99" s="1600">
        <f>COUNTIFS('Лист15'!$H$1:$H1001,$Z$1,'Лист15'!$A$1:$A1001,$C99)</f>
        <v>0</v>
      </c>
      <c r="AA99" s="1601">
        <f>SUMIFS('Лист15'!$G$1:$G1001,'Лист15'!$H$1:$H1001,$Z$1,'Лист15'!$A$1:$A1001,$C99)</f>
        <v>0</v>
      </c>
      <c r="AB99" s="1602">
        <f t="shared" si="86"/>
        <v>0</v>
      </c>
      <c r="AC99" s="1600">
        <f>COUNTIFS('Лист15'!$H$1:$H1001,$AC$1,'Лист15'!$A$1:$A1001,$C99)</f>
        <v>0</v>
      </c>
      <c r="AD99" s="1601">
        <f>SUMIFS('Лист15'!$G$1:$G1001,'Лист15'!$H$1:$H1001,$AC$1,'Лист15'!$A$1:$A1001,$C99)</f>
        <v>0</v>
      </c>
      <c r="AE99" s="1602">
        <f t="shared" si="87"/>
        <v>0</v>
      </c>
    </row>
    <row r="100" ht="15.75" customHeight="1">
      <c r="A100" s="164" t="str">
        <f>'1. Справочник'!B97</f>
        <v>Светлана</v>
      </c>
      <c r="B100" s="1603">
        <v>1.0</v>
      </c>
      <c r="C100" s="478" t="str">
        <f>'1. Справочник'!C97</f>
        <v>TGB195</v>
      </c>
      <c r="D100" s="1604"/>
      <c r="E100" s="7"/>
      <c r="F100" s="7"/>
      <c r="G100" s="1605"/>
      <c r="H100" s="7"/>
      <c r="I100" s="1606"/>
      <c r="J100" s="1607"/>
      <c r="K100" s="7"/>
      <c r="L100" s="1606"/>
      <c r="M100" s="1607"/>
      <c r="N100" s="7"/>
      <c r="O100" s="1606"/>
      <c r="P100" s="1607"/>
      <c r="Q100" s="164"/>
      <c r="R100" s="186"/>
      <c r="S100" s="1608"/>
      <c r="T100" s="186"/>
      <c r="U100" s="164"/>
      <c r="V100" s="1608"/>
      <c r="W100" s="164"/>
      <c r="X100" s="164"/>
      <c r="Y100" s="164"/>
      <c r="Z100" s="164"/>
      <c r="AA100" s="164"/>
      <c r="AB100" s="164"/>
      <c r="AC100" s="164"/>
      <c r="AD100" s="164"/>
      <c r="AE100" s="164"/>
    </row>
    <row r="101" ht="15.75" customHeight="1">
      <c r="A101" s="164" t="str">
        <f>'1. Справочник'!B101</f>
        <v/>
      </c>
      <c r="B101" s="1603">
        <v>1.0</v>
      </c>
      <c r="C101" s="478" t="str">
        <f>'1. Справочник'!C101</f>
        <v/>
      </c>
      <c r="D101" s="1604"/>
      <c r="E101" s="7"/>
      <c r="F101" s="7"/>
      <c r="G101" s="1605"/>
      <c r="H101" s="7"/>
      <c r="I101" s="1606"/>
      <c r="J101" s="1607"/>
      <c r="K101" s="7"/>
      <c r="L101" s="1606"/>
      <c r="M101" s="1607"/>
      <c r="N101" s="7"/>
      <c r="O101" s="1606"/>
      <c r="P101" s="1607"/>
      <c r="Q101" s="164"/>
      <c r="R101" s="186"/>
      <c r="S101" s="1608"/>
      <c r="T101" s="186"/>
      <c r="U101" s="164"/>
      <c r="V101" s="1608"/>
      <c r="W101" s="164"/>
      <c r="X101" s="164"/>
      <c r="Y101" s="164"/>
      <c r="Z101" s="164"/>
      <c r="AA101" s="164"/>
      <c r="AB101" s="164"/>
      <c r="AC101" s="164"/>
      <c r="AD101" s="164"/>
      <c r="AE101" s="164"/>
    </row>
    <row r="102" ht="15.75" customHeight="1">
      <c r="A102" s="164" t="str">
        <f>'1. Справочник'!B102</f>
        <v/>
      </c>
      <c r="B102" s="1603">
        <v>1.0</v>
      </c>
      <c r="C102" s="478" t="str">
        <f>'1. Справочник'!C102</f>
        <v/>
      </c>
      <c r="D102" s="1604"/>
      <c r="E102" s="7"/>
      <c r="F102" s="7"/>
      <c r="G102" s="1605"/>
      <c r="H102" s="7"/>
      <c r="I102" s="1606"/>
      <c r="J102" s="1607"/>
      <c r="K102" s="7"/>
      <c r="L102" s="1606"/>
      <c r="M102" s="1607"/>
      <c r="N102" s="7"/>
      <c r="O102" s="1606"/>
      <c r="P102" s="1607"/>
      <c r="Q102" s="164"/>
      <c r="R102" s="186"/>
      <c r="S102" s="1608"/>
      <c r="T102" s="186"/>
      <c r="U102" s="164"/>
      <c r="V102" s="1608"/>
      <c r="W102" s="164"/>
      <c r="X102" s="164"/>
      <c r="Y102" s="164"/>
      <c r="Z102" s="164"/>
      <c r="AA102" s="164"/>
      <c r="AB102" s="164"/>
      <c r="AC102" s="164"/>
      <c r="AD102" s="164"/>
      <c r="AE102" s="164"/>
    </row>
    <row r="103" ht="15.75" customHeight="1">
      <c r="A103" s="164" t="str">
        <f>'1. Справочник'!B103</f>
        <v/>
      </c>
      <c r="B103" s="1603">
        <v>1.0</v>
      </c>
      <c r="C103" s="478" t="str">
        <f>'1. Справочник'!C103</f>
        <v/>
      </c>
      <c r="D103" s="1604"/>
      <c r="E103" s="7"/>
      <c r="F103" s="7"/>
      <c r="G103" s="1605"/>
      <c r="H103" s="7"/>
      <c r="I103" s="1606"/>
      <c r="J103" s="1607"/>
      <c r="K103" s="7"/>
      <c r="L103" s="1606"/>
      <c r="M103" s="1607"/>
      <c r="N103" s="7"/>
      <c r="O103" s="1606"/>
      <c r="P103" s="1607"/>
      <c r="Q103" s="164"/>
      <c r="R103" s="186"/>
      <c r="S103" s="1608"/>
      <c r="T103" s="186"/>
      <c r="U103" s="164"/>
      <c r="V103" s="1608"/>
      <c r="W103" s="164"/>
      <c r="X103" s="164"/>
      <c r="Y103" s="164"/>
      <c r="Z103" s="164"/>
      <c r="AA103" s="164"/>
      <c r="AB103" s="164"/>
      <c r="AC103" s="164"/>
      <c r="AD103" s="164"/>
      <c r="AE103" s="164"/>
    </row>
    <row r="104" ht="15.75" customHeight="1">
      <c r="A104" s="164" t="str">
        <f>'1. Справочник'!B104</f>
        <v/>
      </c>
      <c r="B104" s="1603">
        <v>1.0</v>
      </c>
      <c r="C104" s="478" t="str">
        <f>'1. Справочник'!C104</f>
        <v/>
      </c>
      <c r="D104" s="1604"/>
      <c r="E104" s="7"/>
      <c r="F104" s="7"/>
      <c r="G104" s="1605"/>
      <c r="H104" s="7"/>
      <c r="I104" s="1606"/>
      <c r="J104" s="1607"/>
      <c r="K104" s="7"/>
      <c r="L104" s="1606"/>
      <c r="M104" s="1607"/>
      <c r="N104" s="7"/>
      <c r="O104" s="1606"/>
      <c r="P104" s="1607"/>
      <c r="Q104" s="164"/>
      <c r="R104" s="186"/>
      <c r="S104" s="1608"/>
      <c r="T104" s="186"/>
      <c r="U104" s="164"/>
      <c r="V104" s="1608"/>
      <c r="W104" s="164"/>
      <c r="X104" s="164"/>
      <c r="Y104" s="164"/>
      <c r="Z104" s="164"/>
      <c r="AA104" s="164"/>
      <c r="AB104" s="164"/>
      <c r="AC104" s="164"/>
      <c r="AD104" s="164"/>
      <c r="AE104" s="164"/>
    </row>
    <row r="105" ht="15.75" customHeight="1">
      <c r="A105" s="164" t="str">
        <f>'1. Справочник'!B105</f>
        <v/>
      </c>
      <c r="B105" s="1603">
        <v>1.0</v>
      </c>
      <c r="C105" s="478" t="str">
        <f>'1. Справочник'!C105</f>
        <v/>
      </c>
      <c r="D105" s="1604"/>
      <c r="E105" s="7"/>
      <c r="F105" s="7"/>
      <c r="G105" s="1605"/>
      <c r="H105" s="7"/>
      <c r="I105" s="1606"/>
      <c r="J105" s="1607"/>
      <c r="K105" s="7"/>
      <c r="L105" s="1606"/>
      <c r="M105" s="1607"/>
      <c r="N105" s="7"/>
      <c r="O105" s="1606"/>
      <c r="P105" s="1607"/>
      <c r="Q105" s="164"/>
      <c r="R105" s="186"/>
      <c r="S105" s="1608"/>
      <c r="T105" s="186"/>
      <c r="U105" s="164"/>
      <c r="V105" s="1608"/>
      <c r="W105" s="164"/>
      <c r="X105" s="164"/>
      <c r="Y105" s="164"/>
      <c r="Z105" s="164"/>
      <c r="AA105" s="164"/>
      <c r="AB105" s="164"/>
      <c r="AC105" s="164"/>
      <c r="AD105" s="164"/>
      <c r="AE105" s="164"/>
    </row>
    <row r="106" ht="15.75" customHeight="1">
      <c r="A106" s="164" t="str">
        <f>'1. Справочник'!B106</f>
        <v/>
      </c>
      <c r="B106" s="1603">
        <v>1.0</v>
      </c>
      <c r="C106" s="478" t="str">
        <f>'1. Справочник'!C106</f>
        <v/>
      </c>
      <c r="D106" s="1604"/>
      <c r="E106" s="7"/>
      <c r="F106" s="7"/>
      <c r="G106" s="1605"/>
      <c r="H106" s="7"/>
      <c r="I106" s="1606"/>
      <c r="J106" s="1607"/>
      <c r="K106" s="7"/>
      <c r="L106" s="1606"/>
      <c r="M106" s="1607"/>
      <c r="N106" s="7"/>
      <c r="O106" s="1606"/>
      <c r="P106" s="1607"/>
      <c r="Q106" s="164"/>
      <c r="R106" s="186"/>
      <c r="S106" s="1608"/>
      <c r="T106" s="186"/>
      <c r="U106" s="164"/>
      <c r="V106" s="1608"/>
      <c r="W106" s="164"/>
      <c r="X106" s="164"/>
      <c r="Y106" s="164"/>
      <c r="Z106" s="164"/>
      <c r="AA106" s="164"/>
      <c r="AB106" s="164"/>
      <c r="AC106" s="164"/>
      <c r="AD106" s="164"/>
      <c r="AE106" s="164"/>
    </row>
    <row r="107" ht="15.75" customHeight="1">
      <c r="A107" s="164" t="str">
        <f>'1. Справочник'!B107</f>
        <v/>
      </c>
      <c r="B107" s="1603">
        <v>1.0</v>
      </c>
      <c r="C107" s="478" t="str">
        <f>'1. Справочник'!C107</f>
        <v/>
      </c>
      <c r="D107" s="1604"/>
      <c r="E107" s="7"/>
      <c r="F107" s="7"/>
      <c r="G107" s="1605"/>
      <c r="H107" s="7"/>
      <c r="I107" s="1606"/>
      <c r="J107" s="1607"/>
      <c r="K107" s="7"/>
      <c r="L107" s="1606"/>
      <c r="M107" s="1607"/>
      <c r="N107" s="7"/>
      <c r="O107" s="1606"/>
      <c r="P107" s="1607"/>
      <c r="Q107" s="164"/>
      <c r="R107" s="186"/>
      <c r="S107" s="1608"/>
      <c r="T107" s="186"/>
      <c r="U107" s="164"/>
      <c r="V107" s="1608"/>
      <c r="W107" s="164"/>
      <c r="X107" s="164"/>
      <c r="Y107" s="164"/>
      <c r="Z107" s="164"/>
      <c r="AA107" s="164"/>
      <c r="AB107" s="164"/>
      <c r="AC107" s="164"/>
      <c r="AD107" s="164"/>
      <c r="AE107" s="164"/>
    </row>
    <row r="108" ht="15.75" customHeight="1">
      <c r="A108" s="164" t="str">
        <f>'1. Справочник'!B108</f>
        <v/>
      </c>
      <c r="B108" s="1603">
        <v>1.0</v>
      </c>
      <c r="C108" s="478" t="str">
        <f>'1. Справочник'!C108</f>
        <v/>
      </c>
      <c r="D108" s="1604"/>
      <c r="E108" s="7"/>
      <c r="F108" s="7"/>
      <c r="G108" s="1605"/>
      <c r="H108" s="7"/>
      <c r="I108" s="1606"/>
      <c r="J108" s="1607"/>
      <c r="K108" s="7"/>
      <c r="L108" s="1606"/>
      <c r="M108" s="1607"/>
      <c r="N108" s="7"/>
      <c r="O108" s="1606"/>
      <c r="P108" s="1607"/>
      <c r="Q108" s="164"/>
      <c r="R108" s="186"/>
      <c r="S108" s="1608"/>
      <c r="T108" s="186"/>
      <c r="U108" s="164"/>
      <c r="V108" s="1608"/>
      <c r="W108" s="164"/>
      <c r="X108" s="164"/>
      <c r="Y108" s="164"/>
      <c r="Z108" s="164"/>
      <c r="AA108" s="164"/>
      <c r="AB108" s="164"/>
      <c r="AC108" s="164"/>
      <c r="AD108" s="164"/>
      <c r="AE108" s="164"/>
    </row>
    <row r="109" ht="15.75" customHeight="1">
      <c r="A109" s="164" t="str">
        <f>'1. Справочник'!B109</f>
        <v/>
      </c>
      <c r="B109" s="1603">
        <v>1.0</v>
      </c>
      <c r="C109" s="478" t="str">
        <f>'1. Справочник'!C109</f>
        <v/>
      </c>
      <c r="D109" s="1604"/>
      <c r="E109" s="7"/>
      <c r="F109" s="7"/>
      <c r="G109" s="1605"/>
      <c r="H109" s="7"/>
      <c r="I109" s="1606"/>
      <c r="J109" s="1607"/>
      <c r="K109" s="7"/>
      <c r="L109" s="1606"/>
      <c r="M109" s="1607"/>
      <c r="N109" s="7"/>
      <c r="O109" s="1606"/>
      <c r="P109" s="1607"/>
      <c r="Q109" s="164"/>
      <c r="R109" s="186"/>
      <c r="S109" s="1608"/>
      <c r="T109" s="186"/>
      <c r="U109" s="164"/>
      <c r="V109" s="1608"/>
      <c r="W109" s="164"/>
      <c r="X109" s="164"/>
      <c r="Y109" s="164"/>
      <c r="Z109" s="164"/>
      <c r="AA109" s="164"/>
      <c r="AB109" s="164"/>
      <c r="AC109" s="164"/>
      <c r="AD109" s="164"/>
      <c r="AE109" s="164"/>
    </row>
    <row r="110" ht="15.75" customHeight="1">
      <c r="A110" s="164" t="str">
        <f>'1. Справочник'!B110</f>
        <v/>
      </c>
      <c r="B110" s="1603">
        <v>1.0</v>
      </c>
      <c r="C110" s="478" t="str">
        <f>'1. Справочник'!C110</f>
        <v/>
      </c>
      <c r="D110" s="1604"/>
      <c r="E110" s="7"/>
      <c r="F110" s="7"/>
      <c r="G110" s="1605"/>
      <c r="H110" s="7"/>
      <c r="I110" s="1606"/>
      <c r="J110" s="1607"/>
      <c r="K110" s="7"/>
      <c r="L110" s="1606"/>
      <c r="M110" s="1607"/>
      <c r="N110" s="7"/>
      <c r="O110" s="1606"/>
      <c r="P110" s="1607"/>
      <c r="Q110" s="164"/>
      <c r="R110" s="186"/>
      <c r="S110" s="1608"/>
      <c r="T110" s="186"/>
      <c r="U110" s="164"/>
      <c r="V110" s="1608"/>
      <c r="W110" s="164"/>
      <c r="X110" s="164"/>
      <c r="Y110" s="164"/>
      <c r="Z110" s="164"/>
      <c r="AA110" s="164"/>
      <c r="AB110" s="164"/>
      <c r="AC110" s="164"/>
      <c r="AD110" s="164"/>
      <c r="AE110" s="164"/>
    </row>
    <row r="111" ht="15.75" customHeight="1">
      <c r="A111" s="164" t="str">
        <f>'1. Справочник'!B111</f>
        <v/>
      </c>
      <c r="B111" s="1603">
        <v>1.0</v>
      </c>
      <c r="C111" s="478" t="str">
        <f>'1. Справочник'!C111</f>
        <v/>
      </c>
      <c r="D111" s="1604"/>
      <c r="E111" s="7"/>
      <c r="F111" s="7"/>
      <c r="G111" s="1605"/>
      <c r="H111" s="7"/>
      <c r="I111" s="1606"/>
      <c r="J111" s="1607"/>
      <c r="K111" s="7"/>
      <c r="L111" s="1606"/>
      <c r="M111" s="1607"/>
      <c r="N111" s="7"/>
      <c r="O111" s="1606"/>
      <c r="P111" s="1607"/>
      <c r="Q111" s="164"/>
      <c r="R111" s="186"/>
      <c r="S111" s="1608"/>
      <c r="T111" s="186"/>
      <c r="U111" s="164"/>
      <c r="V111" s="1608"/>
      <c r="W111" s="164"/>
      <c r="X111" s="164"/>
      <c r="Y111" s="164"/>
      <c r="Z111" s="164"/>
      <c r="AA111" s="164"/>
      <c r="AB111" s="164"/>
      <c r="AC111" s="164"/>
      <c r="AD111" s="164"/>
      <c r="AE111" s="164"/>
    </row>
    <row r="112" ht="15.75" customHeight="1">
      <c r="A112" s="164" t="str">
        <f>'1. Справочник'!B112</f>
        <v/>
      </c>
      <c r="B112" s="1603">
        <v>1.0</v>
      </c>
      <c r="C112" s="478" t="str">
        <f>'1. Справочник'!C112</f>
        <v/>
      </c>
      <c r="D112" s="1604"/>
      <c r="E112" s="7"/>
      <c r="F112" s="7"/>
      <c r="G112" s="1605"/>
      <c r="H112" s="7"/>
      <c r="I112" s="1606"/>
      <c r="J112" s="1607"/>
      <c r="K112" s="7"/>
      <c r="L112" s="1606"/>
      <c r="M112" s="1607"/>
      <c r="N112" s="7"/>
      <c r="O112" s="1606"/>
      <c r="P112" s="1607"/>
      <c r="Q112" s="164"/>
      <c r="R112" s="186"/>
      <c r="S112" s="1608"/>
      <c r="T112" s="186"/>
      <c r="U112" s="164"/>
      <c r="V112" s="1608"/>
      <c r="W112" s="164"/>
      <c r="X112" s="164"/>
      <c r="Y112" s="164"/>
      <c r="Z112" s="164"/>
      <c r="AA112" s="164"/>
      <c r="AB112" s="164"/>
      <c r="AC112" s="164"/>
      <c r="AD112" s="164"/>
      <c r="AE112" s="164"/>
    </row>
    <row r="113" ht="15.75" customHeight="1">
      <c r="A113" s="164" t="str">
        <f>'1. Справочник'!B113</f>
        <v/>
      </c>
      <c r="B113" s="1603">
        <v>1.0</v>
      </c>
      <c r="C113" s="478" t="str">
        <f>'1. Справочник'!C113</f>
        <v/>
      </c>
      <c r="D113" s="1604"/>
      <c r="E113" s="7"/>
      <c r="F113" s="7"/>
      <c r="G113" s="1605"/>
      <c r="H113" s="7"/>
      <c r="I113" s="1606"/>
      <c r="J113" s="1607"/>
      <c r="K113" s="7"/>
      <c r="L113" s="1606"/>
      <c r="M113" s="1607"/>
      <c r="N113" s="7"/>
      <c r="O113" s="1606"/>
      <c r="P113" s="1607"/>
      <c r="Q113" s="164"/>
      <c r="R113" s="186"/>
      <c r="S113" s="1608"/>
      <c r="T113" s="186"/>
      <c r="U113" s="164"/>
      <c r="V113" s="1608"/>
      <c r="W113" s="164"/>
      <c r="X113" s="164"/>
      <c r="Y113" s="164"/>
      <c r="Z113" s="164"/>
      <c r="AA113" s="164"/>
      <c r="AB113" s="164"/>
      <c r="AC113" s="164"/>
      <c r="AD113" s="164"/>
      <c r="AE113" s="164"/>
    </row>
    <row r="114" ht="15.75" customHeight="1">
      <c r="A114" s="164" t="str">
        <f>'1. Справочник'!B114</f>
        <v/>
      </c>
      <c r="B114" s="1603">
        <v>1.0</v>
      </c>
      <c r="C114" s="478" t="str">
        <f>'1. Справочник'!C114</f>
        <v/>
      </c>
      <c r="D114" s="1604"/>
      <c r="E114" s="7"/>
      <c r="F114" s="7"/>
      <c r="G114" s="1605"/>
      <c r="H114" s="7"/>
      <c r="I114" s="1606"/>
      <c r="J114" s="1607"/>
      <c r="K114" s="7"/>
      <c r="L114" s="1606"/>
      <c r="M114" s="1607"/>
      <c r="N114" s="7"/>
      <c r="O114" s="1606"/>
      <c r="P114" s="1607"/>
      <c r="Q114" s="164"/>
      <c r="R114" s="186"/>
      <c r="S114" s="1608"/>
      <c r="T114" s="186"/>
      <c r="U114" s="164"/>
      <c r="V114" s="1608"/>
      <c r="W114" s="164"/>
      <c r="X114" s="164"/>
      <c r="Y114" s="164"/>
      <c r="Z114" s="164"/>
      <c r="AA114" s="164"/>
      <c r="AB114" s="164"/>
      <c r="AC114" s="164"/>
      <c r="AD114" s="164"/>
      <c r="AE114" s="164"/>
    </row>
    <row r="115" ht="15.75" customHeight="1">
      <c r="A115" s="164" t="str">
        <f>'1. Справочник'!B115</f>
        <v/>
      </c>
      <c r="B115" s="1603">
        <v>1.0</v>
      </c>
      <c r="C115" s="478" t="str">
        <f>'1. Справочник'!C115</f>
        <v/>
      </c>
      <c r="D115" s="1604"/>
      <c r="E115" s="7"/>
      <c r="F115" s="7"/>
      <c r="G115" s="1605"/>
      <c r="H115" s="7"/>
      <c r="I115" s="1606"/>
      <c r="J115" s="1607"/>
      <c r="K115" s="7"/>
      <c r="L115" s="1606"/>
      <c r="M115" s="1607"/>
      <c r="N115" s="7"/>
      <c r="O115" s="1606"/>
      <c r="P115" s="1607"/>
      <c r="Q115" s="164"/>
      <c r="R115" s="186"/>
      <c r="S115" s="1608"/>
      <c r="T115" s="186"/>
      <c r="U115" s="164"/>
      <c r="V115" s="1608"/>
      <c r="W115" s="164"/>
      <c r="X115" s="164"/>
      <c r="Y115" s="164"/>
      <c r="Z115" s="164"/>
      <c r="AA115" s="164"/>
      <c r="AB115" s="164"/>
      <c r="AC115" s="164"/>
      <c r="AD115" s="164"/>
      <c r="AE115" s="164"/>
    </row>
    <row r="116" ht="15.75" customHeight="1">
      <c r="A116" s="164" t="str">
        <f>'1. Справочник'!B116</f>
        <v/>
      </c>
      <c r="B116" s="1603">
        <v>1.0</v>
      </c>
      <c r="C116" s="478" t="str">
        <f>'1. Справочник'!C116</f>
        <v/>
      </c>
      <c r="D116" s="1604"/>
      <c r="E116" s="7"/>
      <c r="F116" s="7"/>
      <c r="G116" s="1605"/>
      <c r="H116" s="7"/>
      <c r="I116" s="1606"/>
      <c r="J116" s="1607"/>
      <c r="K116" s="7"/>
      <c r="L116" s="1606"/>
      <c r="M116" s="1607"/>
      <c r="N116" s="7"/>
      <c r="O116" s="1606"/>
      <c r="P116" s="1607"/>
      <c r="Q116" s="164"/>
      <c r="R116" s="186"/>
      <c r="S116" s="1608"/>
      <c r="T116" s="186"/>
      <c r="U116" s="164"/>
      <c r="V116" s="1608"/>
      <c r="W116" s="164"/>
      <c r="X116" s="164"/>
      <c r="Y116" s="164"/>
      <c r="Z116" s="164"/>
      <c r="AA116" s="164"/>
      <c r="AB116" s="164"/>
      <c r="AC116" s="164"/>
      <c r="AD116" s="164"/>
      <c r="AE116" s="164"/>
    </row>
    <row r="117" ht="15.75" customHeight="1">
      <c r="A117" s="164" t="str">
        <f>'1. Справочник'!B117</f>
        <v/>
      </c>
      <c r="B117" s="1603">
        <v>1.0</v>
      </c>
      <c r="C117" s="478" t="str">
        <f>'1. Справочник'!C117</f>
        <v/>
      </c>
      <c r="D117" s="1604"/>
      <c r="E117" s="7"/>
      <c r="F117" s="7"/>
      <c r="G117" s="1605"/>
      <c r="H117" s="7"/>
      <c r="I117" s="1606"/>
      <c r="J117" s="1607"/>
      <c r="K117" s="7"/>
      <c r="L117" s="1606"/>
      <c r="M117" s="1607"/>
      <c r="N117" s="7"/>
      <c r="O117" s="1606"/>
      <c r="P117" s="1607"/>
      <c r="Q117" s="164"/>
      <c r="R117" s="186"/>
      <c r="S117" s="1608"/>
      <c r="T117" s="186"/>
      <c r="U117" s="164"/>
      <c r="V117" s="1608"/>
      <c r="W117" s="164"/>
      <c r="X117" s="164"/>
      <c r="Y117" s="164"/>
      <c r="Z117" s="164"/>
      <c r="AA117" s="164"/>
      <c r="AB117" s="164"/>
      <c r="AC117" s="164"/>
      <c r="AD117" s="164"/>
      <c r="AE117" s="164"/>
    </row>
    <row r="118" ht="15.75" customHeight="1">
      <c r="A118" s="164" t="str">
        <f>'1. Справочник'!B118</f>
        <v/>
      </c>
      <c r="B118" s="1603">
        <v>1.0</v>
      </c>
      <c r="C118" s="478" t="str">
        <f>'1. Справочник'!C118</f>
        <v/>
      </c>
      <c r="D118" s="1604"/>
      <c r="E118" s="7"/>
      <c r="F118" s="7"/>
      <c r="G118" s="1605"/>
      <c r="H118" s="7"/>
      <c r="I118" s="1606"/>
      <c r="J118" s="1607"/>
      <c r="K118" s="7"/>
      <c r="L118" s="1606"/>
      <c r="M118" s="1607"/>
      <c r="N118" s="7"/>
      <c r="O118" s="1606"/>
      <c r="P118" s="1607"/>
      <c r="Q118" s="164"/>
      <c r="R118" s="186"/>
      <c r="S118" s="1608"/>
      <c r="T118" s="186"/>
      <c r="U118" s="164"/>
      <c r="V118" s="1608"/>
      <c r="W118" s="164"/>
      <c r="X118" s="164"/>
      <c r="Y118" s="164"/>
      <c r="Z118" s="164"/>
      <c r="AA118" s="164"/>
      <c r="AB118" s="164"/>
      <c r="AC118" s="164"/>
      <c r="AD118" s="164"/>
      <c r="AE118" s="164"/>
    </row>
    <row r="119" ht="15.75" customHeight="1">
      <c r="A119" s="164"/>
      <c r="B119" s="1603"/>
      <c r="C119" s="478"/>
      <c r="D119" s="1604"/>
      <c r="E119" s="7"/>
      <c r="F119" s="7"/>
      <c r="G119" s="1605"/>
      <c r="H119" s="7"/>
      <c r="I119" s="1606"/>
      <c r="J119" s="1607"/>
      <c r="K119" s="7"/>
      <c r="L119" s="1606"/>
      <c r="M119" s="1607"/>
      <c r="N119" s="7"/>
      <c r="O119" s="1606"/>
      <c r="P119" s="1607"/>
      <c r="Q119" s="164"/>
      <c r="R119" s="186"/>
      <c r="S119" s="1608"/>
      <c r="T119" s="186"/>
      <c r="U119" s="164"/>
      <c r="V119" s="1608"/>
      <c r="W119" s="164"/>
      <c r="X119" s="164"/>
      <c r="Y119" s="164"/>
      <c r="Z119" s="164"/>
      <c r="AA119" s="164"/>
      <c r="AB119" s="164"/>
      <c r="AC119" s="164"/>
      <c r="AD119" s="164"/>
      <c r="AE119" s="164"/>
    </row>
    <row r="120" ht="15.75" customHeight="1">
      <c r="A120" s="164"/>
      <c r="B120" s="1603"/>
      <c r="C120" s="478"/>
      <c r="D120" s="1604"/>
      <c r="E120" s="7"/>
      <c r="F120" s="7"/>
      <c r="G120" s="1605"/>
      <c r="H120" s="7"/>
      <c r="I120" s="1606"/>
      <c r="J120" s="1607"/>
      <c r="K120" s="7"/>
      <c r="L120" s="1606"/>
      <c r="M120" s="1607"/>
      <c r="N120" s="7"/>
      <c r="O120" s="1606"/>
      <c r="P120" s="1607"/>
      <c r="Q120" s="164"/>
      <c r="R120" s="186"/>
      <c r="S120" s="1608"/>
      <c r="T120" s="186"/>
      <c r="U120" s="164"/>
      <c r="V120" s="1608"/>
      <c r="W120" s="164"/>
      <c r="X120" s="164"/>
      <c r="Y120" s="164"/>
      <c r="Z120" s="164"/>
      <c r="AA120" s="164"/>
      <c r="AB120" s="164"/>
      <c r="AC120" s="164"/>
      <c r="AD120" s="164"/>
      <c r="AE120" s="164"/>
    </row>
    <row r="121" ht="15.75" customHeight="1">
      <c r="A121" s="164"/>
      <c r="B121" s="1603"/>
      <c r="C121" s="478"/>
      <c r="D121" s="1604"/>
      <c r="E121" s="7"/>
      <c r="F121" s="7"/>
      <c r="G121" s="1605"/>
      <c r="H121" s="7"/>
      <c r="I121" s="1606"/>
      <c r="J121" s="1607"/>
      <c r="K121" s="7"/>
      <c r="L121" s="1606"/>
      <c r="M121" s="1607"/>
      <c r="N121" s="7"/>
      <c r="O121" s="1606"/>
      <c r="P121" s="1607"/>
      <c r="Q121" s="164"/>
      <c r="R121" s="186"/>
      <c r="S121" s="1608"/>
      <c r="T121" s="186"/>
      <c r="U121" s="164"/>
      <c r="V121" s="1608"/>
      <c r="W121" s="164"/>
      <c r="X121" s="164"/>
      <c r="Y121" s="164"/>
      <c r="Z121" s="164"/>
      <c r="AA121" s="164"/>
      <c r="AB121" s="164"/>
      <c r="AC121" s="164"/>
      <c r="AD121" s="164"/>
      <c r="AE121" s="164"/>
    </row>
    <row r="122" ht="15.75" customHeight="1">
      <c r="A122" s="164"/>
      <c r="B122" s="1603"/>
      <c r="C122" s="478"/>
      <c r="D122" s="1604"/>
      <c r="E122" s="7"/>
      <c r="F122" s="7"/>
      <c r="G122" s="1605"/>
      <c r="H122" s="7"/>
      <c r="I122" s="1606"/>
      <c r="J122" s="1607"/>
      <c r="K122" s="7"/>
      <c r="L122" s="1606"/>
      <c r="M122" s="1607"/>
      <c r="N122" s="7"/>
      <c r="O122" s="1606"/>
      <c r="P122" s="1607"/>
      <c r="Q122" s="164"/>
      <c r="R122" s="186"/>
      <c r="S122" s="1608"/>
      <c r="T122" s="186"/>
      <c r="U122" s="164"/>
      <c r="V122" s="1608"/>
      <c r="W122" s="164"/>
      <c r="X122" s="164"/>
      <c r="Y122" s="164"/>
      <c r="Z122" s="164"/>
      <c r="AA122" s="164"/>
      <c r="AB122" s="164"/>
      <c r="AC122" s="164"/>
      <c r="AD122" s="164"/>
      <c r="AE122" s="164"/>
    </row>
    <row r="123" ht="15.75" customHeight="1">
      <c r="A123" s="164"/>
      <c r="B123" s="1603"/>
      <c r="C123" s="478"/>
      <c r="D123" s="1604"/>
      <c r="E123" s="7"/>
      <c r="F123" s="7"/>
      <c r="G123" s="1605"/>
      <c r="H123" s="7"/>
      <c r="I123" s="1606"/>
      <c r="J123" s="1607"/>
      <c r="K123" s="7"/>
      <c r="L123" s="1606"/>
      <c r="M123" s="1607"/>
      <c r="N123" s="7"/>
      <c r="O123" s="1606"/>
      <c r="P123" s="1607"/>
      <c r="Q123" s="164"/>
      <c r="R123" s="186"/>
      <c r="S123" s="1608"/>
      <c r="T123" s="186"/>
      <c r="U123" s="164"/>
      <c r="V123" s="1608"/>
      <c r="W123" s="164"/>
      <c r="X123" s="164"/>
      <c r="Y123" s="164"/>
      <c r="Z123" s="164"/>
      <c r="AA123" s="164"/>
      <c r="AB123" s="164"/>
      <c r="AC123" s="164"/>
      <c r="AD123" s="164"/>
      <c r="AE123" s="164"/>
    </row>
    <row r="124" ht="15.75" customHeight="1">
      <c r="A124" s="164"/>
      <c r="B124" s="1603"/>
      <c r="C124" s="478"/>
      <c r="D124" s="1604"/>
      <c r="E124" s="7"/>
      <c r="F124" s="7"/>
      <c r="G124" s="1605"/>
      <c r="H124" s="7"/>
      <c r="I124" s="1606"/>
      <c r="J124" s="1607"/>
      <c r="K124" s="7"/>
      <c r="L124" s="1606"/>
      <c r="M124" s="1607"/>
      <c r="N124" s="7"/>
      <c r="O124" s="1606"/>
      <c r="P124" s="1607"/>
      <c r="Q124" s="164"/>
      <c r="R124" s="186"/>
      <c r="S124" s="1608"/>
      <c r="T124" s="186"/>
      <c r="U124" s="164"/>
      <c r="V124" s="1608"/>
      <c r="W124" s="164"/>
      <c r="X124" s="164"/>
      <c r="Y124" s="164"/>
      <c r="Z124" s="164"/>
      <c r="AA124" s="164"/>
      <c r="AB124" s="164"/>
      <c r="AC124" s="164"/>
      <c r="AD124" s="164"/>
      <c r="AE124" s="164"/>
    </row>
    <row r="125" ht="15.75" customHeight="1">
      <c r="A125" s="164"/>
      <c r="B125" s="1603"/>
      <c r="C125" s="478"/>
      <c r="D125" s="1604"/>
      <c r="E125" s="7"/>
      <c r="F125" s="7"/>
      <c r="G125" s="1605"/>
      <c r="H125" s="7"/>
      <c r="I125" s="1606"/>
      <c r="J125" s="1607"/>
      <c r="K125" s="7"/>
      <c r="L125" s="1606"/>
      <c r="M125" s="1607"/>
      <c r="N125" s="7"/>
      <c r="O125" s="1606"/>
      <c r="P125" s="1607"/>
      <c r="Q125" s="164"/>
      <c r="R125" s="186"/>
      <c r="S125" s="1608"/>
      <c r="T125" s="186"/>
      <c r="U125" s="164"/>
      <c r="V125" s="1608"/>
      <c r="W125" s="164"/>
      <c r="X125" s="164"/>
      <c r="Y125" s="164"/>
      <c r="Z125" s="164"/>
      <c r="AA125" s="164"/>
      <c r="AB125" s="164"/>
      <c r="AC125" s="164"/>
      <c r="AD125" s="164"/>
      <c r="AE125" s="164"/>
    </row>
    <row r="126" ht="15.75" customHeight="1">
      <c r="A126" s="164"/>
      <c r="B126" s="1603"/>
      <c r="C126" s="478"/>
      <c r="D126" s="1604"/>
      <c r="E126" s="7"/>
      <c r="F126" s="7"/>
      <c r="G126" s="1605"/>
      <c r="H126" s="7"/>
      <c r="I126" s="1606"/>
      <c r="J126" s="1607"/>
      <c r="K126" s="7"/>
      <c r="L126" s="1606"/>
      <c r="M126" s="1607"/>
      <c r="N126" s="7"/>
      <c r="O126" s="1606"/>
      <c r="P126" s="1607"/>
      <c r="Q126" s="164"/>
      <c r="R126" s="186"/>
      <c r="S126" s="1608"/>
      <c r="T126" s="186"/>
      <c r="U126" s="164"/>
      <c r="V126" s="1608"/>
      <c r="W126" s="164"/>
      <c r="X126" s="164"/>
      <c r="Y126" s="164"/>
      <c r="Z126" s="164"/>
      <c r="AA126" s="164"/>
      <c r="AB126" s="164"/>
      <c r="AC126" s="164"/>
      <c r="AD126" s="164"/>
      <c r="AE126" s="164"/>
    </row>
    <row r="127" ht="15.75" customHeight="1">
      <c r="A127" s="164"/>
      <c r="B127" s="1603"/>
      <c r="C127" s="478"/>
      <c r="D127" s="1604"/>
      <c r="E127" s="7"/>
      <c r="F127" s="7"/>
      <c r="G127" s="1605"/>
      <c r="H127" s="7"/>
      <c r="I127" s="1606"/>
      <c r="J127" s="1607"/>
      <c r="K127" s="7"/>
      <c r="L127" s="1606"/>
      <c r="M127" s="1607"/>
      <c r="N127" s="7"/>
      <c r="O127" s="1606"/>
      <c r="P127" s="1607"/>
      <c r="Q127" s="164"/>
      <c r="R127" s="186"/>
      <c r="S127" s="1608"/>
      <c r="T127" s="186"/>
      <c r="U127" s="164"/>
      <c r="V127" s="1608"/>
      <c r="W127" s="164"/>
      <c r="X127" s="164"/>
      <c r="Y127" s="164"/>
      <c r="Z127" s="164"/>
      <c r="AA127" s="164"/>
      <c r="AB127" s="164"/>
      <c r="AC127" s="164"/>
      <c r="AD127" s="164"/>
      <c r="AE127" s="164"/>
    </row>
    <row r="128" ht="15.75" customHeight="1">
      <c r="A128" s="164"/>
      <c r="B128" s="1603"/>
      <c r="C128" s="478"/>
      <c r="D128" s="1604"/>
      <c r="E128" s="7"/>
      <c r="F128" s="7"/>
      <c r="G128" s="1605"/>
      <c r="H128" s="7"/>
      <c r="I128" s="1606"/>
      <c r="J128" s="1607"/>
      <c r="K128" s="7"/>
      <c r="L128" s="1606"/>
      <c r="M128" s="1607"/>
      <c r="N128" s="7"/>
      <c r="O128" s="1606"/>
      <c r="P128" s="1607"/>
      <c r="Q128" s="164"/>
      <c r="R128" s="186"/>
      <c r="S128" s="1608"/>
      <c r="T128" s="186"/>
      <c r="U128" s="164"/>
      <c r="V128" s="1608"/>
      <c r="W128" s="164"/>
      <c r="X128" s="164"/>
      <c r="Y128" s="164"/>
      <c r="Z128" s="164"/>
      <c r="AA128" s="164"/>
      <c r="AB128" s="164"/>
      <c r="AC128" s="164"/>
      <c r="AD128" s="164"/>
      <c r="AE128" s="164"/>
    </row>
    <row r="129" ht="15.75" customHeight="1">
      <c r="A129" s="164"/>
      <c r="B129" s="1603"/>
      <c r="C129" s="478"/>
      <c r="D129" s="1604"/>
      <c r="E129" s="7"/>
      <c r="F129" s="7"/>
      <c r="G129" s="1605"/>
      <c r="H129" s="7"/>
      <c r="I129" s="1606"/>
      <c r="J129" s="1607"/>
      <c r="K129" s="7"/>
      <c r="L129" s="1606"/>
      <c r="M129" s="1607"/>
      <c r="N129" s="7"/>
      <c r="O129" s="1606"/>
      <c r="P129" s="1607"/>
      <c r="Q129" s="164"/>
      <c r="R129" s="186"/>
      <c r="S129" s="1608"/>
      <c r="T129" s="186"/>
      <c r="U129" s="164"/>
      <c r="V129" s="1608"/>
      <c r="W129" s="164"/>
      <c r="X129" s="164"/>
      <c r="Y129" s="164"/>
      <c r="Z129" s="164"/>
      <c r="AA129" s="164"/>
      <c r="AB129" s="164"/>
      <c r="AC129" s="164"/>
      <c r="AD129" s="164"/>
      <c r="AE129" s="164"/>
    </row>
    <row r="130" ht="15.75" customHeight="1">
      <c r="A130" s="164"/>
      <c r="B130" s="1603"/>
      <c r="C130" s="478"/>
      <c r="D130" s="1604"/>
      <c r="E130" s="7"/>
      <c r="F130" s="7"/>
      <c r="G130" s="1605"/>
      <c r="H130" s="7"/>
      <c r="I130" s="1606"/>
      <c r="J130" s="1607"/>
      <c r="K130" s="7"/>
      <c r="L130" s="1606"/>
      <c r="M130" s="1607"/>
      <c r="N130" s="7"/>
      <c r="O130" s="1606"/>
      <c r="P130" s="1607"/>
      <c r="Q130" s="164"/>
      <c r="R130" s="186"/>
      <c r="S130" s="1608"/>
      <c r="T130" s="186"/>
      <c r="U130" s="164"/>
      <c r="V130" s="1608"/>
      <c r="W130" s="164"/>
      <c r="X130" s="164"/>
      <c r="Y130" s="164"/>
      <c r="Z130" s="164"/>
      <c r="AA130" s="164"/>
      <c r="AB130" s="164"/>
      <c r="AC130" s="164"/>
      <c r="AD130" s="164"/>
      <c r="AE130" s="164"/>
    </row>
    <row r="131" ht="15.75" customHeight="1">
      <c r="A131" s="164"/>
      <c r="B131" s="1603"/>
      <c r="C131" s="478"/>
      <c r="D131" s="1604"/>
      <c r="E131" s="7"/>
      <c r="F131" s="7"/>
      <c r="G131" s="1605"/>
      <c r="H131" s="7"/>
      <c r="I131" s="1606"/>
      <c r="J131" s="1607"/>
      <c r="K131" s="7"/>
      <c r="L131" s="1606"/>
      <c r="M131" s="1607"/>
      <c r="N131" s="7"/>
      <c r="O131" s="1606"/>
      <c r="P131" s="1607"/>
      <c r="Q131" s="164"/>
      <c r="R131" s="186"/>
      <c r="S131" s="1608"/>
      <c r="T131" s="186"/>
      <c r="U131" s="164"/>
      <c r="V131" s="1608"/>
      <c r="W131" s="164"/>
      <c r="X131" s="164"/>
      <c r="Y131" s="164"/>
      <c r="Z131" s="164"/>
      <c r="AA131" s="164"/>
      <c r="AB131" s="164"/>
      <c r="AC131" s="164"/>
      <c r="AD131" s="164"/>
      <c r="AE131" s="164"/>
    </row>
    <row r="132" ht="15.75" customHeight="1">
      <c r="A132" s="164"/>
      <c r="B132" s="1603"/>
      <c r="C132" s="478"/>
      <c r="D132" s="1604"/>
      <c r="E132" s="7"/>
      <c r="F132" s="7"/>
      <c r="G132" s="1605"/>
      <c r="H132" s="7"/>
      <c r="I132" s="1606"/>
      <c r="J132" s="1607"/>
      <c r="K132" s="7"/>
      <c r="L132" s="1606"/>
      <c r="M132" s="1607"/>
      <c r="N132" s="7"/>
      <c r="O132" s="1606"/>
      <c r="P132" s="1607"/>
      <c r="Q132" s="164"/>
      <c r="R132" s="186"/>
      <c r="S132" s="1608"/>
      <c r="T132" s="186"/>
      <c r="U132" s="164"/>
      <c r="V132" s="1608"/>
      <c r="W132" s="164"/>
      <c r="X132" s="164"/>
      <c r="Y132" s="164"/>
      <c r="Z132" s="164"/>
      <c r="AA132" s="164"/>
      <c r="AB132" s="164"/>
      <c r="AC132" s="164"/>
      <c r="AD132" s="164"/>
      <c r="AE132" s="164"/>
    </row>
    <row r="133" ht="15.75" customHeight="1">
      <c r="A133" s="164"/>
      <c r="B133" s="1603"/>
      <c r="C133" s="478"/>
      <c r="D133" s="1604"/>
      <c r="E133" s="7"/>
      <c r="F133" s="7"/>
      <c r="G133" s="1605"/>
      <c r="H133" s="7"/>
      <c r="I133" s="1606"/>
      <c r="J133" s="1607"/>
      <c r="K133" s="7"/>
      <c r="L133" s="1606"/>
      <c r="M133" s="1607"/>
      <c r="N133" s="7"/>
      <c r="O133" s="1606"/>
      <c r="P133" s="1607"/>
      <c r="Q133" s="164"/>
      <c r="R133" s="186"/>
      <c r="S133" s="1608"/>
      <c r="T133" s="186"/>
      <c r="U133" s="164"/>
      <c r="V133" s="1608"/>
      <c r="W133" s="164"/>
      <c r="X133" s="164"/>
      <c r="Y133" s="164"/>
      <c r="Z133" s="164"/>
      <c r="AA133" s="164"/>
      <c r="AB133" s="164"/>
      <c r="AC133" s="164"/>
      <c r="AD133" s="164"/>
      <c r="AE133" s="164"/>
    </row>
    <row r="134" ht="15.75" customHeight="1">
      <c r="A134" s="164"/>
      <c r="B134" s="1603"/>
      <c r="C134" s="478"/>
      <c r="D134" s="1604"/>
      <c r="E134" s="7"/>
      <c r="F134" s="7"/>
      <c r="G134" s="1605"/>
      <c r="H134" s="7"/>
      <c r="I134" s="1606"/>
      <c r="J134" s="1607"/>
      <c r="K134" s="7"/>
      <c r="L134" s="1606"/>
      <c r="M134" s="1607"/>
      <c r="N134" s="7"/>
      <c r="O134" s="1606"/>
      <c r="P134" s="1607"/>
      <c r="Q134" s="164"/>
      <c r="R134" s="186"/>
      <c r="S134" s="1608"/>
      <c r="T134" s="186"/>
      <c r="U134" s="164"/>
      <c r="V134" s="1608"/>
      <c r="W134" s="164"/>
      <c r="X134" s="164"/>
      <c r="Y134" s="164"/>
      <c r="Z134" s="164"/>
      <c r="AA134" s="164"/>
      <c r="AB134" s="164"/>
      <c r="AC134" s="164"/>
      <c r="AD134" s="164"/>
      <c r="AE134" s="164"/>
    </row>
    <row r="135" ht="15.75" customHeight="1">
      <c r="A135" s="164"/>
      <c r="B135" s="1603"/>
      <c r="C135" s="478"/>
      <c r="D135" s="1604"/>
      <c r="E135" s="7"/>
      <c r="F135" s="7"/>
      <c r="G135" s="1605"/>
      <c r="H135" s="7"/>
      <c r="I135" s="1606"/>
      <c r="J135" s="1607"/>
      <c r="K135" s="7"/>
      <c r="L135" s="1606"/>
      <c r="M135" s="1607"/>
      <c r="N135" s="7"/>
      <c r="O135" s="1606"/>
      <c r="P135" s="1607"/>
      <c r="Q135" s="164"/>
      <c r="R135" s="186"/>
      <c r="S135" s="1608"/>
      <c r="T135" s="186"/>
      <c r="U135" s="164"/>
      <c r="V135" s="1608"/>
      <c r="W135" s="164"/>
      <c r="X135" s="164"/>
      <c r="Y135" s="164"/>
      <c r="Z135" s="164"/>
      <c r="AA135" s="164"/>
      <c r="AB135" s="164"/>
      <c r="AC135" s="164"/>
      <c r="AD135" s="164"/>
      <c r="AE135" s="164"/>
    </row>
    <row r="136" ht="15.75" customHeight="1">
      <c r="A136" s="164"/>
      <c r="B136" s="1603"/>
      <c r="C136" s="478"/>
      <c r="D136" s="1604"/>
      <c r="E136" s="7"/>
      <c r="F136" s="7"/>
      <c r="G136" s="1605"/>
      <c r="H136" s="7"/>
      <c r="I136" s="1606"/>
      <c r="J136" s="1607"/>
      <c r="K136" s="7"/>
      <c r="L136" s="1606"/>
      <c r="M136" s="1607"/>
      <c r="N136" s="7"/>
      <c r="O136" s="1606"/>
      <c r="P136" s="1607"/>
      <c r="Q136" s="164"/>
      <c r="R136" s="186"/>
      <c r="S136" s="1608"/>
      <c r="T136" s="186"/>
      <c r="U136" s="164"/>
      <c r="V136" s="1608"/>
      <c r="W136" s="164"/>
      <c r="X136" s="164"/>
      <c r="Y136" s="164"/>
      <c r="Z136" s="164"/>
      <c r="AA136" s="164"/>
      <c r="AB136" s="164"/>
      <c r="AC136" s="164"/>
      <c r="AD136" s="164"/>
      <c r="AE136" s="164"/>
    </row>
    <row r="137" ht="15.75" customHeight="1">
      <c r="A137" s="164"/>
      <c r="B137" s="1603"/>
      <c r="C137" s="478"/>
      <c r="D137" s="1604"/>
      <c r="E137" s="7"/>
      <c r="F137" s="7"/>
      <c r="G137" s="1605"/>
      <c r="H137" s="7"/>
      <c r="I137" s="1606"/>
      <c r="J137" s="1607"/>
      <c r="K137" s="7"/>
      <c r="L137" s="1606"/>
      <c r="M137" s="1607"/>
      <c r="N137" s="7"/>
      <c r="O137" s="1606"/>
      <c r="P137" s="1607"/>
      <c r="Q137" s="164"/>
      <c r="R137" s="186"/>
      <c r="S137" s="1608"/>
      <c r="T137" s="186"/>
      <c r="U137" s="164"/>
      <c r="V137" s="1608"/>
      <c r="W137" s="164"/>
      <c r="X137" s="164"/>
      <c r="Y137" s="164"/>
      <c r="Z137" s="164"/>
      <c r="AA137" s="164"/>
      <c r="AB137" s="164"/>
      <c r="AC137" s="164"/>
      <c r="AD137" s="164"/>
      <c r="AE137" s="164"/>
    </row>
    <row r="138" ht="15.75" customHeight="1">
      <c r="A138" s="164"/>
      <c r="B138" s="1603"/>
      <c r="C138" s="478"/>
      <c r="D138" s="1604"/>
      <c r="E138" s="7"/>
      <c r="F138" s="7"/>
      <c r="G138" s="1605"/>
      <c r="H138" s="7"/>
      <c r="I138" s="1606"/>
      <c r="J138" s="1607"/>
      <c r="K138" s="7"/>
      <c r="L138" s="1606"/>
      <c r="M138" s="1607"/>
      <c r="N138" s="7"/>
      <c r="O138" s="1606"/>
      <c r="P138" s="1607"/>
      <c r="Q138" s="164"/>
      <c r="R138" s="186"/>
      <c r="S138" s="1608"/>
      <c r="T138" s="186"/>
      <c r="U138" s="164"/>
      <c r="V138" s="1608"/>
      <c r="W138" s="164"/>
      <c r="X138" s="164"/>
      <c r="Y138" s="164"/>
      <c r="Z138" s="164"/>
      <c r="AA138" s="164"/>
      <c r="AB138" s="164"/>
      <c r="AC138" s="164"/>
      <c r="AD138" s="164"/>
      <c r="AE138" s="164"/>
    </row>
    <row r="139" ht="15.75" customHeight="1">
      <c r="A139" s="164"/>
      <c r="B139" s="1603"/>
      <c r="C139" s="478"/>
      <c r="D139" s="1604"/>
      <c r="E139" s="7"/>
      <c r="F139" s="7"/>
      <c r="G139" s="1605"/>
      <c r="H139" s="7"/>
      <c r="I139" s="1606"/>
      <c r="J139" s="1607"/>
      <c r="K139" s="7"/>
      <c r="L139" s="1606"/>
      <c r="M139" s="1607"/>
      <c r="N139" s="7"/>
      <c r="O139" s="1606"/>
      <c r="P139" s="1607"/>
      <c r="Q139" s="164"/>
      <c r="R139" s="186"/>
      <c r="S139" s="1608"/>
      <c r="T139" s="186"/>
      <c r="U139" s="164"/>
      <c r="V139" s="1608"/>
      <c r="W139" s="164"/>
      <c r="X139" s="164"/>
      <c r="Y139" s="164"/>
      <c r="Z139" s="164"/>
      <c r="AA139" s="164"/>
      <c r="AB139" s="164"/>
      <c r="AC139" s="164"/>
      <c r="AD139" s="164"/>
      <c r="AE139" s="164"/>
    </row>
    <row r="140" ht="15.75" customHeight="1">
      <c r="A140" s="164"/>
      <c r="B140" s="1603"/>
      <c r="C140" s="478"/>
      <c r="D140" s="1604"/>
      <c r="E140" s="7"/>
      <c r="F140" s="7"/>
      <c r="G140" s="1605"/>
      <c r="H140" s="7"/>
      <c r="I140" s="1606"/>
      <c r="J140" s="1607"/>
      <c r="K140" s="7"/>
      <c r="L140" s="1606"/>
      <c r="M140" s="1607"/>
      <c r="N140" s="7"/>
      <c r="O140" s="1606"/>
      <c r="P140" s="1607"/>
      <c r="Q140" s="164"/>
      <c r="R140" s="186"/>
      <c r="S140" s="1608"/>
      <c r="T140" s="186"/>
      <c r="U140" s="164"/>
      <c r="V140" s="1608"/>
      <c r="W140" s="164"/>
      <c r="X140" s="164"/>
      <c r="Y140" s="164"/>
      <c r="Z140" s="164"/>
      <c r="AA140" s="164"/>
      <c r="AB140" s="164"/>
      <c r="AC140" s="164"/>
      <c r="AD140" s="164"/>
      <c r="AE140" s="164"/>
    </row>
    <row r="141" ht="15.75" customHeight="1">
      <c r="A141" s="164"/>
      <c r="B141" s="1603"/>
      <c r="C141" s="478"/>
      <c r="D141" s="1604"/>
      <c r="E141" s="7"/>
      <c r="F141" s="7"/>
      <c r="G141" s="1605"/>
      <c r="H141" s="7"/>
      <c r="I141" s="1606"/>
      <c r="J141" s="1607"/>
      <c r="K141" s="7"/>
      <c r="L141" s="1606"/>
      <c r="M141" s="1607"/>
      <c r="N141" s="7"/>
      <c r="O141" s="1606"/>
      <c r="P141" s="1607"/>
      <c r="Q141" s="164"/>
      <c r="R141" s="186"/>
      <c r="S141" s="1608"/>
      <c r="T141" s="186"/>
      <c r="U141" s="164"/>
      <c r="V141" s="1608"/>
      <c r="W141" s="164"/>
      <c r="X141" s="164"/>
      <c r="Y141" s="164"/>
      <c r="Z141" s="164"/>
      <c r="AA141" s="164"/>
      <c r="AB141" s="164"/>
      <c r="AC141" s="164"/>
      <c r="AD141" s="164"/>
      <c r="AE141" s="164"/>
    </row>
    <row r="142" ht="15.75" customHeight="1">
      <c r="A142" s="164"/>
      <c r="B142" s="1603"/>
      <c r="C142" s="478"/>
      <c r="D142" s="1604"/>
      <c r="E142" s="7"/>
      <c r="F142" s="7"/>
      <c r="G142" s="1605"/>
      <c r="H142" s="7"/>
      <c r="I142" s="1606"/>
      <c r="J142" s="1607"/>
      <c r="K142" s="7"/>
      <c r="L142" s="1606"/>
      <c r="M142" s="1607"/>
      <c r="N142" s="7"/>
      <c r="O142" s="1606"/>
      <c r="P142" s="1607"/>
      <c r="Q142" s="164"/>
      <c r="R142" s="186"/>
      <c r="S142" s="1608"/>
      <c r="T142" s="186"/>
      <c r="U142" s="164"/>
      <c r="V142" s="1608"/>
      <c r="W142" s="164"/>
      <c r="X142" s="164"/>
      <c r="Y142" s="164"/>
      <c r="Z142" s="164"/>
      <c r="AA142" s="164"/>
      <c r="AB142" s="164"/>
      <c r="AC142" s="164"/>
      <c r="AD142" s="164"/>
      <c r="AE142" s="164"/>
    </row>
    <row r="143" ht="15.75" customHeight="1">
      <c r="A143" s="164"/>
      <c r="B143" s="1603"/>
      <c r="C143" s="478"/>
      <c r="D143" s="1604"/>
      <c r="E143" s="7"/>
      <c r="F143" s="7"/>
      <c r="G143" s="1605"/>
      <c r="H143" s="7"/>
      <c r="I143" s="1606"/>
      <c r="J143" s="1607"/>
      <c r="K143" s="7"/>
      <c r="L143" s="1606"/>
      <c r="M143" s="1607"/>
      <c r="N143" s="7"/>
      <c r="O143" s="1606"/>
      <c r="P143" s="1607"/>
      <c r="Q143" s="164"/>
      <c r="R143" s="186"/>
      <c r="S143" s="1608"/>
      <c r="T143" s="186"/>
      <c r="U143" s="164"/>
      <c r="V143" s="1608"/>
      <c r="W143" s="164"/>
      <c r="X143" s="164"/>
      <c r="Y143" s="164"/>
      <c r="Z143" s="164"/>
      <c r="AA143" s="164"/>
      <c r="AB143" s="164"/>
      <c r="AC143" s="164"/>
      <c r="AD143" s="164"/>
      <c r="AE143" s="164"/>
    </row>
    <row r="144" ht="15.75" customHeight="1">
      <c r="A144" s="164"/>
      <c r="B144" s="1603"/>
      <c r="C144" s="478"/>
      <c r="D144" s="1604"/>
      <c r="E144" s="7"/>
      <c r="F144" s="7"/>
      <c r="G144" s="1605"/>
      <c r="H144" s="7"/>
      <c r="I144" s="1606"/>
      <c r="J144" s="1607"/>
      <c r="K144" s="7"/>
      <c r="L144" s="1606"/>
      <c r="M144" s="1607"/>
      <c r="N144" s="7"/>
      <c r="O144" s="1606"/>
      <c r="P144" s="1607"/>
      <c r="Q144" s="164"/>
      <c r="R144" s="186"/>
      <c r="S144" s="1608"/>
      <c r="T144" s="186"/>
      <c r="U144" s="164"/>
      <c r="V144" s="1608"/>
      <c r="W144" s="164"/>
      <c r="X144" s="164"/>
      <c r="Y144" s="164"/>
      <c r="Z144" s="164"/>
      <c r="AA144" s="164"/>
      <c r="AB144" s="164"/>
      <c r="AC144" s="164"/>
      <c r="AD144" s="164"/>
      <c r="AE144" s="164"/>
    </row>
    <row r="145" ht="15.75" customHeight="1">
      <c r="A145" s="164"/>
      <c r="B145" s="1603"/>
      <c r="C145" s="478"/>
      <c r="D145" s="1604"/>
      <c r="E145" s="7"/>
      <c r="F145" s="7"/>
      <c r="G145" s="1605"/>
      <c r="H145" s="7"/>
      <c r="I145" s="1606"/>
      <c r="J145" s="1607"/>
      <c r="K145" s="7"/>
      <c r="L145" s="1606"/>
      <c r="M145" s="1607"/>
      <c r="N145" s="7"/>
      <c r="O145" s="1606"/>
      <c r="P145" s="1607"/>
      <c r="Q145" s="164"/>
      <c r="R145" s="186"/>
      <c r="S145" s="1608"/>
      <c r="T145" s="186"/>
      <c r="U145" s="164"/>
      <c r="V145" s="1608"/>
      <c r="W145" s="164"/>
      <c r="X145" s="164"/>
      <c r="Y145" s="164"/>
      <c r="Z145" s="164"/>
      <c r="AA145" s="164"/>
      <c r="AB145" s="164"/>
      <c r="AC145" s="164"/>
      <c r="AD145" s="164"/>
      <c r="AE145" s="164"/>
    </row>
    <row r="146" ht="15.75" customHeight="1">
      <c r="A146" s="164"/>
      <c r="B146" s="1603"/>
      <c r="C146" s="478"/>
      <c r="D146" s="1604"/>
      <c r="E146" s="7"/>
      <c r="F146" s="7"/>
      <c r="G146" s="1605"/>
      <c r="H146" s="7"/>
      <c r="I146" s="1606"/>
      <c r="J146" s="1607"/>
      <c r="K146" s="7"/>
      <c r="L146" s="1606"/>
      <c r="M146" s="1607"/>
      <c r="N146" s="7"/>
      <c r="O146" s="1606"/>
      <c r="P146" s="1607"/>
      <c r="Q146" s="164"/>
      <c r="R146" s="186"/>
      <c r="S146" s="1608"/>
      <c r="T146" s="186"/>
      <c r="U146" s="164"/>
      <c r="V146" s="1608"/>
      <c r="W146" s="164"/>
      <c r="X146" s="164"/>
      <c r="Y146" s="164"/>
      <c r="Z146" s="164"/>
      <c r="AA146" s="164"/>
      <c r="AB146" s="164"/>
      <c r="AC146" s="164"/>
      <c r="AD146" s="164"/>
      <c r="AE146" s="164"/>
    </row>
    <row r="147" ht="15.75" customHeight="1">
      <c r="A147" s="164"/>
      <c r="B147" s="1603"/>
      <c r="C147" s="478"/>
      <c r="D147" s="1604"/>
      <c r="E147" s="7"/>
      <c r="F147" s="7"/>
      <c r="G147" s="1605"/>
      <c r="H147" s="7"/>
      <c r="I147" s="1606"/>
      <c r="J147" s="1607"/>
      <c r="K147" s="7"/>
      <c r="L147" s="1606"/>
      <c r="M147" s="1607"/>
      <c r="N147" s="7"/>
      <c r="O147" s="1606"/>
      <c r="P147" s="1607"/>
      <c r="Q147" s="164"/>
      <c r="R147" s="186"/>
      <c r="S147" s="1608"/>
      <c r="T147" s="186"/>
      <c r="U147" s="164"/>
      <c r="V147" s="1608"/>
      <c r="W147" s="164"/>
      <c r="X147" s="164"/>
      <c r="Y147" s="164"/>
      <c r="Z147" s="164"/>
      <c r="AA147" s="164"/>
      <c r="AB147" s="164"/>
      <c r="AC147" s="164"/>
      <c r="AD147" s="164"/>
      <c r="AE147" s="164"/>
    </row>
    <row r="148" ht="15.75" customHeight="1">
      <c r="A148" s="164"/>
      <c r="B148" s="1603"/>
      <c r="C148" s="478"/>
      <c r="D148" s="1604"/>
      <c r="E148" s="7"/>
      <c r="F148" s="7"/>
      <c r="G148" s="1605"/>
      <c r="H148" s="7"/>
      <c r="I148" s="1606"/>
      <c r="J148" s="1607"/>
      <c r="K148" s="7"/>
      <c r="L148" s="1606"/>
      <c r="M148" s="1607"/>
      <c r="N148" s="7"/>
      <c r="O148" s="1606"/>
      <c r="P148" s="1607"/>
      <c r="Q148" s="164"/>
      <c r="R148" s="186"/>
      <c r="S148" s="1608"/>
      <c r="T148" s="186"/>
      <c r="U148" s="164"/>
      <c r="V148" s="1608"/>
      <c r="W148" s="164"/>
      <c r="X148" s="164"/>
      <c r="Y148" s="164"/>
      <c r="Z148" s="164"/>
      <c r="AA148" s="164"/>
      <c r="AB148" s="164"/>
      <c r="AC148" s="164"/>
      <c r="AD148" s="164"/>
      <c r="AE148" s="164"/>
    </row>
    <row r="149" ht="15.75" customHeight="1">
      <c r="A149" s="164"/>
      <c r="B149" s="1603"/>
      <c r="C149" s="478"/>
      <c r="D149" s="1604"/>
      <c r="E149" s="7"/>
      <c r="F149" s="7"/>
      <c r="G149" s="1605"/>
      <c r="H149" s="7"/>
      <c r="I149" s="1606"/>
      <c r="J149" s="1607"/>
      <c r="K149" s="7"/>
      <c r="L149" s="1606"/>
      <c r="M149" s="1607"/>
      <c r="N149" s="7"/>
      <c r="O149" s="1606"/>
      <c r="P149" s="1607"/>
      <c r="Q149" s="164"/>
      <c r="R149" s="186"/>
      <c r="S149" s="1608"/>
      <c r="T149" s="186"/>
      <c r="U149" s="164"/>
      <c r="V149" s="1608"/>
      <c r="W149" s="164"/>
      <c r="X149" s="164"/>
      <c r="Y149" s="164"/>
      <c r="Z149" s="164"/>
      <c r="AA149" s="164"/>
      <c r="AB149" s="164"/>
      <c r="AC149" s="164"/>
      <c r="AD149" s="164"/>
      <c r="AE149" s="164"/>
    </row>
    <row r="150" ht="15.75" customHeight="1">
      <c r="A150" s="164"/>
      <c r="B150" s="1603"/>
      <c r="C150" s="478"/>
      <c r="D150" s="1604"/>
      <c r="E150" s="7"/>
      <c r="F150" s="7"/>
      <c r="G150" s="1605"/>
      <c r="H150" s="7"/>
      <c r="I150" s="1606"/>
      <c r="J150" s="1607"/>
      <c r="K150" s="7"/>
      <c r="L150" s="1606"/>
      <c r="M150" s="1607"/>
      <c r="N150" s="7"/>
      <c r="O150" s="1606"/>
      <c r="P150" s="1607"/>
      <c r="Q150" s="164"/>
      <c r="R150" s="186"/>
      <c r="S150" s="1608"/>
      <c r="T150" s="186"/>
      <c r="U150" s="164"/>
      <c r="V150" s="1608"/>
      <c r="W150" s="164"/>
      <c r="X150" s="164"/>
      <c r="Y150" s="164"/>
      <c r="Z150" s="164"/>
      <c r="AA150" s="164"/>
      <c r="AB150" s="164"/>
      <c r="AC150" s="164"/>
      <c r="AD150" s="164"/>
      <c r="AE150" s="164"/>
    </row>
    <row r="151" ht="15.75" customHeight="1">
      <c r="A151" s="164"/>
      <c r="B151" s="1603"/>
      <c r="C151" s="478"/>
      <c r="D151" s="1604"/>
      <c r="E151" s="7"/>
      <c r="F151" s="7"/>
      <c r="G151" s="1605"/>
      <c r="H151" s="7"/>
      <c r="I151" s="1606"/>
      <c r="J151" s="1607"/>
      <c r="K151" s="7"/>
      <c r="L151" s="1606"/>
      <c r="M151" s="1607"/>
      <c r="N151" s="7"/>
      <c r="O151" s="1606"/>
      <c r="P151" s="1607"/>
      <c r="Q151" s="164"/>
      <c r="R151" s="186"/>
      <c r="S151" s="1608"/>
      <c r="T151" s="186"/>
      <c r="U151" s="164"/>
      <c r="V151" s="1608"/>
      <c r="W151" s="164"/>
      <c r="X151" s="164"/>
      <c r="Y151" s="164"/>
      <c r="Z151" s="164"/>
      <c r="AA151" s="164"/>
      <c r="AB151" s="164"/>
      <c r="AC151" s="164"/>
      <c r="AD151" s="164"/>
      <c r="AE151" s="164"/>
    </row>
    <row r="152" ht="15.75" customHeight="1">
      <c r="A152" s="164"/>
      <c r="B152" s="1603"/>
      <c r="C152" s="478"/>
      <c r="D152" s="1604"/>
      <c r="E152" s="7"/>
      <c r="F152" s="7"/>
      <c r="G152" s="1605"/>
      <c r="H152" s="7"/>
      <c r="I152" s="1606"/>
      <c r="J152" s="1607"/>
      <c r="K152" s="7"/>
      <c r="L152" s="1606"/>
      <c r="M152" s="1607"/>
      <c r="N152" s="7"/>
      <c r="O152" s="1606"/>
      <c r="P152" s="1607"/>
      <c r="Q152" s="164"/>
      <c r="R152" s="186"/>
      <c r="S152" s="1608"/>
      <c r="T152" s="186"/>
      <c r="U152" s="164"/>
      <c r="V152" s="1608"/>
      <c r="W152" s="164"/>
      <c r="X152" s="164"/>
      <c r="Y152" s="164"/>
      <c r="Z152" s="164"/>
      <c r="AA152" s="164"/>
      <c r="AB152" s="164"/>
      <c r="AC152" s="164"/>
      <c r="AD152" s="164"/>
      <c r="AE152" s="164"/>
    </row>
    <row r="153" ht="15.75" customHeight="1">
      <c r="A153" s="164"/>
      <c r="B153" s="1603"/>
      <c r="C153" s="478"/>
      <c r="D153" s="1604"/>
      <c r="E153" s="7"/>
      <c r="F153" s="7"/>
      <c r="G153" s="1605"/>
      <c r="H153" s="7"/>
      <c r="I153" s="1606"/>
      <c r="J153" s="1607"/>
      <c r="K153" s="7"/>
      <c r="L153" s="1606"/>
      <c r="M153" s="1607"/>
      <c r="N153" s="7"/>
      <c r="O153" s="1606"/>
      <c r="P153" s="1607"/>
      <c r="Q153" s="164"/>
      <c r="R153" s="186"/>
      <c r="S153" s="1608"/>
      <c r="T153" s="186"/>
      <c r="U153" s="164"/>
      <c r="V153" s="1608"/>
      <c r="W153" s="164"/>
      <c r="X153" s="164"/>
      <c r="Y153" s="164"/>
      <c r="Z153" s="164"/>
      <c r="AA153" s="164"/>
      <c r="AB153" s="164"/>
      <c r="AC153" s="164"/>
      <c r="AD153" s="164"/>
      <c r="AE153" s="164"/>
    </row>
    <row r="154" ht="15.75" customHeight="1">
      <c r="A154" s="164"/>
      <c r="B154" s="1603"/>
      <c r="C154" s="478"/>
      <c r="D154" s="1604"/>
      <c r="E154" s="7"/>
      <c r="F154" s="7"/>
      <c r="G154" s="1605"/>
      <c r="H154" s="7"/>
      <c r="I154" s="1606"/>
      <c r="J154" s="1607"/>
      <c r="K154" s="7"/>
      <c r="L154" s="1606"/>
      <c r="M154" s="1607"/>
      <c r="N154" s="7"/>
      <c r="O154" s="1606"/>
      <c r="P154" s="1607"/>
      <c r="Q154" s="164"/>
      <c r="R154" s="186"/>
      <c r="S154" s="1608"/>
      <c r="T154" s="186"/>
      <c r="U154" s="164"/>
      <c r="V154" s="1608"/>
      <c r="W154" s="164"/>
      <c r="X154" s="164"/>
      <c r="Y154" s="164"/>
      <c r="Z154" s="164"/>
      <c r="AA154" s="164"/>
      <c r="AB154" s="164"/>
      <c r="AC154" s="164"/>
      <c r="AD154" s="164"/>
      <c r="AE154" s="164"/>
    </row>
    <row r="155" ht="15.75" customHeight="1">
      <c r="A155" s="164"/>
      <c r="B155" s="1603"/>
      <c r="C155" s="478"/>
      <c r="D155" s="1604"/>
      <c r="E155" s="7"/>
      <c r="F155" s="7"/>
      <c r="G155" s="1605"/>
      <c r="H155" s="7"/>
      <c r="I155" s="1606"/>
      <c r="J155" s="1607"/>
      <c r="K155" s="7"/>
      <c r="L155" s="1606"/>
      <c r="M155" s="1607"/>
      <c r="N155" s="7"/>
      <c r="O155" s="1606"/>
      <c r="P155" s="1607"/>
      <c r="Q155" s="164"/>
      <c r="R155" s="186"/>
      <c r="S155" s="1608"/>
      <c r="T155" s="186"/>
      <c r="U155" s="164"/>
      <c r="V155" s="1608"/>
      <c r="W155" s="164"/>
      <c r="X155" s="164"/>
      <c r="Y155" s="164"/>
      <c r="Z155" s="164"/>
      <c r="AA155" s="164"/>
      <c r="AB155" s="164"/>
      <c r="AC155" s="164"/>
      <c r="AD155" s="164"/>
      <c r="AE155" s="164"/>
    </row>
    <row r="156" ht="15.75" customHeight="1">
      <c r="A156" s="164"/>
      <c r="B156" s="1603"/>
      <c r="C156" s="478"/>
      <c r="D156" s="1604"/>
      <c r="E156" s="7"/>
      <c r="F156" s="7"/>
      <c r="G156" s="1605"/>
      <c r="H156" s="7"/>
      <c r="I156" s="1606"/>
      <c r="J156" s="1607"/>
      <c r="K156" s="7"/>
      <c r="L156" s="1606"/>
      <c r="M156" s="1607"/>
      <c r="N156" s="7"/>
      <c r="O156" s="1606"/>
      <c r="P156" s="1607"/>
      <c r="Q156" s="164"/>
      <c r="R156" s="186"/>
      <c r="S156" s="1608"/>
      <c r="T156" s="186"/>
      <c r="U156" s="164"/>
      <c r="V156" s="1608"/>
      <c r="W156" s="164"/>
      <c r="X156" s="164"/>
      <c r="Y156" s="164"/>
      <c r="Z156" s="164"/>
      <c r="AA156" s="164"/>
      <c r="AB156" s="164"/>
      <c r="AC156" s="164"/>
      <c r="AD156" s="164"/>
      <c r="AE156" s="164"/>
    </row>
    <row r="157" ht="15.75" customHeight="1">
      <c r="A157" s="164"/>
      <c r="B157" s="1603"/>
      <c r="C157" s="478"/>
      <c r="D157" s="1604"/>
      <c r="E157" s="7"/>
      <c r="F157" s="7"/>
      <c r="G157" s="1605"/>
      <c r="H157" s="7"/>
      <c r="I157" s="1606"/>
      <c r="J157" s="1607"/>
      <c r="K157" s="7"/>
      <c r="L157" s="1606"/>
      <c r="M157" s="1607"/>
      <c r="N157" s="7"/>
      <c r="O157" s="1606"/>
      <c r="P157" s="1607"/>
      <c r="Q157" s="164"/>
      <c r="R157" s="186"/>
      <c r="S157" s="1608"/>
      <c r="T157" s="186"/>
      <c r="U157" s="164"/>
      <c r="V157" s="1608"/>
      <c r="W157" s="164"/>
      <c r="X157" s="164"/>
      <c r="Y157" s="164"/>
      <c r="Z157" s="164"/>
      <c r="AA157" s="164"/>
      <c r="AB157" s="164"/>
      <c r="AC157" s="164"/>
      <c r="AD157" s="164"/>
      <c r="AE157" s="164"/>
    </row>
    <row r="158" ht="15.75" customHeight="1">
      <c r="A158" s="164"/>
      <c r="B158" s="1603"/>
      <c r="C158" s="478"/>
      <c r="D158" s="1604"/>
      <c r="E158" s="7"/>
      <c r="F158" s="7"/>
      <c r="G158" s="1605"/>
      <c r="H158" s="7"/>
      <c r="I158" s="1606"/>
      <c r="J158" s="1607"/>
      <c r="K158" s="7"/>
      <c r="L158" s="1606"/>
      <c r="M158" s="1607"/>
      <c r="N158" s="7"/>
      <c r="O158" s="1606"/>
      <c r="P158" s="1607"/>
      <c r="Q158" s="164"/>
      <c r="R158" s="186"/>
      <c r="S158" s="1608"/>
      <c r="T158" s="186"/>
      <c r="U158" s="164"/>
      <c r="V158" s="1608"/>
      <c r="W158" s="164"/>
      <c r="X158" s="164"/>
      <c r="Y158" s="164"/>
      <c r="Z158" s="164"/>
      <c r="AA158" s="164"/>
      <c r="AB158" s="164"/>
      <c r="AC158" s="164"/>
      <c r="AD158" s="164"/>
      <c r="AE158" s="164"/>
    </row>
    <row r="159" ht="15.75" customHeight="1">
      <c r="A159" s="164"/>
      <c r="B159" s="1603"/>
      <c r="C159" s="478"/>
      <c r="D159" s="1604"/>
      <c r="E159" s="7"/>
      <c r="F159" s="7"/>
      <c r="G159" s="1605"/>
      <c r="H159" s="7"/>
      <c r="I159" s="1606"/>
      <c r="J159" s="1607"/>
      <c r="K159" s="7"/>
      <c r="L159" s="1606"/>
      <c r="M159" s="1607"/>
      <c r="N159" s="7"/>
      <c r="O159" s="1606"/>
      <c r="P159" s="1607"/>
      <c r="Q159" s="164"/>
      <c r="R159" s="186"/>
      <c r="S159" s="1608"/>
      <c r="T159" s="186"/>
      <c r="U159" s="164"/>
      <c r="V159" s="1608"/>
      <c r="W159" s="164"/>
      <c r="X159" s="164"/>
      <c r="Y159" s="164"/>
      <c r="Z159" s="164"/>
      <c r="AA159" s="164"/>
      <c r="AB159" s="164"/>
      <c r="AC159" s="164"/>
      <c r="AD159" s="164"/>
      <c r="AE159" s="164"/>
    </row>
    <row r="160" ht="15.75" customHeight="1">
      <c r="A160" s="164"/>
      <c r="B160" s="1603"/>
      <c r="C160" s="478"/>
      <c r="D160" s="1604"/>
      <c r="E160" s="7"/>
      <c r="F160" s="7"/>
      <c r="G160" s="1605"/>
      <c r="H160" s="7"/>
      <c r="I160" s="1606"/>
      <c r="J160" s="1607"/>
      <c r="K160" s="7"/>
      <c r="L160" s="1606"/>
      <c r="M160" s="1607"/>
      <c r="N160" s="7"/>
      <c r="O160" s="1606"/>
      <c r="P160" s="1607"/>
      <c r="Q160" s="164"/>
      <c r="R160" s="186"/>
      <c r="S160" s="1608"/>
      <c r="T160" s="186"/>
      <c r="U160" s="164"/>
      <c r="V160" s="1608"/>
      <c r="W160" s="164"/>
      <c r="X160" s="164"/>
      <c r="Y160" s="164"/>
      <c r="Z160" s="164"/>
      <c r="AA160" s="164"/>
      <c r="AB160" s="164"/>
      <c r="AC160" s="164"/>
      <c r="AD160" s="164"/>
      <c r="AE160" s="164"/>
    </row>
    <row r="161" ht="15.75" customHeight="1">
      <c r="A161" s="164"/>
      <c r="B161" s="1603"/>
      <c r="C161" s="478"/>
      <c r="D161" s="1604"/>
      <c r="E161" s="7"/>
      <c r="F161" s="7"/>
      <c r="G161" s="1605"/>
      <c r="H161" s="7"/>
      <c r="I161" s="1606"/>
      <c r="J161" s="1607"/>
      <c r="K161" s="7"/>
      <c r="L161" s="1606"/>
      <c r="M161" s="1607"/>
      <c r="N161" s="7"/>
      <c r="O161" s="1606"/>
      <c r="P161" s="1607"/>
      <c r="Q161" s="164"/>
      <c r="R161" s="186"/>
      <c r="S161" s="1608"/>
      <c r="T161" s="186"/>
      <c r="U161" s="164"/>
      <c r="V161" s="1608"/>
      <c r="W161" s="164"/>
      <c r="X161" s="164"/>
      <c r="Y161" s="164"/>
      <c r="Z161" s="164"/>
      <c r="AA161" s="164"/>
      <c r="AB161" s="164"/>
      <c r="AC161" s="164"/>
      <c r="AD161" s="164"/>
      <c r="AE161" s="164"/>
    </row>
    <row r="162" ht="15.75" customHeight="1">
      <c r="A162" s="164"/>
      <c r="B162" s="1603"/>
      <c r="C162" s="478"/>
      <c r="D162" s="1604"/>
      <c r="E162" s="7"/>
      <c r="F162" s="7"/>
      <c r="G162" s="1605"/>
      <c r="H162" s="7"/>
      <c r="I162" s="1606"/>
      <c r="J162" s="1607"/>
      <c r="K162" s="7"/>
      <c r="L162" s="1606"/>
      <c r="M162" s="1607"/>
      <c r="N162" s="7"/>
      <c r="O162" s="1606"/>
      <c r="P162" s="1607"/>
      <c r="Q162" s="164"/>
      <c r="R162" s="186"/>
      <c r="S162" s="1608"/>
      <c r="T162" s="186"/>
      <c r="U162" s="164"/>
      <c r="V162" s="1608"/>
      <c r="W162" s="164"/>
      <c r="X162" s="164"/>
      <c r="Y162" s="164"/>
      <c r="Z162" s="164"/>
      <c r="AA162" s="164"/>
      <c r="AB162" s="164"/>
      <c r="AC162" s="164"/>
      <c r="AD162" s="164"/>
      <c r="AE162" s="164"/>
    </row>
    <row r="163" ht="15.75" customHeight="1">
      <c r="A163" s="164"/>
      <c r="B163" s="1603"/>
      <c r="C163" s="478"/>
      <c r="D163" s="1604"/>
      <c r="E163" s="7"/>
      <c r="F163" s="7"/>
      <c r="G163" s="1605"/>
      <c r="H163" s="7"/>
      <c r="I163" s="1606"/>
      <c r="J163" s="1607"/>
      <c r="K163" s="7"/>
      <c r="L163" s="1606"/>
      <c r="M163" s="1607"/>
      <c r="N163" s="7"/>
      <c r="O163" s="1606"/>
      <c r="P163" s="1607"/>
      <c r="Q163" s="164"/>
      <c r="R163" s="186"/>
      <c r="S163" s="1608"/>
      <c r="T163" s="186"/>
      <c r="U163" s="164"/>
      <c r="V163" s="1608"/>
      <c r="W163" s="164"/>
      <c r="X163" s="164"/>
      <c r="Y163" s="164"/>
      <c r="Z163" s="164"/>
      <c r="AA163" s="164"/>
      <c r="AB163" s="164"/>
      <c r="AC163" s="164"/>
      <c r="AD163" s="164"/>
      <c r="AE163" s="164"/>
    </row>
    <row r="164" ht="15.75" customHeight="1">
      <c r="A164" s="164"/>
      <c r="B164" s="1603"/>
      <c r="C164" s="478"/>
      <c r="D164" s="1604"/>
      <c r="E164" s="7"/>
      <c r="F164" s="7"/>
      <c r="G164" s="1605"/>
      <c r="H164" s="7"/>
      <c r="I164" s="1606"/>
      <c r="J164" s="1607"/>
      <c r="K164" s="7"/>
      <c r="L164" s="1606"/>
      <c r="M164" s="1607"/>
      <c r="N164" s="7"/>
      <c r="O164" s="1606"/>
      <c r="P164" s="1607"/>
      <c r="Q164" s="164"/>
      <c r="R164" s="186"/>
      <c r="S164" s="1608"/>
      <c r="T164" s="186"/>
      <c r="U164" s="164"/>
      <c r="V164" s="1608"/>
      <c r="W164" s="164"/>
      <c r="X164" s="164"/>
      <c r="Y164" s="164"/>
      <c r="Z164" s="164"/>
      <c r="AA164" s="164"/>
      <c r="AB164" s="164"/>
      <c r="AC164" s="164"/>
      <c r="AD164" s="164"/>
      <c r="AE164" s="164"/>
    </row>
    <row r="165" ht="15.75" customHeight="1">
      <c r="A165" s="164"/>
      <c r="B165" s="1603"/>
      <c r="C165" s="478"/>
      <c r="D165" s="1604"/>
      <c r="E165" s="7"/>
      <c r="F165" s="7"/>
      <c r="G165" s="1605"/>
      <c r="H165" s="7"/>
      <c r="I165" s="1606"/>
      <c r="J165" s="1607"/>
      <c r="K165" s="7"/>
      <c r="L165" s="1606"/>
      <c r="M165" s="1607"/>
      <c r="N165" s="7"/>
      <c r="O165" s="1606"/>
      <c r="P165" s="1607"/>
      <c r="Q165" s="164"/>
      <c r="R165" s="186"/>
      <c r="S165" s="1608"/>
      <c r="T165" s="186"/>
      <c r="U165" s="164"/>
      <c r="V165" s="1608"/>
      <c r="W165" s="164"/>
      <c r="X165" s="164"/>
      <c r="Y165" s="164"/>
      <c r="Z165" s="164"/>
      <c r="AA165" s="164"/>
      <c r="AB165" s="164"/>
      <c r="AC165" s="164"/>
      <c r="AD165" s="164"/>
      <c r="AE165" s="164"/>
    </row>
    <row r="166" ht="15.75" customHeight="1">
      <c r="A166" s="164"/>
      <c r="B166" s="1603"/>
      <c r="C166" s="478"/>
      <c r="D166" s="1604"/>
      <c r="E166" s="7"/>
      <c r="F166" s="7"/>
      <c r="G166" s="1605"/>
      <c r="H166" s="7"/>
      <c r="I166" s="1606"/>
      <c r="J166" s="1607"/>
      <c r="K166" s="7"/>
      <c r="L166" s="1606"/>
      <c r="M166" s="1607"/>
      <c r="N166" s="7"/>
      <c r="O166" s="1606"/>
      <c r="P166" s="1607"/>
      <c r="Q166" s="164"/>
      <c r="R166" s="186"/>
      <c r="S166" s="1608"/>
      <c r="T166" s="186"/>
      <c r="U166" s="164"/>
      <c r="V166" s="1608"/>
      <c r="W166" s="164"/>
      <c r="X166" s="164"/>
      <c r="Y166" s="164"/>
      <c r="Z166" s="164"/>
      <c r="AA166" s="164"/>
      <c r="AB166" s="164"/>
      <c r="AC166" s="164"/>
      <c r="AD166" s="164"/>
      <c r="AE166" s="164"/>
    </row>
    <row r="167" ht="15.75" customHeight="1">
      <c r="A167" s="164"/>
      <c r="B167" s="1603"/>
      <c r="C167" s="478"/>
      <c r="D167" s="1604"/>
      <c r="E167" s="7"/>
      <c r="F167" s="7"/>
      <c r="G167" s="1605"/>
      <c r="H167" s="7"/>
      <c r="I167" s="1606"/>
      <c r="J167" s="1607"/>
      <c r="K167" s="7"/>
      <c r="L167" s="1606"/>
      <c r="M167" s="1607"/>
      <c r="N167" s="7"/>
      <c r="O167" s="1606"/>
      <c r="P167" s="1607"/>
      <c r="Q167" s="164"/>
      <c r="R167" s="186"/>
      <c r="S167" s="1608"/>
      <c r="T167" s="186"/>
      <c r="U167" s="164"/>
      <c r="V167" s="1608"/>
      <c r="W167" s="164"/>
      <c r="X167" s="164"/>
      <c r="Y167" s="164"/>
      <c r="Z167" s="164"/>
      <c r="AA167" s="164"/>
      <c r="AB167" s="164"/>
      <c r="AC167" s="164"/>
      <c r="AD167" s="164"/>
      <c r="AE167" s="164"/>
    </row>
    <row r="168" ht="15.75" customHeight="1">
      <c r="A168" s="164"/>
      <c r="B168" s="1603"/>
      <c r="C168" s="478"/>
      <c r="D168" s="1604"/>
      <c r="E168" s="7"/>
      <c r="F168" s="7"/>
      <c r="G168" s="1605"/>
      <c r="H168" s="7"/>
      <c r="I168" s="1606"/>
      <c r="J168" s="1607"/>
      <c r="K168" s="7"/>
      <c r="L168" s="1606"/>
      <c r="M168" s="1607"/>
      <c r="N168" s="7"/>
      <c r="O168" s="1606"/>
      <c r="P168" s="1607"/>
      <c r="Q168" s="164"/>
      <c r="R168" s="186"/>
      <c r="S168" s="1608"/>
      <c r="T168" s="186"/>
      <c r="U168" s="164"/>
      <c r="V168" s="1608"/>
      <c r="W168" s="164"/>
      <c r="X168" s="164"/>
      <c r="Y168" s="164"/>
      <c r="Z168" s="164"/>
      <c r="AA168" s="164"/>
      <c r="AB168" s="164"/>
      <c r="AC168" s="164"/>
      <c r="AD168" s="164"/>
      <c r="AE168" s="164"/>
    </row>
    <row r="169" ht="15.75" customHeight="1">
      <c r="A169" s="164"/>
      <c r="B169" s="1603"/>
      <c r="C169" s="478"/>
      <c r="D169" s="1604"/>
      <c r="E169" s="7"/>
      <c r="F169" s="7"/>
      <c r="G169" s="1605"/>
      <c r="H169" s="7"/>
      <c r="I169" s="1606"/>
      <c r="J169" s="1607"/>
      <c r="K169" s="7"/>
      <c r="L169" s="1606"/>
      <c r="M169" s="1607"/>
      <c r="N169" s="7"/>
      <c r="O169" s="1606"/>
      <c r="P169" s="1607"/>
      <c r="Q169" s="164"/>
      <c r="R169" s="186"/>
      <c r="S169" s="1608"/>
      <c r="T169" s="186"/>
      <c r="U169" s="164"/>
      <c r="V169" s="1608"/>
      <c r="W169" s="164"/>
      <c r="X169" s="164"/>
      <c r="Y169" s="164"/>
      <c r="Z169" s="164"/>
      <c r="AA169" s="164"/>
      <c r="AB169" s="164"/>
      <c r="AC169" s="164"/>
      <c r="AD169" s="164"/>
      <c r="AE169" s="164"/>
    </row>
    <row r="170" ht="15.75" customHeight="1">
      <c r="A170" s="164"/>
      <c r="B170" s="1603"/>
      <c r="C170" s="478"/>
      <c r="D170" s="1604"/>
      <c r="E170" s="7"/>
      <c r="F170" s="7"/>
      <c r="G170" s="1605"/>
      <c r="H170" s="7"/>
      <c r="I170" s="1606"/>
      <c r="J170" s="1607"/>
      <c r="K170" s="7"/>
      <c r="L170" s="1606"/>
      <c r="M170" s="1607"/>
      <c r="N170" s="7"/>
      <c r="O170" s="1606"/>
      <c r="P170" s="1607"/>
      <c r="Q170" s="164"/>
      <c r="R170" s="186"/>
      <c r="S170" s="1608"/>
      <c r="T170" s="186"/>
      <c r="U170" s="164"/>
      <c r="V170" s="1608"/>
      <c r="W170" s="164"/>
      <c r="X170" s="164"/>
      <c r="Y170" s="164"/>
      <c r="Z170" s="164"/>
      <c r="AA170" s="164"/>
      <c r="AB170" s="164"/>
      <c r="AC170" s="164"/>
      <c r="AD170" s="164"/>
      <c r="AE170" s="164"/>
    </row>
    <row r="171" ht="15.75" customHeight="1">
      <c r="A171" s="164"/>
      <c r="B171" s="1603"/>
      <c r="C171" s="478"/>
      <c r="D171" s="1604"/>
      <c r="E171" s="7"/>
      <c r="F171" s="7"/>
      <c r="G171" s="1605"/>
      <c r="H171" s="7"/>
      <c r="I171" s="1606"/>
      <c r="J171" s="1607"/>
      <c r="K171" s="7"/>
      <c r="L171" s="1606"/>
      <c r="M171" s="1607"/>
      <c r="N171" s="7"/>
      <c r="O171" s="1606"/>
      <c r="P171" s="1607"/>
      <c r="Q171" s="164"/>
      <c r="R171" s="186"/>
      <c r="S171" s="1608"/>
      <c r="T171" s="186"/>
      <c r="U171" s="164"/>
      <c r="V171" s="1608"/>
      <c r="W171" s="164"/>
      <c r="X171" s="164"/>
      <c r="Y171" s="164"/>
      <c r="Z171" s="164"/>
      <c r="AA171" s="164"/>
      <c r="AB171" s="164"/>
      <c r="AC171" s="164"/>
      <c r="AD171" s="164"/>
      <c r="AE171" s="164"/>
    </row>
    <row r="172" ht="15.75" customHeight="1">
      <c r="A172" s="164"/>
      <c r="B172" s="1603"/>
      <c r="C172" s="478"/>
      <c r="D172" s="1604"/>
      <c r="E172" s="7"/>
      <c r="F172" s="7"/>
      <c r="G172" s="1605"/>
      <c r="H172" s="7"/>
      <c r="I172" s="1606"/>
      <c r="J172" s="1607"/>
      <c r="K172" s="7"/>
      <c r="L172" s="1606"/>
      <c r="M172" s="1607"/>
      <c r="N172" s="7"/>
      <c r="O172" s="1606"/>
      <c r="P172" s="1607"/>
      <c r="Q172" s="164"/>
      <c r="R172" s="186"/>
      <c r="S172" s="1608"/>
      <c r="T172" s="186"/>
      <c r="U172" s="164"/>
      <c r="V172" s="1608"/>
      <c r="W172" s="164"/>
      <c r="X172" s="164"/>
      <c r="Y172" s="164"/>
      <c r="Z172" s="164"/>
      <c r="AA172" s="164"/>
      <c r="AB172" s="164"/>
      <c r="AC172" s="164"/>
      <c r="AD172" s="164"/>
      <c r="AE172" s="164"/>
    </row>
    <row r="173" ht="15.75" customHeight="1">
      <c r="A173" s="164"/>
      <c r="B173" s="1603"/>
      <c r="C173" s="478"/>
      <c r="D173" s="1604"/>
      <c r="E173" s="7"/>
      <c r="F173" s="7"/>
      <c r="G173" s="1605"/>
      <c r="H173" s="7"/>
      <c r="I173" s="1606"/>
      <c r="J173" s="1607"/>
      <c r="K173" s="7"/>
      <c r="L173" s="1606"/>
      <c r="M173" s="1607"/>
      <c r="N173" s="7"/>
      <c r="O173" s="1606"/>
      <c r="P173" s="1607"/>
      <c r="Q173" s="164"/>
      <c r="R173" s="186"/>
      <c r="S173" s="1608"/>
      <c r="T173" s="186"/>
      <c r="U173" s="164"/>
      <c r="V173" s="1608"/>
      <c r="W173" s="164"/>
      <c r="X173" s="164"/>
      <c r="Y173" s="164"/>
      <c r="Z173" s="164"/>
      <c r="AA173" s="164"/>
      <c r="AB173" s="164"/>
      <c r="AC173" s="164"/>
      <c r="AD173" s="164"/>
      <c r="AE173" s="164"/>
    </row>
    <row r="174" ht="15.75" customHeight="1">
      <c r="A174" s="164"/>
      <c r="B174" s="1603"/>
      <c r="C174" s="478"/>
      <c r="D174" s="1604"/>
      <c r="E174" s="7"/>
      <c r="F174" s="7"/>
      <c r="G174" s="1605"/>
      <c r="H174" s="7"/>
      <c r="I174" s="1606"/>
      <c r="J174" s="1607"/>
      <c r="K174" s="7"/>
      <c r="L174" s="1606"/>
      <c r="M174" s="1607"/>
      <c r="N174" s="7"/>
      <c r="O174" s="1606"/>
      <c r="P174" s="1607"/>
      <c r="Q174" s="164"/>
      <c r="R174" s="186"/>
      <c r="S174" s="1608"/>
      <c r="T174" s="186"/>
      <c r="U174" s="164"/>
      <c r="V174" s="1608"/>
      <c r="W174" s="164"/>
      <c r="X174" s="164"/>
      <c r="Y174" s="164"/>
      <c r="Z174" s="164"/>
      <c r="AA174" s="164"/>
      <c r="AB174" s="164"/>
      <c r="AC174" s="164"/>
      <c r="AD174" s="164"/>
      <c r="AE174" s="164"/>
    </row>
    <row r="175" ht="15.75" customHeight="1">
      <c r="A175" s="164"/>
      <c r="B175" s="1603"/>
      <c r="C175" s="478"/>
      <c r="D175" s="1604"/>
      <c r="E175" s="7"/>
      <c r="F175" s="7"/>
      <c r="G175" s="1605"/>
      <c r="H175" s="7"/>
      <c r="I175" s="1606"/>
      <c r="J175" s="1607"/>
      <c r="K175" s="7"/>
      <c r="L175" s="1606"/>
      <c r="M175" s="1607"/>
      <c r="N175" s="7"/>
      <c r="O175" s="1606"/>
      <c r="P175" s="1607"/>
      <c r="Q175" s="164"/>
      <c r="R175" s="186"/>
      <c r="S175" s="1608"/>
      <c r="T175" s="186"/>
      <c r="U175" s="164"/>
      <c r="V175" s="1608"/>
      <c r="W175" s="164"/>
      <c r="X175" s="164"/>
      <c r="Y175" s="164"/>
      <c r="Z175" s="164"/>
      <c r="AA175" s="164"/>
      <c r="AB175" s="164"/>
      <c r="AC175" s="164"/>
      <c r="AD175" s="164"/>
      <c r="AE175" s="164"/>
    </row>
    <row r="176" ht="15.75" customHeight="1">
      <c r="A176" s="164"/>
      <c r="B176" s="1603"/>
      <c r="C176" s="478"/>
      <c r="D176" s="1604"/>
      <c r="E176" s="7"/>
      <c r="F176" s="7"/>
      <c r="G176" s="1605"/>
      <c r="H176" s="7"/>
      <c r="I176" s="1606"/>
      <c r="J176" s="1607"/>
      <c r="K176" s="7"/>
      <c r="L176" s="1606"/>
      <c r="M176" s="1607"/>
      <c r="N176" s="7"/>
      <c r="O176" s="1606"/>
      <c r="P176" s="1607"/>
      <c r="Q176" s="164"/>
      <c r="R176" s="186"/>
      <c r="S176" s="1608"/>
      <c r="T176" s="186"/>
      <c r="U176" s="164"/>
      <c r="V176" s="1608"/>
      <c r="W176" s="164"/>
      <c r="X176" s="164"/>
      <c r="Y176" s="164"/>
      <c r="Z176" s="164"/>
      <c r="AA176" s="164"/>
      <c r="AB176" s="164"/>
      <c r="AC176" s="164"/>
      <c r="AD176" s="164"/>
      <c r="AE176" s="164"/>
    </row>
    <row r="177" ht="15.75" customHeight="1">
      <c r="A177" s="164"/>
      <c r="B177" s="1603"/>
      <c r="C177" s="478"/>
      <c r="D177" s="1604"/>
      <c r="E177" s="7"/>
      <c r="F177" s="7"/>
      <c r="G177" s="1605"/>
      <c r="H177" s="7"/>
      <c r="I177" s="1606"/>
      <c r="J177" s="1607"/>
      <c r="K177" s="7"/>
      <c r="L177" s="1606"/>
      <c r="M177" s="1607"/>
      <c r="N177" s="7"/>
      <c r="O177" s="1606"/>
      <c r="P177" s="1607"/>
      <c r="Q177" s="164"/>
      <c r="R177" s="186"/>
      <c r="S177" s="1608"/>
      <c r="T177" s="186"/>
      <c r="U177" s="164"/>
      <c r="V177" s="1608"/>
      <c r="W177" s="164"/>
      <c r="X177" s="164"/>
      <c r="Y177" s="164"/>
      <c r="Z177" s="164"/>
      <c r="AA177" s="164"/>
      <c r="AB177" s="164"/>
      <c r="AC177" s="164"/>
      <c r="AD177" s="164"/>
      <c r="AE177" s="164"/>
    </row>
    <row r="178" ht="15.75" customHeight="1">
      <c r="A178" s="164"/>
      <c r="B178" s="1603"/>
      <c r="C178" s="478"/>
      <c r="D178" s="1604"/>
      <c r="E178" s="7"/>
      <c r="F178" s="7"/>
      <c r="G178" s="1605"/>
      <c r="H178" s="7"/>
      <c r="I178" s="1606"/>
      <c r="J178" s="1607"/>
      <c r="K178" s="7"/>
      <c r="L178" s="1606"/>
      <c r="M178" s="1607"/>
      <c r="N178" s="7"/>
      <c r="O178" s="1606"/>
      <c r="P178" s="1607"/>
      <c r="Q178" s="164"/>
      <c r="R178" s="186"/>
      <c r="S178" s="1608"/>
      <c r="T178" s="186"/>
      <c r="U178" s="164"/>
      <c r="V178" s="1608"/>
      <c r="W178" s="164"/>
      <c r="X178" s="164"/>
      <c r="Y178" s="164"/>
      <c r="Z178" s="164"/>
      <c r="AA178" s="164"/>
      <c r="AB178" s="164"/>
      <c r="AC178" s="164"/>
      <c r="AD178" s="164"/>
      <c r="AE178" s="164"/>
    </row>
    <row r="179" ht="15.75" customHeight="1">
      <c r="A179" s="164"/>
      <c r="B179" s="1603"/>
      <c r="C179" s="478"/>
      <c r="D179" s="1604"/>
      <c r="E179" s="7"/>
      <c r="F179" s="7"/>
      <c r="G179" s="1605"/>
      <c r="H179" s="7"/>
      <c r="I179" s="1606"/>
      <c r="J179" s="1607"/>
      <c r="K179" s="7"/>
      <c r="L179" s="1606"/>
      <c r="M179" s="1607"/>
      <c r="N179" s="7"/>
      <c r="O179" s="1606"/>
      <c r="P179" s="1607"/>
      <c r="Q179" s="164"/>
      <c r="R179" s="186"/>
      <c r="S179" s="1608"/>
      <c r="T179" s="186"/>
      <c r="U179" s="164"/>
      <c r="V179" s="1608"/>
      <c r="W179" s="164"/>
      <c r="X179" s="164"/>
      <c r="Y179" s="164"/>
      <c r="Z179" s="164"/>
      <c r="AA179" s="164"/>
      <c r="AB179" s="164"/>
      <c r="AC179" s="164"/>
      <c r="AD179" s="164"/>
      <c r="AE179" s="164"/>
    </row>
    <row r="180" ht="15.75" customHeight="1">
      <c r="A180" s="164"/>
      <c r="B180" s="1603"/>
      <c r="C180" s="478"/>
      <c r="D180" s="1604"/>
      <c r="E180" s="7"/>
      <c r="F180" s="7"/>
      <c r="G180" s="1605"/>
      <c r="H180" s="7"/>
      <c r="I180" s="1606"/>
      <c r="J180" s="1607"/>
      <c r="K180" s="7"/>
      <c r="L180" s="1606"/>
      <c r="M180" s="1607"/>
      <c r="N180" s="7"/>
      <c r="O180" s="1606"/>
      <c r="P180" s="1607"/>
      <c r="Q180" s="164"/>
      <c r="R180" s="186"/>
      <c r="S180" s="1608"/>
      <c r="T180" s="186"/>
      <c r="U180" s="164"/>
      <c r="V180" s="1608"/>
      <c r="W180" s="164"/>
      <c r="X180" s="164"/>
      <c r="Y180" s="164"/>
      <c r="Z180" s="164"/>
      <c r="AA180" s="164"/>
      <c r="AB180" s="164"/>
      <c r="AC180" s="164"/>
      <c r="AD180" s="164"/>
      <c r="AE180" s="164"/>
    </row>
    <row r="181" ht="15.75" customHeight="1">
      <c r="A181" s="164"/>
      <c r="B181" s="1603"/>
      <c r="C181" s="478"/>
      <c r="D181" s="1604"/>
      <c r="E181" s="7"/>
      <c r="F181" s="7"/>
      <c r="G181" s="1605"/>
      <c r="H181" s="7"/>
      <c r="I181" s="1606"/>
      <c r="J181" s="1607"/>
      <c r="K181" s="7"/>
      <c r="L181" s="1606"/>
      <c r="M181" s="1607"/>
      <c r="N181" s="7"/>
      <c r="O181" s="1606"/>
      <c r="P181" s="1607"/>
      <c r="Q181" s="164"/>
      <c r="R181" s="186"/>
      <c r="S181" s="1608"/>
      <c r="T181" s="186"/>
      <c r="U181" s="164"/>
      <c r="V181" s="1608"/>
      <c r="W181" s="164"/>
      <c r="X181" s="164"/>
      <c r="Y181" s="164"/>
      <c r="Z181" s="164"/>
      <c r="AA181" s="164"/>
      <c r="AB181" s="164"/>
      <c r="AC181" s="164"/>
      <c r="AD181" s="164"/>
      <c r="AE181" s="164"/>
    </row>
    <row r="182" ht="15.75" customHeight="1">
      <c r="A182" s="164"/>
      <c r="B182" s="1603"/>
      <c r="C182" s="478"/>
      <c r="D182" s="1604"/>
      <c r="E182" s="7"/>
      <c r="F182" s="7"/>
      <c r="G182" s="1605"/>
      <c r="H182" s="7"/>
      <c r="I182" s="1606"/>
      <c r="J182" s="1607"/>
      <c r="K182" s="7"/>
      <c r="L182" s="1606"/>
      <c r="M182" s="1607"/>
      <c r="N182" s="7"/>
      <c r="O182" s="1606"/>
      <c r="P182" s="1607"/>
      <c r="Q182" s="164"/>
      <c r="R182" s="186"/>
      <c r="S182" s="1608"/>
      <c r="T182" s="186"/>
      <c r="U182" s="164"/>
      <c r="V182" s="1608"/>
      <c r="W182" s="164"/>
      <c r="X182" s="164"/>
      <c r="Y182" s="164"/>
      <c r="Z182" s="164"/>
      <c r="AA182" s="164"/>
      <c r="AB182" s="164"/>
      <c r="AC182" s="164"/>
      <c r="AD182" s="164"/>
      <c r="AE182" s="164"/>
    </row>
    <row r="183" ht="15.75" customHeight="1">
      <c r="A183" s="164"/>
      <c r="B183" s="1603"/>
      <c r="C183" s="478"/>
      <c r="D183" s="1604"/>
      <c r="E183" s="7"/>
      <c r="F183" s="7"/>
      <c r="G183" s="1605"/>
      <c r="H183" s="7"/>
      <c r="I183" s="1606"/>
      <c r="J183" s="1607"/>
      <c r="K183" s="7"/>
      <c r="L183" s="1606"/>
      <c r="M183" s="1607"/>
      <c r="N183" s="7"/>
      <c r="O183" s="1606"/>
      <c r="P183" s="1607"/>
      <c r="Q183" s="164"/>
      <c r="R183" s="186"/>
      <c r="S183" s="1608"/>
      <c r="T183" s="186"/>
      <c r="U183" s="164"/>
      <c r="V183" s="1608"/>
      <c r="W183" s="164"/>
      <c r="X183" s="164"/>
      <c r="Y183" s="164"/>
      <c r="Z183" s="164"/>
      <c r="AA183" s="164"/>
      <c r="AB183" s="164"/>
      <c r="AC183" s="164"/>
      <c r="AD183" s="164"/>
      <c r="AE183" s="164"/>
    </row>
    <row r="184" ht="15.75" customHeight="1">
      <c r="A184" s="164"/>
      <c r="B184" s="1603"/>
      <c r="C184" s="478"/>
      <c r="D184" s="1604"/>
      <c r="E184" s="7"/>
      <c r="F184" s="7"/>
      <c r="G184" s="1605"/>
      <c r="H184" s="7"/>
      <c r="I184" s="1606"/>
      <c r="J184" s="1607"/>
      <c r="K184" s="7"/>
      <c r="L184" s="1606"/>
      <c r="M184" s="1607"/>
      <c r="N184" s="7"/>
      <c r="O184" s="1606"/>
      <c r="P184" s="1607"/>
      <c r="Q184" s="164"/>
      <c r="R184" s="186"/>
      <c r="S184" s="1608"/>
      <c r="T184" s="186"/>
      <c r="U184" s="164"/>
      <c r="V184" s="1608"/>
      <c r="W184" s="164"/>
      <c r="X184" s="164"/>
      <c r="Y184" s="164"/>
      <c r="Z184" s="164"/>
      <c r="AA184" s="164"/>
      <c r="AB184" s="164"/>
      <c r="AC184" s="164"/>
      <c r="AD184" s="164"/>
      <c r="AE184" s="164"/>
    </row>
    <row r="185" ht="15.75" customHeight="1">
      <c r="A185" s="164"/>
      <c r="B185" s="1603"/>
      <c r="C185" s="478"/>
      <c r="D185" s="1604"/>
      <c r="E185" s="7"/>
      <c r="F185" s="7"/>
      <c r="G185" s="1605"/>
      <c r="H185" s="7"/>
      <c r="I185" s="1606"/>
      <c r="J185" s="1607"/>
      <c r="K185" s="7"/>
      <c r="L185" s="1606"/>
      <c r="M185" s="1607"/>
      <c r="N185" s="7"/>
      <c r="O185" s="1606"/>
      <c r="P185" s="1607"/>
      <c r="Q185" s="164"/>
      <c r="R185" s="186"/>
      <c r="S185" s="1608"/>
      <c r="T185" s="186"/>
      <c r="U185" s="164"/>
      <c r="V185" s="1608"/>
      <c r="W185" s="164"/>
      <c r="X185" s="164"/>
      <c r="Y185" s="164"/>
      <c r="Z185" s="164"/>
      <c r="AA185" s="164"/>
      <c r="AB185" s="164"/>
      <c r="AC185" s="164"/>
      <c r="AD185" s="164"/>
      <c r="AE185" s="164"/>
    </row>
    <row r="186" ht="15.75" customHeight="1">
      <c r="A186" s="164"/>
      <c r="B186" s="1603"/>
      <c r="C186" s="478"/>
      <c r="D186" s="1604"/>
      <c r="E186" s="7"/>
      <c r="F186" s="7"/>
      <c r="G186" s="1605"/>
      <c r="H186" s="7"/>
      <c r="I186" s="1606"/>
      <c r="J186" s="1607"/>
      <c r="K186" s="7"/>
      <c r="L186" s="1606"/>
      <c r="M186" s="1607"/>
      <c r="N186" s="7"/>
      <c r="O186" s="1606"/>
      <c r="P186" s="1607"/>
      <c r="Q186" s="164"/>
      <c r="R186" s="186"/>
      <c r="S186" s="1608"/>
      <c r="T186" s="186"/>
      <c r="U186" s="164"/>
      <c r="V186" s="1608"/>
      <c r="W186" s="164"/>
      <c r="X186" s="164"/>
      <c r="Y186" s="164"/>
      <c r="Z186" s="164"/>
      <c r="AA186" s="164"/>
      <c r="AB186" s="164"/>
      <c r="AC186" s="164"/>
      <c r="AD186" s="164"/>
      <c r="AE186" s="164"/>
    </row>
    <row r="187" ht="15.75" customHeight="1">
      <c r="A187" s="164"/>
      <c r="B187" s="1603"/>
      <c r="C187" s="478"/>
      <c r="D187" s="1604"/>
      <c r="E187" s="7"/>
      <c r="F187" s="7"/>
      <c r="G187" s="1605"/>
      <c r="H187" s="7"/>
      <c r="I187" s="1606"/>
      <c r="J187" s="1607"/>
      <c r="K187" s="7"/>
      <c r="L187" s="1606"/>
      <c r="M187" s="1607"/>
      <c r="N187" s="7"/>
      <c r="O187" s="1606"/>
      <c r="P187" s="1607"/>
      <c r="Q187" s="164"/>
      <c r="R187" s="186"/>
      <c r="S187" s="1608"/>
      <c r="T187" s="186"/>
      <c r="U187" s="164"/>
      <c r="V187" s="1608"/>
      <c r="W187" s="164"/>
      <c r="X187" s="164"/>
      <c r="Y187" s="164"/>
      <c r="Z187" s="164"/>
      <c r="AA187" s="164"/>
      <c r="AB187" s="164"/>
      <c r="AC187" s="164"/>
      <c r="AD187" s="164"/>
      <c r="AE187" s="164"/>
    </row>
    <row r="188" ht="15.75" customHeight="1">
      <c r="A188" s="164"/>
      <c r="B188" s="1603"/>
      <c r="C188" s="478"/>
      <c r="D188" s="1604"/>
      <c r="E188" s="7"/>
      <c r="F188" s="7"/>
      <c r="G188" s="1605"/>
      <c r="H188" s="7"/>
      <c r="I188" s="1606"/>
      <c r="J188" s="1607"/>
      <c r="K188" s="7"/>
      <c r="L188" s="1606"/>
      <c r="M188" s="1607"/>
      <c r="N188" s="7"/>
      <c r="O188" s="1606"/>
      <c r="P188" s="1607"/>
      <c r="Q188" s="164"/>
      <c r="R188" s="186"/>
      <c r="S188" s="1608"/>
      <c r="T188" s="186"/>
      <c r="U188" s="164"/>
      <c r="V188" s="1608"/>
      <c r="W188" s="164"/>
      <c r="X188" s="164"/>
      <c r="Y188" s="164"/>
      <c r="Z188" s="164"/>
      <c r="AA188" s="164"/>
      <c r="AB188" s="164"/>
      <c r="AC188" s="164"/>
      <c r="AD188" s="164"/>
      <c r="AE188" s="164"/>
    </row>
    <row r="189" ht="15.75" customHeight="1">
      <c r="A189" s="164"/>
      <c r="B189" s="1603"/>
      <c r="C189" s="478"/>
      <c r="D189" s="1604"/>
      <c r="E189" s="7"/>
      <c r="F189" s="7"/>
      <c r="G189" s="1605"/>
      <c r="H189" s="7"/>
      <c r="I189" s="1606"/>
      <c r="J189" s="1607"/>
      <c r="K189" s="7"/>
      <c r="L189" s="1606"/>
      <c r="M189" s="1607"/>
      <c r="N189" s="7"/>
      <c r="O189" s="1606"/>
      <c r="P189" s="1607"/>
      <c r="Q189" s="164"/>
      <c r="R189" s="186"/>
      <c r="S189" s="1608"/>
      <c r="T189" s="186"/>
      <c r="U189" s="164"/>
      <c r="V189" s="1608"/>
      <c r="W189" s="164"/>
      <c r="X189" s="164"/>
      <c r="Y189" s="164"/>
      <c r="Z189" s="164"/>
      <c r="AA189" s="164"/>
      <c r="AB189" s="164"/>
      <c r="AC189" s="164"/>
      <c r="AD189" s="164"/>
      <c r="AE189" s="164"/>
    </row>
    <row r="190" ht="15.75" customHeight="1">
      <c r="A190" s="164"/>
      <c r="B190" s="1603"/>
      <c r="C190" s="478"/>
      <c r="D190" s="1604"/>
      <c r="E190" s="7"/>
      <c r="F190" s="7"/>
      <c r="G190" s="1605"/>
      <c r="H190" s="7"/>
      <c r="I190" s="1606"/>
      <c r="J190" s="1607"/>
      <c r="K190" s="7"/>
      <c r="L190" s="1606"/>
      <c r="M190" s="1607"/>
      <c r="N190" s="7"/>
      <c r="O190" s="1606"/>
      <c r="P190" s="1607"/>
      <c r="Q190" s="164"/>
      <c r="R190" s="186"/>
      <c r="S190" s="1608"/>
      <c r="T190" s="186"/>
      <c r="U190" s="164"/>
      <c r="V190" s="1608"/>
      <c r="W190" s="164"/>
      <c r="X190" s="164"/>
      <c r="Y190" s="164"/>
      <c r="Z190" s="164"/>
      <c r="AA190" s="164"/>
      <c r="AB190" s="164"/>
      <c r="AC190" s="164"/>
      <c r="AD190" s="164"/>
      <c r="AE190" s="164"/>
    </row>
    <row r="191" ht="15.75" customHeight="1">
      <c r="A191" s="164"/>
      <c r="B191" s="1603"/>
      <c r="C191" s="478"/>
      <c r="D191" s="1604"/>
      <c r="E191" s="7"/>
      <c r="F191" s="7"/>
      <c r="G191" s="1605"/>
      <c r="H191" s="7"/>
      <c r="I191" s="1606"/>
      <c r="J191" s="1607"/>
      <c r="K191" s="7"/>
      <c r="L191" s="1606"/>
      <c r="M191" s="1607"/>
      <c r="N191" s="7"/>
      <c r="O191" s="1606"/>
      <c r="P191" s="1607"/>
      <c r="Q191" s="164"/>
      <c r="R191" s="186"/>
      <c r="S191" s="1608"/>
      <c r="T191" s="186"/>
      <c r="U191" s="164"/>
      <c r="V191" s="1608"/>
      <c r="W191" s="164"/>
      <c r="X191" s="164"/>
      <c r="Y191" s="164"/>
      <c r="Z191" s="164"/>
      <c r="AA191" s="164"/>
      <c r="AB191" s="164"/>
      <c r="AC191" s="164"/>
      <c r="AD191" s="164"/>
      <c r="AE191" s="164"/>
    </row>
    <row r="192" ht="15.75" customHeight="1">
      <c r="A192" s="164"/>
      <c r="B192" s="1603"/>
      <c r="C192" s="478"/>
      <c r="D192" s="1604"/>
      <c r="E192" s="7"/>
      <c r="F192" s="7"/>
      <c r="G192" s="1605"/>
      <c r="H192" s="7"/>
      <c r="I192" s="1606"/>
      <c r="J192" s="1607"/>
      <c r="K192" s="7"/>
      <c r="L192" s="1606"/>
      <c r="M192" s="1607"/>
      <c r="N192" s="7"/>
      <c r="O192" s="1606"/>
      <c r="P192" s="1607"/>
      <c r="Q192" s="164"/>
      <c r="R192" s="186"/>
      <c r="S192" s="1608"/>
      <c r="T192" s="186"/>
      <c r="U192" s="164"/>
      <c r="V192" s="1608"/>
      <c r="W192" s="164"/>
      <c r="X192" s="164"/>
      <c r="Y192" s="164"/>
      <c r="Z192" s="164"/>
      <c r="AA192" s="164"/>
      <c r="AB192" s="164"/>
      <c r="AC192" s="164"/>
      <c r="AD192" s="164"/>
      <c r="AE192" s="164"/>
    </row>
    <row r="193" ht="15.75" customHeight="1">
      <c r="A193" s="164"/>
      <c r="B193" s="1603"/>
      <c r="C193" s="478"/>
      <c r="D193" s="1604"/>
      <c r="E193" s="7"/>
      <c r="F193" s="7"/>
      <c r="G193" s="1605"/>
      <c r="H193" s="7"/>
      <c r="I193" s="1606"/>
      <c r="J193" s="1607"/>
      <c r="K193" s="7"/>
      <c r="L193" s="1606"/>
      <c r="M193" s="1607"/>
      <c r="N193" s="7"/>
      <c r="O193" s="1606"/>
      <c r="P193" s="1607"/>
      <c r="Q193" s="164"/>
      <c r="R193" s="186"/>
      <c r="S193" s="1608"/>
      <c r="T193" s="186"/>
      <c r="U193" s="164"/>
      <c r="V193" s="1608"/>
      <c r="W193" s="164"/>
      <c r="X193" s="164"/>
      <c r="Y193" s="164"/>
      <c r="Z193" s="164"/>
      <c r="AA193" s="164"/>
      <c r="AB193" s="164"/>
      <c r="AC193" s="164"/>
      <c r="AD193" s="164"/>
      <c r="AE193" s="164"/>
    </row>
    <row r="194" ht="15.75" customHeight="1">
      <c r="A194" s="164"/>
      <c r="B194" s="1603"/>
      <c r="C194" s="478"/>
      <c r="D194" s="1604"/>
      <c r="E194" s="7"/>
      <c r="F194" s="7"/>
      <c r="G194" s="1605"/>
      <c r="H194" s="7"/>
      <c r="I194" s="1606"/>
      <c r="J194" s="1607"/>
      <c r="K194" s="7"/>
      <c r="L194" s="1606"/>
      <c r="M194" s="1607"/>
      <c r="N194" s="7"/>
      <c r="O194" s="1606"/>
      <c r="P194" s="1607"/>
      <c r="Q194" s="164"/>
      <c r="R194" s="186"/>
      <c r="S194" s="1608"/>
      <c r="T194" s="186"/>
      <c r="U194" s="164"/>
      <c r="V194" s="1608"/>
      <c r="W194" s="164"/>
      <c r="X194" s="164"/>
      <c r="Y194" s="164"/>
      <c r="Z194" s="164"/>
      <c r="AA194" s="164"/>
      <c r="AB194" s="164"/>
      <c r="AC194" s="164"/>
      <c r="AD194" s="164"/>
      <c r="AE194" s="164"/>
    </row>
    <row r="195" ht="15.75" customHeight="1">
      <c r="A195" s="164"/>
      <c r="B195" s="1603"/>
      <c r="C195" s="478"/>
      <c r="D195" s="1604"/>
      <c r="E195" s="7"/>
      <c r="F195" s="7"/>
      <c r="G195" s="1605"/>
      <c r="H195" s="7"/>
      <c r="I195" s="1606"/>
      <c r="J195" s="1607"/>
      <c r="K195" s="7"/>
      <c r="L195" s="1606"/>
      <c r="M195" s="1607"/>
      <c r="N195" s="7"/>
      <c r="O195" s="1606"/>
      <c r="P195" s="1607"/>
      <c r="Q195" s="164"/>
      <c r="R195" s="186"/>
      <c r="S195" s="1608"/>
      <c r="T195" s="186"/>
      <c r="U195" s="164"/>
      <c r="V195" s="1608"/>
      <c r="W195" s="164"/>
      <c r="X195" s="164"/>
      <c r="Y195" s="164"/>
      <c r="Z195" s="164"/>
      <c r="AA195" s="164"/>
      <c r="AB195" s="164"/>
      <c r="AC195" s="164"/>
      <c r="AD195" s="164"/>
      <c r="AE195" s="164"/>
    </row>
    <row r="196" ht="15.75" customHeight="1">
      <c r="A196" s="164"/>
      <c r="B196" s="1603"/>
      <c r="C196" s="478"/>
      <c r="D196" s="1604"/>
      <c r="E196" s="7"/>
      <c r="F196" s="7"/>
      <c r="G196" s="1605"/>
      <c r="H196" s="7"/>
      <c r="I196" s="1606"/>
      <c r="J196" s="1607"/>
      <c r="K196" s="7"/>
      <c r="L196" s="1606"/>
      <c r="M196" s="1607"/>
      <c r="N196" s="7"/>
      <c r="O196" s="1606"/>
      <c r="P196" s="1607"/>
      <c r="Q196" s="164"/>
      <c r="R196" s="186"/>
      <c r="S196" s="1608"/>
      <c r="T196" s="186"/>
      <c r="U196" s="164"/>
      <c r="V196" s="1608"/>
      <c r="W196" s="164"/>
      <c r="X196" s="164"/>
      <c r="Y196" s="164"/>
      <c r="Z196" s="164"/>
      <c r="AA196" s="164"/>
      <c r="AB196" s="164"/>
      <c r="AC196" s="164"/>
      <c r="AD196" s="164"/>
      <c r="AE196" s="164"/>
    </row>
    <row r="197" ht="15.75" customHeight="1">
      <c r="A197" s="164"/>
      <c r="B197" s="1603"/>
      <c r="C197" s="478"/>
      <c r="D197" s="1604"/>
      <c r="E197" s="7"/>
      <c r="F197" s="7"/>
      <c r="G197" s="1605"/>
      <c r="H197" s="7"/>
      <c r="I197" s="1606"/>
      <c r="J197" s="1607"/>
      <c r="K197" s="7"/>
      <c r="L197" s="1606"/>
      <c r="M197" s="1607"/>
      <c r="N197" s="7"/>
      <c r="O197" s="1606"/>
      <c r="P197" s="1607"/>
      <c r="Q197" s="164"/>
      <c r="R197" s="186"/>
      <c r="S197" s="1608"/>
      <c r="T197" s="186"/>
      <c r="U197" s="164"/>
      <c r="V197" s="1608"/>
      <c r="W197" s="164"/>
      <c r="X197" s="164"/>
      <c r="Y197" s="164"/>
      <c r="Z197" s="164"/>
      <c r="AA197" s="164"/>
      <c r="AB197" s="164"/>
      <c r="AC197" s="164"/>
      <c r="AD197" s="164"/>
      <c r="AE197" s="164"/>
    </row>
    <row r="198" ht="15.75" customHeight="1">
      <c r="A198" s="164"/>
      <c r="B198" s="1603"/>
      <c r="C198" s="478"/>
      <c r="D198" s="1604"/>
      <c r="E198" s="7"/>
      <c r="F198" s="7"/>
      <c r="G198" s="1605"/>
      <c r="H198" s="7"/>
      <c r="I198" s="1606"/>
      <c r="J198" s="1607"/>
      <c r="K198" s="7"/>
      <c r="L198" s="1606"/>
      <c r="M198" s="1607"/>
      <c r="N198" s="7"/>
      <c r="O198" s="1606"/>
      <c r="P198" s="1607"/>
      <c r="Q198" s="164"/>
      <c r="R198" s="186"/>
      <c r="S198" s="1608"/>
      <c r="T198" s="186"/>
      <c r="U198" s="164"/>
      <c r="V198" s="1608"/>
      <c r="W198" s="164"/>
      <c r="X198" s="164"/>
      <c r="Y198" s="164"/>
      <c r="Z198" s="164"/>
      <c r="AA198" s="164"/>
      <c r="AB198" s="164"/>
      <c r="AC198" s="164"/>
      <c r="AD198" s="164"/>
      <c r="AE198" s="164"/>
    </row>
    <row r="199" ht="15.75" customHeight="1">
      <c r="A199" s="164"/>
      <c r="B199" s="1603"/>
      <c r="C199" s="478"/>
      <c r="D199" s="1604"/>
      <c r="E199" s="7"/>
      <c r="F199" s="7"/>
      <c r="G199" s="1605"/>
      <c r="H199" s="7"/>
      <c r="I199" s="1606"/>
      <c r="J199" s="1607"/>
      <c r="K199" s="7"/>
      <c r="L199" s="1606"/>
      <c r="M199" s="1607"/>
      <c r="N199" s="7"/>
      <c r="O199" s="1606"/>
      <c r="P199" s="1607"/>
      <c r="Q199" s="164"/>
      <c r="R199" s="186"/>
      <c r="S199" s="1608"/>
      <c r="T199" s="186"/>
      <c r="U199" s="164"/>
      <c r="V199" s="1608"/>
      <c r="W199" s="164"/>
      <c r="X199" s="164"/>
      <c r="Y199" s="164"/>
      <c r="Z199" s="164"/>
      <c r="AA199" s="164"/>
      <c r="AB199" s="164"/>
      <c r="AC199" s="164"/>
      <c r="AD199" s="164"/>
      <c r="AE199" s="164"/>
    </row>
    <row r="200" ht="15.75" customHeight="1">
      <c r="A200" s="164"/>
      <c r="B200" s="1603"/>
      <c r="C200" s="478"/>
      <c r="D200" s="1604"/>
      <c r="E200" s="7"/>
      <c r="F200" s="7"/>
      <c r="G200" s="1605"/>
      <c r="H200" s="7"/>
      <c r="I200" s="1606"/>
      <c r="J200" s="1607"/>
      <c r="K200" s="7"/>
      <c r="L200" s="1606"/>
      <c r="M200" s="1607"/>
      <c r="N200" s="7"/>
      <c r="O200" s="1606"/>
      <c r="P200" s="1607"/>
      <c r="Q200" s="164"/>
      <c r="R200" s="186"/>
      <c r="S200" s="1608"/>
      <c r="T200" s="186"/>
      <c r="U200" s="164"/>
      <c r="V200" s="1608"/>
      <c r="W200" s="164"/>
      <c r="X200" s="164"/>
      <c r="Y200" s="164"/>
      <c r="Z200" s="164"/>
      <c r="AA200" s="164"/>
      <c r="AB200" s="164"/>
      <c r="AC200" s="164"/>
      <c r="AD200" s="164"/>
      <c r="AE200" s="164"/>
    </row>
    <row r="201" ht="15.75" customHeight="1">
      <c r="A201" s="164"/>
      <c r="B201" s="1603"/>
      <c r="C201" s="478"/>
      <c r="D201" s="1604"/>
      <c r="E201" s="7"/>
      <c r="F201" s="7"/>
      <c r="G201" s="1605"/>
      <c r="H201" s="7"/>
      <c r="I201" s="1606"/>
      <c r="J201" s="1607"/>
      <c r="K201" s="7"/>
      <c r="L201" s="1606"/>
      <c r="M201" s="1607"/>
      <c r="N201" s="7"/>
      <c r="O201" s="1606"/>
      <c r="P201" s="1607"/>
      <c r="Q201" s="164"/>
      <c r="R201" s="186"/>
      <c r="S201" s="1608"/>
      <c r="T201" s="186"/>
      <c r="U201" s="164"/>
      <c r="V201" s="1608"/>
      <c r="W201" s="164"/>
      <c r="X201" s="164"/>
      <c r="Y201" s="164"/>
      <c r="Z201" s="164"/>
      <c r="AA201" s="164"/>
      <c r="AB201" s="164"/>
      <c r="AC201" s="164"/>
      <c r="AD201" s="164"/>
      <c r="AE201" s="164"/>
    </row>
    <row r="202" ht="15.75" customHeight="1">
      <c r="A202" s="164"/>
      <c r="B202" s="1603"/>
      <c r="C202" s="478"/>
      <c r="D202" s="1604"/>
      <c r="E202" s="7"/>
      <c r="F202" s="7"/>
      <c r="G202" s="1605"/>
      <c r="H202" s="7"/>
      <c r="I202" s="1606"/>
      <c r="J202" s="1607"/>
      <c r="K202" s="7"/>
      <c r="L202" s="1606"/>
      <c r="M202" s="1607"/>
      <c r="N202" s="7"/>
      <c r="O202" s="1606"/>
      <c r="P202" s="1607"/>
      <c r="Q202" s="164"/>
      <c r="R202" s="186"/>
      <c r="S202" s="1608"/>
      <c r="T202" s="186"/>
      <c r="U202" s="164"/>
      <c r="V202" s="1608"/>
      <c r="W202" s="164"/>
      <c r="X202" s="164"/>
      <c r="Y202" s="164"/>
      <c r="Z202" s="164"/>
      <c r="AA202" s="164"/>
      <c r="AB202" s="164"/>
      <c r="AC202" s="164"/>
      <c r="AD202" s="164"/>
      <c r="AE202" s="164"/>
    </row>
    <row r="203" ht="15.75" customHeight="1">
      <c r="A203" s="164"/>
      <c r="B203" s="1603"/>
      <c r="C203" s="478"/>
      <c r="D203" s="1604"/>
      <c r="E203" s="7"/>
      <c r="F203" s="7"/>
      <c r="G203" s="1605"/>
      <c r="H203" s="7"/>
      <c r="I203" s="1606"/>
      <c r="J203" s="1607"/>
      <c r="K203" s="7"/>
      <c r="L203" s="1606"/>
      <c r="M203" s="1607"/>
      <c r="N203" s="7"/>
      <c r="O203" s="1606"/>
      <c r="P203" s="1607"/>
      <c r="Q203" s="164"/>
      <c r="R203" s="186"/>
      <c r="S203" s="1608"/>
      <c r="T203" s="186"/>
      <c r="U203" s="164"/>
      <c r="V203" s="1608"/>
      <c r="W203" s="164"/>
      <c r="X203" s="164"/>
      <c r="Y203" s="164"/>
      <c r="Z203" s="164"/>
      <c r="AA203" s="164"/>
      <c r="AB203" s="164"/>
      <c r="AC203" s="164"/>
      <c r="AD203" s="164"/>
      <c r="AE203" s="164"/>
    </row>
    <row r="204" ht="15.75" customHeight="1">
      <c r="A204" s="164"/>
      <c r="B204" s="1603"/>
      <c r="C204" s="478"/>
      <c r="D204" s="1604"/>
      <c r="E204" s="7"/>
      <c r="F204" s="7"/>
      <c r="G204" s="1605"/>
      <c r="H204" s="7"/>
      <c r="I204" s="1606"/>
      <c r="J204" s="1607"/>
      <c r="K204" s="7"/>
      <c r="L204" s="1606"/>
      <c r="M204" s="1607"/>
      <c r="N204" s="7"/>
      <c r="O204" s="1606"/>
      <c r="P204" s="1607"/>
      <c r="Q204" s="164"/>
      <c r="R204" s="186"/>
      <c r="S204" s="1608"/>
      <c r="T204" s="186"/>
      <c r="U204" s="164"/>
      <c r="V204" s="1608"/>
      <c r="W204" s="164"/>
      <c r="X204" s="164"/>
      <c r="Y204" s="164"/>
      <c r="Z204" s="164"/>
      <c r="AA204" s="164"/>
      <c r="AB204" s="164"/>
      <c r="AC204" s="164"/>
      <c r="AD204" s="164"/>
      <c r="AE204" s="164"/>
    </row>
    <row r="205" ht="15.75" customHeight="1">
      <c r="A205" s="164"/>
      <c r="B205" s="1603"/>
      <c r="C205" s="478"/>
      <c r="D205" s="1604"/>
      <c r="E205" s="7"/>
      <c r="F205" s="7"/>
      <c r="G205" s="1605"/>
      <c r="H205" s="7"/>
      <c r="I205" s="1606"/>
      <c r="J205" s="1607"/>
      <c r="K205" s="7"/>
      <c r="L205" s="1606"/>
      <c r="M205" s="1607"/>
      <c r="N205" s="7"/>
      <c r="O205" s="1606"/>
      <c r="P205" s="1607"/>
      <c r="Q205" s="164"/>
      <c r="R205" s="186"/>
      <c r="S205" s="1608"/>
      <c r="T205" s="186"/>
      <c r="U205" s="164"/>
      <c r="V205" s="1608"/>
      <c r="W205" s="164"/>
      <c r="X205" s="164"/>
      <c r="Y205" s="164"/>
      <c r="Z205" s="164"/>
      <c r="AA205" s="164"/>
      <c r="AB205" s="164"/>
      <c r="AC205" s="164"/>
      <c r="AD205" s="164"/>
      <c r="AE205" s="164"/>
    </row>
    <row r="206" ht="15.75" customHeight="1">
      <c r="A206" s="164"/>
      <c r="B206" s="1603"/>
      <c r="C206" s="478"/>
      <c r="D206" s="1604"/>
      <c r="E206" s="7"/>
      <c r="F206" s="7"/>
      <c r="G206" s="1605"/>
      <c r="H206" s="7"/>
      <c r="I206" s="1606"/>
      <c r="J206" s="1607"/>
      <c r="K206" s="7"/>
      <c r="L206" s="1606"/>
      <c r="M206" s="1607"/>
      <c r="N206" s="7"/>
      <c r="O206" s="1606"/>
      <c r="P206" s="1607"/>
      <c r="Q206" s="164"/>
      <c r="R206" s="186"/>
      <c r="S206" s="1608"/>
      <c r="T206" s="186"/>
      <c r="U206" s="164"/>
      <c r="V206" s="1608"/>
      <c r="W206" s="164"/>
      <c r="X206" s="164"/>
      <c r="Y206" s="164"/>
      <c r="Z206" s="164"/>
      <c r="AA206" s="164"/>
      <c r="AB206" s="164"/>
      <c r="AC206" s="164"/>
      <c r="AD206" s="164"/>
      <c r="AE206" s="164"/>
    </row>
    <row r="207" ht="15.75" customHeight="1">
      <c r="A207" s="164"/>
      <c r="B207" s="1603"/>
      <c r="C207" s="478"/>
      <c r="D207" s="1604"/>
      <c r="E207" s="7"/>
      <c r="F207" s="7"/>
      <c r="G207" s="1605"/>
      <c r="H207" s="7"/>
      <c r="I207" s="1606"/>
      <c r="J207" s="1607"/>
      <c r="K207" s="7"/>
      <c r="L207" s="1606"/>
      <c r="M207" s="1607"/>
      <c r="N207" s="7"/>
      <c r="O207" s="1606"/>
      <c r="P207" s="1607"/>
      <c r="Q207" s="164"/>
      <c r="R207" s="186"/>
      <c r="S207" s="1608"/>
      <c r="T207" s="186"/>
      <c r="U207" s="164"/>
      <c r="V207" s="1608"/>
      <c r="W207" s="164"/>
      <c r="X207" s="164"/>
      <c r="Y207" s="164"/>
      <c r="Z207" s="164"/>
      <c r="AA207" s="164"/>
      <c r="AB207" s="164"/>
      <c r="AC207" s="164"/>
      <c r="AD207" s="164"/>
      <c r="AE207" s="164"/>
    </row>
    <row r="208" ht="15.75" customHeight="1">
      <c r="A208" s="164"/>
      <c r="B208" s="1603"/>
      <c r="C208" s="478"/>
      <c r="D208" s="1604"/>
      <c r="E208" s="7"/>
      <c r="F208" s="7"/>
      <c r="G208" s="1605"/>
      <c r="H208" s="7"/>
      <c r="I208" s="1606"/>
      <c r="J208" s="1607"/>
      <c r="K208" s="7"/>
      <c r="L208" s="1606"/>
      <c r="M208" s="1607"/>
      <c r="N208" s="7"/>
      <c r="O208" s="1606"/>
      <c r="P208" s="1607"/>
      <c r="Q208" s="164"/>
      <c r="R208" s="186"/>
      <c r="S208" s="1608"/>
      <c r="T208" s="186"/>
      <c r="U208" s="164"/>
      <c r="V208" s="1608"/>
      <c r="W208" s="164"/>
      <c r="X208" s="164"/>
      <c r="Y208" s="164"/>
      <c r="Z208" s="164"/>
      <c r="AA208" s="164"/>
      <c r="AB208" s="164"/>
      <c r="AC208" s="164"/>
      <c r="AD208" s="164"/>
      <c r="AE208" s="164"/>
    </row>
    <row r="209" ht="15.75" customHeight="1">
      <c r="A209" s="164"/>
      <c r="B209" s="1603"/>
      <c r="C209" s="478"/>
      <c r="D209" s="1604"/>
      <c r="E209" s="7"/>
      <c r="F209" s="7"/>
      <c r="G209" s="1605"/>
      <c r="H209" s="7"/>
      <c r="I209" s="1606"/>
      <c r="J209" s="1607"/>
      <c r="K209" s="7"/>
      <c r="L209" s="1606"/>
      <c r="M209" s="1607"/>
      <c r="N209" s="7"/>
      <c r="O209" s="1606"/>
      <c r="P209" s="1607"/>
      <c r="Q209" s="164"/>
      <c r="R209" s="186"/>
      <c r="S209" s="1608"/>
      <c r="T209" s="186"/>
      <c r="U209" s="164"/>
      <c r="V209" s="1608"/>
      <c r="W209" s="164"/>
      <c r="X209" s="164"/>
      <c r="Y209" s="164"/>
      <c r="Z209" s="164"/>
      <c r="AA209" s="164"/>
      <c r="AB209" s="164"/>
      <c r="AC209" s="164"/>
      <c r="AD209" s="164"/>
      <c r="AE209" s="164"/>
    </row>
    <row r="210" ht="15.75" customHeight="1">
      <c r="A210" s="164"/>
      <c r="B210" s="1603"/>
      <c r="C210" s="478"/>
      <c r="D210" s="1604"/>
      <c r="E210" s="7"/>
      <c r="F210" s="7"/>
      <c r="G210" s="1605"/>
      <c r="H210" s="7"/>
      <c r="I210" s="1606"/>
      <c r="J210" s="1607"/>
      <c r="K210" s="7"/>
      <c r="L210" s="1606"/>
      <c r="M210" s="1607"/>
      <c r="N210" s="7"/>
      <c r="O210" s="1606"/>
      <c r="P210" s="1607"/>
      <c r="Q210" s="164"/>
      <c r="R210" s="186"/>
      <c r="S210" s="1608"/>
      <c r="T210" s="186"/>
      <c r="U210" s="164"/>
      <c r="V210" s="1608"/>
      <c r="W210" s="164"/>
      <c r="X210" s="164"/>
      <c r="Y210" s="164"/>
      <c r="Z210" s="164"/>
      <c r="AA210" s="164"/>
      <c r="AB210" s="164"/>
      <c r="AC210" s="164"/>
      <c r="AD210" s="164"/>
      <c r="AE210" s="164"/>
    </row>
    <row r="211" ht="15.75" customHeight="1">
      <c r="A211" s="164"/>
      <c r="B211" s="1603"/>
      <c r="C211" s="478"/>
      <c r="D211" s="1604"/>
      <c r="E211" s="7"/>
      <c r="F211" s="7"/>
      <c r="G211" s="1605"/>
      <c r="H211" s="7"/>
      <c r="I211" s="1606"/>
      <c r="J211" s="1607"/>
      <c r="K211" s="7"/>
      <c r="L211" s="1606"/>
      <c r="M211" s="1607"/>
      <c r="N211" s="7"/>
      <c r="O211" s="1606"/>
      <c r="P211" s="1607"/>
      <c r="Q211" s="164"/>
      <c r="R211" s="186"/>
      <c r="S211" s="1608"/>
      <c r="T211" s="186"/>
      <c r="U211" s="164"/>
      <c r="V211" s="1608"/>
      <c r="W211" s="164"/>
      <c r="X211" s="164"/>
      <c r="Y211" s="164"/>
      <c r="Z211" s="164"/>
      <c r="AA211" s="164"/>
      <c r="AB211" s="164"/>
      <c r="AC211" s="164"/>
      <c r="AD211" s="164"/>
      <c r="AE211" s="164"/>
    </row>
    <row r="212" ht="15.75" customHeight="1">
      <c r="A212" s="164"/>
      <c r="B212" s="1603"/>
      <c r="C212" s="478"/>
      <c r="D212" s="1604"/>
      <c r="E212" s="7"/>
      <c r="F212" s="7"/>
      <c r="G212" s="1605"/>
      <c r="H212" s="7"/>
      <c r="I212" s="1606"/>
      <c r="J212" s="1607"/>
      <c r="K212" s="7"/>
      <c r="L212" s="1606"/>
      <c r="M212" s="1607"/>
      <c r="N212" s="7"/>
      <c r="O212" s="1606"/>
      <c r="P212" s="1607"/>
      <c r="Q212" s="164"/>
      <c r="R212" s="186"/>
      <c r="S212" s="1608"/>
      <c r="T212" s="186"/>
      <c r="U212" s="164"/>
      <c r="V212" s="1608"/>
      <c r="W212" s="164"/>
      <c r="X212" s="164"/>
      <c r="Y212" s="164"/>
      <c r="Z212" s="164"/>
      <c r="AA212" s="164"/>
      <c r="AB212" s="164"/>
      <c r="AC212" s="164"/>
      <c r="AD212" s="164"/>
      <c r="AE212" s="164"/>
    </row>
    <row r="213" ht="15.75" customHeight="1">
      <c r="A213" s="164"/>
      <c r="B213" s="1603"/>
      <c r="C213" s="478"/>
      <c r="D213" s="1604"/>
      <c r="E213" s="7"/>
      <c r="F213" s="7"/>
      <c r="G213" s="1605"/>
      <c r="H213" s="7"/>
      <c r="I213" s="1606"/>
      <c r="J213" s="1607"/>
      <c r="K213" s="7"/>
      <c r="L213" s="1606"/>
      <c r="M213" s="1607"/>
      <c r="N213" s="7"/>
      <c r="O213" s="1606"/>
      <c r="P213" s="1607"/>
      <c r="Q213" s="164"/>
      <c r="R213" s="186"/>
      <c r="S213" s="1608"/>
      <c r="T213" s="186"/>
      <c r="U213" s="164"/>
      <c r="V213" s="1608"/>
      <c r="W213" s="164"/>
      <c r="X213" s="164"/>
      <c r="Y213" s="164"/>
      <c r="Z213" s="164"/>
      <c r="AA213" s="164"/>
      <c r="AB213" s="164"/>
      <c r="AC213" s="164"/>
      <c r="AD213" s="164"/>
      <c r="AE213" s="164"/>
    </row>
    <row r="214" ht="15.75" customHeight="1">
      <c r="A214" s="164"/>
      <c r="B214" s="1603"/>
      <c r="C214" s="478"/>
      <c r="D214" s="1604"/>
      <c r="E214" s="7"/>
      <c r="F214" s="7"/>
      <c r="G214" s="1605"/>
      <c r="H214" s="7"/>
      <c r="I214" s="1606"/>
      <c r="J214" s="1607"/>
      <c r="K214" s="7"/>
      <c r="L214" s="1606"/>
      <c r="M214" s="1607"/>
      <c r="N214" s="7"/>
      <c r="O214" s="1606"/>
      <c r="P214" s="1607"/>
      <c r="Q214" s="164"/>
      <c r="R214" s="186"/>
      <c r="S214" s="1608"/>
      <c r="T214" s="186"/>
      <c r="U214" s="164"/>
      <c r="V214" s="1608"/>
      <c r="W214" s="164"/>
      <c r="X214" s="164"/>
      <c r="Y214" s="164"/>
      <c r="Z214" s="164"/>
      <c r="AA214" s="164"/>
      <c r="AB214" s="164"/>
      <c r="AC214" s="164"/>
      <c r="AD214" s="164"/>
      <c r="AE214" s="164"/>
    </row>
    <row r="215" ht="15.75" customHeight="1">
      <c r="A215" s="164"/>
      <c r="B215" s="1603"/>
      <c r="C215" s="478"/>
      <c r="D215" s="1604"/>
      <c r="E215" s="7"/>
      <c r="F215" s="7"/>
      <c r="G215" s="1605"/>
      <c r="H215" s="7"/>
      <c r="I215" s="1606"/>
      <c r="J215" s="1607"/>
      <c r="K215" s="7"/>
      <c r="L215" s="1606"/>
      <c r="M215" s="1607"/>
      <c r="N215" s="7"/>
      <c r="O215" s="1606"/>
      <c r="P215" s="1607"/>
      <c r="Q215" s="164"/>
      <c r="R215" s="186"/>
      <c r="S215" s="1608"/>
      <c r="T215" s="186"/>
      <c r="U215" s="164"/>
      <c r="V215" s="1608"/>
      <c r="W215" s="164"/>
      <c r="X215" s="164"/>
      <c r="Y215" s="164"/>
      <c r="Z215" s="164"/>
      <c r="AA215" s="164"/>
      <c r="AB215" s="164"/>
      <c r="AC215" s="164"/>
      <c r="AD215" s="164"/>
      <c r="AE215" s="164"/>
    </row>
    <row r="216" ht="15.75" customHeight="1">
      <c r="A216" s="164"/>
      <c r="B216" s="1603"/>
      <c r="C216" s="478"/>
      <c r="D216" s="1604"/>
      <c r="E216" s="7"/>
      <c r="F216" s="7"/>
      <c r="G216" s="1605"/>
      <c r="H216" s="7"/>
      <c r="I216" s="1606"/>
      <c r="J216" s="1607"/>
      <c r="K216" s="7"/>
      <c r="L216" s="1606"/>
      <c r="M216" s="1607"/>
      <c r="N216" s="7"/>
      <c r="O216" s="1606"/>
      <c r="P216" s="1607"/>
      <c r="Q216" s="164"/>
      <c r="R216" s="186"/>
      <c r="S216" s="1608"/>
      <c r="T216" s="186"/>
      <c r="U216" s="164"/>
      <c r="V216" s="1608"/>
      <c r="W216" s="164"/>
      <c r="X216" s="164"/>
      <c r="Y216" s="164"/>
      <c r="Z216" s="164"/>
      <c r="AA216" s="164"/>
      <c r="AB216" s="164"/>
      <c r="AC216" s="164"/>
      <c r="AD216" s="164"/>
      <c r="AE216" s="164"/>
    </row>
    <row r="217" ht="15.75" customHeight="1">
      <c r="A217" s="164"/>
      <c r="B217" s="1603"/>
      <c r="C217" s="478"/>
      <c r="D217" s="1604"/>
      <c r="E217" s="7"/>
      <c r="F217" s="7"/>
      <c r="G217" s="1605"/>
      <c r="H217" s="7"/>
      <c r="I217" s="1606"/>
      <c r="J217" s="1607"/>
      <c r="K217" s="7"/>
      <c r="L217" s="1606"/>
      <c r="M217" s="1607"/>
      <c r="N217" s="7"/>
      <c r="O217" s="1606"/>
      <c r="P217" s="1607"/>
      <c r="Q217" s="164"/>
      <c r="R217" s="186"/>
      <c r="S217" s="1608"/>
      <c r="T217" s="186"/>
      <c r="U217" s="164"/>
      <c r="V217" s="1608"/>
      <c r="W217" s="164"/>
      <c r="X217" s="164"/>
      <c r="Y217" s="164"/>
      <c r="Z217" s="164"/>
      <c r="AA217" s="164"/>
      <c r="AB217" s="164"/>
      <c r="AC217" s="164"/>
      <c r="AD217" s="164"/>
      <c r="AE217" s="164"/>
    </row>
    <row r="218" ht="15.75" customHeight="1">
      <c r="A218" s="164"/>
      <c r="B218" s="1603"/>
      <c r="C218" s="478"/>
      <c r="D218" s="1604"/>
      <c r="E218" s="7"/>
      <c r="F218" s="7"/>
      <c r="G218" s="1605"/>
      <c r="H218" s="7"/>
      <c r="I218" s="1606"/>
      <c r="J218" s="1607"/>
      <c r="K218" s="7"/>
      <c r="L218" s="1606"/>
      <c r="M218" s="1607"/>
      <c r="N218" s="7"/>
      <c r="O218" s="1606"/>
      <c r="P218" s="1607"/>
      <c r="Q218" s="164"/>
      <c r="R218" s="186"/>
      <c r="S218" s="1608"/>
      <c r="T218" s="186"/>
      <c r="U218" s="164"/>
      <c r="V218" s="1608"/>
      <c r="W218" s="164"/>
      <c r="X218" s="164"/>
      <c r="Y218" s="164"/>
      <c r="Z218" s="164"/>
      <c r="AA218" s="164"/>
      <c r="AB218" s="164"/>
      <c r="AC218" s="164"/>
      <c r="AD218" s="164"/>
      <c r="AE218" s="164"/>
    </row>
    <row r="219" ht="15.75" customHeight="1">
      <c r="A219" s="164"/>
      <c r="B219" s="1603"/>
      <c r="C219" s="478"/>
      <c r="D219" s="1604"/>
      <c r="E219" s="7"/>
      <c r="F219" s="7"/>
      <c r="G219" s="1605"/>
      <c r="H219" s="7"/>
      <c r="I219" s="1606"/>
      <c r="J219" s="1607"/>
      <c r="K219" s="7"/>
      <c r="L219" s="1606"/>
      <c r="M219" s="1607"/>
      <c r="N219" s="7"/>
      <c r="O219" s="1606"/>
      <c r="P219" s="1607"/>
      <c r="Q219" s="164"/>
      <c r="R219" s="186"/>
      <c r="S219" s="1608"/>
      <c r="T219" s="186"/>
      <c r="U219" s="164"/>
      <c r="V219" s="1608"/>
      <c r="W219" s="164"/>
      <c r="X219" s="164"/>
      <c r="Y219" s="164"/>
      <c r="Z219" s="164"/>
      <c r="AA219" s="164"/>
      <c r="AB219" s="164"/>
      <c r="AC219" s="164"/>
      <c r="AD219" s="164"/>
      <c r="AE219" s="164"/>
    </row>
    <row r="220" ht="15.75" customHeight="1">
      <c r="A220" s="164"/>
      <c r="B220" s="1603"/>
      <c r="C220" s="478"/>
      <c r="D220" s="1604"/>
      <c r="E220" s="7"/>
      <c r="F220" s="7"/>
      <c r="G220" s="1605"/>
      <c r="H220" s="7"/>
      <c r="I220" s="1606"/>
      <c r="J220" s="1607"/>
      <c r="K220" s="7"/>
      <c r="L220" s="1606"/>
      <c r="M220" s="1607"/>
      <c r="N220" s="7"/>
      <c r="O220" s="1606"/>
      <c r="P220" s="1607"/>
      <c r="Q220" s="164"/>
      <c r="R220" s="186"/>
      <c r="S220" s="1608"/>
      <c r="T220" s="186"/>
      <c r="U220" s="164"/>
      <c r="V220" s="1608"/>
      <c r="W220" s="164"/>
      <c r="X220" s="164"/>
      <c r="Y220" s="164"/>
      <c r="Z220" s="164"/>
      <c r="AA220" s="164"/>
      <c r="AB220" s="164"/>
      <c r="AC220" s="164"/>
      <c r="AD220" s="164"/>
      <c r="AE220" s="164"/>
    </row>
    <row r="221" ht="15.75" customHeight="1">
      <c r="A221" s="164"/>
      <c r="B221" s="1603"/>
      <c r="C221" s="478"/>
      <c r="D221" s="1604"/>
      <c r="E221" s="7"/>
      <c r="F221" s="7"/>
      <c r="G221" s="1605"/>
      <c r="H221" s="7"/>
      <c r="I221" s="1606"/>
      <c r="J221" s="1607"/>
      <c r="K221" s="7"/>
      <c r="L221" s="1606"/>
      <c r="M221" s="1607"/>
      <c r="N221" s="7"/>
      <c r="O221" s="1606"/>
      <c r="P221" s="1607"/>
      <c r="Q221" s="164"/>
      <c r="R221" s="186"/>
      <c r="S221" s="1608"/>
      <c r="T221" s="186"/>
      <c r="U221" s="164"/>
      <c r="V221" s="1608"/>
      <c r="W221" s="164"/>
      <c r="X221" s="164"/>
      <c r="Y221" s="164"/>
      <c r="Z221" s="164"/>
      <c r="AA221" s="164"/>
      <c r="AB221" s="164"/>
      <c r="AC221" s="164"/>
      <c r="AD221" s="164"/>
      <c r="AE221" s="164"/>
    </row>
    <row r="222" ht="15.75" customHeight="1">
      <c r="A222" s="164"/>
      <c r="B222" s="1603"/>
      <c r="C222" s="478"/>
      <c r="D222" s="1604"/>
      <c r="E222" s="7"/>
      <c r="F222" s="7"/>
      <c r="G222" s="1605"/>
      <c r="H222" s="7"/>
      <c r="I222" s="1606"/>
      <c r="J222" s="1607"/>
      <c r="K222" s="7"/>
      <c r="L222" s="1606"/>
      <c r="M222" s="1607"/>
      <c r="N222" s="7"/>
      <c r="O222" s="1606"/>
      <c r="P222" s="1607"/>
      <c r="Q222" s="164"/>
      <c r="R222" s="186"/>
      <c r="S222" s="1608"/>
      <c r="T222" s="186"/>
      <c r="U222" s="164"/>
      <c r="V222" s="1608"/>
      <c r="W222" s="164"/>
      <c r="X222" s="164"/>
      <c r="Y222" s="164"/>
      <c r="Z222" s="164"/>
      <c r="AA222" s="164"/>
      <c r="AB222" s="164"/>
      <c r="AC222" s="164"/>
      <c r="AD222" s="164"/>
      <c r="AE222" s="164"/>
    </row>
    <row r="223" ht="15.75" customHeight="1">
      <c r="A223" s="164"/>
      <c r="B223" s="1603"/>
      <c r="C223" s="478"/>
      <c r="D223" s="1604"/>
      <c r="E223" s="7"/>
      <c r="F223" s="7"/>
      <c r="G223" s="1605"/>
      <c r="H223" s="7"/>
      <c r="I223" s="1606"/>
      <c r="J223" s="1607"/>
      <c r="K223" s="7"/>
      <c r="L223" s="1606"/>
      <c r="M223" s="1607"/>
      <c r="N223" s="7"/>
      <c r="O223" s="1606"/>
      <c r="P223" s="1607"/>
      <c r="Q223" s="164"/>
      <c r="R223" s="186"/>
      <c r="S223" s="1608"/>
      <c r="T223" s="186"/>
      <c r="U223" s="164"/>
      <c r="V223" s="1608"/>
      <c r="W223" s="164"/>
      <c r="X223" s="164"/>
      <c r="Y223" s="164"/>
      <c r="Z223" s="164"/>
      <c r="AA223" s="164"/>
      <c r="AB223" s="164"/>
      <c r="AC223" s="164"/>
      <c r="AD223" s="164"/>
      <c r="AE223" s="164"/>
    </row>
    <row r="224" ht="15.75" customHeight="1">
      <c r="A224" s="164"/>
      <c r="B224" s="1603"/>
      <c r="C224" s="478"/>
      <c r="D224" s="1604"/>
      <c r="E224" s="7"/>
      <c r="F224" s="7"/>
      <c r="G224" s="1605"/>
      <c r="H224" s="7"/>
      <c r="I224" s="1606"/>
      <c r="J224" s="1607"/>
      <c r="K224" s="7"/>
      <c r="L224" s="1606"/>
      <c r="M224" s="1607"/>
      <c r="N224" s="7"/>
      <c r="O224" s="1606"/>
      <c r="P224" s="1607"/>
      <c r="Q224" s="164"/>
      <c r="R224" s="186"/>
      <c r="S224" s="1608"/>
      <c r="T224" s="186"/>
      <c r="U224" s="164"/>
      <c r="V224" s="1608"/>
      <c r="W224" s="164"/>
      <c r="X224" s="164"/>
      <c r="Y224" s="164"/>
      <c r="Z224" s="164"/>
      <c r="AA224" s="164"/>
      <c r="AB224" s="164"/>
      <c r="AC224" s="164"/>
      <c r="AD224" s="164"/>
      <c r="AE224" s="164"/>
    </row>
    <row r="225" ht="15.75" customHeight="1">
      <c r="A225" s="164"/>
      <c r="B225" s="1603"/>
      <c r="C225" s="478"/>
      <c r="D225" s="1604"/>
      <c r="E225" s="7"/>
      <c r="F225" s="7"/>
      <c r="G225" s="1605"/>
      <c r="H225" s="7"/>
      <c r="I225" s="1606"/>
      <c r="J225" s="1607"/>
      <c r="K225" s="7"/>
      <c r="L225" s="1606"/>
      <c r="M225" s="1607"/>
      <c r="N225" s="7"/>
      <c r="O225" s="1606"/>
      <c r="P225" s="1607"/>
      <c r="Q225" s="164"/>
      <c r="R225" s="186"/>
      <c r="S225" s="1608"/>
      <c r="T225" s="186"/>
      <c r="U225" s="164"/>
      <c r="V225" s="1608"/>
      <c r="W225" s="164"/>
      <c r="X225" s="164"/>
      <c r="Y225" s="164"/>
      <c r="Z225" s="164"/>
      <c r="AA225" s="164"/>
      <c r="AB225" s="164"/>
      <c r="AC225" s="164"/>
      <c r="AD225" s="164"/>
      <c r="AE225" s="164"/>
    </row>
    <row r="226" ht="15.75" customHeight="1">
      <c r="A226" s="164"/>
      <c r="B226" s="1603"/>
      <c r="C226" s="478"/>
      <c r="D226" s="1604"/>
      <c r="E226" s="7"/>
      <c r="F226" s="7"/>
      <c r="G226" s="1605"/>
      <c r="H226" s="7"/>
      <c r="I226" s="1606"/>
      <c r="J226" s="1607"/>
      <c r="K226" s="7"/>
      <c r="L226" s="1606"/>
      <c r="M226" s="1607"/>
      <c r="N226" s="7"/>
      <c r="O226" s="1606"/>
      <c r="P226" s="1607"/>
      <c r="Q226" s="164"/>
      <c r="R226" s="186"/>
      <c r="S226" s="1608"/>
      <c r="T226" s="186"/>
      <c r="U226" s="164"/>
      <c r="V226" s="1608"/>
      <c r="W226" s="164"/>
      <c r="X226" s="164"/>
      <c r="Y226" s="164"/>
      <c r="Z226" s="164"/>
      <c r="AA226" s="164"/>
      <c r="AB226" s="164"/>
      <c r="AC226" s="164"/>
      <c r="AD226" s="164"/>
      <c r="AE226" s="164"/>
    </row>
    <row r="227" ht="15.75" customHeight="1">
      <c r="A227" s="164"/>
      <c r="B227" s="1603"/>
      <c r="C227" s="478"/>
      <c r="D227" s="1604"/>
      <c r="E227" s="7"/>
      <c r="F227" s="7"/>
      <c r="G227" s="1605"/>
      <c r="H227" s="7"/>
      <c r="I227" s="1606"/>
      <c r="J227" s="1607"/>
      <c r="K227" s="7"/>
      <c r="L227" s="1606"/>
      <c r="M227" s="1607"/>
      <c r="N227" s="7"/>
      <c r="O227" s="1606"/>
      <c r="P227" s="1607"/>
      <c r="Q227" s="164"/>
      <c r="R227" s="186"/>
      <c r="S227" s="1608"/>
      <c r="T227" s="186"/>
      <c r="U227" s="164"/>
      <c r="V227" s="1608"/>
      <c r="W227" s="164"/>
      <c r="X227" s="164"/>
      <c r="Y227" s="164"/>
      <c r="Z227" s="164"/>
      <c r="AA227" s="164"/>
      <c r="AB227" s="164"/>
      <c r="AC227" s="164"/>
      <c r="AD227" s="164"/>
      <c r="AE227" s="164"/>
    </row>
    <row r="228" ht="15.75" customHeight="1">
      <c r="A228" s="164"/>
      <c r="B228" s="1603"/>
      <c r="C228" s="478"/>
      <c r="D228" s="1604"/>
      <c r="E228" s="7"/>
      <c r="F228" s="7"/>
      <c r="G228" s="1605"/>
      <c r="H228" s="7"/>
      <c r="I228" s="1606"/>
      <c r="J228" s="1607"/>
      <c r="K228" s="7"/>
      <c r="L228" s="1606"/>
      <c r="M228" s="1607"/>
      <c r="N228" s="7"/>
      <c r="O228" s="1606"/>
      <c r="P228" s="1607"/>
      <c r="Q228" s="164"/>
      <c r="R228" s="186"/>
      <c r="S228" s="1608"/>
      <c r="T228" s="186"/>
      <c r="U228" s="164"/>
      <c r="V228" s="1608"/>
      <c r="W228" s="164"/>
      <c r="X228" s="164"/>
      <c r="Y228" s="164"/>
      <c r="Z228" s="164"/>
      <c r="AA228" s="164"/>
      <c r="AB228" s="164"/>
      <c r="AC228" s="164"/>
      <c r="AD228" s="164"/>
      <c r="AE228" s="164"/>
    </row>
    <row r="229" ht="15.75" customHeight="1">
      <c r="A229" s="164"/>
      <c r="B229" s="1603"/>
      <c r="C229" s="478"/>
      <c r="D229" s="1604"/>
      <c r="E229" s="7"/>
      <c r="F229" s="7"/>
      <c r="G229" s="1605"/>
      <c r="H229" s="7"/>
      <c r="I229" s="1606"/>
      <c r="J229" s="1607"/>
      <c r="K229" s="7"/>
      <c r="L229" s="1606"/>
      <c r="M229" s="1607"/>
      <c r="N229" s="7"/>
      <c r="O229" s="1606"/>
      <c r="P229" s="1607"/>
      <c r="Q229" s="164"/>
      <c r="R229" s="186"/>
      <c r="S229" s="1608"/>
      <c r="T229" s="186"/>
      <c r="U229" s="164"/>
      <c r="V229" s="1608"/>
      <c r="W229" s="164"/>
      <c r="X229" s="164"/>
      <c r="Y229" s="164"/>
      <c r="Z229" s="164"/>
      <c r="AA229" s="164"/>
      <c r="AB229" s="164"/>
      <c r="AC229" s="164"/>
      <c r="AD229" s="164"/>
      <c r="AE229" s="164"/>
    </row>
    <row r="230" ht="15.75" customHeight="1">
      <c r="A230" s="164"/>
      <c r="B230" s="1603"/>
      <c r="C230" s="478"/>
      <c r="D230" s="1604"/>
      <c r="E230" s="7"/>
      <c r="F230" s="7"/>
      <c r="G230" s="1605"/>
      <c r="H230" s="7"/>
      <c r="I230" s="1606"/>
      <c r="J230" s="1607"/>
      <c r="K230" s="7"/>
      <c r="L230" s="1606"/>
      <c r="M230" s="1607"/>
      <c r="N230" s="7"/>
      <c r="O230" s="1606"/>
      <c r="P230" s="1607"/>
      <c r="Q230" s="164"/>
      <c r="R230" s="186"/>
      <c r="S230" s="1608"/>
      <c r="T230" s="186"/>
      <c r="U230" s="164"/>
      <c r="V230" s="1608"/>
      <c r="W230" s="164"/>
      <c r="X230" s="164"/>
      <c r="Y230" s="164"/>
      <c r="Z230" s="164"/>
      <c r="AA230" s="164"/>
      <c r="AB230" s="164"/>
      <c r="AC230" s="164"/>
      <c r="AD230" s="164"/>
      <c r="AE230" s="164"/>
    </row>
    <row r="231" ht="15.75" customHeight="1">
      <c r="A231" s="164"/>
      <c r="B231" s="1603"/>
      <c r="C231" s="478"/>
      <c r="D231" s="1604"/>
      <c r="E231" s="7"/>
      <c r="F231" s="7"/>
      <c r="G231" s="1605"/>
      <c r="H231" s="7"/>
      <c r="I231" s="1606"/>
      <c r="J231" s="1607"/>
      <c r="K231" s="7"/>
      <c r="L231" s="1606"/>
      <c r="M231" s="1607"/>
      <c r="N231" s="7"/>
      <c r="O231" s="1606"/>
      <c r="P231" s="1607"/>
      <c r="Q231" s="164"/>
      <c r="R231" s="186"/>
      <c r="S231" s="1608"/>
      <c r="T231" s="186"/>
      <c r="U231" s="164"/>
      <c r="V231" s="1608"/>
      <c r="W231" s="164"/>
      <c r="X231" s="164"/>
      <c r="Y231" s="164"/>
      <c r="Z231" s="164"/>
      <c r="AA231" s="164"/>
      <c r="AB231" s="164"/>
      <c r="AC231" s="164"/>
      <c r="AD231" s="164"/>
      <c r="AE231" s="164"/>
    </row>
    <row r="232" ht="15.75" customHeight="1">
      <c r="A232" s="164"/>
      <c r="B232" s="1603"/>
      <c r="C232" s="478"/>
      <c r="D232" s="1604"/>
      <c r="E232" s="7"/>
      <c r="F232" s="7"/>
      <c r="G232" s="1605"/>
      <c r="H232" s="7"/>
      <c r="I232" s="1606"/>
      <c r="J232" s="1607"/>
      <c r="K232" s="7"/>
      <c r="L232" s="1606"/>
      <c r="M232" s="1607"/>
      <c r="N232" s="7"/>
      <c r="O232" s="1606"/>
      <c r="P232" s="1607"/>
      <c r="Q232" s="164"/>
      <c r="R232" s="186"/>
      <c r="S232" s="1608"/>
      <c r="T232" s="186"/>
      <c r="U232" s="164"/>
      <c r="V232" s="1608"/>
      <c r="W232" s="164"/>
      <c r="X232" s="164"/>
      <c r="Y232" s="164"/>
      <c r="Z232" s="164"/>
      <c r="AA232" s="164"/>
      <c r="AB232" s="164"/>
      <c r="AC232" s="164"/>
      <c r="AD232" s="164"/>
      <c r="AE232" s="164"/>
    </row>
    <row r="233" ht="15.75" customHeight="1">
      <c r="A233" s="164"/>
      <c r="B233" s="1603"/>
      <c r="C233" s="478"/>
      <c r="D233" s="1604"/>
      <c r="E233" s="7"/>
      <c r="F233" s="7"/>
      <c r="G233" s="1605"/>
      <c r="H233" s="7"/>
      <c r="I233" s="1606"/>
      <c r="J233" s="1607"/>
      <c r="K233" s="7"/>
      <c r="L233" s="1606"/>
      <c r="M233" s="1607"/>
      <c r="N233" s="7"/>
      <c r="O233" s="1606"/>
      <c r="P233" s="1607"/>
      <c r="Q233" s="164"/>
      <c r="R233" s="186"/>
      <c r="S233" s="1608"/>
      <c r="T233" s="186"/>
      <c r="U233" s="164"/>
      <c r="V233" s="1608"/>
      <c r="W233" s="164"/>
      <c r="X233" s="164"/>
      <c r="Y233" s="164"/>
      <c r="Z233" s="164"/>
      <c r="AA233" s="164"/>
      <c r="AB233" s="164"/>
      <c r="AC233" s="164"/>
      <c r="AD233" s="164"/>
      <c r="AE233" s="164"/>
    </row>
    <row r="234" ht="15.75" customHeight="1">
      <c r="A234" s="164"/>
      <c r="B234" s="1603"/>
      <c r="C234" s="478"/>
      <c r="D234" s="1604"/>
      <c r="E234" s="7"/>
      <c r="F234" s="7"/>
      <c r="G234" s="1605"/>
      <c r="H234" s="7"/>
      <c r="I234" s="1606"/>
      <c r="J234" s="1607"/>
      <c r="K234" s="7"/>
      <c r="L234" s="1606"/>
      <c r="M234" s="1607"/>
      <c r="N234" s="7"/>
      <c r="O234" s="1606"/>
      <c r="P234" s="1607"/>
      <c r="Q234" s="164"/>
      <c r="R234" s="186"/>
      <c r="S234" s="1608"/>
      <c r="T234" s="186"/>
      <c r="U234" s="164"/>
      <c r="V234" s="1608"/>
      <c r="W234" s="164"/>
      <c r="X234" s="164"/>
      <c r="Y234" s="164"/>
      <c r="Z234" s="164"/>
      <c r="AA234" s="164"/>
      <c r="AB234" s="164"/>
      <c r="AC234" s="164"/>
      <c r="AD234" s="164"/>
      <c r="AE234" s="164"/>
    </row>
    <row r="235" ht="15.75" customHeight="1">
      <c r="A235" s="164"/>
      <c r="B235" s="1603"/>
      <c r="C235" s="478"/>
      <c r="D235" s="1604"/>
      <c r="E235" s="7"/>
      <c r="F235" s="7"/>
      <c r="G235" s="1605"/>
      <c r="H235" s="7"/>
      <c r="I235" s="1606"/>
      <c r="J235" s="1607"/>
      <c r="K235" s="7"/>
      <c r="L235" s="1606"/>
      <c r="M235" s="1607"/>
      <c r="N235" s="7"/>
      <c r="O235" s="1606"/>
      <c r="P235" s="1607"/>
      <c r="Q235" s="164"/>
      <c r="R235" s="186"/>
      <c r="S235" s="1608"/>
      <c r="T235" s="186"/>
      <c r="U235" s="164"/>
      <c r="V235" s="1608"/>
      <c r="W235" s="164"/>
      <c r="X235" s="164"/>
      <c r="Y235" s="164"/>
      <c r="Z235" s="164"/>
      <c r="AA235" s="164"/>
      <c r="AB235" s="164"/>
      <c r="AC235" s="164"/>
      <c r="AD235" s="164"/>
      <c r="AE235" s="164"/>
    </row>
    <row r="236" ht="15.75" customHeight="1">
      <c r="A236" s="164"/>
      <c r="B236" s="1603"/>
      <c r="C236" s="478"/>
      <c r="D236" s="1604"/>
      <c r="E236" s="7"/>
      <c r="F236" s="7"/>
      <c r="G236" s="1605"/>
      <c r="H236" s="7"/>
      <c r="I236" s="1606"/>
      <c r="J236" s="1607"/>
      <c r="K236" s="7"/>
      <c r="L236" s="1606"/>
      <c r="M236" s="1607"/>
      <c r="N236" s="7"/>
      <c r="O236" s="1606"/>
      <c r="P236" s="1607"/>
      <c r="Q236" s="164"/>
      <c r="R236" s="186"/>
      <c r="S236" s="1608"/>
      <c r="T236" s="186"/>
      <c r="U236" s="164"/>
      <c r="V236" s="1608"/>
      <c r="W236" s="164"/>
      <c r="X236" s="164"/>
      <c r="Y236" s="164"/>
      <c r="Z236" s="164"/>
      <c r="AA236" s="164"/>
      <c r="AB236" s="164"/>
      <c r="AC236" s="164"/>
      <c r="AD236" s="164"/>
      <c r="AE236" s="164"/>
    </row>
    <row r="237" ht="15.75" customHeight="1">
      <c r="A237" s="164"/>
      <c r="B237" s="1603"/>
      <c r="C237" s="478"/>
      <c r="D237" s="1604"/>
      <c r="E237" s="7"/>
      <c r="F237" s="7"/>
      <c r="G237" s="1605"/>
      <c r="H237" s="7"/>
      <c r="I237" s="1606"/>
      <c r="J237" s="1607"/>
      <c r="K237" s="7"/>
      <c r="L237" s="1606"/>
      <c r="M237" s="1607"/>
      <c r="N237" s="7"/>
      <c r="O237" s="1606"/>
      <c r="P237" s="1607"/>
      <c r="Q237" s="164"/>
      <c r="R237" s="186"/>
      <c r="S237" s="1608"/>
      <c r="T237" s="186"/>
      <c r="U237" s="164"/>
      <c r="V237" s="1608"/>
      <c r="W237" s="164"/>
      <c r="X237" s="164"/>
      <c r="Y237" s="164"/>
      <c r="Z237" s="164"/>
      <c r="AA237" s="164"/>
      <c r="AB237" s="164"/>
      <c r="AC237" s="164"/>
      <c r="AD237" s="164"/>
      <c r="AE237" s="164"/>
    </row>
    <row r="238" ht="15.75" customHeight="1">
      <c r="A238" s="164"/>
      <c r="B238" s="1603"/>
      <c r="C238" s="478"/>
      <c r="D238" s="1604"/>
      <c r="E238" s="7"/>
      <c r="F238" s="7"/>
      <c r="G238" s="1605"/>
      <c r="H238" s="7"/>
      <c r="I238" s="1606"/>
      <c r="J238" s="1607"/>
      <c r="K238" s="7"/>
      <c r="L238" s="1606"/>
      <c r="M238" s="1607"/>
      <c r="N238" s="7"/>
      <c r="O238" s="1606"/>
      <c r="P238" s="1607"/>
      <c r="Q238" s="164"/>
      <c r="R238" s="186"/>
      <c r="S238" s="1608"/>
      <c r="T238" s="186"/>
      <c r="U238" s="164"/>
      <c r="V238" s="1608"/>
      <c r="W238" s="164"/>
      <c r="X238" s="164"/>
      <c r="Y238" s="164"/>
      <c r="Z238" s="164"/>
      <c r="AA238" s="164"/>
      <c r="AB238" s="164"/>
      <c r="AC238" s="164"/>
      <c r="AD238" s="164"/>
      <c r="AE238" s="164"/>
    </row>
    <row r="239" ht="15.75" customHeight="1">
      <c r="A239" s="164"/>
      <c r="B239" s="1603"/>
      <c r="C239" s="478"/>
      <c r="D239" s="1604"/>
      <c r="E239" s="7"/>
      <c r="F239" s="7"/>
      <c r="G239" s="1605"/>
      <c r="H239" s="7"/>
      <c r="I239" s="1606"/>
      <c r="J239" s="1607"/>
      <c r="K239" s="7"/>
      <c r="L239" s="1606"/>
      <c r="M239" s="1607"/>
      <c r="N239" s="7"/>
      <c r="O239" s="1606"/>
      <c r="P239" s="1607"/>
      <c r="Q239" s="164"/>
      <c r="R239" s="186"/>
      <c r="S239" s="1608"/>
      <c r="T239" s="186"/>
      <c r="U239" s="164"/>
      <c r="V239" s="1608"/>
      <c r="W239" s="164"/>
      <c r="X239" s="164"/>
      <c r="Y239" s="164"/>
      <c r="Z239" s="164"/>
      <c r="AA239" s="164"/>
      <c r="AB239" s="164"/>
      <c r="AC239" s="164"/>
      <c r="AD239" s="164"/>
      <c r="AE239" s="164"/>
    </row>
    <row r="240" ht="15.75" customHeight="1">
      <c r="A240" s="164"/>
      <c r="B240" s="1603"/>
      <c r="C240" s="478"/>
      <c r="D240" s="1604"/>
      <c r="E240" s="7"/>
      <c r="F240" s="7"/>
      <c r="G240" s="1605"/>
      <c r="H240" s="7"/>
      <c r="I240" s="1606"/>
      <c r="J240" s="1607"/>
      <c r="K240" s="7"/>
      <c r="L240" s="1606"/>
      <c r="M240" s="1607"/>
      <c r="N240" s="7"/>
      <c r="O240" s="1606"/>
      <c r="P240" s="1607"/>
      <c r="Q240" s="164"/>
      <c r="R240" s="186"/>
      <c r="S240" s="1608"/>
      <c r="T240" s="186"/>
      <c r="U240" s="164"/>
      <c r="V240" s="1608"/>
      <c r="W240" s="164"/>
      <c r="X240" s="164"/>
      <c r="Y240" s="164"/>
      <c r="Z240" s="164"/>
      <c r="AA240" s="164"/>
      <c r="AB240" s="164"/>
      <c r="AC240" s="164"/>
      <c r="AD240" s="164"/>
      <c r="AE240" s="164"/>
    </row>
    <row r="241" ht="15.75" customHeight="1">
      <c r="A241" s="164"/>
      <c r="B241" s="1603"/>
      <c r="C241" s="478"/>
      <c r="D241" s="1604"/>
      <c r="E241" s="7"/>
      <c r="F241" s="7"/>
      <c r="G241" s="1605"/>
      <c r="H241" s="7"/>
      <c r="I241" s="1606"/>
      <c r="J241" s="1607"/>
      <c r="K241" s="7"/>
      <c r="L241" s="1606"/>
      <c r="M241" s="1607"/>
      <c r="N241" s="7"/>
      <c r="O241" s="1606"/>
      <c r="P241" s="1607"/>
      <c r="Q241" s="164"/>
      <c r="R241" s="186"/>
      <c r="S241" s="1608"/>
      <c r="T241" s="186"/>
      <c r="U241" s="164"/>
      <c r="V241" s="1608"/>
      <c r="W241" s="164"/>
      <c r="X241" s="164"/>
      <c r="Y241" s="164"/>
      <c r="Z241" s="164"/>
      <c r="AA241" s="164"/>
      <c r="AB241" s="164"/>
      <c r="AC241" s="164"/>
      <c r="AD241" s="164"/>
      <c r="AE241" s="164"/>
    </row>
    <row r="242" ht="15.75" customHeight="1">
      <c r="A242" s="164"/>
      <c r="B242" s="1603"/>
      <c r="C242" s="478"/>
      <c r="D242" s="1604"/>
      <c r="E242" s="7"/>
      <c r="F242" s="7"/>
      <c r="G242" s="1605"/>
      <c r="H242" s="7"/>
      <c r="I242" s="1606"/>
      <c r="J242" s="1607"/>
      <c r="K242" s="7"/>
      <c r="L242" s="1606"/>
      <c r="M242" s="1607"/>
      <c r="N242" s="7"/>
      <c r="O242" s="1606"/>
      <c r="P242" s="1607"/>
      <c r="Q242" s="164"/>
      <c r="R242" s="186"/>
      <c r="S242" s="1608"/>
      <c r="T242" s="186"/>
      <c r="U242" s="164"/>
      <c r="V242" s="1608"/>
      <c r="W242" s="164"/>
      <c r="X242" s="164"/>
      <c r="Y242" s="164"/>
      <c r="Z242" s="164"/>
      <c r="AA242" s="164"/>
      <c r="AB242" s="164"/>
      <c r="AC242" s="164"/>
      <c r="AD242" s="164"/>
      <c r="AE242" s="164"/>
    </row>
    <row r="243" ht="15.75" customHeight="1">
      <c r="A243" s="164"/>
      <c r="B243" s="1603"/>
      <c r="C243" s="478"/>
      <c r="D243" s="1604"/>
      <c r="E243" s="7"/>
      <c r="F243" s="7"/>
      <c r="G243" s="1605"/>
      <c r="H243" s="7"/>
      <c r="I243" s="1606"/>
      <c r="J243" s="1607"/>
      <c r="K243" s="7"/>
      <c r="L243" s="1606"/>
      <c r="M243" s="1607"/>
      <c r="N243" s="7"/>
      <c r="O243" s="1606"/>
      <c r="P243" s="1607"/>
      <c r="Q243" s="164"/>
      <c r="R243" s="186"/>
      <c r="S243" s="1608"/>
      <c r="T243" s="186"/>
      <c r="U243" s="164"/>
      <c r="V243" s="1608"/>
      <c r="W243" s="164"/>
      <c r="X243" s="164"/>
      <c r="Y243" s="164"/>
      <c r="Z243" s="164"/>
      <c r="AA243" s="164"/>
      <c r="AB243" s="164"/>
      <c r="AC243" s="164"/>
      <c r="AD243" s="164"/>
      <c r="AE243" s="164"/>
    </row>
    <row r="244" ht="15.75" customHeight="1">
      <c r="A244" s="164"/>
      <c r="B244" s="1603"/>
      <c r="C244" s="478"/>
      <c r="D244" s="1604"/>
      <c r="E244" s="7"/>
      <c r="F244" s="7"/>
      <c r="G244" s="1605"/>
      <c r="H244" s="7"/>
      <c r="I244" s="1606"/>
      <c r="J244" s="1607"/>
      <c r="K244" s="7"/>
      <c r="L244" s="1606"/>
      <c r="M244" s="1607"/>
      <c r="N244" s="7"/>
      <c r="O244" s="1606"/>
      <c r="P244" s="1607"/>
      <c r="Q244" s="164"/>
      <c r="R244" s="186"/>
      <c r="S244" s="1608"/>
      <c r="T244" s="186"/>
      <c r="U244" s="164"/>
      <c r="V244" s="1608"/>
      <c r="W244" s="164"/>
      <c r="X244" s="164"/>
      <c r="Y244" s="164"/>
      <c r="Z244" s="164"/>
      <c r="AA244" s="164"/>
      <c r="AB244" s="164"/>
      <c r="AC244" s="164"/>
      <c r="AD244" s="164"/>
      <c r="AE244" s="164"/>
    </row>
    <row r="245" ht="15.75" customHeight="1">
      <c r="A245" s="164"/>
      <c r="B245" s="1603"/>
      <c r="C245" s="478"/>
      <c r="D245" s="1604"/>
      <c r="E245" s="7"/>
      <c r="F245" s="7"/>
      <c r="G245" s="1605"/>
      <c r="H245" s="7"/>
      <c r="I245" s="1606"/>
      <c r="J245" s="1607"/>
      <c r="K245" s="7"/>
      <c r="L245" s="1606"/>
      <c r="M245" s="1607"/>
      <c r="N245" s="7"/>
      <c r="O245" s="1606"/>
      <c r="P245" s="1607"/>
      <c r="Q245" s="164"/>
      <c r="R245" s="186"/>
      <c r="S245" s="1608"/>
      <c r="T245" s="186"/>
      <c r="U245" s="164"/>
      <c r="V245" s="1608"/>
      <c r="W245" s="164"/>
      <c r="X245" s="164"/>
      <c r="Y245" s="164"/>
      <c r="Z245" s="164"/>
      <c r="AA245" s="164"/>
      <c r="AB245" s="164"/>
      <c r="AC245" s="164"/>
      <c r="AD245" s="164"/>
      <c r="AE245" s="164"/>
    </row>
    <row r="246" ht="15.75" customHeight="1">
      <c r="A246" s="164"/>
      <c r="B246" s="1603"/>
      <c r="C246" s="478"/>
      <c r="D246" s="1604"/>
      <c r="E246" s="7"/>
      <c r="F246" s="7"/>
      <c r="G246" s="1605"/>
      <c r="H246" s="7"/>
      <c r="I246" s="1606"/>
      <c r="J246" s="1607"/>
      <c r="K246" s="7"/>
      <c r="L246" s="1606"/>
      <c r="M246" s="1607"/>
      <c r="N246" s="7"/>
      <c r="O246" s="1606"/>
      <c r="P246" s="1607"/>
      <c r="Q246" s="164"/>
      <c r="R246" s="186"/>
      <c r="S246" s="1608"/>
      <c r="T246" s="186"/>
      <c r="U246" s="164"/>
      <c r="V246" s="1608"/>
      <c r="W246" s="164"/>
      <c r="X246" s="164"/>
      <c r="Y246" s="164"/>
      <c r="Z246" s="164"/>
      <c r="AA246" s="164"/>
      <c r="AB246" s="164"/>
      <c r="AC246" s="164"/>
      <c r="AD246" s="164"/>
      <c r="AE246" s="164"/>
    </row>
    <row r="247" ht="15.75" customHeight="1">
      <c r="A247" s="164"/>
      <c r="B247" s="1603"/>
      <c r="C247" s="478"/>
      <c r="D247" s="1604"/>
      <c r="E247" s="7"/>
      <c r="F247" s="7"/>
      <c r="G247" s="1605"/>
      <c r="H247" s="7"/>
      <c r="I247" s="1606"/>
      <c r="J247" s="1607"/>
      <c r="K247" s="7"/>
      <c r="L247" s="1606"/>
      <c r="M247" s="1607"/>
      <c r="N247" s="7"/>
      <c r="O247" s="1606"/>
      <c r="P247" s="1607"/>
      <c r="Q247" s="164"/>
      <c r="R247" s="186"/>
      <c r="S247" s="1608"/>
      <c r="T247" s="186"/>
      <c r="U247" s="164"/>
      <c r="V247" s="1608"/>
      <c r="W247" s="164"/>
      <c r="X247" s="164"/>
      <c r="Y247" s="164"/>
      <c r="Z247" s="164"/>
      <c r="AA247" s="164"/>
      <c r="AB247" s="164"/>
      <c r="AC247" s="164"/>
      <c r="AD247" s="164"/>
      <c r="AE247" s="164"/>
    </row>
    <row r="248" ht="15.75" customHeight="1">
      <c r="A248" s="164"/>
      <c r="B248" s="1603"/>
      <c r="C248" s="478"/>
      <c r="D248" s="1604"/>
      <c r="E248" s="7"/>
      <c r="F248" s="7"/>
      <c r="G248" s="1605"/>
      <c r="H248" s="7"/>
      <c r="I248" s="1606"/>
      <c r="J248" s="1607"/>
      <c r="K248" s="7"/>
      <c r="L248" s="1606"/>
      <c r="M248" s="1607"/>
      <c r="N248" s="7"/>
      <c r="O248" s="1606"/>
      <c r="P248" s="1607"/>
      <c r="Q248" s="164"/>
      <c r="R248" s="186"/>
      <c r="S248" s="1608"/>
      <c r="T248" s="186"/>
      <c r="U248" s="164"/>
      <c r="V248" s="1608"/>
      <c r="W248" s="164"/>
      <c r="X248" s="164"/>
      <c r="Y248" s="164"/>
      <c r="Z248" s="164"/>
      <c r="AA248" s="164"/>
      <c r="AB248" s="164"/>
      <c r="AC248" s="164"/>
      <c r="AD248" s="164"/>
      <c r="AE248" s="164"/>
    </row>
    <row r="249" ht="15.75" customHeight="1">
      <c r="A249" s="164"/>
      <c r="B249" s="1603"/>
      <c r="C249" s="478"/>
      <c r="D249" s="1604"/>
      <c r="E249" s="7"/>
      <c r="F249" s="7"/>
      <c r="G249" s="1605"/>
      <c r="H249" s="7"/>
      <c r="I249" s="1606"/>
      <c r="J249" s="1607"/>
      <c r="K249" s="7"/>
      <c r="L249" s="1606"/>
      <c r="M249" s="1607"/>
      <c r="N249" s="7"/>
      <c r="O249" s="1606"/>
      <c r="P249" s="1607"/>
      <c r="Q249" s="164"/>
      <c r="R249" s="186"/>
      <c r="S249" s="1608"/>
      <c r="T249" s="186"/>
      <c r="U249" s="164"/>
      <c r="V249" s="1608"/>
      <c r="W249" s="164"/>
      <c r="X249" s="164"/>
      <c r="Y249" s="164"/>
      <c r="Z249" s="164"/>
      <c r="AA249" s="164"/>
      <c r="AB249" s="164"/>
      <c r="AC249" s="164"/>
      <c r="AD249" s="164"/>
      <c r="AE249" s="164"/>
    </row>
    <row r="250" ht="15.75" customHeight="1">
      <c r="A250" s="164"/>
      <c r="B250" s="1603"/>
      <c r="C250" s="478"/>
      <c r="D250" s="1604"/>
      <c r="E250" s="7"/>
      <c r="F250" s="7"/>
      <c r="G250" s="1605"/>
      <c r="H250" s="7"/>
      <c r="I250" s="1606"/>
      <c r="J250" s="1607"/>
      <c r="K250" s="7"/>
      <c r="L250" s="1606"/>
      <c r="M250" s="1607"/>
      <c r="N250" s="7"/>
      <c r="O250" s="1606"/>
      <c r="P250" s="1607"/>
      <c r="Q250" s="164"/>
      <c r="R250" s="186"/>
      <c r="S250" s="1608"/>
      <c r="T250" s="186"/>
      <c r="U250" s="164"/>
      <c r="V250" s="1608"/>
      <c r="W250" s="164"/>
      <c r="X250" s="164"/>
      <c r="Y250" s="164"/>
      <c r="Z250" s="164"/>
      <c r="AA250" s="164"/>
      <c r="AB250" s="164"/>
      <c r="AC250" s="164"/>
      <c r="AD250" s="164"/>
      <c r="AE250" s="164"/>
    </row>
    <row r="251" ht="15.75" customHeight="1">
      <c r="A251" s="164"/>
      <c r="B251" s="1603"/>
      <c r="C251" s="478"/>
      <c r="D251" s="1604"/>
      <c r="E251" s="7"/>
      <c r="F251" s="7"/>
      <c r="G251" s="1605"/>
      <c r="H251" s="7"/>
      <c r="I251" s="1606"/>
      <c r="J251" s="1607"/>
      <c r="K251" s="7"/>
      <c r="L251" s="1606"/>
      <c r="M251" s="1607"/>
      <c r="N251" s="7"/>
      <c r="O251" s="1606"/>
      <c r="P251" s="1607"/>
      <c r="Q251" s="164"/>
      <c r="R251" s="186"/>
      <c r="S251" s="1608"/>
      <c r="T251" s="186"/>
      <c r="U251" s="164"/>
      <c r="V251" s="1608"/>
      <c r="W251" s="164"/>
      <c r="X251" s="164"/>
      <c r="Y251" s="164"/>
      <c r="Z251" s="164"/>
      <c r="AA251" s="164"/>
      <c r="AB251" s="164"/>
      <c r="AC251" s="164"/>
      <c r="AD251" s="164"/>
      <c r="AE251" s="164"/>
    </row>
    <row r="252" ht="15.75" customHeight="1">
      <c r="A252" s="164"/>
      <c r="B252" s="1603"/>
      <c r="C252" s="478"/>
      <c r="D252" s="1604"/>
      <c r="E252" s="7"/>
      <c r="F252" s="7"/>
      <c r="G252" s="1605"/>
      <c r="H252" s="7"/>
      <c r="I252" s="1606"/>
      <c r="J252" s="1607"/>
      <c r="K252" s="7"/>
      <c r="L252" s="1606"/>
      <c r="M252" s="1607"/>
      <c r="N252" s="7"/>
      <c r="O252" s="1606"/>
      <c r="P252" s="1607"/>
      <c r="Q252" s="164"/>
      <c r="R252" s="186"/>
      <c r="S252" s="1608"/>
      <c r="T252" s="186"/>
      <c r="U252" s="164"/>
      <c r="V252" s="1608"/>
      <c r="W252" s="164"/>
      <c r="X252" s="164"/>
      <c r="Y252" s="164"/>
      <c r="Z252" s="164"/>
      <c r="AA252" s="164"/>
      <c r="AB252" s="164"/>
      <c r="AC252" s="164"/>
      <c r="AD252" s="164"/>
      <c r="AE252" s="164"/>
    </row>
    <row r="253" ht="15.75" customHeight="1">
      <c r="A253" s="164"/>
      <c r="B253" s="1603"/>
      <c r="C253" s="478"/>
      <c r="D253" s="1604"/>
      <c r="E253" s="7"/>
      <c r="F253" s="7"/>
      <c r="G253" s="1605"/>
      <c r="H253" s="7"/>
      <c r="I253" s="1606"/>
      <c r="J253" s="1607"/>
      <c r="K253" s="7"/>
      <c r="L253" s="1606"/>
      <c r="M253" s="1607"/>
      <c r="N253" s="7"/>
      <c r="O253" s="1606"/>
      <c r="P253" s="1607"/>
      <c r="Q253" s="164"/>
      <c r="R253" s="186"/>
      <c r="S253" s="1608"/>
      <c r="T253" s="186"/>
      <c r="U253" s="164"/>
      <c r="V253" s="1608"/>
      <c r="W253" s="164"/>
      <c r="X253" s="164"/>
      <c r="Y253" s="164"/>
      <c r="Z253" s="164"/>
      <c r="AA253" s="164"/>
      <c r="AB253" s="164"/>
      <c r="AC253" s="164"/>
      <c r="AD253" s="164"/>
      <c r="AE253" s="164"/>
    </row>
    <row r="254" ht="15.75" customHeight="1">
      <c r="A254" s="164"/>
      <c r="B254" s="1603"/>
      <c r="C254" s="478"/>
      <c r="D254" s="1604"/>
      <c r="E254" s="7"/>
      <c r="F254" s="7"/>
      <c r="G254" s="1605"/>
      <c r="H254" s="7"/>
      <c r="I254" s="1606"/>
      <c r="J254" s="1607"/>
      <c r="K254" s="7"/>
      <c r="L254" s="1606"/>
      <c r="M254" s="1607"/>
      <c r="N254" s="7"/>
      <c r="O254" s="1606"/>
      <c r="P254" s="1607"/>
      <c r="Q254" s="164"/>
      <c r="R254" s="186"/>
      <c r="S254" s="1608"/>
      <c r="T254" s="186"/>
      <c r="U254" s="164"/>
      <c r="V254" s="1608"/>
      <c r="W254" s="164"/>
      <c r="X254" s="164"/>
      <c r="Y254" s="164"/>
      <c r="Z254" s="164"/>
      <c r="AA254" s="164"/>
      <c r="AB254" s="164"/>
      <c r="AC254" s="164"/>
      <c r="AD254" s="164"/>
      <c r="AE254" s="164"/>
    </row>
    <row r="255" ht="15.75" customHeight="1">
      <c r="A255" s="164"/>
      <c r="B255" s="1603"/>
      <c r="C255" s="478"/>
      <c r="D255" s="1604"/>
      <c r="E255" s="7"/>
      <c r="F255" s="7"/>
      <c r="G255" s="1605"/>
      <c r="H255" s="7"/>
      <c r="I255" s="1606"/>
      <c r="J255" s="1607"/>
      <c r="K255" s="7"/>
      <c r="L255" s="1606"/>
      <c r="M255" s="1607"/>
      <c r="N255" s="7"/>
      <c r="O255" s="1606"/>
      <c r="P255" s="1607"/>
      <c r="Q255" s="164"/>
      <c r="R255" s="186"/>
      <c r="S255" s="1608"/>
      <c r="T255" s="186"/>
      <c r="U255" s="164"/>
      <c r="V255" s="1608"/>
      <c r="W255" s="164"/>
      <c r="X255" s="164"/>
      <c r="Y255" s="164"/>
      <c r="Z255" s="164"/>
      <c r="AA255" s="164"/>
      <c r="AB255" s="164"/>
      <c r="AC255" s="164"/>
      <c r="AD255" s="164"/>
      <c r="AE255" s="164"/>
    </row>
    <row r="256" ht="15.75" customHeight="1">
      <c r="A256" s="164"/>
      <c r="B256" s="1603"/>
      <c r="C256" s="478"/>
      <c r="D256" s="1604"/>
      <c r="E256" s="7"/>
      <c r="F256" s="7"/>
      <c r="G256" s="1605"/>
      <c r="H256" s="7"/>
      <c r="I256" s="1606"/>
      <c r="J256" s="1607"/>
      <c r="K256" s="7"/>
      <c r="L256" s="1606"/>
      <c r="M256" s="1607"/>
      <c r="N256" s="7"/>
      <c r="O256" s="1606"/>
      <c r="P256" s="1607"/>
      <c r="Q256" s="164"/>
      <c r="R256" s="186"/>
      <c r="S256" s="1608"/>
      <c r="T256" s="186"/>
      <c r="U256" s="164"/>
      <c r="V256" s="1608"/>
      <c r="W256" s="164"/>
      <c r="X256" s="164"/>
      <c r="Y256" s="164"/>
      <c r="Z256" s="164"/>
      <c r="AA256" s="164"/>
      <c r="AB256" s="164"/>
      <c r="AC256" s="164"/>
      <c r="AD256" s="164"/>
      <c r="AE256" s="164"/>
    </row>
    <row r="257" ht="15.75" customHeight="1">
      <c r="A257" s="164"/>
      <c r="B257" s="1603"/>
      <c r="C257" s="478"/>
      <c r="D257" s="1604"/>
      <c r="E257" s="7"/>
      <c r="F257" s="7"/>
      <c r="G257" s="1605"/>
      <c r="H257" s="7"/>
      <c r="I257" s="1606"/>
      <c r="J257" s="1607"/>
      <c r="K257" s="7"/>
      <c r="L257" s="1606"/>
      <c r="M257" s="1607"/>
      <c r="N257" s="7"/>
      <c r="O257" s="1606"/>
      <c r="P257" s="1607"/>
      <c r="Q257" s="164"/>
      <c r="R257" s="186"/>
      <c r="S257" s="1608"/>
      <c r="T257" s="186"/>
      <c r="U257" s="164"/>
      <c r="V257" s="1608"/>
      <c r="W257" s="164"/>
      <c r="X257" s="164"/>
      <c r="Y257" s="164"/>
      <c r="Z257" s="164"/>
      <c r="AA257" s="164"/>
      <c r="AB257" s="164"/>
      <c r="AC257" s="164"/>
      <c r="AD257" s="164"/>
      <c r="AE257" s="164"/>
    </row>
    <row r="258" ht="15.75" customHeight="1">
      <c r="A258" s="164"/>
      <c r="B258" s="1603"/>
      <c r="C258" s="478"/>
      <c r="D258" s="1604"/>
      <c r="E258" s="7"/>
      <c r="F258" s="7"/>
      <c r="G258" s="1605"/>
      <c r="H258" s="7"/>
      <c r="I258" s="1606"/>
      <c r="J258" s="1607"/>
      <c r="K258" s="7"/>
      <c r="L258" s="1606"/>
      <c r="M258" s="1607"/>
      <c r="N258" s="7"/>
      <c r="O258" s="1606"/>
      <c r="P258" s="1607"/>
      <c r="Q258" s="164"/>
      <c r="R258" s="186"/>
      <c r="S258" s="1608"/>
      <c r="T258" s="186"/>
      <c r="U258" s="164"/>
      <c r="V258" s="1608"/>
      <c r="W258" s="164"/>
      <c r="X258" s="164"/>
      <c r="Y258" s="164"/>
      <c r="Z258" s="164"/>
      <c r="AA258" s="164"/>
      <c r="AB258" s="164"/>
      <c r="AC258" s="164"/>
      <c r="AD258" s="164"/>
      <c r="AE258" s="164"/>
    </row>
    <row r="259" ht="15.75" customHeight="1">
      <c r="A259" s="164"/>
      <c r="B259" s="1603"/>
      <c r="C259" s="478"/>
      <c r="D259" s="1604"/>
      <c r="E259" s="7"/>
      <c r="F259" s="7"/>
      <c r="G259" s="1605"/>
      <c r="H259" s="7"/>
      <c r="I259" s="1606"/>
      <c r="J259" s="1607"/>
      <c r="K259" s="7"/>
      <c r="L259" s="1606"/>
      <c r="M259" s="1607"/>
      <c r="N259" s="7"/>
      <c r="O259" s="1606"/>
      <c r="P259" s="1607"/>
      <c r="Q259" s="164"/>
      <c r="R259" s="186"/>
      <c r="S259" s="1608"/>
      <c r="T259" s="186"/>
      <c r="U259" s="164"/>
      <c r="V259" s="1608"/>
      <c r="W259" s="164"/>
      <c r="X259" s="164"/>
      <c r="Y259" s="164"/>
      <c r="Z259" s="164"/>
      <c r="AA259" s="164"/>
      <c r="AB259" s="164"/>
      <c r="AC259" s="164"/>
      <c r="AD259" s="164"/>
      <c r="AE259" s="164"/>
    </row>
    <row r="260" ht="15.75" customHeight="1">
      <c r="A260" s="164"/>
      <c r="B260" s="1603"/>
      <c r="C260" s="478"/>
      <c r="D260" s="1604"/>
      <c r="E260" s="7"/>
      <c r="F260" s="7"/>
      <c r="G260" s="1605"/>
      <c r="H260" s="7"/>
      <c r="I260" s="1606"/>
      <c r="J260" s="1607"/>
      <c r="K260" s="7"/>
      <c r="L260" s="1606"/>
      <c r="M260" s="1607"/>
      <c r="N260" s="7"/>
      <c r="O260" s="1606"/>
      <c r="P260" s="1607"/>
      <c r="Q260" s="164"/>
      <c r="R260" s="186"/>
      <c r="S260" s="1608"/>
      <c r="T260" s="186"/>
      <c r="U260" s="164"/>
      <c r="V260" s="1608"/>
      <c r="W260" s="164"/>
      <c r="X260" s="164"/>
      <c r="Y260" s="164"/>
      <c r="Z260" s="164"/>
      <c r="AA260" s="164"/>
      <c r="AB260" s="164"/>
      <c r="AC260" s="164"/>
      <c r="AD260" s="164"/>
      <c r="AE260" s="164"/>
    </row>
    <row r="261" ht="15.75" customHeight="1">
      <c r="A261" s="164"/>
      <c r="B261" s="1603"/>
      <c r="C261" s="478"/>
      <c r="D261" s="1604"/>
      <c r="E261" s="7"/>
      <c r="F261" s="7"/>
      <c r="G261" s="1605"/>
      <c r="H261" s="7"/>
      <c r="I261" s="1606"/>
      <c r="J261" s="1607"/>
      <c r="K261" s="7"/>
      <c r="L261" s="1606"/>
      <c r="M261" s="1607"/>
      <c r="N261" s="7"/>
      <c r="O261" s="1606"/>
      <c r="P261" s="1607"/>
      <c r="Q261" s="164"/>
      <c r="R261" s="186"/>
      <c r="S261" s="1608"/>
      <c r="T261" s="186"/>
      <c r="U261" s="164"/>
      <c r="V261" s="1608"/>
      <c r="W261" s="164"/>
      <c r="X261" s="164"/>
      <c r="Y261" s="164"/>
      <c r="Z261" s="164"/>
      <c r="AA261" s="164"/>
      <c r="AB261" s="164"/>
      <c r="AC261" s="164"/>
      <c r="AD261" s="164"/>
      <c r="AE261" s="164"/>
    </row>
    <row r="262" ht="15.75" customHeight="1">
      <c r="A262" s="164"/>
      <c r="B262" s="1603"/>
      <c r="C262" s="478"/>
      <c r="D262" s="1604"/>
      <c r="E262" s="7"/>
      <c r="F262" s="7"/>
      <c r="G262" s="1605"/>
      <c r="H262" s="7"/>
      <c r="I262" s="1606"/>
      <c r="J262" s="1607"/>
      <c r="K262" s="7"/>
      <c r="L262" s="1606"/>
      <c r="M262" s="1607"/>
      <c r="N262" s="7"/>
      <c r="O262" s="1606"/>
      <c r="P262" s="1607"/>
      <c r="Q262" s="164"/>
      <c r="R262" s="186"/>
      <c r="S262" s="1608"/>
      <c r="T262" s="186"/>
      <c r="U262" s="164"/>
      <c r="V262" s="1608"/>
      <c r="W262" s="164"/>
      <c r="X262" s="164"/>
      <c r="Y262" s="164"/>
      <c r="Z262" s="164"/>
      <c r="AA262" s="164"/>
      <c r="AB262" s="164"/>
      <c r="AC262" s="164"/>
      <c r="AD262" s="164"/>
      <c r="AE262" s="164"/>
    </row>
    <row r="263" ht="15.75" customHeight="1">
      <c r="A263" s="164"/>
      <c r="B263" s="1603"/>
      <c r="C263" s="478"/>
      <c r="D263" s="1604"/>
      <c r="E263" s="7"/>
      <c r="F263" s="7"/>
      <c r="G263" s="1605"/>
      <c r="H263" s="7"/>
      <c r="I263" s="1606"/>
      <c r="J263" s="1607"/>
      <c r="K263" s="7"/>
      <c r="L263" s="1606"/>
      <c r="M263" s="1607"/>
      <c r="N263" s="7"/>
      <c r="O263" s="1606"/>
      <c r="P263" s="1607"/>
      <c r="Q263" s="164"/>
      <c r="R263" s="186"/>
      <c r="S263" s="1608"/>
      <c r="T263" s="186"/>
      <c r="U263" s="164"/>
      <c r="V263" s="1608"/>
      <c r="W263" s="164"/>
      <c r="X263" s="164"/>
      <c r="Y263" s="164"/>
      <c r="Z263" s="164"/>
      <c r="AA263" s="164"/>
      <c r="AB263" s="164"/>
      <c r="AC263" s="164"/>
      <c r="AD263" s="164"/>
      <c r="AE263" s="164"/>
    </row>
    <row r="264" ht="15.75" customHeight="1">
      <c r="A264" s="164"/>
      <c r="B264" s="1603"/>
      <c r="C264" s="478"/>
      <c r="D264" s="1604"/>
      <c r="E264" s="7"/>
      <c r="F264" s="7"/>
      <c r="G264" s="1605"/>
      <c r="H264" s="7"/>
      <c r="I264" s="1606"/>
      <c r="J264" s="1607"/>
      <c r="K264" s="7"/>
      <c r="L264" s="1606"/>
      <c r="M264" s="1607"/>
      <c r="N264" s="7"/>
      <c r="O264" s="1606"/>
      <c r="P264" s="1607"/>
      <c r="Q264" s="164"/>
      <c r="R264" s="186"/>
      <c r="S264" s="1608"/>
      <c r="T264" s="186"/>
      <c r="U264" s="164"/>
      <c r="V264" s="1608"/>
      <c r="W264" s="164"/>
      <c r="X264" s="164"/>
      <c r="Y264" s="164"/>
      <c r="Z264" s="164"/>
      <c r="AA264" s="164"/>
      <c r="AB264" s="164"/>
      <c r="AC264" s="164"/>
      <c r="AD264" s="164"/>
      <c r="AE264" s="164"/>
    </row>
    <row r="265" ht="15.75" customHeight="1">
      <c r="A265" s="164"/>
      <c r="B265" s="1603"/>
      <c r="C265" s="478"/>
      <c r="D265" s="1604"/>
      <c r="E265" s="7"/>
      <c r="F265" s="7"/>
      <c r="G265" s="1605"/>
      <c r="H265" s="7"/>
      <c r="I265" s="1606"/>
      <c r="J265" s="1607"/>
      <c r="K265" s="7"/>
      <c r="L265" s="1606"/>
      <c r="M265" s="1607"/>
      <c r="N265" s="7"/>
      <c r="O265" s="1606"/>
      <c r="P265" s="1607"/>
      <c r="Q265" s="164"/>
      <c r="R265" s="186"/>
      <c r="S265" s="1608"/>
      <c r="T265" s="186"/>
      <c r="U265" s="164"/>
      <c r="V265" s="1608"/>
      <c r="W265" s="164"/>
      <c r="X265" s="164"/>
      <c r="Y265" s="164"/>
      <c r="Z265" s="164"/>
      <c r="AA265" s="164"/>
      <c r="AB265" s="164"/>
      <c r="AC265" s="164"/>
      <c r="AD265" s="164"/>
      <c r="AE265" s="164"/>
    </row>
    <row r="266" ht="15.75" customHeight="1">
      <c r="A266" s="164"/>
      <c r="B266" s="1603"/>
      <c r="C266" s="478"/>
      <c r="D266" s="1604"/>
      <c r="E266" s="7"/>
      <c r="F266" s="7"/>
      <c r="G266" s="1605"/>
      <c r="H266" s="7"/>
      <c r="I266" s="1606"/>
      <c r="J266" s="1607"/>
      <c r="K266" s="7"/>
      <c r="L266" s="1606"/>
      <c r="M266" s="1607"/>
      <c r="N266" s="7"/>
      <c r="O266" s="1606"/>
      <c r="P266" s="1607"/>
      <c r="Q266" s="164"/>
      <c r="R266" s="186"/>
      <c r="S266" s="1608"/>
      <c r="T266" s="186"/>
      <c r="U266" s="164"/>
      <c r="V266" s="1608"/>
      <c r="W266" s="164"/>
      <c r="X266" s="164"/>
      <c r="Y266" s="164"/>
      <c r="Z266" s="164"/>
      <c r="AA266" s="164"/>
      <c r="AB266" s="164"/>
      <c r="AC266" s="164"/>
      <c r="AD266" s="164"/>
      <c r="AE266" s="164"/>
    </row>
    <row r="267" ht="15.75" customHeight="1">
      <c r="A267" s="164"/>
      <c r="B267" s="1603"/>
      <c r="C267" s="478"/>
      <c r="D267" s="1604"/>
      <c r="E267" s="7"/>
      <c r="F267" s="7"/>
      <c r="G267" s="1605"/>
      <c r="H267" s="7"/>
      <c r="I267" s="1606"/>
      <c r="J267" s="1607"/>
      <c r="K267" s="7"/>
      <c r="L267" s="1606"/>
      <c r="M267" s="1607"/>
      <c r="N267" s="7"/>
      <c r="O267" s="1606"/>
      <c r="P267" s="1607"/>
      <c r="Q267" s="164"/>
      <c r="R267" s="186"/>
      <c r="S267" s="1608"/>
      <c r="T267" s="186"/>
      <c r="U267" s="164"/>
      <c r="V267" s="1608"/>
      <c r="W267" s="164"/>
      <c r="X267" s="164"/>
      <c r="Y267" s="164"/>
      <c r="Z267" s="164"/>
      <c r="AA267" s="164"/>
      <c r="AB267" s="164"/>
      <c r="AC267" s="164"/>
      <c r="AD267" s="164"/>
      <c r="AE267" s="164"/>
    </row>
    <row r="268" ht="15.75" customHeight="1">
      <c r="A268" s="164"/>
      <c r="B268" s="1603"/>
      <c r="C268" s="478"/>
      <c r="D268" s="1604"/>
      <c r="E268" s="7"/>
      <c r="F268" s="7"/>
      <c r="G268" s="1605"/>
      <c r="H268" s="7"/>
      <c r="I268" s="1606"/>
      <c r="J268" s="1607"/>
      <c r="K268" s="7"/>
      <c r="L268" s="1606"/>
      <c r="M268" s="1607"/>
      <c r="N268" s="7"/>
      <c r="O268" s="1606"/>
      <c r="P268" s="1607"/>
      <c r="Q268" s="164"/>
      <c r="R268" s="186"/>
      <c r="S268" s="1608"/>
      <c r="T268" s="186"/>
      <c r="U268" s="164"/>
      <c r="V268" s="1608"/>
      <c r="W268" s="164"/>
      <c r="X268" s="164"/>
      <c r="Y268" s="164"/>
      <c r="Z268" s="164"/>
      <c r="AA268" s="164"/>
      <c r="AB268" s="164"/>
      <c r="AC268" s="164"/>
      <c r="AD268" s="164"/>
      <c r="AE268" s="164"/>
    </row>
    <row r="269" ht="15.75" customHeight="1">
      <c r="A269" s="164"/>
      <c r="B269" s="1603"/>
      <c r="C269" s="478"/>
      <c r="D269" s="1604"/>
      <c r="E269" s="7"/>
      <c r="F269" s="7"/>
      <c r="G269" s="1605"/>
      <c r="H269" s="7"/>
      <c r="I269" s="1606"/>
      <c r="J269" s="1607"/>
      <c r="K269" s="7"/>
      <c r="L269" s="1606"/>
      <c r="M269" s="1607"/>
      <c r="N269" s="7"/>
      <c r="O269" s="1606"/>
      <c r="P269" s="1607"/>
      <c r="Q269" s="164"/>
      <c r="R269" s="186"/>
      <c r="S269" s="1608"/>
      <c r="T269" s="186"/>
      <c r="U269" s="164"/>
      <c r="V269" s="1608"/>
      <c r="W269" s="164"/>
      <c r="X269" s="164"/>
      <c r="Y269" s="164"/>
      <c r="Z269" s="164"/>
      <c r="AA269" s="164"/>
      <c r="AB269" s="164"/>
      <c r="AC269" s="164"/>
      <c r="AD269" s="164"/>
      <c r="AE269" s="164"/>
    </row>
    <row r="270" ht="15.75" customHeight="1">
      <c r="A270" s="164"/>
      <c r="B270" s="1603"/>
      <c r="C270" s="478"/>
      <c r="D270" s="1604"/>
      <c r="E270" s="7"/>
      <c r="F270" s="7"/>
      <c r="G270" s="1605"/>
      <c r="H270" s="7"/>
      <c r="I270" s="1606"/>
      <c r="J270" s="1607"/>
      <c r="K270" s="7"/>
      <c r="L270" s="1606"/>
      <c r="M270" s="1607"/>
      <c r="N270" s="7"/>
      <c r="O270" s="1606"/>
      <c r="P270" s="1607"/>
      <c r="Q270" s="164"/>
      <c r="R270" s="186"/>
      <c r="S270" s="1608"/>
      <c r="T270" s="186"/>
      <c r="U270" s="164"/>
      <c r="V270" s="1608"/>
      <c r="W270" s="164"/>
      <c r="X270" s="164"/>
      <c r="Y270" s="164"/>
      <c r="Z270" s="164"/>
      <c r="AA270" s="164"/>
      <c r="AB270" s="164"/>
      <c r="AC270" s="164"/>
      <c r="AD270" s="164"/>
      <c r="AE270" s="164"/>
    </row>
    <row r="271" ht="15.75" customHeight="1">
      <c r="A271" s="164"/>
      <c r="B271" s="1603"/>
      <c r="C271" s="478"/>
      <c r="D271" s="1604"/>
      <c r="E271" s="7"/>
      <c r="F271" s="7"/>
      <c r="G271" s="1605"/>
      <c r="H271" s="7"/>
      <c r="I271" s="1606"/>
      <c r="J271" s="1607"/>
      <c r="K271" s="7"/>
      <c r="L271" s="1606"/>
      <c r="M271" s="1607"/>
      <c r="N271" s="7"/>
      <c r="O271" s="1606"/>
      <c r="P271" s="1607"/>
      <c r="Q271" s="164"/>
      <c r="R271" s="186"/>
      <c r="S271" s="1608"/>
      <c r="T271" s="186"/>
      <c r="U271" s="164"/>
      <c r="V271" s="1608"/>
      <c r="W271" s="164"/>
      <c r="X271" s="164"/>
      <c r="Y271" s="164"/>
      <c r="Z271" s="164"/>
      <c r="AA271" s="164"/>
      <c r="AB271" s="164"/>
      <c r="AC271" s="164"/>
      <c r="AD271" s="164"/>
      <c r="AE271" s="164"/>
    </row>
    <row r="272" ht="15.75" customHeight="1">
      <c r="A272" s="164"/>
      <c r="B272" s="1603"/>
      <c r="C272" s="478"/>
      <c r="D272" s="1604"/>
      <c r="E272" s="7"/>
      <c r="F272" s="7"/>
      <c r="G272" s="1605"/>
      <c r="H272" s="7"/>
      <c r="I272" s="1606"/>
      <c r="J272" s="1607"/>
      <c r="K272" s="7"/>
      <c r="L272" s="1606"/>
      <c r="M272" s="1607"/>
      <c r="N272" s="7"/>
      <c r="O272" s="1606"/>
      <c r="P272" s="1607"/>
      <c r="Q272" s="164"/>
      <c r="R272" s="186"/>
      <c r="S272" s="1608"/>
      <c r="T272" s="186"/>
      <c r="U272" s="164"/>
      <c r="V272" s="1608"/>
      <c r="W272" s="164"/>
      <c r="X272" s="164"/>
      <c r="Y272" s="164"/>
      <c r="Z272" s="164"/>
      <c r="AA272" s="164"/>
      <c r="AB272" s="164"/>
      <c r="AC272" s="164"/>
      <c r="AD272" s="164"/>
      <c r="AE272" s="164"/>
    </row>
    <row r="273" ht="15.75" customHeight="1">
      <c r="A273" s="164"/>
      <c r="B273" s="1603"/>
      <c r="C273" s="478"/>
      <c r="D273" s="1604"/>
      <c r="E273" s="7"/>
      <c r="F273" s="7"/>
      <c r="G273" s="1605"/>
      <c r="H273" s="7"/>
      <c r="I273" s="1606"/>
      <c r="J273" s="1607"/>
      <c r="K273" s="7"/>
      <c r="L273" s="1606"/>
      <c r="M273" s="1607"/>
      <c r="N273" s="7"/>
      <c r="O273" s="1606"/>
      <c r="P273" s="1607"/>
      <c r="Q273" s="164"/>
      <c r="R273" s="186"/>
      <c r="S273" s="1608"/>
      <c r="T273" s="186"/>
      <c r="U273" s="164"/>
      <c r="V273" s="1608"/>
      <c r="W273" s="164"/>
      <c r="X273" s="164"/>
      <c r="Y273" s="164"/>
      <c r="Z273" s="164"/>
      <c r="AA273" s="164"/>
      <c r="AB273" s="164"/>
      <c r="AC273" s="164"/>
      <c r="AD273" s="164"/>
      <c r="AE273" s="164"/>
    </row>
    <row r="274" ht="15.75" customHeight="1">
      <c r="A274" s="164"/>
      <c r="B274" s="1603"/>
      <c r="C274" s="478"/>
      <c r="D274" s="1604"/>
      <c r="E274" s="7"/>
      <c r="F274" s="7"/>
      <c r="G274" s="1605"/>
      <c r="H274" s="7"/>
      <c r="I274" s="1606"/>
      <c r="J274" s="1607"/>
      <c r="K274" s="7"/>
      <c r="L274" s="1606"/>
      <c r="M274" s="1607"/>
      <c r="N274" s="7"/>
      <c r="O274" s="1606"/>
      <c r="P274" s="1607"/>
      <c r="Q274" s="164"/>
      <c r="R274" s="186"/>
      <c r="S274" s="1608"/>
      <c r="T274" s="186"/>
      <c r="U274" s="164"/>
      <c r="V274" s="1608"/>
      <c r="W274" s="164"/>
      <c r="X274" s="164"/>
      <c r="Y274" s="164"/>
      <c r="Z274" s="164"/>
      <c r="AA274" s="164"/>
      <c r="AB274" s="164"/>
      <c r="AC274" s="164"/>
      <c r="AD274" s="164"/>
      <c r="AE274" s="164"/>
    </row>
    <row r="275" ht="15.75" customHeight="1">
      <c r="A275" s="164"/>
      <c r="B275" s="1603"/>
      <c r="C275" s="478"/>
      <c r="D275" s="1604"/>
      <c r="E275" s="7"/>
      <c r="F275" s="7"/>
      <c r="G275" s="1605"/>
      <c r="H275" s="7"/>
      <c r="I275" s="1606"/>
      <c r="J275" s="1607"/>
      <c r="K275" s="7"/>
      <c r="L275" s="1606"/>
      <c r="M275" s="1607"/>
      <c r="N275" s="7"/>
      <c r="O275" s="1606"/>
      <c r="P275" s="1607"/>
      <c r="Q275" s="164"/>
      <c r="R275" s="186"/>
      <c r="S275" s="1608"/>
      <c r="T275" s="186"/>
      <c r="U275" s="164"/>
      <c r="V275" s="1608"/>
      <c r="W275" s="164"/>
      <c r="X275" s="164"/>
      <c r="Y275" s="164"/>
      <c r="Z275" s="164"/>
      <c r="AA275" s="164"/>
      <c r="AB275" s="164"/>
      <c r="AC275" s="164"/>
      <c r="AD275" s="164"/>
      <c r="AE275" s="164"/>
    </row>
    <row r="276" ht="15.75" customHeight="1">
      <c r="A276" s="164"/>
      <c r="B276" s="1603"/>
      <c r="C276" s="478"/>
      <c r="D276" s="1604"/>
      <c r="E276" s="7"/>
      <c r="F276" s="7"/>
      <c r="G276" s="1605"/>
      <c r="H276" s="7"/>
      <c r="I276" s="1606"/>
      <c r="J276" s="1607"/>
      <c r="K276" s="7"/>
      <c r="L276" s="1606"/>
      <c r="M276" s="1607"/>
      <c r="N276" s="7"/>
      <c r="O276" s="1606"/>
      <c r="P276" s="1607"/>
      <c r="Q276" s="164"/>
      <c r="R276" s="186"/>
      <c r="S276" s="1608"/>
      <c r="T276" s="186"/>
      <c r="U276" s="164"/>
      <c r="V276" s="1608"/>
      <c r="W276" s="164"/>
      <c r="X276" s="164"/>
      <c r="Y276" s="164"/>
      <c r="Z276" s="164"/>
      <c r="AA276" s="164"/>
      <c r="AB276" s="164"/>
      <c r="AC276" s="164"/>
      <c r="AD276" s="164"/>
      <c r="AE276" s="164"/>
    </row>
    <row r="277" ht="15.75" customHeight="1">
      <c r="A277" s="164"/>
      <c r="B277" s="1603"/>
      <c r="C277" s="478"/>
      <c r="D277" s="1604"/>
      <c r="E277" s="7"/>
      <c r="F277" s="7"/>
      <c r="G277" s="1605"/>
      <c r="H277" s="7"/>
      <c r="I277" s="1606"/>
      <c r="J277" s="1607"/>
      <c r="K277" s="7"/>
      <c r="L277" s="1606"/>
      <c r="M277" s="1607"/>
      <c r="N277" s="7"/>
      <c r="O277" s="1606"/>
      <c r="P277" s="1607"/>
      <c r="Q277" s="164"/>
      <c r="R277" s="186"/>
      <c r="S277" s="1608"/>
      <c r="T277" s="186"/>
      <c r="U277" s="164"/>
      <c r="V277" s="1608"/>
      <c r="W277" s="164"/>
      <c r="X277" s="164"/>
      <c r="Y277" s="164"/>
      <c r="Z277" s="164"/>
      <c r="AA277" s="164"/>
      <c r="AB277" s="164"/>
      <c r="AC277" s="164"/>
      <c r="AD277" s="164"/>
      <c r="AE277" s="164"/>
    </row>
    <row r="278" ht="15.75" customHeight="1">
      <c r="A278" s="164"/>
      <c r="B278" s="1603"/>
      <c r="C278" s="478"/>
      <c r="D278" s="1604"/>
      <c r="E278" s="7"/>
      <c r="F278" s="7"/>
      <c r="G278" s="1605"/>
      <c r="H278" s="7"/>
      <c r="I278" s="1606"/>
      <c r="J278" s="1607"/>
      <c r="K278" s="7"/>
      <c r="L278" s="1606"/>
      <c r="M278" s="1607"/>
      <c r="N278" s="7"/>
      <c r="O278" s="1606"/>
      <c r="P278" s="1607"/>
      <c r="Q278" s="164"/>
      <c r="R278" s="186"/>
      <c r="S278" s="1608"/>
      <c r="T278" s="186"/>
      <c r="U278" s="164"/>
      <c r="V278" s="1608"/>
      <c r="W278" s="164"/>
      <c r="X278" s="164"/>
      <c r="Y278" s="164"/>
      <c r="Z278" s="164"/>
      <c r="AA278" s="164"/>
      <c r="AB278" s="164"/>
      <c r="AC278" s="164"/>
      <c r="AD278" s="164"/>
      <c r="AE278" s="164"/>
    </row>
    <row r="279" ht="15.75" customHeight="1">
      <c r="A279" s="164"/>
      <c r="B279" s="1603"/>
      <c r="C279" s="478"/>
      <c r="D279" s="1604"/>
      <c r="E279" s="7"/>
      <c r="F279" s="7"/>
      <c r="G279" s="1605"/>
      <c r="H279" s="7"/>
      <c r="I279" s="1606"/>
      <c r="J279" s="1607"/>
      <c r="K279" s="7"/>
      <c r="L279" s="1606"/>
      <c r="M279" s="1607"/>
      <c r="N279" s="7"/>
      <c r="O279" s="1606"/>
      <c r="P279" s="1607"/>
      <c r="Q279" s="164"/>
      <c r="R279" s="186"/>
      <c r="S279" s="1608"/>
      <c r="T279" s="186"/>
      <c r="U279" s="164"/>
      <c r="V279" s="1608"/>
      <c r="W279" s="164"/>
      <c r="X279" s="164"/>
      <c r="Y279" s="164"/>
      <c r="Z279" s="164"/>
      <c r="AA279" s="164"/>
      <c r="AB279" s="164"/>
      <c r="AC279" s="164"/>
      <c r="AD279" s="164"/>
      <c r="AE279" s="164"/>
    </row>
    <row r="280" ht="15.75" customHeight="1">
      <c r="A280" s="164"/>
      <c r="B280" s="1603"/>
      <c r="C280" s="478"/>
      <c r="D280" s="1604"/>
      <c r="E280" s="7"/>
      <c r="F280" s="7"/>
      <c r="G280" s="1605"/>
      <c r="H280" s="7"/>
      <c r="I280" s="1606"/>
      <c r="J280" s="1607"/>
      <c r="K280" s="7"/>
      <c r="L280" s="1606"/>
      <c r="M280" s="1607"/>
      <c r="N280" s="7"/>
      <c r="O280" s="1606"/>
      <c r="P280" s="1607"/>
      <c r="Q280" s="164"/>
      <c r="R280" s="186"/>
      <c r="S280" s="1608"/>
      <c r="T280" s="186"/>
      <c r="U280" s="164"/>
      <c r="V280" s="1608"/>
      <c r="W280" s="164"/>
      <c r="X280" s="164"/>
      <c r="Y280" s="164"/>
      <c r="Z280" s="164"/>
      <c r="AA280" s="164"/>
      <c r="AB280" s="164"/>
      <c r="AC280" s="164"/>
      <c r="AD280" s="164"/>
      <c r="AE280" s="164"/>
    </row>
    <row r="281" ht="15.75" customHeight="1">
      <c r="A281" s="164"/>
      <c r="B281" s="1603"/>
      <c r="C281" s="478"/>
      <c r="D281" s="1604"/>
      <c r="E281" s="7"/>
      <c r="F281" s="7"/>
      <c r="G281" s="1605"/>
      <c r="H281" s="7"/>
      <c r="I281" s="1606"/>
      <c r="J281" s="1607"/>
      <c r="K281" s="7"/>
      <c r="L281" s="1606"/>
      <c r="M281" s="1607"/>
      <c r="N281" s="7"/>
      <c r="O281" s="1606"/>
      <c r="P281" s="1607"/>
      <c r="Q281" s="164"/>
      <c r="R281" s="186"/>
      <c r="S281" s="1608"/>
      <c r="T281" s="186"/>
      <c r="U281" s="164"/>
      <c r="V281" s="1608"/>
      <c r="W281" s="164"/>
      <c r="X281" s="164"/>
      <c r="Y281" s="164"/>
      <c r="Z281" s="164"/>
      <c r="AA281" s="164"/>
      <c r="AB281" s="164"/>
      <c r="AC281" s="164"/>
      <c r="AD281" s="164"/>
      <c r="AE281" s="164"/>
    </row>
    <row r="282" ht="15.75" customHeight="1">
      <c r="A282" s="164"/>
      <c r="B282" s="1603"/>
      <c r="C282" s="478"/>
      <c r="D282" s="1604"/>
      <c r="E282" s="7"/>
      <c r="F282" s="7"/>
      <c r="G282" s="1605"/>
      <c r="H282" s="7"/>
      <c r="I282" s="1606"/>
      <c r="J282" s="1607"/>
      <c r="K282" s="7"/>
      <c r="L282" s="1606"/>
      <c r="M282" s="1607"/>
      <c r="N282" s="7"/>
      <c r="O282" s="1606"/>
      <c r="P282" s="1607"/>
      <c r="Q282" s="164"/>
      <c r="R282" s="186"/>
      <c r="S282" s="1608"/>
      <c r="T282" s="186"/>
      <c r="U282" s="164"/>
      <c r="V282" s="1608"/>
      <c r="W282" s="164"/>
      <c r="X282" s="164"/>
      <c r="Y282" s="164"/>
      <c r="Z282" s="164"/>
      <c r="AA282" s="164"/>
      <c r="AB282" s="164"/>
      <c r="AC282" s="164"/>
      <c r="AD282" s="164"/>
      <c r="AE282" s="164"/>
    </row>
    <row r="283" ht="15.75" customHeight="1">
      <c r="A283" s="164"/>
      <c r="B283" s="1603"/>
      <c r="C283" s="478"/>
      <c r="D283" s="1604"/>
      <c r="E283" s="7"/>
      <c r="F283" s="7"/>
      <c r="G283" s="1605"/>
      <c r="H283" s="7"/>
      <c r="I283" s="1606"/>
      <c r="J283" s="1607"/>
      <c r="K283" s="7"/>
      <c r="L283" s="1606"/>
      <c r="M283" s="1607"/>
      <c r="N283" s="7"/>
      <c r="O283" s="1606"/>
      <c r="P283" s="1607"/>
      <c r="Q283" s="164"/>
      <c r="R283" s="186"/>
      <c r="S283" s="1608"/>
      <c r="T283" s="186"/>
      <c r="U283" s="164"/>
      <c r="V283" s="1608"/>
      <c r="W283" s="164"/>
      <c r="X283" s="164"/>
      <c r="Y283" s="164"/>
      <c r="Z283" s="164"/>
      <c r="AA283" s="164"/>
      <c r="AB283" s="164"/>
      <c r="AC283" s="164"/>
      <c r="AD283" s="164"/>
      <c r="AE283" s="164"/>
    </row>
    <row r="284" ht="15.75" customHeight="1">
      <c r="A284" s="164"/>
      <c r="B284" s="1603"/>
      <c r="C284" s="478"/>
      <c r="D284" s="1604"/>
      <c r="E284" s="7"/>
      <c r="F284" s="7"/>
      <c r="G284" s="1605"/>
      <c r="H284" s="7"/>
      <c r="I284" s="1606"/>
      <c r="J284" s="1607"/>
      <c r="K284" s="7"/>
      <c r="L284" s="1606"/>
      <c r="M284" s="1607"/>
      <c r="N284" s="7"/>
      <c r="O284" s="1606"/>
      <c r="P284" s="1607"/>
      <c r="Q284" s="164"/>
      <c r="R284" s="186"/>
      <c r="S284" s="1608"/>
      <c r="T284" s="186"/>
      <c r="U284" s="164"/>
      <c r="V284" s="1608"/>
      <c r="W284" s="164"/>
      <c r="X284" s="164"/>
      <c r="Y284" s="164"/>
      <c r="Z284" s="164"/>
      <c r="AA284" s="164"/>
      <c r="AB284" s="164"/>
      <c r="AC284" s="164"/>
      <c r="AD284" s="164"/>
      <c r="AE284" s="164"/>
    </row>
    <row r="285" ht="15.75" customHeight="1">
      <c r="A285" s="164"/>
      <c r="B285" s="1603"/>
      <c r="C285" s="478"/>
      <c r="D285" s="1604"/>
      <c r="E285" s="7"/>
      <c r="F285" s="7"/>
      <c r="G285" s="1605"/>
      <c r="H285" s="7"/>
      <c r="I285" s="1606"/>
      <c r="J285" s="1607"/>
      <c r="K285" s="7"/>
      <c r="L285" s="1606"/>
      <c r="M285" s="1607"/>
      <c r="N285" s="7"/>
      <c r="O285" s="1606"/>
      <c r="P285" s="1607"/>
      <c r="Q285" s="164"/>
      <c r="R285" s="186"/>
      <c r="S285" s="1608"/>
      <c r="T285" s="186"/>
      <c r="U285" s="164"/>
      <c r="V285" s="1608"/>
      <c r="W285" s="164"/>
      <c r="X285" s="164"/>
      <c r="Y285" s="164"/>
      <c r="Z285" s="164"/>
      <c r="AA285" s="164"/>
      <c r="AB285" s="164"/>
      <c r="AC285" s="164"/>
      <c r="AD285" s="164"/>
      <c r="AE285" s="164"/>
    </row>
    <row r="286" ht="15.75" customHeight="1">
      <c r="A286" s="164"/>
      <c r="B286" s="1603"/>
      <c r="C286" s="478"/>
      <c r="D286" s="1604"/>
      <c r="E286" s="7"/>
      <c r="F286" s="7"/>
      <c r="G286" s="1605"/>
      <c r="H286" s="7"/>
      <c r="I286" s="1606"/>
      <c r="J286" s="1607"/>
      <c r="K286" s="7"/>
      <c r="L286" s="1606"/>
      <c r="M286" s="1607"/>
      <c r="N286" s="7"/>
      <c r="O286" s="1606"/>
      <c r="P286" s="1607"/>
      <c r="Q286" s="164"/>
      <c r="R286" s="186"/>
      <c r="S286" s="1608"/>
      <c r="T286" s="186"/>
      <c r="U286" s="164"/>
      <c r="V286" s="1608"/>
      <c r="W286" s="164"/>
      <c r="X286" s="164"/>
      <c r="Y286" s="164"/>
      <c r="Z286" s="164"/>
      <c r="AA286" s="164"/>
      <c r="AB286" s="164"/>
      <c r="AC286" s="164"/>
      <c r="AD286" s="164"/>
      <c r="AE286" s="164"/>
    </row>
    <row r="287" ht="15.75" customHeight="1">
      <c r="A287" s="164"/>
      <c r="B287" s="1603"/>
      <c r="C287" s="478"/>
      <c r="D287" s="1604"/>
      <c r="E287" s="7"/>
      <c r="F287" s="7"/>
      <c r="G287" s="1605"/>
      <c r="H287" s="7"/>
      <c r="I287" s="1606"/>
      <c r="J287" s="1607"/>
      <c r="K287" s="7"/>
      <c r="L287" s="1606"/>
      <c r="M287" s="1607"/>
      <c r="N287" s="7"/>
      <c r="O287" s="1606"/>
      <c r="P287" s="1607"/>
      <c r="Q287" s="164"/>
      <c r="R287" s="186"/>
      <c r="S287" s="1608"/>
      <c r="T287" s="186"/>
      <c r="U287" s="164"/>
      <c r="V287" s="1608"/>
      <c r="W287" s="164"/>
      <c r="X287" s="164"/>
      <c r="Y287" s="164"/>
      <c r="Z287" s="164"/>
      <c r="AA287" s="164"/>
      <c r="AB287" s="164"/>
      <c r="AC287" s="164"/>
      <c r="AD287" s="164"/>
      <c r="AE287" s="164"/>
    </row>
    <row r="288" ht="15.75" customHeight="1">
      <c r="A288" s="164"/>
      <c r="B288" s="1603"/>
      <c r="C288" s="478"/>
      <c r="D288" s="1604"/>
      <c r="E288" s="7"/>
      <c r="F288" s="7"/>
      <c r="G288" s="1605"/>
      <c r="H288" s="7"/>
      <c r="I288" s="1606"/>
      <c r="J288" s="1607"/>
      <c r="K288" s="7"/>
      <c r="L288" s="1606"/>
      <c r="M288" s="1607"/>
      <c r="N288" s="7"/>
      <c r="O288" s="1606"/>
      <c r="P288" s="1607"/>
      <c r="Q288" s="164"/>
      <c r="R288" s="186"/>
      <c r="S288" s="1608"/>
      <c r="T288" s="186"/>
      <c r="U288" s="164"/>
      <c r="V288" s="1608"/>
      <c r="W288" s="164"/>
      <c r="X288" s="164"/>
      <c r="Y288" s="164"/>
      <c r="Z288" s="164"/>
      <c r="AA288" s="164"/>
      <c r="AB288" s="164"/>
      <c r="AC288" s="164"/>
      <c r="AD288" s="164"/>
      <c r="AE288" s="164"/>
    </row>
    <row r="289" ht="15.75" customHeight="1">
      <c r="A289" s="164"/>
      <c r="B289" s="1603"/>
      <c r="C289" s="478"/>
      <c r="D289" s="1604"/>
      <c r="E289" s="7"/>
      <c r="F289" s="7"/>
      <c r="G289" s="1605"/>
      <c r="H289" s="7"/>
      <c r="I289" s="1606"/>
      <c r="J289" s="1607"/>
      <c r="K289" s="7"/>
      <c r="L289" s="1606"/>
      <c r="M289" s="1607"/>
      <c r="N289" s="7"/>
      <c r="O289" s="1606"/>
      <c r="P289" s="1607"/>
      <c r="Q289" s="164"/>
      <c r="R289" s="186"/>
      <c r="S289" s="1608"/>
      <c r="T289" s="186"/>
      <c r="U289" s="164"/>
      <c r="V289" s="1608"/>
      <c r="W289" s="164"/>
      <c r="X289" s="164"/>
      <c r="Y289" s="164"/>
      <c r="Z289" s="164"/>
      <c r="AA289" s="164"/>
      <c r="AB289" s="164"/>
      <c r="AC289" s="164"/>
      <c r="AD289" s="164"/>
      <c r="AE289" s="164"/>
    </row>
    <row r="290" ht="15.75" customHeight="1">
      <c r="A290" s="164"/>
      <c r="B290" s="1603"/>
      <c r="C290" s="478"/>
      <c r="D290" s="1604"/>
      <c r="E290" s="7"/>
      <c r="F290" s="7"/>
      <c r="G290" s="1605"/>
      <c r="H290" s="7"/>
      <c r="I290" s="1606"/>
      <c r="J290" s="1607"/>
      <c r="K290" s="7"/>
      <c r="L290" s="1606"/>
      <c r="M290" s="1607"/>
      <c r="N290" s="7"/>
      <c r="O290" s="1606"/>
      <c r="P290" s="1607"/>
      <c r="Q290" s="164"/>
      <c r="R290" s="186"/>
      <c r="S290" s="1608"/>
      <c r="T290" s="186"/>
      <c r="U290" s="164"/>
      <c r="V290" s="1608"/>
      <c r="W290" s="164"/>
      <c r="X290" s="164"/>
      <c r="Y290" s="164"/>
      <c r="Z290" s="164"/>
      <c r="AA290" s="164"/>
      <c r="AB290" s="164"/>
      <c r="AC290" s="164"/>
      <c r="AD290" s="164"/>
      <c r="AE290" s="164"/>
    </row>
    <row r="291" ht="15.75" customHeight="1">
      <c r="A291" s="164"/>
      <c r="B291" s="1603"/>
      <c r="C291" s="478"/>
      <c r="D291" s="1604"/>
      <c r="E291" s="7"/>
      <c r="F291" s="7"/>
      <c r="G291" s="1605"/>
      <c r="H291" s="7"/>
      <c r="I291" s="1606"/>
      <c r="J291" s="1607"/>
      <c r="K291" s="7"/>
      <c r="L291" s="1606"/>
      <c r="M291" s="1607"/>
      <c r="N291" s="7"/>
      <c r="O291" s="1606"/>
      <c r="P291" s="1607"/>
      <c r="Q291" s="164"/>
      <c r="R291" s="186"/>
      <c r="S291" s="1608"/>
      <c r="T291" s="186"/>
      <c r="U291" s="164"/>
      <c r="V291" s="1608"/>
      <c r="W291" s="164"/>
      <c r="X291" s="164"/>
      <c r="Y291" s="164"/>
      <c r="Z291" s="164"/>
      <c r="AA291" s="164"/>
      <c r="AB291" s="164"/>
      <c r="AC291" s="164"/>
      <c r="AD291" s="164"/>
      <c r="AE291" s="164"/>
    </row>
    <row r="292" ht="15.75" customHeight="1">
      <c r="A292" s="164"/>
      <c r="B292" s="1603"/>
      <c r="C292" s="478"/>
      <c r="D292" s="1604"/>
      <c r="E292" s="7"/>
      <c r="F292" s="7"/>
      <c r="G292" s="1605"/>
      <c r="H292" s="7"/>
      <c r="I292" s="1606"/>
      <c r="J292" s="1607"/>
      <c r="K292" s="7"/>
      <c r="L292" s="1606"/>
      <c r="M292" s="1607"/>
      <c r="N292" s="7"/>
      <c r="O292" s="1606"/>
      <c r="P292" s="1607"/>
      <c r="Q292" s="164"/>
      <c r="R292" s="186"/>
      <c r="S292" s="1608"/>
      <c r="T292" s="186"/>
      <c r="U292" s="164"/>
      <c r="V292" s="1608"/>
      <c r="W292" s="164"/>
      <c r="X292" s="164"/>
      <c r="Y292" s="164"/>
      <c r="Z292" s="164"/>
      <c r="AA292" s="164"/>
      <c r="AB292" s="164"/>
      <c r="AC292" s="164"/>
      <c r="AD292" s="164"/>
      <c r="AE292" s="164"/>
    </row>
    <row r="293" ht="15.75" customHeight="1">
      <c r="A293" s="164"/>
      <c r="B293" s="1603"/>
      <c r="C293" s="478"/>
      <c r="D293" s="1604"/>
      <c r="E293" s="7"/>
      <c r="F293" s="7"/>
      <c r="G293" s="1605"/>
      <c r="H293" s="7"/>
      <c r="I293" s="1606"/>
      <c r="J293" s="1607"/>
      <c r="K293" s="7"/>
      <c r="L293" s="1606"/>
      <c r="M293" s="1607"/>
      <c r="N293" s="7"/>
      <c r="O293" s="1606"/>
      <c r="P293" s="1607"/>
      <c r="Q293" s="164"/>
      <c r="R293" s="186"/>
      <c r="S293" s="1608"/>
      <c r="T293" s="186"/>
      <c r="U293" s="164"/>
      <c r="V293" s="1608"/>
      <c r="W293" s="164"/>
      <c r="X293" s="164"/>
      <c r="Y293" s="164"/>
      <c r="Z293" s="164"/>
      <c r="AA293" s="164"/>
      <c r="AB293" s="164"/>
      <c r="AC293" s="164"/>
      <c r="AD293" s="164"/>
      <c r="AE293" s="164"/>
    </row>
    <row r="294" ht="15.75" customHeight="1">
      <c r="A294" s="164"/>
      <c r="B294" s="1603"/>
      <c r="C294" s="478"/>
      <c r="D294" s="1604"/>
      <c r="E294" s="7"/>
      <c r="F294" s="7"/>
      <c r="G294" s="1605"/>
      <c r="H294" s="7"/>
      <c r="I294" s="1606"/>
      <c r="J294" s="1607"/>
      <c r="K294" s="7"/>
      <c r="L294" s="1606"/>
      <c r="M294" s="1607"/>
      <c r="N294" s="7"/>
      <c r="O294" s="1606"/>
      <c r="P294" s="1607"/>
      <c r="Q294" s="164"/>
      <c r="R294" s="186"/>
      <c r="S294" s="1608"/>
      <c r="T294" s="186"/>
      <c r="U294" s="164"/>
      <c r="V294" s="1608"/>
      <c r="W294" s="164"/>
      <c r="X294" s="164"/>
      <c r="Y294" s="164"/>
      <c r="Z294" s="164"/>
      <c r="AA294" s="164"/>
      <c r="AB294" s="164"/>
      <c r="AC294" s="164"/>
      <c r="AD294" s="164"/>
      <c r="AE294" s="164"/>
    </row>
    <row r="295" ht="15.75" customHeight="1">
      <c r="A295" s="164"/>
      <c r="B295" s="1603"/>
      <c r="C295" s="478"/>
      <c r="D295" s="1604"/>
      <c r="E295" s="7"/>
      <c r="F295" s="7"/>
      <c r="G295" s="1605"/>
      <c r="H295" s="7"/>
      <c r="I295" s="1606"/>
      <c r="J295" s="1607"/>
      <c r="K295" s="7"/>
      <c r="L295" s="1606"/>
      <c r="M295" s="1607"/>
      <c r="N295" s="7"/>
      <c r="O295" s="1606"/>
      <c r="P295" s="1607"/>
      <c r="Q295" s="164"/>
      <c r="R295" s="186"/>
      <c r="S295" s="1608"/>
      <c r="T295" s="186"/>
      <c r="U295" s="164"/>
      <c r="V295" s="1608"/>
      <c r="W295" s="164"/>
      <c r="X295" s="164"/>
      <c r="Y295" s="164"/>
      <c r="Z295" s="164"/>
      <c r="AA295" s="164"/>
      <c r="AB295" s="164"/>
      <c r="AC295" s="164"/>
      <c r="AD295" s="164"/>
      <c r="AE295" s="164"/>
    </row>
    <row r="296" ht="15.75" customHeight="1">
      <c r="A296" s="164"/>
      <c r="B296" s="1603"/>
      <c r="C296" s="478"/>
      <c r="D296" s="1604"/>
      <c r="E296" s="7"/>
      <c r="F296" s="7"/>
      <c r="G296" s="1605"/>
      <c r="H296" s="7"/>
      <c r="I296" s="1606"/>
      <c r="J296" s="1607"/>
      <c r="K296" s="7"/>
      <c r="L296" s="1606"/>
      <c r="M296" s="1607"/>
      <c r="N296" s="7"/>
      <c r="O296" s="1606"/>
      <c r="P296" s="1607"/>
      <c r="Q296" s="164"/>
      <c r="R296" s="186"/>
      <c r="S296" s="1608"/>
      <c r="T296" s="186"/>
      <c r="U296" s="164"/>
      <c r="V296" s="1608"/>
      <c r="W296" s="164"/>
      <c r="X296" s="164"/>
      <c r="Y296" s="164"/>
      <c r="Z296" s="164"/>
      <c r="AA296" s="164"/>
      <c r="AB296" s="164"/>
      <c r="AC296" s="164"/>
      <c r="AD296" s="164"/>
      <c r="AE296" s="164"/>
    </row>
    <row r="297" ht="15.75" customHeight="1">
      <c r="A297" s="164"/>
      <c r="B297" s="1603"/>
      <c r="C297" s="478"/>
      <c r="D297" s="1604"/>
      <c r="E297" s="7"/>
      <c r="F297" s="7"/>
      <c r="G297" s="1605"/>
      <c r="H297" s="7"/>
      <c r="I297" s="1606"/>
      <c r="J297" s="1607"/>
      <c r="K297" s="7"/>
      <c r="L297" s="1606"/>
      <c r="M297" s="1607"/>
      <c r="N297" s="7"/>
      <c r="O297" s="1606"/>
      <c r="P297" s="1607"/>
      <c r="Q297" s="164"/>
      <c r="R297" s="186"/>
      <c r="S297" s="1608"/>
      <c r="T297" s="186"/>
      <c r="U297" s="164"/>
      <c r="V297" s="1608"/>
      <c r="W297" s="164"/>
      <c r="X297" s="164"/>
      <c r="Y297" s="164"/>
      <c r="Z297" s="164"/>
      <c r="AA297" s="164"/>
      <c r="AB297" s="164"/>
      <c r="AC297" s="164"/>
      <c r="AD297" s="164"/>
      <c r="AE297" s="164"/>
    </row>
    <row r="298" ht="15.75" customHeight="1">
      <c r="A298" s="164"/>
      <c r="B298" s="1603"/>
      <c r="C298" s="478"/>
      <c r="D298" s="1604"/>
      <c r="E298" s="7"/>
      <c r="F298" s="7"/>
      <c r="G298" s="1605"/>
      <c r="H298" s="7"/>
      <c r="I298" s="1606"/>
      <c r="J298" s="1607"/>
      <c r="K298" s="7"/>
      <c r="L298" s="1606"/>
      <c r="M298" s="1607"/>
      <c r="N298" s="7"/>
      <c r="O298" s="1606"/>
      <c r="P298" s="1607"/>
      <c r="Q298" s="164"/>
      <c r="R298" s="186"/>
      <c r="S298" s="1608"/>
      <c r="T298" s="186"/>
      <c r="U298" s="164"/>
      <c r="V298" s="1608"/>
      <c r="W298" s="164"/>
      <c r="X298" s="164"/>
      <c r="Y298" s="164"/>
      <c r="Z298" s="164"/>
      <c r="AA298" s="164"/>
      <c r="AB298" s="164"/>
      <c r="AC298" s="164"/>
      <c r="AD298" s="164"/>
      <c r="AE298" s="164"/>
    </row>
    <row r="299" ht="15.75" customHeight="1">
      <c r="A299" s="164"/>
      <c r="B299" s="1603"/>
      <c r="C299" s="478"/>
      <c r="D299" s="1604"/>
      <c r="E299" s="7"/>
      <c r="F299" s="7"/>
      <c r="G299" s="1605"/>
      <c r="H299" s="7"/>
      <c r="I299" s="1606"/>
      <c r="J299" s="1607"/>
      <c r="K299" s="7"/>
      <c r="L299" s="1606"/>
      <c r="M299" s="1607"/>
      <c r="N299" s="7"/>
      <c r="O299" s="1606"/>
      <c r="P299" s="1607"/>
      <c r="Q299" s="164"/>
      <c r="R299" s="186"/>
      <c r="S299" s="1608"/>
      <c r="T299" s="186"/>
      <c r="U299" s="164"/>
      <c r="V299" s="1608"/>
      <c r="W299" s="164"/>
      <c r="X299" s="164"/>
      <c r="Y299" s="164"/>
      <c r="Z299" s="164"/>
      <c r="AA299" s="164"/>
      <c r="AB299" s="164"/>
      <c r="AC299" s="164"/>
      <c r="AD299" s="164"/>
      <c r="AE299" s="164"/>
    </row>
    <row r="300" ht="15.75" customHeight="1">
      <c r="A300" s="164"/>
      <c r="B300" s="1603"/>
      <c r="C300" s="478"/>
      <c r="D300" s="1604"/>
      <c r="E300" s="7"/>
      <c r="F300" s="7"/>
      <c r="G300" s="1605"/>
      <c r="H300" s="7"/>
      <c r="I300" s="1606"/>
      <c r="J300" s="1607"/>
      <c r="K300" s="7"/>
      <c r="L300" s="1606"/>
      <c r="M300" s="1607"/>
      <c r="N300" s="7"/>
      <c r="O300" s="1606"/>
      <c r="P300" s="1607"/>
      <c r="Q300" s="164"/>
      <c r="R300" s="186"/>
      <c r="S300" s="1608"/>
      <c r="T300" s="186"/>
      <c r="U300" s="164"/>
      <c r="V300" s="1608"/>
      <c r="W300" s="164"/>
      <c r="X300" s="164"/>
      <c r="Y300" s="164"/>
      <c r="Z300" s="164"/>
      <c r="AA300" s="164"/>
      <c r="AB300" s="164"/>
      <c r="AC300" s="164"/>
      <c r="AD300" s="164"/>
      <c r="AE300" s="164"/>
    </row>
    <row r="301" ht="15.75" customHeight="1">
      <c r="A301" s="164"/>
      <c r="B301" s="1603"/>
      <c r="C301" s="478"/>
      <c r="D301" s="1604"/>
      <c r="E301" s="7"/>
      <c r="F301" s="7"/>
      <c r="G301" s="1605"/>
      <c r="H301" s="7"/>
      <c r="I301" s="1606"/>
      <c r="J301" s="1607"/>
      <c r="K301" s="7"/>
      <c r="L301" s="1606"/>
      <c r="M301" s="1607"/>
      <c r="N301" s="7"/>
      <c r="O301" s="1606"/>
      <c r="P301" s="1607"/>
      <c r="Q301" s="164"/>
      <c r="R301" s="186"/>
      <c r="S301" s="1608"/>
      <c r="T301" s="186"/>
      <c r="U301" s="164"/>
      <c r="V301" s="1608"/>
      <c r="W301" s="164"/>
      <c r="X301" s="164"/>
      <c r="Y301" s="164"/>
      <c r="Z301" s="164"/>
      <c r="AA301" s="164"/>
      <c r="AB301" s="164"/>
      <c r="AC301" s="164"/>
      <c r="AD301" s="164"/>
      <c r="AE301" s="164"/>
    </row>
    <row r="302" ht="15.75" customHeight="1">
      <c r="A302" s="164"/>
      <c r="B302" s="1603"/>
      <c r="C302" s="478"/>
      <c r="D302" s="1604"/>
      <c r="E302" s="7"/>
      <c r="F302" s="7"/>
      <c r="G302" s="1605"/>
      <c r="H302" s="7"/>
      <c r="I302" s="1606"/>
      <c r="J302" s="1607"/>
      <c r="K302" s="7"/>
      <c r="L302" s="1606"/>
      <c r="M302" s="1607"/>
      <c r="N302" s="7"/>
      <c r="O302" s="1606"/>
      <c r="P302" s="1607"/>
      <c r="Q302" s="164"/>
      <c r="R302" s="186"/>
      <c r="S302" s="1608"/>
      <c r="T302" s="186"/>
      <c r="U302" s="164"/>
      <c r="V302" s="1608"/>
      <c r="W302" s="164"/>
      <c r="X302" s="164"/>
      <c r="Y302" s="164"/>
      <c r="Z302" s="164"/>
      <c r="AA302" s="164"/>
      <c r="AB302" s="164"/>
      <c r="AC302" s="164"/>
      <c r="AD302" s="164"/>
      <c r="AE302" s="164"/>
    </row>
    <row r="303" ht="15.75" customHeight="1">
      <c r="A303" s="164"/>
      <c r="B303" s="1603"/>
      <c r="C303" s="478"/>
      <c r="D303" s="1604"/>
      <c r="E303" s="7"/>
      <c r="F303" s="7"/>
      <c r="G303" s="1605"/>
      <c r="H303" s="7"/>
      <c r="I303" s="1606"/>
      <c r="J303" s="1607"/>
      <c r="K303" s="7"/>
      <c r="L303" s="1606"/>
      <c r="M303" s="1607"/>
      <c r="N303" s="7"/>
      <c r="O303" s="1606"/>
      <c r="P303" s="1607"/>
      <c r="Q303" s="164"/>
      <c r="R303" s="186"/>
      <c r="S303" s="1608"/>
      <c r="T303" s="186"/>
      <c r="U303" s="164"/>
      <c r="V303" s="1608"/>
      <c r="W303" s="164"/>
      <c r="X303" s="164"/>
      <c r="Y303" s="164"/>
      <c r="Z303" s="164"/>
      <c r="AA303" s="164"/>
      <c r="AB303" s="164"/>
      <c r="AC303" s="164"/>
      <c r="AD303" s="164"/>
      <c r="AE303" s="164"/>
    </row>
    <row r="304" ht="15.75" customHeight="1">
      <c r="A304" s="164"/>
      <c r="B304" s="1603"/>
      <c r="C304" s="478"/>
      <c r="D304" s="1604"/>
      <c r="E304" s="7"/>
      <c r="F304" s="7"/>
      <c r="G304" s="1605"/>
      <c r="H304" s="7"/>
      <c r="I304" s="1606"/>
      <c r="J304" s="1607"/>
      <c r="K304" s="7"/>
      <c r="L304" s="1606"/>
      <c r="M304" s="1607"/>
      <c r="N304" s="7"/>
      <c r="O304" s="1606"/>
      <c r="P304" s="1607"/>
      <c r="Q304" s="164"/>
      <c r="R304" s="186"/>
      <c r="S304" s="1608"/>
      <c r="T304" s="186"/>
      <c r="U304" s="164"/>
      <c r="V304" s="1608"/>
      <c r="W304" s="164"/>
      <c r="X304" s="164"/>
      <c r="Y304" s="164"/>
      <c r="Z304" s="164"/>
      <c r="AA304" s="164"/>
      <c r="AB304" s="164"/>
      <c r="AC304" s="164"/>
      <c r="AD304" s="164"/>
      <c r="AE304" s="164"/>
    </row>
    <row r="305" ht="15.75" customHeight="1">
      <c r="A305" s="164"/>
      <c r="B305" s="1603"/>
      <c r="C305" s="478"/>
      <c r="D305" s="1604"/>
      <c r="E305" s="7"/>
      <c r="F305" s="7"/>
      <c r="G305" s="1605"/>
      <c r="H305" s="7"/>
      <c r="I305" s="1606"/>
      <c r="J305" s="1607"/>
      <c r="K305" s="7"/>
      <c r="L305" s="1606"/>
      <c r="M305" s="1607"/>
      <c r="N305" s="7"/>
      <c r="O305" s="1606"/>
      <c r="P305" s="1607"/>
      <c r="Q305" s="164"/>
      <c r="R305" s="186"/>
      <c r="S305" s="1608"/>
      <c r="T305" s="186"/>
      <c r="U305" s="164"/>
      <c r="V305" s="1608"/>
      <c r="W305" s="164"/>
      <c r="X305" s="164"/>
      <c r="Y305" s="164"/>
      <c r="Z305" s="164"/>
      <c r="AA305" s="164"/>
      <c r="AB305" s="164"/>
      <c r="AC305" s="164"/>
      <c r="AD305" s="164"/>
      <c r="AE305" s="164"/>
    </row>
    <row r="306" ht="15.75" customHeight="1">
      <c r="A306" s="164"/>
      <c r="B306" s="1603"/>
      <c r="C306" s="478"/>
      <c r="D306" s="1604"/>
      <c r="E306" s="7"/>
      <c r="F306" s="7"/>
      <c r="G306" s="1605"/>
      <c r="H306" s="7"/>
      <c r="I306" s="1606"/>
      <c r="J306" s="1607"/>
      <c r="K306" s="7"/>
      <c r="L306" s="1606"/>
      <c r="M306" s="1607"/>
      <c r="N306" s="7"/>
      <c r="O306" s="1606"/>
      <c r="P306" s="1607"/>
      <c r="Q306" s="164"/>
      <c r="R306" s="186"/>
      <c r="S306" s="1608"/>
      <c r="T306" s="186"/>
      <c r="U306" s="164"/>
      <c r="V306" s="1608"/>
      <c r="W306" s="164"/>
      <c r="X306" s="164"/>
      <c r="Y306" s="164"/>
      <c r="Z306" s="164"/>
      <c r="AA306" s="164"/>
      <c r="AB306" s="164"/>
      <c r="AC306" s="164"/>
      <c r="AD306" s="164"/>
      <c r="AE306" s="164"/>
    </row>
    <row r="307" ht="15.75" customHeight="1">
      <c r="A307" s="164"/>
      <c r="B307" s="1603"/>
      <c r="C307" s="478"/>
      <c r="D307" s="1604"/>
      <c r="E307" s="7"/>
      <c r="F307" s="7"/>
      <c r="G307" s="1605"/>
      <c r="H307" s="7"/>
      <c r="I307" s="1606"/>
      <c r="J307" s="1607"/>
      <c r="K307" s="7"/>
      <c r="L307" s="1606"/>
      <c r="M307" s="1607"/>
      <c r="N307" s="7"/>
      <c r="O307" s="1606"/>
      <c r="P307" s="1607"/>
      <c r="Q307" s="164"/>
      <c r="R307" s="186"/>
      <c r="S307" s="1608"/>
      <c r="T307" s="186"/>
      <c r="U307" s="164"/>
      <c r="V307" s="1608"/>
      <c r="W307" s="164"/>
      <c r="X307" s="164"/>
      <c r="Y307" s="164"/>
      <c r="Z307" s="164"/>
      <c r="AA307" s="164"/>
      <c r="AB307" s="164"/>
      <c r="AC307" s="164"/>
      <c r="AD307" s="164"/>
      <c r="AE307" s="164"/>
    </row>
    <row r="308" ht="15.75" customHeight="1">
      <c r="A308" s="164"/>
      <c r="B308" s="1603"/>
      <c r="C308" s="478"/>
      <c r="D308" s="1604"/>
      <c r="E308" s="7"/>
      <c r="F308" s="7"/>
      <c r="G308" s="1605"/>
      <c r="H308" s="7"/>
      <c r="I308" s="1606"/>
      <c r="J308" s="1607"/>
      <c r="K308" s="7"/>
      <c r="L308" s="1606"/>
      <c r="M308" s="1607"/>
      <c r="N308" s="7"/>
      <c r="O308" s="1606"/>
      <c r="P308" s="1607"/>
      <c r="Q308" s="164"/>
      <c r="R308" s="186"/>
      <c r="S308" s="1608"/>
      <c r="T308" s="186"/>
      <c r="U308" s="164"/>
      <c r="V308" s="1608"/>
      <c r="W308" s="164"/>
      <c r="X308" s="164"/>
      <c r="Y308" s="164"/>
      <c r="Z308" s="164"/>
      <c r="AA308" s="164"/>
      <c r="AB308" s="164"/>
      <c r="AC308" s="164"/>
      <c r="AD308" s="164"/>
      <c r="AE308" s="164"/>
    </row>
    <row r="309" ht="15.75" customHeight="1">
      <c r="A309" s="164"/>
      <c r="B309" s="1603"/>
      <c r="C309" s="478"/>
      <c r="D309" s="1604"/>
      <c r="E309" s="7"/>
      <c r="F309" s="7"/>
      <c r="G309" s="1605"/>
      <c r="H309" s="7"/>
      <c r="I309" s="1606"/>
      <c r="J309" s="1607"/>
      <c r="K309" s="7"/>
      <c r="L309" s="1606"/>
      <c r="M309" s="1607"/>
      <c r="N309" s="7"/>
      <c r="O309" s="1606"/>
      <c r="P309" s="1607"/>
      <c r="Q309" s="164"/>
      <c r="R309" s="186"/>
      <c r="S309" s="1608"/>
      <c r="T309" s="186"/>
      <c r="U309" s="164"/>
      <c r="V309" s="1608"/>
      <c r="W309" s="164"/>
      <c r="X309" s="164"/>
      <c r="Y309" s="164"/>
      <c r="Z309" s="164"/>
      <c r="AA309" s="164"/>
      <c r="AB309" s="164"/>
      <c r="AC309" s="164"/>
      <c r="AD309" s="164"/>
      <c r="AE309" s="164"/>
    </row>
    <row r="310" ht="15.75" customHeight="1">
      <c r="A310" s="164"/>
      <c r="B310" s="1603"/>
      <c r="C310" s="478"/>
      <c r="D310" s="1604"/>
      <c r="E310" s="7"/>
      <c r="F310" s="7"/>
      <c r="G310" s="1605"/>
      <c r="H310" s="7"/>
      <c r="I310" s="1606"/>
      <c r="J310" s="1607"/>
      <c r="K310" s="7"/>
      <c r="L310" s="1606"/>
      <c r="M310" s="1607"/>
      <c r="N310" s="7"/>
      <c r="O310" s="1606"/>
      <c r="P310" s="1607"/>
      <c r="Q310" s="164"/>
      <c r="R310" s="186"/>
      <c r="S310" s="1608"/>
      <c r="T310" s="186"/>
      <c r="U310" s="164"/>
      <c r="V310" s="1608"/>
      <c r="W310" s="164"/>
      <c r="X310" s="164"/>
      <c r="Y310" s="164"/>
      <c r="Z310" s="164"/>
      <c r="AA310" s="164"/>
      <c r="AB310" s="164"/>
      <c r="AC310" s="164"/>
      <c r="AD310" s="164"/>
      <c r="AE310" s="164"/>
    </row>
    <row r="311" ht="15.75" customHeight="1">
      <c r="A311" s="164"/>
      <c r="B311" s="1603"/>
      <c r="C311" s="478"/>
      <c r="D311" s="1604"/>
      <c r="E311" s="7"/>
      <c r="F311" s="7"/>
      <c r="G311" s="1605"/>
      <c r="H311" s="7"/>
      <c r="I311" s="1606"/>
      <c r="J311" s="1607"/>
      <c r="K311" s="7"/>
      <c r="L311" s="1606"/>
      <c r="M311" s="1607"/>
      <c r="N311" s="7"/>
      <c r="O311" s="1606"/>
      <c r="P311" s="1607"/>
      <c r="Q311" s="164"/>
      <c r="R311" s="186"/>
      <c r="S311" s="1608"/>
      <c r="T311" s="186"/>
      <c r="U311" s="164"/>
      <c r="V311" s="1608"/>
      <c r="W311" s="164"/>
      <c r="X311" s="164"/>
      <c r="Y311" s="164"/>
      <c r="Z311" s="164"/>
      <c r="AA311" s="164"/>
      <c r="AB311" s="164"/>
      <c r="AC311" s="164"/>
      <c r="AD311" s="164"/>
      <c r="AE311" s="164"/>
    </row>
    <row r="312" ht="15.75" customHeight="1">
      <c r="A312" s="164"/>
      <c r="B312" s="1603"/>
      <c r="C312" s="478"/>
      <c r="D312" s="1604"/>
      <c r="E312" s="7"/>
      <c r="F312" s="7"/>
      <c r="G312" s="1605"/>
      <c r="H312" s="7"/>
      <c r="I312" s="1606"/>
      <c r="J312" s="1607"/>
      <c r="K312" s="7"/>
      <c r="L312" s="1606"/>
      <c r="M312" s="1607"/>
      <c r="N312" s="7"/>
      <c r="O312" s="1606"/>
      <c r="P312" s="1607"/>
      <c r="Q312" s="164"/>
      <c r="R312" s="186"/>
      <c r="S312" s="1608"/>
      <c r="T312" s="186"/>
      <c r="U312" s="164"/>
      <c r="V312" s="1608"/>
      <c r="W312" s="164"/>
      <c r="X312" s="164"/>
      <c r="Y312" s="164"/>
      <c r="Z312" s="164"/>
      <c r="AA312" s="164"/>
      <c r="AB312" s="164"/>
      <c r="AC312" s="164"/>
      <c r="AD312" s="164"/>
      <c r="AE312" s="164"/>
    </row>
    <row r="313" ht="15.75" customHeight="1">
      <c r="A313" s="164"/>
      <c r="B313" s="1603"/>
      <c r="C313" s="478"/>
      <c r="D313" s="1604"/>
      <c r="E313" s="7"/>
      <c r="F313" s="7"/>
      <c r="G313" s="1605"/>
      <c r="H313" s="7"/>
      <c r="I313" s="1606"/>
      <c r="J313" s="1607"/>
      <c r="K313" s="7"/>
      <c r="L313" s="1606"/>
      <c r="M313" s="1607"/>
      <c r="N313" s="7"/>
      <c r="O313" s="1606"/>
      <c r="P313" s="1607"/>
      <c r="Q313" s="164"/>
      <c r="R313" s="186"/>
      <c r="S313" s="1608"/>
      <c r="T313" s="186"/>
      <c r="U313" s="164"/>
      <c r="V313" s="1608"/>
      <c r="W313" s="164"/>
      <c r="X313" s="164"/>
      <c r="Y313" s="164"/>
      <c r="Z313" s="164"/>
      <c r="AA313" s="164"/>
      <c r="AB313" s="164"/>
      <c r="AC313" s="164"/>
      <c r="AD313" s="164"/>
      <c r="AE313" s="164"/>
    </row>
    <row r="314" ht="15.75" customHeight="1">
      <c r="A314" s="164"/>
      <c r="B314" s="1603"/>
      <c r="C314" s="478"/>
      <c r="D314" s="1604"/>
      <c r="E314" s="7"/>
      <c r="F314" s="7"/>
      <c r="G314" s="1605"/>
      <c r="H314" s="7"/>
      <c r="I314" s="1606"/>
      <c r="J314" s="1607"/>
      <c r="K314" s="7"/>
      <c r="L314" s="1606"/>
      <c r="M314" s="1607"/>
      <c r="N314" s="7"/>
      <c r="O314" s="1606"/>
      <c r="P314" s="1607"/>
      <c r="Q314" s="164"/>
      <c r="R314" s="186"/>
      <c r="S314" s="1608"/>
      <c r="T314" s="186"/>
      <c r="U314" s="164"/>
      <c r="V314" s="1608"/>
      <c r="W314" s="164"/>
      <c r="X314" s="164"/>
      <c r="Y314" s="164"/>
      <c r="Z314" s="164"/>
      <c r="AA314" s="164"/>
      <c r="AB314" s="164"/>
      <c r="AC314" s="164"/>
      <c r="AD314" s="164"/>
      <c r="AE314" s="164"/>
    </row>
    <row r="315" ht="15.75" customHeight="1">
      <c r="A315" s="164"/>
      <c r="B315" s="1603"/>
      <c r="C315" s="478"/>
      <c r="D315" s="1604"/>
      <c r="E315" s="7"/>
      <c r="F315" s="7"/>
      <c r="G315" s="1605"/>
      <c r="H315" s="7"/>
      <c r="I315" s="1606"/>
      <c r="J315" s="1607"/>
      <c r="K315" s="7"/>
      <c r="L315" s="1606"/>
      <c r="M315" s="1607"/>
      <c r="N315" s="7"/>
      <c r="O315" s="1606"/>
      <c r="P315" s="1607"/>
      <c r="Q315" s="164"/>
      <c r="R315" s="186"/>
      <c r="S315" s="1608"/>
      <c r="T315" s="186"/>
      <c r="U315" s="164"/>
      <c r="V315" s="1608"/>
      <c r="W315" s="164"/>
      <c r="X315" s="164"/>
      <c r="Y315" s="164"/>
      <c r="Z315" s="164"/>
      <c r="AA315" s="164"/>
      <c r="AB315" s="164"/>
      <c r="AC315" s="164"/>
      <c r="AD315" s="164"/>
      <c r="AE315" s="164"/>
    </row>
    <row r="316" ht="15.75" customHeight="1">
      <c r="A316" s="164"/>
      <c r="B316" s="1603"/>
      <c r="C316" s="478"/>
      <c r="D316" s="1604"/>
      <c r="E316" s="7"/>
      <c r="F316" s="7"/>
      <c r="G316" s="1605"/>
      <c r="H316" s="7"/>
      <c r="I316" s="1606"/>
      <c r="J316" s="1607"/>
      <c r="K316" s="7"/>
      <c r="L316" s="1606"/>
      <c r="M316" s="1607"/>
      <c r="N316" s="7"/>
      <c r="O316" s="1606"/>
      <c r="P316" s="1607"/>
      <c r="Q316" s="164"/>
      <c r="R316" s="186"/>
      <c r="S316" s="1608"/>
      <c r="T316" s="186"/>
      <c r="U316" s="164"/>
      <c r="V316" s="1608"/>
      <c r="W316" s="164"/>
      <c r="X316" s="164"/>
      <c r="Y316" s="164"/>
      <c r="Z316" s="164"/>
      <c r="AA316" s="164"/>
      <c r="AB316" s="164"/>
      <c r="AC316" s="164"/>
      <c r="AD316" s="164"/>
      <c r="AE316" s="164"/>
    </row>
    <row r="317" ht="15.75" customHeight="1">
      <c r="A317" s="164"/>
      <c r="B317" s="1603"/>
      <c r="C317" s="478"/>
      <c r="D317" s="1604"/>
      <c r="E317" s="7"/>
      <c r="F317" s="7"/>
      <c r="G317" s="1605"/>
      <c r="H317" s="7"/>
      <c r="I317" s="1606"/>
      <c r="J317" s="1607"/>
      <c r="K317" s="7"/>
      <c r="L317" s="1606"/>
      <c r="M317" s="1607"/>
      <c r="N317" s="7"/>
      <c r="O317" s="1606"/>
      <c r="P317" s="1607"/>
      <c r="Q317" s="164"/>
      <c r="R317" s="186"/>
      <c r="S317" s="1608"/>
      <c r="T317" s="186"/>
      <c r="U317" s="164"/>
      <c r="V317" s="1608"/>
      <c r="W317" s="164"/>
      <c r="X317" s="164"/>
      <c r="Y317" s="164"/>
      <c r="Z317" s="164"/>
      <c r="AA317" s="164"/>
      <c r="AB317" s="164"/>
      <c r="AC317" s="164"/>
      <c r="AD317" s="164"/>
      <c r="AE317" s="164"/>
    </row>
    <row r="318" ht="15.75" customHeight="1">
      <c r="A318" s="164"/>
      <c r="B318" s="1603"/>
      <c r="C318" s="478"/>
      <c r="D318" s="1604"/>
      <c r="E318" s="7"/>
      <c r="F318" s="7"/>
      <c r="G318" s="1605"/>
      <c r="H318" s="7"/>
      <c r="I318" s="1606"/>
      <c r="J318" s="1607"/>
      <c r="K318" s="7"/>
      <c r="L318" s="1606"/>
      <c r="M318" s="1607"/>
      <c r="N318" s="7"/>
      <c r="O318" s="1606"/>
      <c r="P318" s="1607"/>
      <c r="Q318" s="164"/>
      <c r="R318" s="186"/>
      <c r="S318" s="1608"/>
      <c r="T318" s="186"/>
      <c r="U318" s="164"/>
      <c r="V318" s="1608"/>
      <c r="W318" s="164"/>
      <c r="X318" s="164"/>
      <c r="Y318" s="164"/>
      <c r="Z318" s="164"/>
      <c r="AA318" s="164"/>
      <c r="AB318" s="164"/>
      <c r="AC318" s="164"/>
      <c r="AD318" s="164"/>
      <c r="AE318" s="164"/>
    </row>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H1:J1"/>
    <mergeCell ref="K1:M1"/>
    <mergeCell ref="N1:P1"/>
    <mergeCell ref="Q1:S1"/>
    <mergeCell ref="T1:V1"/>
    <mergeCell ref="W1:Y1"/>
    <mergeCell ref="Z1:AB1"/>
    <mergeCell ref="AC1:AE1"/>
  </mergeCells>
  <conditionalFormatting sqref="G8:G99">
    <cfRule type="colorScale" priority="1">
      <colorScale>
        <cfvo type="min"/>
        <cfvo type="percentile" val="50"/>
        <cfvo type="max"/>
        <color rgb="FFF4CCCC"/>
        <color rgb="FFFFF2CC"/>
        <color rgb="FF57BB8A"/>
      </colorScale>
    </cfRule>
  </conditionalFormatting>
  <conditionalFormatting sqref="J8:J99">
    <cfRule type="colorScale" priority="2">
      <colorScale>
        <cfvo type="min"/>
        <cfvo type="percentile" val="50"/>
        <cfvo type="max"/>
        <color rgb="FFF4CCCC"/>
        <color rgb="FFFFF2CC"/>
        <color rgb="FF57BB8A"/>
      </colorScale>
    </cfRule>
  </conditionalFormatting>
  <conditionalFormatting sqref="M8:M99 P8:P99 S8:AE99">
    <cfRule type="colorScale" priority="3">
      <colorScale>
        <cfvo type="min"/>
        <cfvo type="percentile" val="50"/>
        <cfvo type="max"/>
        <color rgb="FFF4CCCC"/>
        <color rgb="FFFFF2CC"/>
        <color rgb="FF57BB8A"/>
      </colorScale>
    </cfRule>
  </conditionalFormatting>
  <dataValidations>
    <dataValidation type="list" allowBlank="1" showErrorMessage="1" sqref="D8:D99">
      <formula1>"70/30,80/20,Лето,90/10"</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7BB8A"/>
    <outlinePr summaryBelow="0" summaryRight="0"/>
  </sheetPr>
  <sheetViews>
    <sheetView workbookViewId="0">
      <pane xSplit="2.0" ySplit="7.0" topLeftCell="C8" activePane="bottomRight" state="frozen"/>
      <selection activeCell="C1" sqref="C1" pane="topRight"/>
      <selection activeCell="A8" sqref="A8" pane="bottomLeft"/>
      <selection activeCell="C8" sqref="C8" pane="bottomRight"/>
    </sheetView>
  </sheetViews>
  <sheetFormatPr customHeight="1" defaultColWidth="12.63" defaultRowHeight="15.0" outlineLevelCol="1"/>
  <cols>
    <col customWidth="1" min="1" max="1" width="7.5"/>
    <col customWidth="1" min="2" max="2" width="11.25"/>
    <col customWidth="1" min="3" max="3" width="8.75"/>
    <col customWidth="1" min="4" max="9" width="5.38"/>
    <col customWidth="1" hidden="1" min="10" max="13" width="7.13" outlineLevel="1"/>
    <col customWidth="1" min="14" max="14" width="7.75"/>
    <col customWidth="1" hidden="1" min="15" max="18" width="7.13" outlineLevel="1"/>
    <col customWidth="1" min="19" max="19" width="8.0"/>
    <col customWidth="1" hidden="1" min="20" max="23" width="7.13" outlineLevel="1"/>
    <col customWidth="1" min="24" max="24" width="8.88"/>
    <col customWidth="1" hidden="1" min="25" max="28" width="7.13" outlineLevel="1"/>
    <col customWidth="1" min="29" max="29" width="8.88"/>
    <col customWidth="1" hidden="1" min="30" max="33" width="7.13" outlineLevel="1"/>
    <col customWidth="1" min="34" max="34" width="10.38"/>
    <col customWidth="1" hidden="1" min="35" max="39" width="7.13" outlineLevel="1"/>
    <col customWidth="1" min="40" max="40" width="10.38"/>
    <col customWidth="1" hidden="1" min="41" max="45" width="7.13" outlineLevel="1"/>
    <col customWidth="1" min="46" max="58" width="10.38"/>
  </cols>
  <sheetData>
    <row r="1" ht="11.25" customHeight="1">
      <c r="A1" s="1609" t="s">
        <v>177</v>
      </c>
      <c r="B1" s="1610"/>
      <c r="C1" s="1611"/>
      <c r="D1" s="1612"/>
      <c r="E1" s="1612"/>
      <c r="F1" s="1612"/>
      <c r="G1" s="1612"/>
      <c r="H1" s="1612"/>
      <c r="I1" s="1613"/>
      <c r="J1" s="1614"/>
      <c r="K1" s="1614"/>
      <c r="L1" s="1614"/>
      <c r="M1" s="1614"/>
      <c r="N1" s="1615">
        <v>1210.0</v>
      </c>
      <c r="O1" s="1616"/>
      <c r="P1" s="1616"/>
      <c r="Q1" s="1616"/>
      <c r="R1" s="1616"/>
      <c r="S1" s="1617">
        <v>2340.0</v>
      </c>
      <c r="T1" s="1616"/>
      <c r="U1" s="1616"/>
      <c r="V1" s="1616"/>
      <c r="W1" s="1616"/>
      <c r="X1" s="1617">
        <v>2210.0</v>
      </c>
      <c r="Y1" s="1618"/>
      <c r="Z1" s="1619"/>
      <c r="AA1" s="1619"/>
      <c r="AB1" s="1619"/>
      <c r="AC1" s="1617">
        <v>2570.0</v>
      </c>
      <c r="AD1" s="1619"/>
      <c r="AE1" s="1619"/>
      <c r="AF1" s="1619"/>
      <c r="AG1" s="1619"/>
      <c r="AH1" s="1620">
        <f>SUM(AH9:AH34)</f>
        <v>1430</v>
      </c>
      <c r="AI1" s="1619"/>
      <c r="AJ1" s="1619"/>
      <c r="AK1" s="1619"/>
      <c r="AL1" s="1619"/>
      <c r="AM1" s="1619"/>
      <c r="AN1" s="1621">
        <f>SUM(AN9:AN40)</f>
        <v>1830</v>
      </c>
      <c r="AO1" s="1619"/>
      <c r="AP1" s="1619"/>
      <c r="AQ1" s="1619"/>
      <c r="AR1" s="1619"/>
      <c r="AS1" s="1619"/>
      <c r="AT1" s="1621">
        <f>SUM(AT9:AT40)</f>
        <v>1930</v>
      </c>
      <c r="AU1" s="1622"/>
      <c r="AV1" s="1622"/>
      <c r="AW1" s="1622"/>
      <c r="AX1" s="1622"/>
      <c r="AY1" s="1622"/>
      <c r="AZ1" s="1622"/>
      <c r="BA1" s="1622"/>
      <c r="BB1" s="1622"/>
      <c r="BC1" s="1622"/>
      <c r="BD1" s="1622"/>
      <c r="BE1" s="1622"/>
      <c r="BF1" s="1622"/>
    </row>
    <row r="2" ht="11.25" customHeight="1">
      <c r="A2" s="1623" t="s">
        <v>146</v>
      </c>
      <c r="B2" s="1624"/>
      <c r="C2" s="1625"/>
      <c r="D2" s="1626"/>
      <c r="E2" s="1626"/>
      <c r="F2" s="1626"/>
      <c r="G2" s="1626"/>
      <c r="H2" s="1626"/>
      <c r="I2" s="1627"/>
      <c r="J2" s="1628"/>
      <c r="K2" s="1628"/>
      <c r="L2" s="1628"/>
      <c r="M2" s="1628"/>
      <c r="N2" s="1629">
        <v>1310.0</v>
      </c>
      <c r="O2" s="1630"/>
      <c r="P2" s="1630"/>
      <c r="Q2" s="1630"/>
      <c r="R2" s="1630"/>
      <c r="S2" s="1618">
        <v>1460.0</v>
      </c>
      <c r="T2" s="1630"/>
      <c r="U2" s="1630"/>
      <c r="V2" s="1630"/>
      <c r="W2" s="1630"/>
      <c r="X2" s="1618">
        <v>2160.0</v>
      </c>
      <c r="Y2" s="1618"/>
      <c r="Z2" s="1619"/>
      <c r="AA2" s="1619"/>
      <c r="AB2" s="1619"/>
      <c r="AC2" s="1618">
        <f>SUM(AC46:AC68)</f>
        <v>2340</v>
      </c>
      <c r="AD2" s="1619"/>
      <c r="AE2" s="1619"/>
      <c r="AF2" s="1619"/>
      <c r="AG2" s="1619"/>
      <c r="AH2" s="1631">
        <f>SUM(AH46:AH68)</f>
        <v>1930</v>
      </c>
      <c r="AI2" s="1619"/>
      <c r="AJ2" s="1619"/>
      <c r="AK2" s="1619"/>
      <c r="AL2" s="1619"/>
      <c r="AM2" s="1619"/>
      <c r="AN2" s="1632">
        <f>SUM(AN41:AN68)</f>
        <v>1946</v>
      </c>
      <c r="AO2" s="1619"/>
      <c r="AP2" s="1619"/>
      <c r="AQ2" s="1619"/>
      <c r="AR2" s="1619"/>
      <c r="AS2" s="1619"/>
      <c r="AT2" s="1632">
        <f>SUM(AT41:AT68)</f>
        <v>2060</v>
      </c>
      <c r="AU2" s="1622"/>
      <c r="AV2" s="1622"/>
      <c r="AW2" s="1622"/>
      <c r="AX2" s="1622"/>
      <c r="AY2" s="1622"/>
      <c r="AZ2" s="1622"/>
      <c r="BA2" s="1622"/>
      <c r="BB2" s="1622"/>
      <c r="BC2" s="1622"/>
      <c r="BD2" s="1622"/>
      <c r="BE2" s="1622"/>
      <c r="BF2" s="1622"/>
    </row>
    <row r="3" ht="11.25" customHeight="1">
      <c r="A3" s="1623" t="s">
        <v>58</v>
      </c>
      <c r="B3" s="1624"/>
      <c r="C3" s="1625"/>
      <c r="D3" s="1626"/>
      <c r="E3" s="1626"/>
      <c r="F3" s="1626"/>
      <c r="G3" s="1626"/>
      <c r="H3" s="1626"/>
      <c r="I3" s="1627"/>
      <c r="J3" s="1628"/>
      <c r="K3" s="1628"/>
      <c r="L3" s="1628"/>
      <c r="M3" s="1628"/>
      <c r="N3" s="1629">
        <v>1900.0</v>
      </c>
      <c r="O3" s="1630"/>
      <c r="P3" s="1630"/>
      <c r="Q3" s="1630"/>
      <c r="R3" s="1630"/>
      <c r="S3" s="1618">
        <v>2310.0</v>
      </c>
      <c r="T3" s="1630"/>
      <c r="U3" s="1630"/>
      <c r="V3" s="1630"/>
      <c r="W3" s="1630"/>
      <c r="X3" s="1618">
        <v>3350.0</v>
      </c>
      <c r="Y3" s="1618"/>
      <c r="Z3" s="1619"/>
      <c r="AA3" s="1619"/>
      <c r="AB3" s="1619"/>
      <c r="AC3" s="1618">
        <f>SUM(AC69:AC111)</f>
        <v>4175</v>
      </c>
      <c r="AD3" s="1619"/>
      <c r="AE3" s="1619"/>
      <c r="AF3" s="1619"/>
      <c r="AG3" s="1619"/>
      <c r="AH3" s="1631">
        <f>SUM(AH69:AH111)</f>
        <v>1900</v>
      </c>
      <c r="AI3" s="1619"/>
      <c r="AJ3" s="1619"/>
      <c r="AK3" s="1619"/>
      <c r="AL3" s="1619"/>
      <c r="AM3" s="1619"/>
      <c r="AN3" s="1632">
        <v>1620.0</v>
      </c>
      <c r="AO3" s="1619"/>
      <c r="AP3" s="1619"/>
      <c r="AQ3" s="1619"/>
      <c r="AR3" s="1619"/>
      <c r="AS3" s="1619"/>
      <c r="AT3" s="1632">
        <v>1900.0</v>
      </c>
      <c r="AU3" s="1633"/>
      <c r="AV3" s="1633"/>
      <c r="AW3" s="1633"/>
      <c r="AX3" s="1633"/>
      <c r="AY3" s="1633"/>
      <c r="AZ3" s="1633"/>
      <c r="BA3" s="1633"/>
      <c r="BB3" s="1633"/>
      <c r="BC3" s="1633"/>
      <c r="BD3" s="1633"/>
      <c r="BE3" s="1633"/>
      <c r="BF3" s="1633"/>
    </row>
    <row r="4" ht="12.75" customHeight="1">
      <c r="A4" s="1634" t="s">
        <v>1643</v>
      </c>
      <c r="B4" s="1635"/>
      <c r="C4" s="1636"/>
      <c r="D4" s="1637"/>
      <c r="E4" s="1637"/>
      <c r="F4" s="1637"/>
      <c r="G4" s="1637"/>
      <c r="H4" s="1637"/>
      <c r="I4" s="1638"/>
      <c r="J4" s="1639"/>
      <c r="K4" s="1639"/>
      <c r="L4" s="1639"/>
      <c r="M4" s="1639"/>
      <c r="N4" s="1640"/>
      <c r="O4" s="1641"/>
      <c r="P4" s="1641"/>
      <c r="Q4" s="1641"/>
      <c r="R4" s="1641"/>
      <c r="S4" s="1642"/>
      <c r="T4" s="1641"/>
      <c r="U4" s="1641"/>
      <c r="V4" s="1641"/>
      <c r="W4" s="1641"/>
      <c r="X4" s="1642"/>
      <c r="Y4" s="1619"/>
      <c r="Z4" s="1619"/>
      <c r="AA4" s="1619"/>
      <c r="AB4" s="1619"/>
      <c r="AC4" s="1642"/>
      <c r="AD4" s="1619"/>
      <c r="AE4" s="1619"/>
      <c r="AF4" s="1619"/>
      <c r="AG4" s="1619"/>
      <c r="AH4" s="1643"/>
      <c r="AI4" s="1619"/>
      <c r="AJ4" s="1619"/>
      <c r="AK4" s="1619"/>
      <c r="AL4" s="1619"/>
      <c r="AM4" s="1619"/>
      <c r="AN4" s="1644"/>
      <c r="AO4" s="1619"/>
      <c r="AP4" s="1619"/>
      <c r="AQ4" s="1619"/>
      <c r="AR4" s="1619"/>
      <c r="AS4" s="1619"/>
      <c r="AT4" s="1644">
        <f>SUM(AT113:AT123)</f>
        <v>300</v>
      </c>
      <c r="AU4" s="1633"/>
      <c r="AV4" s="1633"/>
      <c r="AW4" s="1633"/>
      <c r="AX4" s="1633"/>
      <c r="AY4" s="1633"/>
      <c r="AZ4" s="1633"/>
      <c r="BA4" s="1633"/>
      <c r="BB4" s="1633"/>
      <c r="BC4" s="1633"/>
      <c r="BD4" s="1633"/>
      <c r="BE4" s="1633"/>
      <c r="BF4" s="1633"/>
    </row>
    <row r="5" ht="12.75" customHeight="1">
      <c r="A5" s="1645"/>
      <c r="B5" s="1221"/>
      <c r="C5" s="1646"/>
      <c r="D5" s="1647" t="s">
        <v>1644</v>
      </c>
      <c r="E5" s="864"/>
      <c r="F5" s="864"/>
      <c r="G5" s="864"/>
      <c r="H5" s="864"/>
      <c r="I5" s="865"/>
      <c r="J5" s="1648" t="s">
        <v>1508</v>
      </c>
      <c r="O5" s="1648" t="s">
        <v>1509</v>
      </c>
      <c r="T5" s="1648" t="s">
        <v>1510</v>
      </c>
      <c r="Y5" s="1648" t="s">
        <v>1645</v>
      </c>
      <c r="AC5" s="1649" t="s">
        <v>1645</v>
      </c>
      <c r="AD5" s="1648" t="s">
        <v>1646</v>
      </c>
      <c r="AH5" s="1648" t="s">
        <v>1646</v>
      </c>
      <c r="AI5" s="1648"/>
      <c r="AJ5" s="1648"/>
      <c r="AK5" s="1648"/>
      <c r="AL5" s="1648"/>
      <c r="AM5" s="1648"/>
      <c r="AN5" s="1648" t="s">
        <v>1647</v>
      </c>
      <c r="AO5" s="1648"/>
      <c r="AP5" s="1648"/>
      <c r="AQ5" s="1648"/>
      <c r="AR5" s="1648"/>
      <c r="AS5" s="1648"/>
      <c r="AT5" s="1648" t="s">
        <v>1648</v>
      </c>
      <c r="AU5" s="1650"/>
      <c r="AV5" s="1650"/>
      <c r="AW5" s="1650"/>
      <c r="AX5" s="1650"/>
      <c r="AY5" s="1650"/>
      <c r="AZ5" s="1650"/>
      <c r="BA5" s="1650"/>
      <c r="BB5" s="1650"/>
      <c r="BC5" s="1650"/>
      <c r="BD5" s="1650"/>
      <c r="BE5" s="1650"/>
      <c r="BF5" s="1650"/>
    </row>
    <row r="6" ht="15.75" customHeight="1">
      <c r="A6" s="1651"/>
      <c r="B6" s="1652"/>
      <c r="C6" s="1646"/>
      <c r="D6" s="1653" t="s">
        <v>316</v>
      </c>
      <c r="E6" s="1654"/>
      <c r="F6" s="1655" t="s">
        <v>1649</v>
      </c>
      <c r="G6" s="864"/>
      <c r="H6" s="864"/>
      <c r="I6" s="865"/>
      <c r="J6" s="1656" t="s">
        <v>1650</v>
      </c>
      <c r="K6" s="1657"/>
      <c r="L6" s="1658"/>
      <c r="M6" s="1659" t="s">
        <v>1651</v>
      </c>
      <c r="N6" s="1660" t="s">
        <v>1652</v>
      </c>
      <c r="O6" s="1656" t="s">
        <v>1650</v>
      </c>
      <c r="P6" s="1657"/>
      <c r="Q6" s="1658"/>
      <c r="R6" s="1659" t="s">
        <v>1651</v>
      </c>
      <c r="S6" s="1660" t="s">
        <v>1652</v>
      </c>
      <c r="T6" s="1656" t="s">
        <v>1650</v>
      </c>
      <c r="U6" s="1657"/>
      <c r="V6" s="1658"/>
      <c r="W6" s="1659" t="s">
        <v>1651</v>
      </c>
      <c r="X6" s="1660" t="s">
        <v>1652</v>
      </c>
      <c r="Y6" s="1656" t="s">
        <v>1650</v>
      </c>
      <c r="Z6" s="1657"/>
      <c r="AA6" s="1658"/>
      <c r="AB6" s="1659" t="s">
        <v>1651</v>
      </c>
      <c r="AC6" s="1660" t="s">
        <v>1652</v>
      </c>
      <c r="AD6" s="1656" t="s">
        <v>1650</v>
      </c>
      <c r="AE6" s="1657"/>
      <c r="AF6" s="1658"/>
      <c r="AG6" s="1659" t="s">
        <v>1651</v>
      </c>
      <c r="AH6" s="1661" t="s">
        <v>1652</v>
      </c>
      <c r="AI6" s="1656" t="s">
        <v>1650</v>
      </c>
      <c r="AJ6" s="1657"/>
      <c r="AK6" s="1657"/>
      <c r="AL6" s="1658"/>
      <c r="AM6" s="1659" t="s">
        <v>1651</v>
      </c>
      <c r="AN6" s="1661" t="s">
        <v>1652</v>
      </c>
      <c r="AO6" s="1656" t="s">
        <v>1650</v>
      </c>
      <c r="AP6" s="1657"/>
      <c r="AQ6" s="1657"/>
      <c r="AR6" s="1658"/>
      <c r="AS6" s="1659" t="s">
        <v>1651</v>
      </c>
      <c r="AT6" s="1661" t="s">
        <v>1652</v>
      </c>
      <c r="AU6" s="1662"/>
      <c r="AV6" s="1662"/>
      <c r="AW6" s="1662"/>
      <c r="AX6" s="1662"/>
      <c r="AY6" s="1662"/>
      <c r="AZ6" s="1662"/>
      <c r="BA6" s="1662"/>
      <c r="BB6" s="1662"/>
      <c r="BC6" s="1662"/>
      <c r="BD6" s="1662"/>
      <c r="BE6" s="1662"/>
      <c r="BF6" s="1662"/>
    </row>
    <row r="7" ht="15.75" customHeight="1">
      <c r="A7" s="1663" t="s">
        <v>1653</v>
      </c>
      <c r="B7" s="126" t="s">
        <v>303</v>
      </c>
      <c r="C7" s="128" t="s">
        <v>305</v>
      </c>
      <c r="D7" s="1664"/>
      <c r="E7" s="1665" t="s">
        <v>1654</v>
      </c>
      <c r="F7" s="1666" t="s">
        <v>1655</v>
      </c>
      <c r="G7" s="1667" t="s">
        <v>1656</v>
      </c>
      <c r="H7" s="1668" t="s">
        <v>1657</v>
      </c>
      <c r="I7" s="1669" t="s">
        <v>1658</v>
      </c>
      <c r="J7" s="1670" t="s">
        <v>1659</v>
      </c>
      <c r="K7" s="1671" t="s">
        <v>1660</v>
      </c>
      <c r="L7" s="1672" t="s">
        <v>1661</v>
      </c>
      <c r="M7" s="1664"/>
      <c r="N7" s="1664"/>
      <c r="O7" s="1670" t="s">
        <v>1659</v>
      </c>
      <c r="P7" s="1671" t="s">
        <v>1660</v>
      </c>
      <c r="Q7" s="1672" t="s">
        <v>1661</v>
      </c>
      <c r="R7" s="1664"/>
      <c r="S7" s="1664"/>
      <c r="T7" s="1670" t="s">
        <v>1659</v>
      </c>
      <c r="U7" s="1671" t="s">
        <v>1660</v>
      </c>
      <c r="V7" s="1672" t="s">
        <v>1661</v>
      </c>
      <c r="W7" s="1664"/>
      <c r="X7" s="1664"/>
      <c r="Y7" s="1670" t="s">
        <v>1659</v>
      </c>
      <c r="Z7" s="1671" t="s">
        <v>1660</v>
      </c>
      <c r="AA7" s="1672" t="s">
        <v>1661</v>
      </c>
      <c r="AB7" s="1664"/>
      <c r="AC7" s="1664"/>
      <c r="AD7" s="1670" t="s">
        <v>1659</v>
      </c>
      <c r="AE7" s="1671" t="s">
        <v>1660</v>
      </c>
      <c r="AF7" s="1672" t="s">
        <v>1661</v>
      </c>
      <c r="AG7" s="1664"/>
      <c r="AH7" s="1664"/>
      <c r="AI7" s="1670" t="s">
        <v>1659</v>
      </c>
      <c r="AJ7" s="1673" t="s">
        <v>1662</v>
      </c>
      <c r="AK7" s="1671" t="s">
        <v>1660</v>
      </c>
      <c r="AL7" s="1672" t="s">
        <v>1661</v>
      </c>
      <c r="AM7" s="1664"/>
      <c r="AN7" s="1664"/>
      <c r="AO7" s="1670" t="s">
        <v>1659</v>
      </c>
      <c r="AP7" s="1673" t="s">
        <v>1662</v>
      </c>
      <c r="AQ7" s="1671" t="s">
        <v>1660</v>
      </c>
      <c r="AR7" s="1672" t="s">
        <v>1661</v>
      </c>
      <c r="AS7" s="1664"/>
      <c r="AT7" s="1664"/>
      <c r="AU7" s="1662"/>
      <c r="AV7" s="1662"/>
      <c r="AW7" s="1662"/>
      <c r="AX7" s="1662"/>
      <c r="AY7" s="1662"/>
      <c r="AZ7" s="1662"/>
      <c r="BA7" s="1662"/>
      <c r="BB7" s="1662"/>
      <c r="BC7" s="1662"/>
      <c r="BD7" s="1662"/>
      <c r="BE7" s="1662"/>
      <c r="BF7" s="1662"/>
    </row>
    <row r="8" ht="10.5" customHeight="1">
      <c r="A8" s="1674"/>
      <c r="B8" s="1675"/>
      <c r="C8" s="128"/>
      <c r="D8" s="1676" t="s">
        <v>1663</v>
      </c>
      <c r="E8" s="1677"/>
      <c r="F8" s="1678" t="s">
        <v>1663</v>
      </c>
      <c r="G8" s="1679" t="s">
        <v>1663</v>
      </c>
      <c r="H8" s="1680" t="s">
        <v>1663</v>
      </c>
      <c r="I8" s="1681" t="s">
        <v>1663</v>
      </c>
      <c r="J8" s="1682"/>
      <c r="K8" s="1683"/>
      <c r="L8" s="1684" t="s">
        <v>1664</v>
      </c>
      <c r="M8" s="1685"/>
      <c r="N8" s="1686" t="s">
        <v>1663</v>
      </c>
      <c r="O8" s="1682"/>
      <c r="P8" s="1683"/>
      <c r="Q8" s="1684" t="s">
        <v>1664</v>
      </c>
      <c r="R8" s="1685"/>
      <c r="S8" s="1686" t="s">
        <v>1663</v>
      </c>
      <c r="T8" s="1682"/>
      <c r="U8" s="1683"/>
      <c r="V8" s="1684" t="s">
        <v>1664</v>
      </c>
      <c r="W8" s="1685"/>
      <c r="X8" s="1686" t="s">
        <v>1663</v>
      </c>
      <c r="Y8" s="1682"/>
      <c r="Z8" s="1683"/>
      <c r="AA8" s="1684" t="s">
        <v>1664</v>
      </c>
      <c r="AB8" s="1685"/>
      <c r="AC8" s="1686" t="s">
        <v>1663</v>
      </c>
      <c r="AD8" s="1682"/>
      <c r="AE8" s="1683"/>
      <c r="AF8" s="1684" t="s">
        <v>1664</v>
      </c>
      <c r="AG8" s="1685"/>
      <c r="AH8" s="1687" t="s">
        <v>1663</v>
      </c>
      <c r="AI8" s="1682"/>
      <c r="AJ8" s="1688"/>
      <c r="AK8" s="1683"/>
      <c r="AL8" s="1684" t="s">
        <v>1664</v>
      </c>
      <c r="AM8" s="1685"/>
      <c r="AN8" s="1687" t="s">
        <v>1663</v>
      </c>
      <c r="AO8" s="1689"/>
      <c r="AP8" s="1690"/>
      <c r="AQ8" s="1691"/>
      <c r="AR8" s="1684" t="s">
        <v>1664</v>
      </c>
      <c r="AS8" s="1685"/>
      <c r="AT8" s="1687" t="s">
        <v>1663</v>
      </c>
      <c r="AU8" s="1692"/>
      <c r="AV8" s="1692"/>
      <c r="AW8" s="1692"/>
      <c r="AX8" s="1692"/>
      <c r="AY8" s="1692"/>
      <c r="AZ8" s="1692"/>
      <c r="BA8" s="1692"/>
      <c r="BB8" s="1692"/>
      <c r="BC8" s="1692"/>
      <c r="BD8" s="1692"/>
      <c r="BE8" s="1692"/>
      <c r="BF8" s="1692"/>
    </row>
    <row r="9" ht="15.75" customHeight="1">
      <c r="A9" s="1693" t="s">
        <v>58</v>
      </c>
      <c r="B9" s="1694" t="str">
        <f>'1. Справочник'!C2</f>
        <v>WS В 503</v>
      </c>
      <c r="C9" s="1695" t="s">
        <v>518</v>
      </c>
      <c r="D9" s="1696">
        <v>50.0</v>
      </c>
      <c r="E9" s="1697">
        <v>50.0</v>
      </c>
      <c r="F9" s="1698">
        <v>0.0</v>
      </c>
      <c r="G9" s="1699">
        <v>50.0</v>
      </c>
      <c r="H9" s="1700">
        <v>80.0</v>
      </c>
      <c r="I9" s="1701">
        <v>100.0</v>
      </c>
      <c r="J9" s="1702">
        <v>31.0</v>
      </c>
      <c r="K9" s="1703">
        <f>SUMIF('Заполняемость'!$C$8:$C1030,B9,'Заполняемость'!$I$8:$I1030)</f>
        <v>5</v>
      </c>
      <c r="L9" s="1704">
        <f t="shared" ref="L9:L12" si="1">K9/J9</f>
        <v>0.1612903226</v>
      </c>
      <c r="M9" s="1705">
        <f t="shared" ref="M9:M12" si="2">IF(L9&lt;=0.5,0,IF(AND(L9&gt;0.5,L9&lt;=0.7),0,IF(AND(L9&gt;0.7,L9&lt;=0.8),50,IF(AND(L9&gt;0.8,L9&lt;=0.9),80,IF(AND(L9&gt;0.9,L9&lt;=2),100,"")))))</f>
        <v>0</v>
      </c>
      <c r="N9" s="1706">
        <f t="shared" ref="N9:N12" si="3">M9+D9</f>
        <v>50</v>
      </c>
      <c r="O9" s="1702">
        <v>30.0</v>
      </c>
      <c r="P9" s="1707">
        <f>SUMIF('Заполняемость'!$C$8:$C1030,B9,'Заполняемость'!$L$8:$L1030)</f>
        <v>25</v>
      </c>
      <c r="Q9" s="1708">
        <f>P9/O9</f>
        <v>0.8333333333</v>
      </c>
      <c r="R9" s="1709">
        <f t="shared" ref="R9:R12" si="4">IF(Q9&lt;=0.5,0,IF(AND(Q9&gt;0.5,Q9&lt;=0.7),0,IF(AND(Q9&gt;0.7,Q9&lt;=0.8),50,IF(AND(Q9&gt;0.8,Q9&lt;=0.9),80,IF(AND(Q9&gt;0.9,Q9&lt;=2),100,"")))))</f>
        <v>80</v>
      </c>
      <c r="S9" s="1710">
        <f t="shared" ref="S9:S12" si="5">D9+R9</f>
        <v>130</v>
      </c>
      <c r="T9" s="1702">
        <v>30.0</v>
      </c>
      <c r="U9" s="1707">
        <f t="shared" ref="U9:U12" si="6">31*V9</f>
        <v>30.07</v>
      </c>
      <c r="V9" s="1711">
        <v>0.97</v>
      </c>
      <c r="W9" s="1709">
        <f t="shared" ref="W9:W12" si="7">IF(V9&lt;=0.5,0,IF(AND(V9&gt;0.5,V9&lt;=0.7),0,IF(AND(V9&gt;0.7,V9&lt;=0.8),50,IF(AND(V9&gt;0.8,V9&lt;=0.9),80,IF(AND(V9&gt;0.9,V9&lt;=2),100,"")))))</f>
        <v>100</v>
      </c>
      <c r="X9" s="1706">
        <f t="shared" ref="X9:X12" si="8">D9+W9</f>
        <v>150</v>
      </c>
      <c r="Y9" s="1702">
        <v>31.0</v>
      </c>
      <c r="Z9" s="1707">
        <v>30.0</v>
      </c>
      <c r="AA9" s="1711">
        <f t="shared" ref="AA9:AA12" si="9">Z9/Y9</f>
        <v>0.9677419355</v>
      </c>
      <c r="AB9" s="1709">
        <f t="shared" ref="AB9:AB12" si="10">IF(AA9&lt;=0.5,0,IF(AND(AA9&gt;0.5,AA9&lt;=0.7),0,IF(AND(AA9&gt;0.7,AA9&lt;=0.8),50,IF(AND(AA9&gt;0.8,AA9&lt;=0.9),80,IF(AND(AA9&gt;0.9,AA9&lt;=2),100,"")))))</f>
        <v>100</v>
      </c>
      <c r="AC9" s="1706">
        <f t="shared" ref="AC9:AC12" si="11">AB9+D9</f>
        <v>150</v>
      </c>
      <c r="AD9" s="1702">
        <v>30.0</v>
      </c>
      <c r="AE9" s="1703">
        <v>29.0</v>
      </c>
      <c r="AF9" s="1712">
        <f t="shared" ref="AF9:AF12" si="12">AE9/AD9</f>
        <v>0.9666666667</v>
      </c>
      <c r="AG9" s="1705">
        <f t="shared" ref="AG9:AG12" si="13">IF(AF9&lt;=0.5,0,IF(AND(AF9&gt;0.5,AF9&lt;=0.7),0,IF(AND(AF9&gt;0.7,AF9&lt;=0.8),50,IF(AND(AF9&gt;0.8,AF9&lt;=0.9),80,IF(AND(AF9&gt;0.9,AF9&lt;=2),100,"")))))</f>
        <v>100</v>
      </c>
      <c r="AH9" s="1713">
        <f t="shared" ref="AH9:AH12" si="14">D9+AG9</f>
        <v>150</v>
      </c>
      <c r="AI9" s="1714">
        <v>31.0</v>
      </c>
      <c r="AJ9" s="1715"/>
      <c r="AK9" s="1703">
        <v>29.0</v>
      </c>
      <c r="AL9" s="1716">
        <f t="shared" ref="AL9:AL12" si="15">AK9/AI9</f>
        <v>0.935483871</v>
      </c>
      <c r="AM9" s="1717">
        <v>50.0</v>
      </c>
      <c r="AN9" s="1718">
        <f t="shared" ref="AN9:AN12" si="16">D9+AM9</f>
        <v>100</v>
      </c>
      <c r="AO9" s="1719">
        <v>30.0</v>
      </c>
      <c r="AP9" s="1720">
        <f>SUMIF('Заполняемость'!$C$8:$C1030,B9,'Заполняемость'!$Z$8:$Z1030)</f>
        <v>0</v>
      </c>
      <c r="AQ9" s="1721">
        <v>29.0</v>
      </c>
      <c r="AR9" s="1716">
        <f t="shared" ref="AR9:AR12" si="17">AQ9/AO9</f>
        <v>0.9666666667</v>
      </c>
      <c r="AS9" s="1722">
        <v>50.0</v>
      </c>
      <c r="AT9" s="1723">
        <v>100.0</v>
      </c>
      <c r="AU9" s="1724"/>
      <c r="AV9" s="1724"/>
      <c r="AW9" s="1724"/>
      <c r="AX9" s="1724"/>
      <c r="AY9" s="1724"/>
      <c r="AZ9" s="1724"/>
      <c r="BA9" s="1724"/>
      <c r="BB9" s="1724"/>
      <c r="BC9" s="1724"/>
      <c r="BD9" s="1724"/>
      <c r="BE9" s="1724"/>
      <c r="BF9" s="1724"/>
    </row>
    <row r="10" ht="15.75" customHeight="1">
      <c r="A10" s="1693" t="s">
        <v>58</v>
      </c>
      <c r="B10" s="1694" t="str">
        <f>'1. Справочник'!C3</f>
        <v>WS F 907</v>
      </c>
      <c r="C10" s="1695" t="s">
        <v>518</v>
      </c>
      <c r="D10" s="1725">
        <v>50.0</v>
      </c>
      <c r="E10" s="1697">
        <v>50.0</v>
      </c>
      <c r="F10" s="1726">
        <v>0.0</v>
      </c>
      <c r="G10" s="1727">
        <v>50.0</v>
      </c>
      <c r="H10" s="1728">
        <v>80.0</v>
      </c>
      <c r="I10" s="1729">
        <v>100.0</v>
      </c>
      <c r="J10" s="1714">
        <v>31.0</v>
      </c>
      <c r="K10" s="1730">
        <f>SUMIF('Заполняемость'!$C$8:$C1030,B10,'Заполняемость'!$I$8:$I1030)</f>
        <v>25</v>
      </c>
      <c r="L10" s="1716">
        <f t="shared" si="1"/>
        <v>0.8064516129</v>
      </c>
      <c r="M10" s="1731">
        <f t="shared" si="2"/>
        <v>80</v>
      </c>
      <c r="N10" s="1732">
        <f t="shared" si="3"/>
        <v>130</v>
      </c>
      <c r="O10" s="1714">
        <v>30.0</v>
      </c>
      <c r="P10" s="1733">
        <f>SUMIF('Заполняемость'!$C$8:$C1030,B10,'Заполняемость'!$L$8:$L1030)</f>
        <v>14</v>
      </c>
      <c r="Q10" s="1734">
        <v>0.73</v>
      </c>
      <c r="R10" s="1735">
        <f t="shared" si="4"/>
        <v>50</v>
      </c>
      <c r="S10" s="1736">
        <f t="shared" si="5"/>
        <v>100</v>
      </c>
      <c r="T10" s="1714">
        <v>30.0</v>
      </c>
      <c r="U10" s="1733">
        <f t="shared" si="6"/>
        <v>18.91</v>
      </c>
      <c r="V10" s="1734">
        <v>0.61</v>
      </c>
      <c r="W10" s="1737">
        <f t="shared" si="7"/>
        <v>0</v>
      </c>
      <c r="X10" s="1732">
        <f t="shared" si="8"/>
        <v>50</v>
      </c>
      <c r="Y10" s="1714">
        <v>31.0</v>
      </c>
      <c r="Z10" s="1733">
        <v>22.0</v>
      </c>
      <c r="AA10" s="1734">
        <f t="shared" si="9"/>
        <v>0.7096774194</v>
      </c>
      <c r="AB10" s="1737">
        <f t="shared" si="10"/>
        <v>50</v>
      </c>
      <c r="AC10" s="1732">
        <f t="shared" si="11"/>
        <v>100</v>
      </c>
      <c r="AD10" s="1714">
        <v>30.0</v>
      </c>
      <c r="AE10" s="1730">
        <v>23.0</v>
      </c>
      <c r="AF10" s="1716">
        <f t="shared" si="12"/>
        <v>0.7666666667</v>
      </c>
      <c r="AG10" s="1738">
        <f t="shared" si="13"/>
        <v>50</v>
      </c>
      <c r="AH10" s="1718">
        <f t="shared" si="14"/>
        <v>100</v>
      </c>
      <c r="AI10" s="1714">
        <v>31.0</v>
      </c>
      <c r="AJ10" s="1739"/>
      <c r="AK10" s="1730">
        <v>12.0</v>
      </c>
      <c r="AL10" s="1716">
        <f t="shared" si="15"/>
        <v>0.3870967742</v>
      </c>
      <c r="AM10" s="1731">
        <f t="shared" ref="AM10:AM12" si="18">IF(AL10&lt;=0.5,0,IF(AND(AL10&gt;0.5,AL10&lt;=0.7),0,IF(AND(AL10&gt;0.7,AL10&lt;=0.8),50,IF(AND(AL10&gt;0.8,AL10&lt;=0.9),80,IF(AND(AL10&gt;0.9,AL10&lt;=2),100,"")))))</f>
        <v>0</v>
      </c>
      <c r="AN10" s="1718">
        <f t="shared" si="16"/>
        <v>50</v>
      </c>
      <c r="AO10" s="1719">
        <v>30.0</v>
      </c>
      <c r="AP10" s="1720">
        <f>SUMIF('Заполняемость'!$C$8:$C1030,B10,'Заполняемость'!$Z$8:$Z1030)</f>
        <v>0</v>
      </c>
      <c r="AQ10" s="1721">
        <v>17.0</v>
      </c>
      <c r="AR10" s="1716">
        <f t="shared" si="17"/>
        <v>0.5666666667</v>
      </c>
      <c r="AS10" s="1731">
        <f>IF(AR10&lt;=0.5,0,IF(AND(AR10&gt;0.5,AR10&lt;=0.7),0,IF(AND(AR10&gt;0.7,AR10&lt;=0.8),50,IF(AND(AR10&gt;0.8,AR10&lt;=0.9),80,IF(AND(AR10&gt;0.9,AR10&lt;=2),100,"")))))</f>
        <v>0</v>
      </c>
      <c r="AT10" s="1718">
        <f>D10+AS10</f>
        <v>50</v>
      </c>
      <c r="AU10" s="1724"/>
      <c r="AV10" s="1724"/>
      <c r="AW10" s="1724"/>
      <c r="AX10" s="1724"/>
      <c r="AY10" s="1724"/>
      <c r="AZ10" s="1724"/>
      <c r="BA10" s="1724"/>
      <c r="BB10" s="1724"/>
      <c r="BC10" s="1724"/>
      <c r="BD10" s="1724"/>
      <c r="BE10" s="1724"/>
      <c r="BF10" s="1724"/>
    </row>
    <row r="11" ht="15.75" customHeight="1">
      <c r="A11" s="1693" t="s">
        <v>58</v>
      </c>
      <c r="B11" s="1694" t="str">
        <f>'1. Справочник'!C4</f>
        <v>WS В 212</v>
      </c>
      <c r="C11" s="1695" t="s">
        <v>518</v>
      </c>
      <c r="D11" s="1725">
        <v>50.0</v>
      </c>
      <c r="E11" s="1697">
        <v>50.0</v>
      </c>
      <c r="F11" s="1726">
        <v>0.0</v>
      </c>
      <c r="G11" s="1727">
        <v>50.0</v>
      </c>
      <c r="H11" s="1728">
        <v>80.0</v>
      </c>
      <c r="I11" s="1729">
        <v>100.0</v>
      </c>
      <c r="J11" s="1714">
        <v>31.0</v>
      </c>
      <c r="K11" s="1730">
        <f>SUMIF('Заполняемость'!$C$8:$C1030,B11,'Заполняемость'!$I$8:$I1030)</f>
        <v>15</v>
      </c>
      <c r="L11" s="1716">
        <f t="shared" si="1"/>
        <v>0.4838709677</v>
      </c>
      <c r="M11" s="1731">
        <f t="shared" si="2"/>
        <v>0</v>
      </c>
      <c r="N11" s="1732">
        <f t="shared" si="3"/>
        <v>50</v>
      </c>
      <c r="O11" s="1714">
        <v>30.0</v>
      </c>
      <c r="P11" s="1733">
        <f>SUMIF('Заполняемость'!$C$8:$C1030,B11,'Заполняемость'!$L$8:$L1030)</f>
        <v>21</v>
      </c>
      <c r="Q11" s="1734">
        <v>1.0</v>
      </c>
      <c r="R11" s="1735">
        <f t="shared" si="4"/>
        <v>100</v>
      </c>
      <c r="S11" s="1736">
        <f t="shared" si="5"/>
        <v>150</v>
      </c>
      <c r="T11" s="1714">
        <v>30.0</v>
      </c>
      <c r="U11" s="1733">
        <f t="shared" si="6"/>
        <v>23.87</v>
      </c>
      <c r="V11" s="1734">
        <v>0.77</v>
      </c>
      <c r="W11" s="1732">
        <f t="shared" si="7"/>
        <v>50</v>
      </c>
      <c r="X11" s="1732">
        <f t="shared" si="8"/>
        <v>100</v>
      </c>
      <c r="Y11" s="1714">
        <v>31.0</v>
      </c>
      <c r="Z11" s="1733">
        <v>27.0</v>
      </c>
      <c r="AA11" s="1734">
        <f t="shared" si="9"/>
        <v>0.8709677419</v>
      </c>
      <c r="AB11" s="1732">
        <f t="shared" si="10"/>
        <v>80</v>
      </c>
      <c r="AC11" s="1732">
        <f t="shared" si="11"/>
        <v>130</v>
      </c>
      <c r="AD11" s="1714">
        <v>30.0</v>
      </c>
      <c r="AE11" s="1730">
        <v>24.0</v>
      </c>
      <c r="AF11" s="1716">
        <f t="shared" si="12"/>
        <v>0.8</v>
      </c>
      <c r="AG11" s="1740">
        <f t="shared" si="13"/>
        <v>50</v>
      </c>
      <c r="AH11" s="1718">
        <f t="shared" si="14"/>
        <v>100</v>
      </c>
      <c r="AI11" s="1714">
        <v>31.0</v>
      </c>
      <c r="AJ11" s="1739"/>
      <c r="AK11" s="1730">
        <v>23.0</v>
      </c>
      <c r="AL11" s="1716">
        <f t="shared" si="15"/>
        <v>0.7419354839</v>
      </c>
      <c r="AM11" s="1731">
        <f t="shared" si="18"/>
        <v>50</v>
      </c>
      <c r="AN11" s="1718">
        <f t="shared" si="16"/>
        <v>100</v>
      </c>
      <c r="AO11" s="1719">
        <v>30.0</v>
      </c>
      <c r="AP11" s="1720">
        <f>SUMIF('Заполняемость'!$C$8:$C1030,B11,'Заполняемость'!$Z$8:$Z1030)</f>
        <v>0</v>
      </c>
      <c r="AQ11" s="1721">
        <v>30.0</v>
      </c>
      <c r="AR11" s="1716">
        <f t="shared" si="17"/>
        <v>1</v>
      </c>
      <c r="AS11" s="1722">
        <v>50.0</v>
      </c>
      <c r="AT11" s="1723">
        <v>100.0</v>
      </c>
      <c r="AU11" s="1724"/>
      <c r="AV11" s="1724"/>
      <c r="AW11" s="1724"/>
      <c r="AX11" s="1724"/>
      <c r="AY11" s="1724"/>
      <c r="AZ11" s="1724"/>
      <c r="BA11" s="1724"/>
      <c r="BB11" s="1724"/>
      <c r="BC11" s="1724"/>
      <c r="BD11" s="1724"/>
      <c r="BE11" s="1724"/>
      <c r="BF11" s="1724"/>
    </row>
    <row r="12" ht="15.75" customHeight="1">
      <c r="A12" s="1693" t="s">
        <v>58</v>
      </c>
      <c r="B12" s="1694" t="str">
        <f>'1. Справочник'!C5</f>
        <v>WS В 1510</v>
      </c>
      <c r="C12" s="1695" t="s">
        <v>518</v>
      </c>
      <c r="D12" s="1725">
        <v>50.0</v>
      </c>
      <c r="E12" s="1697">
        <v>50.0</v>
      </c>
      <c r="F12" s="1726">
        <v>0.0</v>
      </c>
      <c r="G12" s="1727">
        <v>50.0</v>
      </c>
      <c r="H12" s="1728">
        <v>80.0</v>
      </c>
      <c r="I12" s="1729">
        <v>100.0</v>
      </c>
      <c r="J12" s="1714">
        <v>31.0</v>
      </c>
      <c r="K12" s="1730">
        <f>SUMIF('Заполняемость'!$C$8:$C1030,B12,'Заполняемость'!$I$8:$I1030)</f>
        <v>20</v>
      </c>
      <c r="L12" s="1716">
        <f t="shared" si="1"/>
        <v>0.6451612903</v>
      </c>
      <c r="M12" s="1731">
        <f t="shared" si="2"/>
        <v>0</v>
      </c>
      <c r="N12" s="1732">
        <f t="shared" si="3"/>
        <v>50</v>
      </c>
      <c r="O12" s="1714">
        <v>30.0</v>
      </c>
      <c r="P12" s="1733">
        <f>SUMIF('Заполняемость'!$C$8:$C1030,B12,'Заполняемость'!$L$8:$L1030)</f>
        <v>27</v>
      </c>
      <c r="Q12" s="1734">
        <v>0.8</v>
      </c>
      <c r="R12" s="1735">
        <f t="shared" si="4"/>
        <v>50</v>
      </c>
      <c r="S12" s="1736">
        <f t="shared" si="5"/>
        <v>100</v>
      </c>
      <c r="T12" s="1714">
        <v>30.0</v>
      </c>
      <c r="U12" s="1733">
        <f t="shared" si="6"/>
        <v>26.04</v>
      </c>
      <c r="V12" s="1734">
        <v>0.84</v>
      </c>
      <c r="W12" s="1735">
        <f t="shared" si="7"/>
        <v>80</v>
      </c>
      <c r="X12" s="1732">
        <f t="shared" si="8"/>
        <v>130</v>
      </c>
      <c r="Y12" s="1714">
        <v>31.0</v>
      </c>
      <c r="Z12" s="1733">
        <v>24.0</v>
      </c>
      <c r="AA12" s="1734">
        <f t="shared" si="9"/>
        <v>0.7741935484</v>
      </c>
      <c r="AB12" s="1735">
        <f t="shared" si="10"/>
        <v>50</v>
      </c>
      <c r="AC12" s="1732">
        <f t="shared" si="11"/>
        <v>100</v>
      </c>
      <c r="AD12" s="1714">
        <v>30.0</v>
      </c>
      <c r="AE12" s="1730">
        <v>22.0</v>
      </c>
      <c r="AF12" s="1716">
        <f t="shared" si="12"/>
        <v>0.7333333333</v>
      </c>
      <c r="AG12" s="1731">
        <f t="shared" si="13"/>
        <v>50</v>
      </c>
      <c r="AH12" s="1718">
        <f t="shared" si="14"/>
        <v>100</v>
      </c>
      <c r="AI12" s="1714">
        <v>31.0</v>
      </c>
      <c r="AJ12" s="1739"/>
      <c r="AK12" s="1730">
        <v>24.0</v>
      </c>
      <c r="AL12" s="1716">
        <f t="shared" si="15"/>
        <v>0.7741935484</v>
      </c>
      <c r="AM12" s="1731">
        <f t="shared" si="18"/>
        <v>50</v>
      </c>
      <c r="AN12" s="1718">
        <f t="shared" si="16"/>
        <v>100</v>
      </c>
      <c r="AO12" s="1719">
        <v>30.0</v>
      </c>
      <c r="AP12" s="1720">
        <f>SUMIF('Заполняемость'!$C$8:$C1030,B12,'Заполняемость'!$Z$8:$Z1030)</f>
        <v>0</v>
      </c>
      <c r="AQ12" s="1721">
        <v>25.0</v>
      </c>
      <c r="AR12" s="1716">
        <f t="shared" si="17"/>
        <v>0.8333333333</v>
      </c>
      <c r="AS12" s="1722">
        <v>50.0</v>
      </c>
      <c r="AT12" s="1723">
        <v>100.0</v>
      </c>
      <c r="AU12" s="1724"/>
      <c r="AV12" s="1724"/>
      <c r="AW12" s="1724"/>
      <c r="AX12" s="1724"/>
      <c r="AY12" s="1724"/>
      <c r="AZ12" s="1724"/>
      <c r="BA12" s="1724"/>
      <c r="BB12" s="1724"/>
      <c r="BC12" s="1724"/>
      <c r="BD12" s="1724"/>
      <c r="BE12" s="1724"/>
      <c r="BF12" s="1724"/>
    </row>
    <row r="13" ht="15.75" customHeight="1">
      <c r="A13" s="1693" t="s">
        <v>58</v>
      </c>
      <c r="B13" s="1694" t="str">
        <f>'1. Справочник'!C6</f>
        <v>WS В 807</v>
      </c>
      <c r="C13" s="1695" t="s">
        <v>518</v>
      </c>
      <c r="D13" s="1725">
        <v>50.0</v>
      </c>
      <c r="E13" s="1697">
        <v>50.0</v>
      </c>
      <c r="F13" s="1726">
        <v>0.0</v>
      </c>
      <c r="G13" s="1727">
        <v>50.0</v>
      </c>
      <c r="H13" s="1728">
        <v>80.0</v>
      </c>
      <c r="I13" s="1729">
        <v>100.0</v>
      </c>
      <c r="J13" s="1714"/>
      <c r="K13" s="1730"/>
      <c r="L13" s="1716"/>
      <c r="M13" s="1731"/>
      <c r="N13" s="1732"/>
      <c r="O13" s="1714"/>
      <c r="P13" s="1733"/>
      <c r="Q13" s="1734"/>
      <c r="R13" s="1735"/>
      <c r="S13" s="1736"/>
      <c r="T13" s="1714"/>
      <c r="U13" s="1733"/>
      <c r="V13" s="1734"/>
      <c r="W13" s="1737"/>
      <c r="X13" s="1732"/>
      <c r="Y13" s="1714"/>
      <c r="Z13" s="1733"/>
      <c r="AA13" s="1734"/>
      <c r="AB13" s="1737"/>
      <c r="AC13" s="1732"/>
      <c r="AD13" s="1714"/>
      <c r="AE13" s="1730"/>
      <c r="AF13" s="1716"/>
      <c r="AG13" s="1738"/>
      <c r="AH13" s="1718"/>
      <c r="AI13" s="1714"/>
      <c r="AJ13" s="1739"/>
      <c r="AK13" s="1730"/>
      <c r="AL13" s="1716"/>
      <c r="AM13" s="1717"/>
      <c r="AN13" s="1718"/>
      <c r="AO13" s="1719"/>
      <c r="AP13" s="1720">
        <f>SUMIF('Заполняемость'!$C$8:$C1030,B13,'Заполняемость'!$Z$8:$Z1030)</f>
        <v>0</v>
      </c>
      <c r="AQ13" s="1721"/>
      <c r="AR13" s="1716"/>
      <c r="AS13" s="1731"/>
      <c r="AT13" s="1741">
        <v>100.0</v>
      </c>
      <c r="AU13" s="1724"/>
      <c r="AV13" s="1724"/>
      <c r="AW13" s="1724"/>
      <c r="AX13" s="1724"/>
      <c r="AY13" s="1724"/>
      <c r="AZ13" s="1724"/>
      <c r="BA13" s="1724"/>
      <c r="BB13" s="1724"/>
      <c r="BC13" s="1724"/>
      <c r="BD13" s="1724"/>
      <c r="BE13" s="1724"/>
      <c r="BF13" s="1724"/>
    </row>
    <row r="14" ht="15.75" customHeight="1">
      <c r="A14" s="1693" t="s">
        <v>58</v>
      </c>
      <c r="B14" s="1742" t="str">
        <f>'1. Справочник'!C7</f>
        <v>WS E 1202</v>
      </c>
      <c r="C14" s="1695" t="s">
        <v>518</v>
      </c>
      <c r="D14" s="1725">
        <v>50.0</v>
      </c>
      <c r="E14" s="1697">
        <v>50.0</v>
      </c>
      <c r="F14" s="1726">
        <v>0.0</v>
      </c>
      <c r="G14" s="1727">
        <v>50.0</v>
      </c>
      <c r="H14" s="1728">
        <v>80.0</v>
      </c>
      <c r="I14" s="1729">
        <v>100.0</v>
      </c>
      <c r="J14" s="1714">
        <v>31.0</v>
      </c>
      <c r="K14" s="1730">
        <f>SUMIF('Заполняемость'!$C$8:$C1030,B14,'Заполняемость'!$I$8:$I1030)</f>
        <v>19</v>
      </c>
      <c r="L14" s="1716">
        <f t="shared" ref="L14:L19" si="19">K14/J14</f>
        <v>0.6129032258</v>
      </c>
      <c r="M14" s="1731">
        <f t="shared" ref="M14:M19" si="20">IF(L14&lt;=0.5,0,IF(AND(L14&gt;0.5,L14&lt;=0.7),0,IF(AND(L14&gt;0.7,L14&lt;=0.8),50,IF(AND(L14&gt;0.8,L14&lt;=0.9),80,IF(AND(L14&gt;0.9,L14&lt;=2),100,"")))))</f>
        <v>0</v>
      </c>
      <c r="N14" s="1732">
        <f t="shared" ref="N14:N19" si="21">M14+D14</f>
        <v>50</v>
      </c>
      <c r="O14" s="1714">
        <v>30.0</v>
      </c>
      <c r="P14" s="1733">
        <f>SUMIF('Заполняемость'!$C$8:$C1030,B14,'Заполняемость'!$L$8:$L1030)</f>
        <v>23</v>
      </c>
      <c r="Q14" s="1734">
        <f>P14/O14</f>
        <v>0.7666666667</v>
      </c>
      <c r="R14" s="1735">
        <f t="shared" ref="R14:R19" si="22">IF(Q14&lt;=0.5,0,IF(AND(Q14&gt;0.5,Q14&lt;=0.7),0,IF(AND(Q14&gt;0.7,Q14&lt;=0.8),50,IF(AND(Q14&gt;0.8,Q14&lt;=0.9),80,IF(AND(Q14&gt;0.9,Q14&lt;=2),100,"")))))</f>
        <v>50</v>
      </c>
      <c r="S14" s="1736">
        <f t="shared" ref="S14:S19" si="23">D14+R14</f>
        <v>100</v>
      </c>
      <c r="T14" s="1714">
        <v>30.0</v>
      </c>
      <c r="U14" s="1733">
        <f t="shared" ref="U14:U19" si="24">31*V14</f>
        <v>17.98</v>
      </c>
      <c r="V14" s="1734">
        <v>0.58</v>
      </c>
      <c r="W14" s="1737">
        <f t="shared" ref="W14:W19" si="25">IF(V14&lt;=0.5,0,IF(AND(V14&gt;0.5,V14&lt;=0.7),0,IF(AND(V14&gt;0.7,V14&lt;=0.8),50,IF(AND(V14&gt;0.8,V14&lt;=0.9),80,IF(AND(V14&gt;0.9,V14&lt;=2),100,"")))))</f>
        <v>0</v>
      </c>
      <c r="X14" s="1732">
        <f t="shared" ref="X14:X19" si="26">D14+W14</f>
        <v>50</v>
      </c>
      <c r="Y14" s="1714">
        <v>31.0</v>
      </c>
      <c r="Z14" s="1733">
        <v>28.0</v>
      </c>
      <c r="AA14" s="1734">
        <f t="shared" ref="AA14:AA19" si="27">Z14/Y14</f>
        <v>0.9032258065</v>
      </c>
      <c r="AB14" s="1737">
        <f t="shared" ref="AB14:AB19" si="28">IF(AA14&lt;=0.5,0,IF(AND(AA14&gt;0.5,AA14&lt;=0.7),0,IF(AND(AA14&gt;0.7,AA14&lt;=0.8),50,IF(AND(AA14&gt;0.8,AA14&lt;=0.9),80,IF(AND(AA14&gt;0.9,AA14&lt;=2),100,"")))))</f>
        <v>100</v>
      </c>
      <c r="AC14" s="1732">
        <f t="shared" ref="AC14:AC21" si="29">AB14+D14</f>
        <v>150</v>
      </c>
      <c r="AD14" s="1714">
        <v>30.0</v>
      </c>
      <c r="AE14" s="1730">
        <v>18.0</v>
      </c>
      <c r="AF14" s="1716">
        <f t="shared" ref="AF14:AF19" si="30">AE14/AD14</f>
        <v>0.6</v>
      </c>
      <c r="AG14" s="1738">
        <f t="shared" ref="AG14:AG19" si="31">IF(AF14&lt;=0.5,0,IF(AND(AF14&gt;0.5,AF14&lt;=0.7),0,IF(AND(AF14&gt;0.7,AF14&lt;=0.8),50,IF(AND(AF14&gt;0.8,AF14&lt;=0.9),80,IF(AND(AF14&gt;0.9,AF14&lt;=2),100,"")))))</f>
        <v>0</v>
      </c>
      <c r="AH14" s="1718">
        <f t="shared" ref="AH14:AH19" si="32">D14+AG14</f>
        <v>50</v>
      </c>
      <c r="AI14" s="1714">
        <v>31.0</v>
      </c>
      <c r="AJ14" s="1739"/>
      <c r="AK14" s="1730">
        <v>30.0</v>
      </c>
      <c r="AL14" s="1716">
        <f t="shared" ref="AL14:AL21" si="33">AK14/AI14</f>
        <v>0.9677419355</v>
      </c>
      <c r="AM14" s="1717">
        <v>50.0</v>
      </c>
      <c r="AN14" s="1718">
        <f t="shared" ref="AN14:AN21" si="34">D14+AM14</f>
        <v>100</v>
      </c>
      <c r="AO14" s="1719">
        <v>30.0</v>
      </c>
      <c r="AP14" s="1720">
        <f>SUMIF('Заполняемость'!$C$8:$C1030,B14,'Заполняемость'!$Z$8:$Z1030)</f>
        <v>0</v>
      </c>
      <c r="AQ14" s="1721">
        <v>30.0</v>
      </c>
      <c r="AR14" s="1716">
        <f t="shared" ref="AR14:AR21" si="35">AQ14/AO14</f>
        <v>1</v>
      </c>
      <c r="AS14" s="1722">
        <v>50.0</v>
      </c>
      <c r="AT14" s="1723">
        <v>100.0</v>
      </c>
      <c r="AU14" s="1724"/>
      <c r="AV14" s="1724"/>
      <c r="AW14" s="1724"/>
      <c r="AX14" s="1724"/>
      <c r="AY14" s="1724"/>
      <c r="AZ14" s="1724"/>
      <c r="BA14" s="1724"/>
      <c r="BB14" s="1724"/>
      <c r="BC14" s="1724"/>
      <c r="BD14" s="1724"/>
      <c r="BE14" s="1724"/>
      <c r="BF14" s="1724"/>
    </row>
    <row r="15" ht="15.75" customHeight="1">
      <c r="A15" s="1693" t="s">
        <v>58</v>
      </c>
      <c r="B15" s="1742" t="str">
        <f>'1. Справочник'!C8</f>
        <v>WS A 409</v>
      </c>
      <c r="C15" s="1695" t="s">
        <v>518</v>
      </c>
      <c r="D15" s="1725">
        <v>50.0</v>
      </c>
      <c r="E15" s="1697">
        <v>50.0</v>
      </c>
      <c r="F15" s="1726">
        <v>0.0</v>
      </c>
      <c r="G15" s="1727">
        <v>50.0</v>
      </c>
      <c r="H15" s="1728">
        <v>80.0</v>
      </c>
      <c r="I15" s="1729">
        <v>100.0</v>
      </c>
      <c r="J15" s="1714">
        <v>31.0</v>
      </c>
      <c r="K15" s="1730">
        <f>SUMIF('Заполняемость'!$C$8:$C1030,B15,'Заполняемость'!$I$8:$I1030)</f>
        <v>16</v>
      </c>
      <c r="L15" s="1716">
        <f t="shared" si="19"/>
        <v>0.5161290323</v>
      </c>
      <c r="M15" s="1731">
        <f t="shared" si="20"/>
        <v>0</v>
      </c>
      <c r="N15" s="1732">
        <f t="shared" si="21"/>
        <v>50</v>
      </c>
      <c r="O15" s="1714">
        <v>30.0</v>
      </c>
      <c r="P15" s="1733">
        <f>SUMIF('Заполняемость'!$C$8:$C1030,B15,'Заполняемость'!$L$8:$L1030)</f>
        <v>18</v>
      </c>
      <c r="Q15" s="1734">
        <v>0.63</v>
      </c>
      <c r="R15" s="1735">
        <f t="shared" si="22"/>
        <v>0</v>
      </c>
      <c r="S15" s="1736">
        <f t="shared" si="23"/>
        <v>50</v>
      </c>
      <c r="T15" s="1714">
        <v>30.0</v>
      </c>
      <c r="U15" s="1733">
        <f t="shared" si="24"/>
        <v>27.9</v>
      </c>
      <c r="V15" s="1743">
        <v>0.9</v>
      </c>
      <c r="W15" s="1735">
        <f t="shared" si="25"/>
        <v>80</v>
      </c>
      <c r="X15" s="1732">
        <f t="shared" si="26"/>
        <v>130</v>
      </c>
      <c r="Y15" s="1714">
        <v>31.0</v>
      </c>
      <c r="Z15" s="1733">
        <v>27.0</v>
      </c>
      <c r="AA15" s="1743">
        <f t="shared" si="27"/>
        <v>0.8709677419</v>
      </c>
      <c r="AB15" s="1735">
        <f t="shared" si="28"/>
        <v>80</v>
      </c>
      <c r="AC15" s="1732">
        <f t="shared" si="29"/>
        <v>130</v>
      </c>
      <c r="AD15" s="1714">
        <v>30.0</v>
      </c>
      <c r="AE15" s="1730">
        <v>28.0</v>
      </c>
      <c r="AF15" s="1744">
        <f t="shared" si="30"/>
        <v>0.9333333333</v>
      </c>
      <c r="AG15" s="1731">
        <f t="shared" si="31"/>
        <v>100</v>
      </c>
      <c r="AH15" s="1718">
        <f t="shared" si="32"/>
        <v>150</v>
      </c>
      <c r="AI15" s="1714">
        <v>31.0</v>
      </c>
      <c r="AJ15" s="1739"/>
      <c r="AK15" s="1730">
        <v>28.0</v>
      </c>
      <c r="AL15" s="1716">
        <f t="shared" si="33"/>
        <v>0.9032258065</v>
      </c>
      <c r="AM15" s="1717">
        <v>50.0</v>
      </c>
      <c r="AN15" s="1718">
        <f t="shared" si="34"/>
        <v>100</v>
      </c>
      <c r="AO15" s="1719">
        <v>30.0</v>
      </c>
      <c r="AP15" s="1720">
        <f>SUMIF('Заполняемость'!$C$8:$C1030,B15,'Заполняемость'!$Z$8:$Z1030)</f>
        <v>0</v>
      </c>
      <c r="AQ15" s="1721">
        <v>13.0</v>
      </c>
      <c r="AR15" s="1716">
        <f t="shared" si="35"/>
        <v>0.4333333333</v>
      </c>
      <c r="AS15" s="1731">
        <f>IF(AR15&lt;=0.5,0,IF(AND(AR15&gt;0.5,AR15&lt;=0.7),0,IF(AND(AR15&gt;0.7,AR15&lt;=0.8),50,IF(AND(AR15&gt;0.8,AR15&lt;=0.9),80,IF(AND(AR15&gt;0.9,AR15&lt;=2),100,"")))))</f>
        <v>0</v>
      </c>
      <c r="AT15" s="1718">
        <f>D15+AS15</f>
        <v>50</v>
      </c>
      <c r="AU15" s="1724"/>
      <c r="AV15" s="1724"/>
      <c r="AW15" s="1724"/>
      <c r="AX15" s="1724"/>
      <c r="AY15" s="1724"/>
      <c r="AZ15" s="1724"/>
      <c r="BA15" s="1724"/>
      <c r="BB15" s="1724"/>
      <c r="BC15" s="1724"/>
      <c r="BD15" s="1724"/>
      <c r="BE15" s="1724"/>
      <c r="BF15" s="1724"/>
    </row>
    <row r="16" ht="15.75" customHeight="1">
      <c r="A16" s="1693" t="s">
        <v>58</v>
      </c>
      <c r="B16" s="1742" t="str">
        <f>'1. Справочник'!C9</f>
        <v>WS A 608</v>
      </c>
      <c r="C16" s="1695" t="s">
        <v>518</v>
      </c>
      <c r="D16" s="1725">
        <v>50.0</v>
      </c>
      <c r="E16" s="1697">
        <v>50.0</v>
      </c>
      <c r="F16" s="1726">
        <v>0.0</v>
      </c>
      <c r="G16" s="1727">
        <v>50.0</v>
      </c>
      <c r="H16" s="1728">
        <v>80.0</v>
      </c>
      <c r="I16" s="1729">
        <v>100.0</v>
      </c>
      <c r="J16" s="1714">
        <v>31.0</v>
      </c>
      <c r="K16" s="1730">
        <f>SUMIF('Заполняемость'!$C$8:$C1030,B16,'Заполняемость'!$I$8:$I1030)</f>
        <v>37</v>
      </c>
      <c r="L16" s="1716">
        <f t="shared" si="19"/>
        <v>1.193548387</v>
      </c>
      <c r="M16" s="1731">
        <f t="shared" si="20"/>
        <v>100</v>
      </c>
      <c r="N16" s="1732">
        <f t="shared" si="21"/>
        <v>150</v>
      </c>
      <c r="O16" s="1714">
        <v>30.0</v>
      </c>
      <c r="P16" s="1733">
        <f>SUMIF('Заполняемость'!$C$8:$C1030,B16,'Заполняемость'!$L$8:$L1030)</f>
        <v>27</v>
      </c>
      <c r="Q16" s="1734">
        <f>P16/O16</f>
        <v>0.9</v>
      </c>
      <c r="R16" s="1735">
        <f t="shared" si="22"/>
        <v>80</v>
      </c>
      <c r="S16" s="1736">
        <f t="shared" si="23"/>
        <v>130</v>
      </c>
      <c r="T16" s="1714">
        <v>30.0</v>
      </c>
      <c r="U16" s="1733">
        <f t="shared" si="24"/>
        <v>26.04</v>
      </c>
      <c r="V16" s="1734">
        <v>0.84</v>
      </c>
      <c r="W16" s="1735">
        <f t="shared" si="25"/>
        <v>80</v>
      </c>
      <c r="X16" s="1732">
        <f t="shared" si="26"/>
        <v>130</v>
      </c>
      <c r="Y16" s="1714">
        <v>31.0</v>
      </c>
      <c r="Z16" s="1733">
        <v>23.0</v>
      </c>
      <c r="AA16" s="1734">
        <f t="shared" si="27"/>
        <v>0.7419354839</v>
      </c>
      <c r="AB16" s="1735">
        <f t="shared" si="28"/>
        <v>50</v>
      </c>
      <c r="AC16" s="1732">
        <f t="shared" si="29"/>
        <v>100</v>
      </c>
      <c r="AD16" s="1714">
        <v>30.0</v>
      </c>
      <c r="AE16" s="1730">
        <v>19.0</v>
      </c>
      <c r="AF16" s="1716">
        <f t="shared" si="30"/>
        <v>0.6333333333</v>
      </c>
      <c r="AG16" s="1731">
        <f t="shared" si="31"/>
        <v>0</v>
      </c>
      <c r="AH16" s="1718">
        <f t="shared" si="32"/>
        <v>50</v>
      </c>
      <c r="AI16" s="1714">
        <v>31.0</v>
      </c>
      <c r="AJ16" s="1739"/>
      <c r="AK16" s="1730">
        <v>25.0</v>
      </c>
      <c r="AL16" s="1716">
        <f t="shared" si="33"/>
        <v>0.8064516129</v>
      </c>
      <c r="AM16" s="1731">
        <v>0.0</v>
      </c>
      <c r="AN16" s="1718">
        <f t="shared" si="34"/>
        <v>50</v>
      </c>
      <c r="AO16" s="1719">
        <v>30.0</v>
      </c>
      <c r="AP16" s="1720">
        <f>SUMIF('Заполняемость'!$C$8:$C1030,B16,'Заполняемость'!$Z$8:$Z1030)</f>
        <v>0</v>
      </c>
      <c r="AQ16" s="1721">
        <v>29.0</v>
      </c>
      <c r="AR16" s="1716">
        <f t="shared" si="35"/>
        <v>0.9666666667</v>
      </c>
      <c r="AS16" s="1722">
        <v>50.0</v>
      </c>
      <c r="AT16" s="1723">
        <v>100.0</v>
      </c>
      <c r="AU16" s="1724"/>
      <c r="AV16" s="1724"/>
      <c r="AW16" s="1724"/>
      <c r="AX16" s="1724"/>
      <c r="AY16" s="1724"/>
      <c r="AZ16" s="1724"/>
      <c r="BA16" s="1724"/>
      <c r="BB16" s="1724"/>
      <c r="BC16" s="1724"/>
      <c r="BD16" s="1724"/>
      <c r="BE16" s="1724"/>
      <c r="BF16" s="1724"/>
    </row>
    <row r="17" ht="15.75" customHeight="1">
      <c r="A17" s="1693" t="s">
        <v>58</v>
      </c>
      <c r="B17" s="1742" t="str">
        <f>'1. Справочник'!C10</f>
        <v>WS A907</v>
      </c>
      <c r="C17" s="1695" t="s">
        <v>518</v>
      </c>
      <c r="D17" s="1725">
        <v>50.0</v>
      </c>
      <c r="E17" s="1697">
        <v>50.0</v>
      </c>
      <c r="F17" s="1726">
        <v>0.0</v>
      </c>
      <c r="G17" s="1727">
        <v>50.0</v>
      </c>
      <c r="H17" s="1728">
        <v>80.0</v>
      </c>
      <c r="I17" s="1729">
        <v>100.0</v>
      </c>
      <c r="J17" s="1714">
        <v>31.0</v>
      </c>
      <c r="K17" s="1730">
        <f>SUMIF('Заполняемость'!$C$8:$C1030,B17,'Заполняемость'!$I$8:$I1030)</f>
        <v>6</v>
      </c>
      <c r="L17" s="1716">
        <f t="shared" si="19"/>
        <v>0.1935483871</v>
      </c>
      <c r="M17" s="1731">
        <f t="shared" si="20"/>
        <v>0</v>
      </c>
      <c r="N17" s="1732">
        <f t="shared" si="21"/>
        <v>50</v>
      </c>
      <c r="O17" s="1714">
        <v>30.0</v>
      </c>
      <c r="P17" s="1733">
        <f>SUMIF('Заполняемость'!$C$8:$C1030,B17,'Заполняемость'!$L$8:$L1030)</f>
        <v>27</v>
      </c>
      <c r="Q17" s="1734">
        <v>0.7</v>
      </c>
      <c r="R17" s="1735">
        <f t="shared" si="22"/>
        <v>0</v>
      </c>
      <c r="S17" s="1736">
        <f t="shared" si="23"/>
        <v>50</v>
      </c>
      <c r="T17" s="1714">
        <v>30.0</v>
      </c>
      <c r="U17" s="1733">
        <f t="shared" si="24"/>
        <v>22.94</v>
      </c>
      <c r="V17" s="1734">
        <v>0.74</v>
      </c>
      <c r="W17" s="1732">
        <f t="shared" si="25"/>
        <v>50</v>
      </c>
      <c r="X17" s="1732">
        <f t="shared" si="26"/>
        <v>100</v>
      </c>
      <c r="Y17" s="1714">
        <v>31.0</v>
      </c>
      <c r="Z17" s="1733">
        <v>28.0</v>
      </c>
      <c r="AA17" s="1734">
        <f t="shared" si="27"/>
        <v>0.9032258065</v>
      </c>
      <c r="AB17" s="1732">
        <f t="shared" si="28"/>
        <v>100</v>
      </c>
      <c r="AC17" s="1732">
        <f t="shared" si="29"/>
        <v>150</v>
      </c>
      <c r="AD17" s="1714">
        <v>30.0</v>
      </c>
      <c r="AE17" s="1730">
        <v>26.0</v>
      </c>
      <c r="AF17" s="1716">
        <f t="shared" si="30"/>
        <v>0.8666666667</v>
      </c>
      <c r="AG17" s="1740">
        <f t="shared" si="31"/>
        <v>80</v>
      </c>
      <c r="AH17" s="1718">
        <f t="shared" si="32"/>
        <v>130</v>
      </c>
      <c r="AI17" s="1714">
        <v>31.0</v>
      </c>
      <c r="AJ17" s="1739"/>
      <c r="AK17" s="1730">
        <v>14.0</v>
      </c>
      <c r="AL17" s="1716">
        <f t="shared" si="33"/>
        <v>0.4516129032</v>
      </c>
      <c r="AM17" s="1731">
        <f t="shared" ref="AM17:AM20" si="36">IF(AL17&lt;=0.5,0,IF(AND(AL17&gt;0.5,AL17&lt;=0.7),0,IF(AND(AL17&gt;0.7,AL17&lt;=0.8),50,IF(AND(AL17&gt;0.8,AL17&lt;=0.9),80,IF(AND(AL17&gt;0.9,AL17&lt;=2),100,"")))))</f>
        <v>0</v>
      </c>
      <c r="AN17" s="1718">
        <f t="shared" si="34"/>
        <v>50</v>
      </c>
      <c r="AO17" s="1719">
        <v>30.0</v>
      </c>
      <c r="AP17" s="1720">
        <f>SUMIF('Заполняемость'!$C$8:$C1030,B17,'Заполняемость'!$Z$8:$Z1030)</f>
        <v>0</v>
      </c>
      <c r="AQ17" s="1721">
        <v>3.0</v>
      </c>
      <c r="AR17" s="1716">
        <f t="shared" si="35"/>
        <v>0.1</v>
      </c>
      <c r="AS17" s="1731">
        <f t="shared" ref="AS17:AS18" si="37">IF(AR17&lt;=0.5,0,IF(AND(AR17&gt;0.5,AR17&lt;=0.7),0,IF(AND(AR17&gt;0.7,AR17&lt;=0.8),50,IF(AND(AR17&gt;0.8,AR17&lt;=0.9),80,IF(AND(AR17&gt;0.9,AR17&lt;=2),100,"")))))</f>
        <v>0</v>
      </c>
      <c r="AT17" s="1718">
        <f t="shared" ref="AT17:AT18" si="38">D17+AS17</f>
        <v>50</v>
      </c>
      <c r="AU17" s="1724"/>
      <c r="AV17" s="1724"/>
      <c r="AW17" s="1724"/>
      <c r="AX17" s="1724"/>
      <c r="AY17" s="1724"/>
      <c r="AZ17" s="1724"/>
      <c r="BA17" s="1724"/>
      <c r="BB17" s="1724"/>
      <c r="BC17" s="1724"/>
      <c r="BD17" s="1724"/>
      <c r="BE17" s="1724"/>
      <c r="BF17" s="1724"/>
    </row>
    <row r="18" ht="15.75" customHeight="1">
      <c r="A18" s="1693" t="s">
        <v>58</v>
      </c>
      <c r="B18" s="1742" t="str">
        <f>'1. Справочник'!C11</f>
        <v>WS Е804</v>
      </c>
      <c r="C18" s="1695" t="s">
        <v>518</v>
      </c>
      <c r="D18" s="1725">
        <v>50.0</v>
      </c>
      <c r="E18" s="1697">
        <v>50.0</v>
      </c>
      <c r="F18" s="1726">
        <v>0.0</v>
      </c>
      <c r="G18" s="1727">
        <v>50.0</v>
      </c>
      <c r="H18" s="1728">
        <v>80.0</v>
      </c>
      <c r="I18" s="1729">
        <v>100.0</v>
      </c>
      <c r="J18" s="1714">
        <v>31.0</v>
      </c>
      <c r="K18" s="1730">
        <f>SUMIF('Заполняемость'!$C$8:$C1030,B18,'Заполняемость'!$I$8:$I1030)</f>
        <v>9</v>
      </c>
      <c r="L18" s="1716">
        <f t="shared" si="19"/>
        <v>0.2903225806</v>
      </c>
      <c r="M18" s="1731">
        <f t="shared" si="20"/>
        <v>0</v>
      </c>
      <c r="N18" s="1732">
        <f t="shared" si="21"/>
        <v>50</v>
      </c>
      <c r="O18" s="1714">
        <v>30.0</v>
      </c>
      <c r="P18" s="1733">
        <f>SUMIF('Заполняемость'!$C$8:$C1030,B18,'Заполняемость'!$L$8:$L1030)</f>
        <v>25</v>
      </c>
      <c r="Q18" s="1734">
        <f>P18/O18</f>
        <v>0.8333333333</v>
      </c>
      <c r="R18" s="1735">
        <f t="shared" si="22"/>
        <v>80</v>
      </c>
      <c r="S18" s="1736">
        <f t="shared" si="23"/>
        <v>130</v>
      </c>
      <c r="T18" s="1714">
        <v>30.0</v>
      </c>
      <c r="U18" s="1733">
        <f t="shared" si="24"/>
        <v>25.11</v>
      </c>
      <c r="V18" s="1734">
        <v>0.81</v>
      </c>
      <c r="W18" s="1735">
        <f t="shared" si="25"/>
        <v>80</v>
      </c>
      <c r="X18" s="1732">
        <f t="shared" si="26"/>
        <v>130</v>
      </c>
      <c r="Y18" s="1714">
        <v>31.0</v>
      </c>
      <c r="Z18" s="1733">
        <v>26.0</v>
      </c>
      <c r="AA18" s="1734">
        <f t="shared" si="27"/>
        <v>0.8387096774</v>
      </c>
      <c r="AB18" s="1735">
        <f t="shared" si="28"/>
        <v>80</v>
      </c>
      <c r="AC18" s="1732">
        <f t="shared" si="29"/>
        <v>130</v>
      </c>
      <c r="AD18" s="1714">
        <v>30.0</v>
      </c>
      <c r="AE18" s="1730">
        <v>22.0</v>
      </c>
      <c r="AF18" s="1716">
        <f t="shared" si="30"/>
        <v>0.7333333333</v>
      </c>
      <c r="AG18" s="1731">
        <f t="shared" si="31"/>
        <v>50</v>
      </c>
      <c r="AH18" s="1718">
        <f t="shared" si="32"/>
        <v>100</v>
      </c>
      <c r="AI18" s="1714">
        <v>31.0</v>
      </c>
      <c r="AJ18" s="1739"/>
      <c r="AK18" s="1730">
        <v>22.0</v>
      </c>
      <c r="AL18" s="1716">
        <f t="shared" si="33"/>
        <v>0.7096774194</v>
      </c>
      <c r="AM18" s="1731">
        <f t="shared" si="36"/>
        <v>50</v>
      </c>
      <c r="AN18" s="1718">
        <f t="shared" si="34"/>
        <v>100</v>
      </c>
      <c r="AO18" s="1719">
        <v>30.0</v>
      </c>
      <c r="AP18" s="1720">
        <f>SUMIF('Заполняемость'!$C$8:$C1030,B18,'Заполняемость'!$Z$8:$Z1030)</f>
        <v>0</v>
      </c>
      <c r="AQ18" s="1721">
        <v>4.0</v>
      </c>
      <c r="AR18" s="1716">
        <f t="shared" si="35"/>
        <v>0.1333333333</v>
      </c>
      <c r="AS18" s="1731">
        <f t="shared" si="37"/>
        <v>0</v>
      </c>
      <c r="AT18" s="1718">
        <f t="shared" si="38"/>
        <v>50</v>
      </c>
      <c r="AU18" s="1724"/>
      <c r="AV18" s="1724"/>
      <c r="AW18" s="1724"/>
      <c r="AX18" s="1724"/>
      <c r="AY18" s="1724"/>
      <c r="AZ18" s="1724"/>
      <c r="BA18" s="1724"/>
      <c r="BB18" s="1724"/>
      <c r="BC18" s="1724"/>
      <c r="BD18" s="1724"/>
      <c r="BE18" s="1724"/>
      <c r="BF18" s="1724"/>
    </row>
    <row r="19" ht="15.75" customHeight="1">
      <c r="A19" s="1693" t="s">
        <v>58</v>
      </c>
      <c r="B19" s="1742" t="str">
        <f>'1. Справочник'!C12</f>
        <v>WS E704</v>
      </c>
      <c r="C19" s="1695" t="s">
        <v>518</v>
      </c>
      <c r="D19" s="1725">
        <v>50.0</v>
      </c>
      <c r="E19" s="1697">
        <v>50.0</v>
      </c>
      <c r="F19" s="1726">
        <v>0.0</v>
      </c>
      <c r="G19" s="1727">
        <v>50.0</v>
      </c>
      <c r="H19" s="1728">
        <v>80.0</v>
      </c>
      <c r="I19" s="1729">
        <v>100.0</v>
      </c>
      <c r="J19" s="1714">
        <v>31.0</v>
      </c>
      <c r="K19" s="1730">
        <f>SUMIF('Заполняемость'!$C$8:$C1030,B19,'Заполняемость'!$I$8:$I1030)</f>
        <v>26</v>
      </c>
      <c r="L19" s="1716">
        <f t="shared" si="19"/>
        <v>0.8387096774</v>
      </c>
      <c r="M19" s="1731">
        <f t="shared" si="20"/>
        <v>80</v>
      </c>
      <c r="N19" s="1732">
        <f t="shared" si="21"/>
        <v>130</v>
      </c>
      <c r="O19" s="1714">
        <v>30.0</v>
      </c>
      <c r="P19" s="1733">
        <f>SUMIF('Заполняемость'!$C$8:$C1030,B19,'Заполняемость'!$L$8:$L1030)</f>
        <v>24</v>
      </c>
      <c r="Q19" s="1734">
        <v>0.767</v>
      </c>
      <c r="R19" s="1735">
        <f t="shared" si="22"/>
        <v>50</v>
      </c>
      <c r="S19" s="1736">
        <f t="shared" si="23"/>
        <v>100</v>
      </c>
      <c r="T19" s="1714">
        <v>30.0</v>
      </c>
      <c r="U19" s="1733">
        <f t="shared" si="24"/>
        <v>27.9</v>
      </c>
      <c r="V19" s="1743">
        <v>0.9</v>
      </c>
      <c r="W19" s="1735">
        <f t="shared" si="25"/>
        <v>80</v>
      </c>
      <c r="X19" s="1732">
        <f t="shared" si="26"/>
        <v>130</v>
      </c>
      <c r="Y19" s="1714">
        <v>31.0</v>
      </c>
      <c r="Z19" s="1733">
        <v>29.0</v>
      </c>
      <c r="AA19" s="1743">
        <f t="shared" si="27"/>
        <v>0.935483871</v>
      </c>
      <c r="AB19" s="1735">
        <f t="shared" si="28"/>
        <v>100</v>
      </c>
      <c r="AC19" s="1732">
        <f t="shared" si="29"/>
        <v>150</v>
      </c>
      <c r="AD19" s="1714">
        <v>30.0</v>
      </c>
      <c r="AE19" s="1730">
        <v>21.0</v>
      </c>
      <c r="AF19" s="1744">
        <f t="shared" si="30"/>
        <v>0.7</v>
      </c>
      <c r="AG19" s="1731">
        <f t="shared" si="31"/>
        <v>0</v>
      </c>
      <c r="AH19" s="1718">
        <f t="shared" si="32"/>
        <v>50</v>
      </c>
      <c r="AI19" s="1714">
        <v>31.0</v>
      </c>
      <c r="AJ19" s="1739"/>
      <c r="AK19" s="1730">
        <v>29.0</v>
      </c>
      <c r="AL19" s="1744">
        <f t="shared" si="33"/>
        <v>0.935483871</v>
      </c>
      <c r="AM19" s="1745">
        <f t="shared" si="36"/>
        <v>100</v>
      </c>
      <c r="AN19" s="1718">
        <f t="shared" si="34"/>
        <v>150</v>
      </c>
      <c r="AO19" s="1719">
        <v>30.0</v>
      </c>
      <c r="AP19" s="1720">
        <f>SUMIF('Заполняемость'!$C$8:$C1030,B19,'Заполняемость'!$Z$8:$Z1030)</f>
        <v>0</v>
      </c>
      <c r="AQ19" s="1721">
        <v>30.0</v>
      </c>
      <c r="AR19" s="1716">
        <f t="shared" si="35"/>
        <v>1</v>
      </c>
      <c r="AS19" s="1722">
        <v>50.0</v>
      </c>
      <c r="AT19" s="1723">
        <v>100.0</v>
      </c>
      <c r="AU19" s="1724"/>
      <c r="AV19" s="1724"/>
      <c r="AW19" s="1724"/>
      <c r="AX19" s="1724"/>
      <c r="AY19" s="1724"/>
      <c r="AZ19" s="1724"/>
      <c r="BA19" s="1724"/>
      <c r="BB19" s="1724"/>
      <c r="BC19" s="1724"/>
      <c r="BD19" s="1724"/>
      <c r="BE19" s="1724"/>
      <c r="BF19" s="1724"/>
    </row>
    <row r="20" ht="15.75" customHeight="1">
      <c r="A20" s="1693" t="s">
        <v>58</v>
      </c>
      <c r="B20" s="1742" t="str">
        <f>'1. Справочник'!C13</f>
        <v>WS A805</v>
      </c>
      <c r="C20" s="1695" t="s">
        <v>518</v>
      </c>
      <c r="D20" s="1725">
        <v>50.0</v>
      </c>
      <c r="E20" s="1697">
        <v>50.0</v>
      </c>
      <c r="F20" s="1726">
        <v>0.0</v>
      </c>
      <c r="G20" s="1727">
        <v>50.0</v>
      </c>
      <c r="H20" s="1728">
        <v>80.0</v>
      </c>
      <c r="I20" s="1729">
        <v>100.0</v>
      </c>
      <c r="J20" s="1714"/>
      <c r="K20" s="1730"/>
      <c r="L20" s="1716"/>
      <c r="M20" s="1731"/>
      <c r="N20" s="1732"/>
      <c r="O20" s="1714"/>
      <c r="P20" s="1733"/>
      <c r="Q20" s="1734"/>
      <c r="R20" s="1735"/>
      <c r="S20" s="1736"/>
      <c r="T20" s="1714"/>
      <c r="U20" s="1733"/>
      <c r="V20" s="1734"/>
      <c r="W20" s="1732"/>
      <c r="X20" s="1732"/>
      <c r="Y20" s="1714"/>
      <c r="Z20" s="1733"/>
      <c r="AA20" s="1734"/>
      <c r="AB20" s="1732"/>
      <c r="AC20" s="1732">
        <f t="shared" si="29"/>
        <v>50</v>
      </c>
      <c r="AD20" s="1714"/>
      <c r="AE20" s="1730"/>
      <c r="AF20" s="1716"/>
      <c r="AG20" s="1740"/>
      <c r="AH20" s="1718"/>
      <c r="AI20" s="1714">
        <v>31.0</v>
      </c>
      <c r="AJ20" s="1739"/>
      <c r="AK20" s="1730">
        <v>23.0</v>
      </c>
      <c r="AL20" s="1744">
        <f t="shared" si="33"/>
        <v>0.7419354839</v>
      </c>
      <c r="AM20" s="1731">
        <f t="shared" si="36"/>
        <v>50</v>
      </c>
      <c r="AN20" s="1718">
        <f t="shared" si="34"/>
        <v>100</v>
      </c>
      <c r="AO20" s="1719">
        <v>30.0</v>
      </c>
      <c r="AP20" s="1720">
        <f>SUMIF('Заполняемость'!$C$8:$C1030,B20,'Заполняемость'!$Z$8:$Z1030)</f>
        <v>0</v>
      </c>
      <c r="AQ20" s="1721">
        <v>9.0</v>
      </c>
      <c r="AR20" s="1716">
        <f t="shared" si="35"/>
        <v>0.3</v>
      </c>
      <c r="AS20" s="1731">
        <f>IF(AR20&lt;=0.5,0,IF(AND(AR20&gt;0.5,AR20&lt;=0.7),0,IF(AND(AR20&gt;0.7,AR20&lt;=0.8),50,IF(AND(AR20&gt;0.8,AR20&lt;=0.9),80,IF(AND(AR20&gt;0.9,AR20&lt;=2),100,"")))))</f>
        <v>0</v>
      </c>
      <c r="AT20" s="1718">
        <f>D20+AS20</f>
        <v>50</v>
      </c>
      <c r="AU20" s="1724"/>
      <c r="AV20" s="1724"/>
      <c r="AW20" s="1724"/>
      <c r="AX20" s="1724"/>
      <c r="AY20" s="1724"/>
      <c r="AZ20" s="1724"/>
      <c r="BA20" s="1724"/>
      <c r="BB20" s="1724"/>
      <c r="BC20" s="1724"/>
      <c r="BD20" s="1724"/>
      <c r="BE20" s="1724"/>
      <c r="BF20" s="1724"/>
    </row>
    <row r="21" ht="15.75" customHeight="1">
      <c r="A21" s="1693" t="s">
        <v>58</v>
      </c>
      <c r="B21" s="1742" t="str">
        <f>'1. Справочник'!C14</f>
        <v>WS F1103</v>
      </c>
      <c r="C21" s="1695" t="s">
        <v>518</v>
      </c>
      <c r="D21" s="1725">
        <v>50.0</v>
      </c>
      <c r="E21" s="1697">
        <v>50.0</v>
      </c>
      <c r="F21" s="1726">
        <v>0.0</v>
      </c>
      <c r="G21" s="1727">
        <v>50.0</v>
      </c>
      <c r="H21" s="1728">
        <v>80.0</v>
      </c>
      <c r="I21" s="1729">
        <v>100.0</v>
      </c>
      <c r="J21" s="1714">
        <v>31.0</v>
      </c>
      <c r="K21" s="1730">
        <f>SUMIF('Заполняемость'!$C$8:$C1030,B21,'Заполняемость'!$I$8:$I1030)</f>
        <v>0</v>
      </c>
      <c r="L21" s="1716">
        <f>K21/J21</f>
        <v>0</v>
      </c>
      <c r="M21" s="1731">
        <f>IF(L21&lt;=0.5,0,IF(AND(L21&gt;0.5,L21&lt;=0.7),0,IF(AND(L21&gt;0.7,L21&lt;=0.8),50,IF(AND(L21&gt;0.8,L21&lt;=0.9),80,IF(AND(L21&gt;0.9,L21&lt;=2),100,"")))))</f>
        <v>0</v>
      </c>
      <c r="N21" s="1732">
        <f>M21+D21</f>
        <v>50</v>
      </c>
      <c r="O21" s="1714">
        <v>30.0</v>
      </c>
      <c r="P21" s="1733">
        <f>SUMIF('Заполняемость'!$C$8:$C1030,B21,'Заполняемость'!$L$8:$L1030)</f>
        <v>14</v>
      </c>
      <c r="Q21" s="1734">
        <f>P21/O21</f>
        <v>0.4666666667</v>
      </c>
      <c r="R21" s="1735">
        <f>IF(Q21&lt;=0.5,0,IF(AND(Q21&gt;0.5,Q21&lt;=0.7),0,IF(AND(Q21&gt;0.7,Q21&lt;=0.8),50,IF(AND(Q21&gt;0.8,Q21&lt;=0.9),80,IF(AND(Q21&gt;0.9,Q21&lt;=2),100,"")))))</f>
        <v>0</v>
      </c>
      <c r="S21" s="1736">
        <f>D21+R21</f>
        <v>50</v>
      </c>
      <c r="T21" s="1714">
        <v>30.0</v>
      </c>
      <c r="U21" s="1733">
        <f>31*V21</f>
        <v>23.87</v>
      </c>
      <c r="V21" s="1734">
        <v>0.77</v>
      </c>
      <c r="W21" s="1732">
        <f>IF(V21&lt;=0.5,0,IF(AND(V21&gt;0.5,V21&lt;=0.7),0,IF(AND(V21&gt;0.7,V21&lt;=0.8),50,IF(AND(V21&gt;0.8,V21&lt;=0.9),80,IF(AND(V21&gt;0.9,V21&lt;=2),100,"")))))</f>
        <v>50</v>
      </c>
      <c r="X21" s="1732">
        <f>D21+W21</f>
        <v>100</v>
      </c>
      <c r="Y21" s="1714">
        <v>31.0</v>
      </c>
      <c r="Z21" s="1733">
        <v>26.0</v>
      </c>
      <c r="AA21" s="1734">
        <f>Z21/Y21</f>
        <v>0.8387096774</v>
      </c>
      <c r="AB21" s="1732">
        <f>IF(AA21&lt;=0.5,0,IF(AND(AA21&gt;0.5,AA21&lt;=0.7),0,IF(AND(AA21&gt;0.7,AA21&lt;=0.8),50,IF(AND(AA21&gt;0.8,AA21&lt;=0.9),80,IF(AND(AA21&gt;0.9,AA21&lt;=2),100,"")))))</f>
        <v>80</v>
      </c>
      <c r="AC21" s="1732">
        <f t="shared" si="29"/>
        <v>130</v>
      </c>
      <c r="AD21" s="1714">
        <v>30.0</v>
      </c>
      <c r="AE21" s="1730">
        <v>9.0</v>
      </c>
      <c r="AF21" s="1716">
        <f>AE21/AD21</f>
        <v>0.3</v>
      </c>
      <c r="AG21" s="1740">
        <f>IF(AF21&lt;=0.5,0,IF(AND(AF21&gt;0.5,AF21&lt;=0.7),0,IF(AND(AF21&gt;0.7,AF21&lt;=0.8),50,IF(AND(AF21&gt;0.8,AF21&lt;=0.9),80,IF(AND(AF21&gt;0.9,AF21&lt;=2),100,"")))))</f>
        <v>0</v>
      </c>
      <c r="AH21" s="1718">
        <f>D21+AG21</f>
        <v>50</v>
      </c>
      <c r="AI21" s="1714">
        <v>31.0</v>
      </c>
      <c r="AJ21" s="1739"/>
      <c r="AK21" s="1730">
        <v>30.0</v>
      </c>
      <c r="AL21" s="1744">
        <f t="shared" si="33"/>
        <v>0.9677419355</v>
      </c>
      <c r="AM21" s="1717">
        <v>50.0</v>
      </c>
      <c r="AN21" s="1718">
        <f t="shared" si="34"/>
        <v>100</v>
      </c>
      <c r="AO21" s="1719">
        <v>30.0</v>
      </c>
      <c r="AP21" s="1720">
        <f>SUMIF('Заполняемость'!$C$8:$C1030,B21,'Заполняемость'!$Z$8:$Z1030)</f>
        <v>0</v>
      </c>
      <c r="AQ21" s="1721">
        <v>29.0</v>
      </c>
      <c r="AR21" s="1716">
        <f t="shared" si="35"/>
        <v>0.9666666667</v>
      </c>
      <c r="AS21" s="1722">
        <v>50.0</v>
      </c>
      <c r="AT21" s="1723">
        <v>100.0</v>
      </c>
      <c r="AU21" s="1724"/>
      <c r="AV21" s="1724"/>
      <c r="AW21" s="1724"/>
      <c r="AX21" s="1724"/>
      <c r="AY21" s="1724"/>
      <c r="AZ21" s="1724"/>
      <c r="BA21" s="1724"/>
      <c r="BB21" s="1724"/>
      <c r="BC21" s="1724"/>
      <c r="BD21" s="1724"/>
      <c r="BE21" s="1724"/>
      <c r="BF21" s="1724"/>
    </row>
    <row r="22" ht="15.75" customHeight="1">
      <c r="A22" s="1693" t="s">
        <v>58</v>
      </c>
      <c r="B22" s="1742" t="str">
        <f>'1. Справочник'!C15</f>
        <v>WS F1008</v>
      </c>
      <c r="C22" s="1695" t="s">
        <v>518</v>
      </c>
      <c r="D22" s="1725">
        <v>50.0</v>
      </c>
      <c r="E22" s="1697">
        <v>50.0</v>
      </c>
      <c r="F22" s="1726">
        <v>0.0</v>
      </c>
      <c r="G22" s="1727">
        <v>50.0</v>
      </c>
      <c r="H22" s="1728">
        <v>80.0</v>
      </c>
      <c r="I22" s="1729">
        <v>100.0</v>
      </c>
      <c r="J22" s="1714"/>
      <c r="K22" s="1730"/>
      <c r="L22" s="1716"/>
      <c r="M22" s="1731"/>
      <c r="N22" s="1732"/>
      <c r="O22" s="1714"/>
      <c r="P22" s="1733"/>
      <c r="Q22" s="1734"/>
      <c r="R22" s="1735"/>
      <c r="S22" s="1736"/>
      <c r="T22" s="1714"/>
      <c r="U22" s="1733"/>
      <c r="V22" s="1734"/>
      <c r="W22" s="1732"/>
      <c r="X22" s="1732"/>
      <c r="Y22" s="1714"/>
      <c r="Z22" s="1733"/>
      <c r="AA22" s="1734"/>
      <c r="AB22" s="1732"/>
      <c r="AC22" s="1732"/>
      <c r="AD22" s="1714"/>
      <c r="AE22" s="1730"/>
      <c r="AF22" s="1716"/>
      <c r="AG22" s="1740"/>
      <c r="AH22" s="1718"/>
      <c r="AI22" s="1714"/>
      <c r="AJ22" s="1739"/>
      <c r="AK22" s="1730"/>
      <c r="AL22" s="1744"/>
      <c r="AM22" s="1717"/>
      <c r="AN22" s="1718"/>
      <c r="AO22" s="1719">
        <v>30.0</v>
      </c>
      <c r="AP22" s="1720"/>
      <c r="AQ22" s="1721"/>
      <c r="AR22" s="1716"/>
      <c r="AS22" s="1722"/>
      <c r="AT22" s="1723"/>
      <c r="AU22" s="1724"/>
      <c r="AV22" s="1724"/>
      <c r="AW22" s="1724"/>
      <c r="AX22" s="1724"/>
      <c r="AY22" s="1724"/>
      <c r="AZ22" s="1724"/>
      <c r="BA22" s="1724"/>
      <c r="BB22" s="1724"/>
      <c r="BC22" s="1724"/>
      <c r="BD22" s="1724"/>
      <c r="BE22" s="1724"/>
      <c r="BF22" s="1724"/>
    </row>
    <row r="23" ht="15.75" customHeight="1">
      <c r="A23" s="1693" t="s">
        <v>58</v>
      </c>
      <c r="B23" s="1742" t="str">
        <f>'1. Справочник'!C16</f>
        <v>BV1318</v>
      </c>
      <c r="C23" s="1695" t="s">
        <v>518</v>
      </c>
      <c r="D23" s="1725">
        <v>50.0</v>
      </c>
      <c r="E23" s="1697">
        <v>50.0</v>
      </c>
      <c r="F23" s="1726">
        <v>0.0</v>
      </c>
      <c r="G23" s="1727">
        <v>50.0</v>
      </c>
      <c r="H23" s="1728">
        <v>80.0</v>
      </c>
      <c r="I23" s="1729">
        <v>100.0</v>
      </c>
      <c r="J23" s="1714">
        <v>31.0</v>
      </c>
      <c r="K23" s="1730">
        <f>SUMIF('Заполняемость'!$C$8:$C1030,B23,'Заполняемость'!$I$8:$I1030)</f>
        <v>19</v>
      </c>
      <c r="L23" s="1716">
        <f>K23/J23</f>
        <v>0.6129032258</v>
      </c>
      <c r="M23" s="1722"/>
      <c r="N23" s="1732">
        <f>M23+D23</f>
        <v>50</v>
      </c>
      <c r="O23" s="1714">
        <v>30.0</v>
      </c>
      <c r="P23" s="1733">
        <f>SUMIF('Заполняемость'!$C$8:$C1030,B23,'Заполняемость'!$L$8:$L1030)</f>
        <v>16</v>
      </c>
      <c r="Q23" s="1734">
        <v>0.76</v>
      </c>
      <c r="R23" s="1735">
        <f>IF(Q23&lt;=0.5,0,IF(AND(Q23&gt;0.5,Q23&lt;=0.7),0,IF(AND(Q23&gt;0.7,Q23&lt;=0.8),50,IF(AND(Q23&gt;0.8,Q23&lt;=0.9),80,IF(AND(Q23&gt;0.9,Q23&lt;=2),100,"")))))</f>
        <v>50</v>
      </c>
      <c r="S23" s="1736">
        <f>D23+R23</f>
        <v>100</v>
      </c>
      <c r="T23" s="1714">
        <v>30.0</v>
      </c>
      <c r="U23" s="1733">
        <f>31*V23</f>
        <v>27.9</v>
      </c>
      <c r="V23" s="1743">
        <v>0.9</v>
      </c>
      <c r="W23" s="1735">
        <f>IF(V23&lt;=0.5,0,IF(AND(V23&gt;0.5,V23&lt;=0.7),0,IF(AND(V23&gt;0.7,V23&lt;=0.8),50,IF(AND(V23&gt;0.8,V23&lt;=0.9),80,IF(AND(V23&gt;0.9,V23&lt;=2),100,"")))))</f>
        <v>80</v>
      </c>
      <c r="X23" s="1732">
        <f>D23+W23</f>
        <v>130</v>
      </c>
      <c r="Y23" s="1714">
        <v>31.0</v>
      </c>
      <c r="Z23" s="1733">
        <v>30.0</v>
      </c>
      <c r="AA23" s="1743">
        <f>Z23/Y23</f>
        <v>0.9677419355</v>
      </c>
      <c r="AB23" s="1735">
        <f>IF(AA23&lt;=0.5,0,IF(AND(AA23&gt;0.5,AA23&lt;=0.7),0,IF(AND(AA23&gt;0.7,AA23&lt;=0.8),50,IF(AND(AA23&gt;0.8,AA23&lt;=0.9),80,IF(AND(AA23&gt;0.9,AA23&lt;=2),100,"")))))</f>
        <v>100</v>
      </c>
      <c r="AC23" s="1732">
        <f>AB23+D23</f>
        <v>150</v>
      </c>
      <c r="AD23" s="1714">
        <v>30.0</v>
      </c>
      <c r="AE23" s="1730">
        <v>23.0</v>
      </c>
      <c r="AF23" s="1744">
        <f>AE23/AD23</f>
        <v>0.7666666667</v>
      </c>
      <c r="AG23" s="1731">
        <f>IF(AF23&lt;=0.5,0,IF(AND(AF23&gt;0.5,AF23&lt;=0.7),0,IF(AND(AF23&gt;0.7,AF23&lt;=0.8),50,IF(AND(AF23&gt;0.8,AF23&lt;=0.9),80,IF(AND(AF23&gt;0.9,AF23&lt;=2),100,"")))))</f>
        <v>50</v>
      </c>
      <c r="AH23" s="1718">
        <f>D23+AG23</f>
        <v>100</v>
      </c>
      <c r="AI23" s="1714">
        <v>31.0</v>
      </c>
      <c r="AJ23" s="1739"/>
      <c r="AK23" s="1730">
        <v>26.0</v>
      </c>
      <c r="AL23" s="1744">
        <f t="shared" ref="AL23:AL25" si="39">AK23/AI23</f>
        <v>0.8387096774</v>
      </c>
      <c r="AM23" s="1731">
        <f t="shared" ref="AM23:AM24" si="40">IF(AL23&lt;=0.5,0,IF(AND(AL23&gt;0.5,AL23&lt;=0.7),0,IF(AND(AL23&gt;0.7,AL23&lt;=0.8),50,IF(AND(AL23&gt;0.8,AL23&lt;=0.9),80,IF(AND(AL23&gt;0.9,AL23&lt;=2),100,"")))))</f>
        <v>80</v>
      </c>
      <c r="AN23" s="1718">
        <f>D23+AM23</f>
        <v>130</v>
      </c>
      <c r="AO23" s="1719">
        <v>30.0</v>
      </c>
      <c r="AP23" s="1720">
        <f>SUMIF('Заполняемость'!$C$8:$C1030,B23,'Заполняемость'!$Z$8:$Z1030)</f>
        <v>0</v>
      </c>
      <c r="AQ23" s="1721">
        <v>25.0</v>
      </c>
      <c r="AR23" s="1716">
        <f t="shared" ref="AR23:AR25" si="41">AQ23/AO23</f>
        <v>0.8333333333</v>
      </c>
      <c r="AS23" s="1731">
        <f>IF(AR23&lt;=0.5,0,IF(AND(AR23&gt;0.5,AR23&lt;=0.7),0,IF(AND(AR23&gt;0.7,AR23&lt;=0.8),50,IF(AND(AR23&gt;0.8,AR23&lt;=0.9),80,IF(AND(AR23&gt;0.9,AR23&lt;=2),100,"")))))</f>
        <v>80</v>
      </c>
      <c r="AT23" s="1718">
        <f>D23+AS23</f>
        <v>130</v>
      </c>
      <c r="AU23" s="1724"/>
      <c r="AV23" s="1724"/>
      <c r="AW23" s="1724"/>
      <c r="AX23" s="1724"/>
      <c r="AY23" s="1724"/>
      <c r="AZ23" s="1724"/>
      <c r="BA23" s="1724"/>
      <c r="BB23" s="1724"/>
      <c r="BC23" s="1724"/>
      <c r="BD23" s="1724"/>
      <c r="BE23" s="1724"/>
      <c r="BF23" s="1724"/>
    </row>
    <row r="24" ht="15.75" customHeight="1">
      <c r="A24" s="1693" t="s">
        <v>58</v>
      </c>
      <c r="B24" s="1742" t="str">
        <f>'1. Справочник'!C17</f>
        <v>BV A 100</v>
      </c>
      <c r="C24" s="1695" t="s">
        <v>518</v>
      </c>
      <c r="D24" s="1725">
        <v>50.0</v>
      </c>
      <c r="E24" s="1697">
        <v>50.0</v>
      </c>
      <c r="F24" s="1726">
        <v>0.0</v>
      </c>
      <c r="G24" s="1727">
        <v>50.0</v>
      </c>
      <c r="H24" s="1728">
        <v>80.0</v>
      </c>
      <c r="I24" s="1729">
        <v>100.0</v>
      </c>
      <c r="J24" s="1714"/>
      <c r="K24" s="1730"/>
      <c r="L24" s="1716"/>
      <c r="M24" s="1731"/>
      <c r="N24" s="1732"/>
      <c r="O24" s="1714"/>
      <c r="P24" s="1733"/>
      <c r="Q24" s="1734"/>
      <c r="R24" s="1735"/>
      <c r="S24" s="1736"/>
      <c r="T24" s="1714"/>
      <c r="U24" s="1733"/>
      <c r="V24" s="1734"/>
      <c r="W24" s="1737"/>
      <c r="X24" s="1732"/>
      <c r="Y24" s="1714"/>
      <c r="Z24" s="1733"/>
      <c r="AA24" s="1734"/>
      <c r="AB24" s="1737"/>
      <c r="AC24" s="1732"/>
      <c r="AD24" s="1714"/>
      <c r="AE24" s="1730"/>
      <c r="AF24" s="1716"/>
      <c r="AG24" s="1738"/>
      <c r="AH24" s="1718"/>
      <c r="AI24" s="1714">
        <v>31.0</v>
      </c>
      <c r="AJ24" s="1739"/>
      <c r="AK24" s="1730">
        <v>9.0</v>
      </c>
      <c r="AL24" s="1744">
        <f t="shared" si="39"/>
        <v>0.2903225806</v>
      </c>
      <c r="AM24" s="1731">
        <f t="shared" si="40"/>
        <v>0</v>
      </c>
      <c r="AN24" s="1746">
        <v>100.0</v>
      </c>
      <c r="AO24" s="1719">
        <v>30.0</v>
      </c>
      <c r="AP24" s="1720">
        <f>SUMIF('Заполняемость'!$C$8:$C1030,B24,'Заполняемость'!$Z$8:$Z1030)</f>
        <v>0</v>
      </c>
      <c r="AQ24" s="1721">
        <v>23.0</v>
      </c>
      <c r="AR24" s="1716">
        <f t="shared" si="41"/>
        <v>0.7666666667</v>
      </c>
      <c r="AS24" s="1722">
        <v>50.0</v>
      </c>
      <c r="AT24" s="1723">
        <v>100.0</v>
      </c>
      <c r="AU24" s="1724"/>
      <c r="AV24" s="1724"/>
      <c r="AW24" s="1724"/>
      <c r="AX24" s="1724"/>
      <c r="AY24" s="1724"/>
      <c r="AZ24" s="1724"/>
      <c r="BA24" s="1724"/>
      <c r="BB24" s="1724"/>
      <c r="BC24" s="1724"/>
      <c r="BD24" s="1724"/>
      <c r="BE24" s="1724"/>
      <c r="BF24" s="1724"/>
    </row>
    <row r="25" ht="15.75" customHeight="1">
      <c r="A25" s="1693" t="s">
        <v>58</v>
      </c>
      <c r="B25" s="1742" t="str">
        <f>'1. Справочник'!C18</f>
        <v>Steps1123</v>
      </c>
      <c r="C25" s="1747" t="s">
        <v>1544</v>
      </c>
      <c r="D25" s="1748">
        <v>50.0</v>
      </c>
      <c r="E25" s="1749"/>
      <c r="F25" s="1750"/>
      <c r="G25" s="1751"/>
      <c r="H25" s="1752"/>
      <c r="I25" s="1753"/>
      <c r="J25" s="1754">
        <v>31.0</v>
      </c>
      <c r="K25" s="1755">
        <f>SUMIF('Заполняемость'!$C$8:$C1030,B25,'Заполняемость'!$I$8:$I1030)</f>
        <v>8</v>
      </c>
      <c r="L25" s="1756">
        <f>K25/J25</f>
        <v>0.2580645161</v>
      </c>
      <c r="M25" s="1757">
        <f>IF(L25&lt;=0.5,0,IF(AND(L25&gt;0.5,L25&lt;=0.7),0,IF(AND(L25&gt;0.7,L25&lt;=0.8),50,IF(AND(L25&gt;0.8,L25&lt;=0.9),80,IF(AND(L25&gt;0.9,L25&lt;=2),100,"")))))</f>
        <v>0</v>
      </c>
      <c r="N25" s="1758">
        <f>M25+D25</f>
        <v>50</v>
      </c>
      <c r="O25" s="1754">
        <v>30.0</v>
      </c>
      <c r="P25" s="1759">
        <f>SUMIF('Заполняемость'!$C$8:$C1030,B25,'Заполняемость'!$L$8:$L1030)</f>
        <v>30</v>
      </c>
      <c r="Q25" s="1760">
        <v>0.76</v>
      </c>
      <c r="R25" s="1761">
        <f>IF(Q25&lt;=0.5,0,IF(AND(Q25&gt;0.5,Q25&lt;=0.7),0,IF(AND(Q25&gt;0.7,Q25&lt;=0.8),50,IF(AND(Q25&gt;0.8,Q25&lt;=0.9),80,IF(AND(Q25&gt;0.9,Q25&lt;=2),100,"")))))</f>
        <v>50</v>
      </c>
      <c r="S25" s="1762">
        <f>D25+R25</f>
        <v>100</v>
      </c>
      <c r="T25" s="1754">
        <v>30.0</v>
      </c>
      <c r="U25" s="1759">
        <f>31*V25</f>
        <v>18.91</v>
      </c>
      <c r="V25" s="1760">
        <v>0.61</v>
      </c>
      <c r="W25" s="1763">
        <f>IF(V25&lt;=0.5,0,IF(AND(V25&gt;0.5,V25&lt;=0.7),0,IF(AND(V25&gt;0.7,V25&lt;=0.8),50,IF(AND(V25&gt;0.8,V25&lt;=0.9),80,IF(AND(V25&gt;0.9,V25&lt;=2),100,"")))))</f>
        <v>0</v>
      </c>
      <c r="X25" s="1758">
        <f>D25+W25</f>
        <v>50</v>
      </c>
      <c r="Y25" s="1754">
        <v>31.0</v>
      </c>
      <c r="Z25" s="1759">
        <v>30.0</v>
      </c>
      <c r="AA25" s="1760">
        <f>Z25/Y25</f>
        <v>0.9677419355</v>
      </c>
      <c r="AB25" s="1763">
        <f>IF(AA25&lt;=0.5,0,IF(AND(AA25&gt;0.5,AA25&lt;=0.7),0,IF(AND(AA25&gt;0.7,AA25&lt;=0.8),50,IF(AND(AA25&gt;0.8,AA25&lt;=0.9),80,IF(AND(AA25&gt;0.9,AA25&lt;=2),100,"")))))</f>
        <v>100</v>
      </c>
      <c r="AC25" s="1758">
        <f>AB25+D25</f>
        <v>150</v>
      </c>
      <c r="AD25" s="1754">
        <v>30.0</v>
      </c>
      <c r="AE25" s="1755">
        <v>17.0</v>
      </c>
      <c r="AF25" s="1756">
        <f>AE25/AD25</f>
        <v>0.5666666667</v>
      </c>
      <c r="AG25" s="1764">
        <f>IF(AF25&lt;=0.5,0,IF(AND(AF25&gt;0.5,AF25&lt;=0.7),0,IF(AND(AF25&gt;0.7,AF25&lt;=0.8),50,IF(AND(AF25&gt;0.8,AF25&lt;=0.9),80,IF(AND(AF25&gt;0.9,AF25&lt;=2),100,"")))))</f>
        <v>0</v>
      </c>
      <c r="AH25" s="1765">
        <f>D25+AG25</f>
        <v>50</v>
      </c>
      <c r="AI25" s="1714">
        <v>31.0</v>
      </c>
      <c r="AJ25" s="1766"/>
      <c r="AK25" s="1755">
        <v>27.0</v>
      </c>
      <c r="AL25" s="1744">
        <f t="shared" si="39"/>
        <v>0.8709677419</v>
      </c>
      <c r="AM25" s="1717">
        <v>50.0</v>
      </c>
      <c r="AN25" s="1718">
        <f>D25+AM25</f>
        <v>100</v>
      </c>
      <c r="AO25" s="1719">
        <v>30.0</v>
      </c>
      <c r="AP25" s="1767">
        <f>SUMIF('Заполняемость'!$C$8:$C1030,B25,'Заполняемость'!$Z$8:$Z1030)</f>
        <v>0</v>
      </c>
      <c r="AQ25" s="1768">
        <v>30.0</v>
      </c>
      <c r="AR25" s="1769">
        <f t="shared" si="41"/>
        <v>1</v>
      </c>
      <c r="AS25" s="1731"/>
      <c r="AT25" s="1718"/>
      <c r="AU25" s="1724"/>
      <c r="AV25" s="1724"/>
      <c r="AW25" s="1724"/>
      <c r="AX25" s="1724"/>
      <c r="AY25" s="1724"/>
      <c r="AZ25" s="1724"/>
      <c r="BA25" s="1724"/>
      <c r="BB25" s="1724"/>
      <c r="BC25" s="1724"/>
      <c r="BD25" s="1724"/>
      <c r="BE25" s="1724"/>
      <c r="BF25" s="1724"/>
    </row>
    <row r="26" ht="15.75" customHeight="1">
      <c r="A26" s="1693" t="s">
        <v>58</v>
      </c>
      <c r="B26" s="1770" t="str">
        <f>'1. Справочник'!C19</f>
        <v>WH 176</v>
      </c>
      <c r="C26" s="1695" t="s">
        <v>321</v>
      </c>
      <c r="D26" s="1725">
        <v>50.0</v>
      </c>
      <c r="E26" s="1697">
        <v>50.0</v>
      </c>
      <c r="F26" s="1726">
        <v>0.0</v>
      </c>
      <c r="G26" s="1727">
        <v>50.0</v>
      </c>
      <c r="H26" s="1728">
        <v>80.0</v>
      </c>
      <c r="I26" s="1729">
        <v>100.0</v>
      </c>
      <c r="J26" s="1771"/>
      <c r="K26" s="1772"/>
      <c r="L26" s="1773"/>
      <c r="M26" s="1774"/>
      <c r="N26" s="1775"/>
      <c r="O26" s="1771"/>
      <c r="P26" s="1776"/>
      <c r="Q26" s="1777"/>
      <c r="R26" s="1778"/>
      <c r="S26" s="1779"/>
      <c r="T26" s="1771"/>
      <c r="U26" s="1776"/>
      <c r="V26" s="1780"/>
      <c r="W26" s="1778"/>
      <c r="X26" s="1775"/>
      <c r="Y26" s="1771"/>
      <c r="Z26" s="1776"/>
      <c r="AA26" s="1780"/>
      <c r="AB26" s="1778"/>
      <c r="AC26" s="1775"/>
      <c r="AD26" s="1771"/>
      <c r="AE26" s="1772"/>
      <c r="AF26" s="1781"/>
      <c r="AG26" s="1774"/>
      <c r="AH26" s="1782"/>
      <c r="AI26" s="1714"/>
      <c r="AJ26" s="1783"/>
      <c r="AK26" s="1772"/>
      <c r="AL26" s="1744"/>
      <c r="AM26" s="1731"/>
      <c r="AN26" s="1718"/>
      <c r="AO26" s="1719"/>
      <c r="AP26" s="1720">
        <f>SUMIF('Заполняемость'!$C$8:$C1030,B26,'Заполняемость'!$Z$8:$Z1030)</f>
        <v>0</v>
      </c>
      <c r="AQ26" s="1721"/>
      <c r="AR26" s="1716"/>
      <c r="AS26" s="1731"/>
      <c r="AT26" s="1741">
        <v>100.0</v>
      </c>
      <c r="AU26" s="1724"/>
      <c r="AV26" s="1724"/>
      <c r="AW26" s="1724"/>
      <c r="AX26" s="1724"/>
      <c r="AY26" s="1724"/>
      <c r="AZ26" s="1724"/>
      <c r="BA26" s="1724"/>
      <c r="BB26" s="1724"/>
      <c r="BC26" s="1724"/>
      <c r="BD26" s="1724"/>
      <c r="BE26" s="1724"/>
      <c r="BF26" s="1724"/>
    </row>
    <row r="27" ht="15.75" customHeight="1">
      <c r="A27" s="1693" t="s">
        <v>58</v>
      </c>
      <c r="B27" s="1770" t="str">
        <f>'1. Справочник'!C20</f>
        <v>OBT 2906</v>
      </c>
      <c r="C27" s="1747"/>
      <c r="D27" s="1784"/>
      <c r="E27" s="1749"/>
      <c r="F27" s="1785"/>
      <c r="G27" s="1786"/>
      <c r="H27" s="1787"/>
      <c r="I27" s="1788"/>
      <c r="J27" s="1771"/>
      <c r="K27" s="1772"/>
      <c r="L27" s="1773"/>
      <c r="M27" s="1774"/>
      <c r="N27" s="1775"/>
      <c r="O27" s="1771"/>
      <c r="P27" s="1776"/>
      <c r="Q27" s="1777"/>
      <c r="R27" s="1778"/>
      <c r="S27" s="1779"/>
      <c r="T27" s="1771"/>
      <c r="U27" s="1776"/>
      <c r="V27" s="1780"/>
      <c r="W27" s="1778"/>
      <c r="X27" s="1775"/>
      <c r="Y27" s="1771"/>
      <c r="Z27" s="1776"/>
      <c r="AA27" s="1780"/>
      <c r="AB27" s="1778"/>
      <c r="AC27" s="1775"/>
      <c r="AD27" s="1771"/>
      <c r="AE27" s="1772"/>
      <c r="AF27" s="1781"/>
      <c r="AG27" s="1774"/>
      <c r="AH27" s="1782"/>
      <c r="AI27" s="1714"/>
      <c r="AJ27" s="1783"/>
      <c r="AK27" s="1772"/>
      <c r="AL27" s="1744"/>
      <c r="AM27" s="1731"/>
      <c r="AN27" s="1718"/>
      <c r="AO27" s="1719"/>
      <c r="AP27" s="1720">
        <f>SUMIF('Заполняемость'!$C$8:$C1030,B27,'Заполняемость'!$Z$8:$Z1030)</f>
        <v>0</v>
      </c>
      <c r="AQ27" s="1721"/>
      <c r="AR27" s="1716"/>
      <c r="AS27" s="1731"/>
      <c r="AT27" s="1789"/>
      <c r="AU27" s="1724"/>
      <c r="AV27" s="1724"/>
      <c r="AW27" s="1724"/>
      <c r="AX27" s="1724"/>
      <c r="AY27" s="1724"/>
      <c r="AZ27" s="1724"/>
      <c r="BA27" s="1724"/>
      <c r="BB27" s="1724"/>
      <c r="BC27" s="1724"/>
      <c r="BD27" s="1724"/>
      <c r="BE27" s="1724"/>
      <c r="BF27" s="1724"/>
    </row>
    <row r="28" ht="15.75" customHeight="1">
      <c r="A28" s="1693" t="s">
        <v>58</v>
      </c>
      <c r="B28" s="1770" t="str">
        <f>'1. Справочник'!C21</f>
        <v>OBT 2908</v>
      </c>
      <c r="C28" s="1747"/>
      <c r="D28" s="1784"/>
      <c r="E28" s="1749"/>
      <c r="F28" s="1785"/>
      <c r="G28" s="1786"/>
      <c r="H28" s="1787"/>
      <c r="I28" s="1788"/>
      <c r="J28" s="1771"/>
      <c r="K28" s="1772"/>
      <c r="L28" s="1773"/>
      <c r="M28" s="1774"/>
      <c r="N28" s="1775"/>
      <c r="O28" s="1771"/>
      <c r="P28" s="1776"/>
      <c r="Q28" s="1777"/>
      <c r="R28" s="1778"/>
      <c r="S28" s="1779"/>
      <c r="T28" s="1771"/>
      <c r="U28" s="1776"/>
      <c r="V28" s="1780"/>
      <c r="W28" s="1778"/>
      <c r="X28" s="1775"/>
      <c r="Y28" s="1771"/>
      <c r="Z28" s="1776"/>
      <c r="AA28" s="1780"/>
      <c r="AB28" s="1778"/>
      <c r="AC28" s="1775"/>
      <c r="AD28" s="1771"/>
      <c r="AE28" s="1772"/>
      <c r="AF28" s="1781"/>
      <c r="AG28" s="1774"/>
      <c r="AH28" s="1782"/>
      <c r="AI28" s="1714"/>
      <c r="AJ28" s="1783"/>
      <c r="AK28" s="1772"/>
      <c r="AL28" s="1744"/>
      <c r="AM28" s="1731"/>
      <c r="AN28" s="1718"/>
      <c r="AO28" s="1719"/>
      <c r="AP28" s="1720">
        <f>SUMIF('Заполняемость'!$C$8:$C1030,B28,'Заполняемость'!$Z$8:$Z1030)</f>
        <v>0</v>
      </c>
      <c r="AQ28" s="1721"/>
      <c r="AR28" s="1716"/>
      <c r="AS28" s="1731"/>
      <c r="AT28" s="1789"/>
      <c r="AU28" s="1724"/>
      <c r="AV28" s="1724"/>
      <c r="AW28" s="1724"/>
      <c r="AX28" s="1724"/>
      <c r="AY28" s="1724"/>
      <c r="AZ28" s="1724"/>
      <c r="BA28" s="1724"/>
      <c r="BB28" s="1724"/>
      <c r="BC28" s="1724"/>
      <c r="BD28" s="1724"/>
      <c r="BE28" s="1724"/>
      <c r="BF28" s="1724"/>
    </row>
    <row r="29" ht="15.75" customHeight="1">
      <c r="A29" s="1790" t="s">
        <v>58</v>
      </c>
      <c r="B29" s="1791" t="str">
        <f>'1. Справочник'!C22</f>
        <v>OBT 2910</v>
      </c>
      <c r="C29" s="1792"/>
      <c r="D29" s="1793"/>
      <c r="E29" s="1794"/>
      <c r="F29" s="1795"/>
      <c r="G29" s="1796"/>
      <c r="H29" s="1797"/>
      <c r="I29" s="1798"/>
      <c r="J29" s="1799"/>
      <c r="K29" s="1800"/>
      <c r="L29" s="1801"/>
      <c r="M29" s="1802"/>
      <c r="N29" s="1803"/>
      <c r="O29" s="1799"/>
      <c r="P29" s="1804"/>
      <c r="Q29" s="1805"/>
      <c r="R29" s="1806"/>
      <c r="S29" s="1807"/>
      <c r="T29" s="1799"/>
      <c r="U29" s="1804"/>
      <c r="V29" s="1808"/>
      <c r="W29" s="1806"/>
      <c r="X29" s="1803"/>
      <c r="Y29" s="1799"/>
      <c r="Z29" s="1804"/>
      <c r="AA29" s="1808"/>
      <c r="AB29" s="1806"/>
      <c r="AC29" s="1803"/>
      <c r="AD29" s="1799"/>
      <c r="AE29" s="1800"/>
      <c r="AF29" s="1809"/>
      <c r="AG29" s="1802"/>
      <c r="AH29" s="1810"/>
      <c r="AI29" s="1811"/>
      <c r="AJ29" s="1812"/>
      <c r="AK29" s="1800"/>
      <c r="AL29" s="1813"/>
      <c r="AM29" s="1814"/>
      <c r="AN29" s="1815"/>
      <c r="AO29" s="1816"/>
      <c r="AP29" s="1817">
        <f>SUMIF('Заполняемость'!$C$8:$C1030,B29,'Заполняемость'!$Z$8:$Z1030)</f>
        <v>0</v>
      </c>
      <c r="AQ29" s="1818"/>
      <c r="AR29" s="1819"/>
      <c r="AS29" s="1814"/>
      <c r="AT29" s="1820"/>
      <c r="AU29" s="1724"/>
      <c r="AV29" s="1724"/>
      <c r="AW29" s="1724"/>
      <c r="AX29" s="1724"/>
      <c r="AY29" s="1724"/>
      <c r="AZ29" s="1724"/>
      <c r="BA29" s="1724"/>
      <c r="BB29" s="1724"/>
      <c r="BC29" s="1724"/>
      <c r="BD29" s="1724"/>
      <c r="BE29" s="1724"/>
      <c r="BF29" s="1724"/>
    </row>
    <row r="30" ht="15.75" customHeight="1">
      <c r="A30" s="1821" t="s">
        <v>177</v>
      </c>
      <c r="B30" s="1822" t="str">
        <f>'1. Справочник'!C68</f>
        <v>Пиросмани 162</v>
      </c>
      <c r="C30" s="1823" t="s">
        <v>1544</v>
      </c>
      <c r="D30" s="1784">
        <v>0.0</v>
      </c>
      <c r="E30" s="1824"/>
      <c r="F30" s="1785"/>
      <c r="G30" s="1786"/>
      <c r="H30" s="1787"/>
      <c r="I30" s="1788"/>
      <c r="J30" s="1771"/>
      <c r="K30" s="1772"/>
      <c r="L30" s="1773"/>
      <c r="M30" s="1774"/>
      <c r="N30" s="1775"/>
      <c r="O30" s="1771"/>
      <c r="P30" s="1776"/>
      <c r="Q30" s="1777"/>
      <c r="R30" s="1778"/>
      <c r="S30" s="1779"/>
      <c r="T30" s="1771"/>
      <c r="U30" s="1776"/>
      <c r="V30" s="1780"/>
      <c r="W30" s="1778"/>
      <c r="X30" s="1775"/>
      <c r="Y30" s="1771"/>
      <c r="Z30" s="1776"/>
      <c r="AA30" s="1780"/>
      <c r="AB30" s="1778"/>
      <c r="AC30" s="1775">
        <f t="shared" ref="AC30:AC44" si="42">AB30+D30</f>
        <v>0</v>
      </c>
      <c r="AD30" s="1771"/>
      <c r="AE30" s="1772"/>
      <c r="AF30" s="1781"/>
      <c r="AG30" s="1774"/>
      <c r="AH30" s="1782"/>
      <c r="AI30" s="1825">
        <v>31.0</v>
      </c>
      <c r="AJ30" s="1783"/>
      <c r="AK30" s="1772"/>
      <c r="AL30" s="1826">
        <f t="shared" ref="AL30:AL48" si="43">AK30/AI30</f>
        <v>0</v>
      </c>
      <c r="AM30" s="1827">
        <f>IF(AL30&lt;=0.5,0,IF(AND(AL30&gt;0.5,AL30&lt;=0.7),0,IF(AND(AL30&gt;0.7,AL30&lt;=0.8),50,IF(AND(AL30&gt;0.8,AL30&lt;=0.9),80,IF(AND(AL30&gt;0.9,AL30&lt;=2),100,"")))))</f>
        <v>0</v>
      </c>
      <c r="AN30" s="1828">
        <f t="shared" ref="AN30:AN33" si="44">D30+AM30</f>
        <v>0</v>
      </c>
      <c r="AO30" s="1829">
        <v>30.0</v>
      </c>
      <c r="AP30" s="1830">
        <f>SUMIF('Заполняемость'!$C$8:$C1030,B30,'Заполняемость'!$Z$8:$Z1030)</f>
        <v>0</v>
      </c>
      <c r="AQ30" s="1831"/>
      <c r="AR30" s="1832">
        <f t="shared" ref="AR30:AR52" si="45">AQ30/AO30</f>
        <v>0</v>
      </c>
      <c r="AS30" s="1827">
        <f t="shared" ref="AS30:AS36" si="46">IF(AR30&lt;=0.5,0,IF(AND(AR30&gt;0.5,AR30&lt;=0.7),0,IF(AND(AR30&gt;0.7,AR30&lt;=0.8),50,IF(AND(AR30&gt;0.8,AR30&lt;=0.9),80,IF(AND(AR30&gt;0.9,AR30&lt;=2),100,"")))))</f>
        <v>0</v>
      </c>
      <c r="AT30" s="1828"/>
      <c r="AU30" s="1724"/>
      <c r="AV30" s="1724"/>
      <c r="AW30" s="1724"/>
      <c r="AX30" s="1724"/>
      <c r="AY30" s="1724"/>
      <c r="AZ30" s="1724"/>
      <c r="BA30" s="1724"/>
      <c r="BB30" s="1724"/>
      <c r="BC30" s="1724"/>
      <c r="BD30" s="1724"/>
      <c r="BE30" s="1724"/>
      <c r="BF30" s="1724"/>
    </row>
    <row r="31" ht="15.75" customHeight="1">
      <c r="A31" s="1693" t="s">
        <v>177</v>
      </c>
      <c r="B31" s="1833" t="str">
        <f>'1. Справочник'!C69</f>
        <v>Пиросмани 181</v>
      </c>
      <c r="C31" s="1250" t="s">
        <v>563</v>
      </c>
      <c r="D31" s="1834">
        <v>50.0</v>
      </c>
      <c r="E31" s="1749">
        <v>50.0</v>
      </c>
      <c r="F31" s="1835">
        <v>0.0</v>
      </c>
      <c r="G31" s="1836">
        <v>50.0</v>
      </c>
      <c r="H31" s="1837">
        <v>80.0</v>
      </c>
      <c r="I31" s="1838">
        <v>100.0</v>
      </c>
      <c r="J31" s="1839">
        <v>31.0</v>
      </c>
      <c r="K31" s="1840">
        <f>SUMIF('Заполняемость'!$C$8:$C1030,B31,'Заполняемость'!$I$8:$I1030)</f>
        <v>0</v>
      </c>
      <c r="L31" s="1841">
        <f t="shared" ref="L31:L44" si="47">K31/J31</f>
        <v>0</v>
      </c>
      <c r="M31" s="1842"/>
      <c r="N31" s="1843">
        <f t="shared" ref="N31:N44" si="48">M31+D31</f>
        <v>50</v>
      </c>
      <c r="O31" s="1839">
        <v>30.0</v>
      </c>
      <c r="P31" s="1844">
        <f>SUMIF('Заполняемость'!$C$8:$C1030,B31,'Заполняемость'!$L$8:$L1030)</f>
        <v>0</v>
      </c>
      <c r="Q31" s="1845">
        <v>0.96</v>
      </c>
      <c r="R31" s="1846">
        <f>IF(Q31&lt;=0.5,0,IF(AND(Q31&gt;0.5,Q31&lt;=0.7),0,IF(AND(Q31&gt;0.7,Q31&lt;=0.8),50,IF(AND(Q31&gt;0.8,Q31&lt;=0.9),80,IF(AND(Q31&gt;0.9,Q31&lt;=2),100,"")))))</f>
        <v>100</v>
      </c>
      <c r="S31" s="1847">
        <f t="shared" ref="S31:S44" si="49">D31+R31</f>
        <v>150</v>
      </c>
      <c r="T31" s="1839">
        <v>30.0</v>
      </c>
      <c r="U31" s="1844">
        <f t="shared" ref="U31:U44" si="50">31*V31</f>
        <v>20.15</v>
      </c>
      <c r="V31" s="1845">
        <v>0.65</v>
      </c>
      <c r="W31" s="1848">
        <f>IF(V31&lt;=0.5,0,IF(AND(V31&gt;0.5,V31&lt;=0.7),0,IF(AND(V31&gt;0.7,V31&lt;=0.8),50,IF(AND(V31&gt;0.8,V31&lt;=0.9),80,IF(AND(V31&gt;0.9,V31&lt;=2),100,"")))))</f>
        <v>0</v>
      </c>
      <c r="X31" s="1843">
        <f t="shared" ref="X31:X44" si="51">D31+W31</f>
        <v>50</v>
      </c>
      <c r="Y31" s="1839">
        <v>31.0</v>
      </c>
      <c r="Z31" s="1844">
        <v>31.0</v>
      </c>
      <c r="AA31" s="1845">
        <f t="shared" ref="AA31:AA44" si="52">Z31/Y31</f>
        <v>1</v>
      </c>
      <c r="AB31" s="1848">
        <f>IF(AA31&lt;=0.5,0,IF(AND(AA31&gt;0.5,AA31&lt;=0.7),0,IF(AND(AA31&gt;0.7,AA31&lt;=0.8),50,IF(AND(AA31&gt;0.8,AA31&lt;=0.9),80,IF(AND(AA31&gt;0.9,AA31&lt;=2),100,"")))))</f>
        <v>100</v>
      </c>
      <c r="AC31" s="1843">
        <f t="shared" si="42"/>
        <v>150</v>
      </c>
      <c r="AD31" s="1839">
        <v>30.0</v>
      </c>
      <c r="AE31" s="1840">
        <v>4.0</v>
      </c>
      <c r="AF31" s="1849">
        <f>AE31/AD31</f>
        <v>0.1333333333</v>
      </c>
      <c r="AG31" s="1850">
        <f>IF(AF31&lt;=0.5,0,IF(AND(AF31&gt;0.5,AF31&lt;=0.7),0,IF(AND(AF31&gt;0.7,AF31&lt;=0.8),50,IF(AND(AF31&gt;0.8,AF31&lt;=0.9),80,IF(AND(AF31&gt;0.9,AF31&lt;=2),100,"")))))</f>
        <v>0</v>
      </c>
      <c r="AH31" s="1851"/>
      <c r="AI31" s="1714">
        <v>31.0</v>
      </c>
      <c r="AJ31" s="1783"/>
      <c r="AK31" s="1840">
        <v>31.0</v>
      </c>
      <c r="AL31" s="1744">
        <f t="shared" si="43"/>
        <v>1</v>
      </c>
      <c r="AM31" s="1717">
        <v>50.0</v>
      </c>
      <c r="AN31" s="1718">
        <f t="shared" si="44"/>
        <v>100</v>
      </c>
      <c r="AO31" s="1719">
        <v>30.0</v>
      </c>
      <c r="AP31" s="1720">
        <f>SUMIF('Заполняемость'!$C$8:$C1030,B31,'Заполняемость'!$Z$8:$Z1030)</f>
        <v>0</v>
      </c>
      <c r="AQ31" s="1721"/>
      <c r="AR31" s="1716">
        <f t="shared" si="45"/>
        <v>0</v>
      </c>
      <c r="AS31" s="1731">
        <f t="shared" si="46"/>
        <v>0</v>
      </c>
      <c r="AT31" s="1718"/>
      <c r="AU31" s="1724"/>
      <c r="AV31" s="1724"/>
      <c r="AW31" s="1724"/>
      <c r="AX31" s="1724"/>
      <c r="AY31" s="1724"/>
      <c r="AZ31" s="1724"/>
      <c r="BA31" s="1724"/>
      <c r="BB31" s="1724"/>
      <c r="BC31" s="1724"/>
      <c r="BD31" s="1724"/>
      <c r="BE31" s="1724"/>
      <c r="BF31" s="1724"/>
    </row>
    <row r="32" ht="15.75" customHeight="1">
      <c r="A32" s="1693" t="s">
        <v>177</v>
      </c>
      <c r="B32" s="1833" t="str">
        <f>'1. Справочник'!C70</f>
        <v>Pollo 2-2</v>
      </c>
      <c r="C32" s="1250" t="s">
        <v>563</v>
      </c>
      <c r="D32" s="1834">
        <v>50.0</v>
      </c>
      <c r="E32" s="1749">
        <v>50.0</v>
      </c>
      <c r="F32" s="1835">
        <v>0.0</v>
      </c>
      <c r="G32" s="1836">
        <v>50.0</v>
      </c>
      <c r="H32" s="1837">
        <v>80.0</v>
      </c>
      <c r="I32" s="1838">
        <v>100.0</v>
      </c>
      <c r="J32" s="1839">
        <v>31.0</v>
      </c>
      <c r="K32" s="1840">
        <f>SUMIF('Заполняемость'!$C$8:$C1030,B32,'Заполняемость'!$I$8:$I1030)</f>
        <v>0</v>
      </c>
      <c r="L32" s="1841">
        <f t="shared" si="47"/>
        <v>0</v>
      </c>
      <c r="M32" s="1842"/>
      <c r="N32" s="1843">
        <f t="shared" si="48"/>
        <v>50</v>
      </c>
      <c r="O32" s="1839">
        <v>30.0</v>
      </c>
      <c r="P32" s="1844">
        <f>SUMIF('Заполняемость'!$C$8:$C1030,B32,'Заполняемость'!$L$8:$L1030)</f>
        <v>0</v>
      </c>
      <c r="Q32" s="1845">
        <f t="shared" ref="Q32:Q34" si="53">P32/O32</f>
        <v>0</v>
      </c>
      <c r="R32" s="1852">
        <v>100.0</v>
      </c>
      <c r="S32" s="1847">
        <f t="shared" si="49"/>
        <v>150</v>
      </c>
      <c r="T32" s="1839">
        <v>30.0</v>
      </c>
      <c r="U32" s="1844">
        <f t="shared" si="50"/>
        <v>0</v>
      </c>
      <c r="V32" s="1845"/>
      <c r="W32" s="1852">
        <v>50.0</v>
      </c>
      <c r="X32" s="1843">
        <f t="shared" si="51"/>
        <v>100</v>
      </c>
      <c r="Y32" s="1839">
        <v>31.0</v>
      </c>
      <c r="Z32" s="1844">
        <v>31.0</v>
      </c>
      <c r="AA32" s="1845">
        <f t="shared" si="52"/>
        <v>1</v>
      </c>
      <c r="AB32" s="1852">
        <v>50.0</v>
      </c>
      <c r="AC32" s="1843">
        <f t="shared" si="42"/>
        <v>100</v>
      </c>
      <c r="AD32" s="1839">
        <v>30.0</v>
      </c>
      <c r="AE32" s="1840">
        <v>30.0</v>
      </c>
      <c r="AF32" s="1841">
        <v>1.0</v>
      </c>
      <c r="AG32" s="1842">
        <v>100.0</v>
      </c>
      <c r="AH32" s="1851">
        <f t="shared" ref="AH32:AH33" si="54">D32+AG32</f>
        <v>150</v>
      </c>
      <c r="AI32" s="1714">
        <v>31.0</v>
      </c>
      <c r="AJ32" s="1783"/>
      <c r="AK32" s="1840">
        <v>31.0</v>
      </c>
      <c r="AL32" s="1744">
        <f t="shared" si="43"/>
        <v>1</v>
      </c>
      <c r="AM32" s="1717">
        <v>50.0</v>
      </c>
      <c r="AN32" s="1746">
        <f t="shared" si="44"/>
        <v>100</v>
      </c>
      <c r="AO32" s="1719">
        <v>30.0</v>
      </c>
      <c r="AP32" s="1720">
        <f>SUMIF('Заполняемость'!$C$8:$C1030,B32,'Заполняемость'!$Z$8:$Z1030)</f>
        <v>0</v>
      </c>
      <c r="AQ32" s="1721"/>
      <c r="AR32" s="1716">
        <f t="shared" si="45"/>
        <v>0</v>
      </c>
      <c r="AS32" s="1731">
        <f t="shared" si="46"/>
        <v>0</v>
      </c>
      <c r="AT32" s="1718">
        <v>100.0</v>
      </c>
      <c r="AU32" s="1724"/>
      <c r="AV32" s="1724"/>
      <c r="AW32" s="1724"/>
      <c r="AX32" s="1724"/>
      <c r="AY32" s="1724"/>
      <c r="AZ32" s="1724"/>
      <c r="BA32" s="1724"/>
      <c r="BB32" s="1724"/>
      <c r="BC32" s="1724"/>
      <c r="BD32" s="1724"/>
      <c r="BE32" s="1724"/>
      <c r="BF32" s="1724"/>
    </row>
    <row r="33" ht="15.75" customHeight="1">
      <c r="A33" s="1693" t="s">
        <v>177</v>
      </c>
      <c r="B33" s="1833" t="str">
        <f>'1. Справочник'!C71</f>
        <v>Pollo 3-5</v>
      </c>
      <c r="C33" s="1250" t="s">
        <v>563</v>
      </c>
      <c r="D33" s="1834">
        <v>50.0</v>
      </c>
      <c r="E33" s="1749">
        <v>50.0</v>
      </c>
      <c r="F33" s="1835">
        <v>0.0</v>
      </c>
      <c r="G33" s="1836">
        <v>50.0</v>
      </c>
      <c r="H33" s="1837">
        <v>80.0</v>
      </c>
      <c r="I33" s="1838">
        <v>100.0</v>
      </c>
      <c r="J33" s="1839">
        <v>31.0</v>
      </c>
      <c r="K33" s="1840">
        <f>SUMIF('Заполняемость'!$C$8:$C1030,B33,'Заполняемость'!$I$8:$I1030)</f>
        <v>0</v>
      </c>
      <c r="L33" s="1841">
        <f t="shared" si="47"/>
        <v>0</v>
      </c>
      <c r="M33" s="1842"/>
      <c r="N33" s="1843">
        <f t="shared" si="48"/>
        <v>50</v>
      </c>
      <c r="O33" s="1839">
        <v>30.0</v>
      </c>
      <c r="P33" s="1844">
        <f>SUMIF('Заполняемость'!$C$8:$C1030,B33,'Заполняемость'!$L$8:$L1030)</f>
        <v>0</v>
      </c>
      <c r="Q33" s="1845">
        <f t="shared" si="53"/>
        <v>0</v>
      </c>
      <c r="R33" s="1852">
        <v>100.0</v>
      </c>
      <c r="S33" s="1847">
        <f t="shared" si="49"/>
        <v>150</v>
      </c>
      <c r="T33" s="1839">
        <v>30.0</v>
      </c>
      <c r="U33" s="1844">
        <f t="shared" si="50"/>
        <v>0</v>
      </c>
      <c r="V33" s="1845"/>
      <c r="W33" s="1852">
        <v>50.0</v>
      </c>
      <c r="X33" s="1843">
        <f t="shared" si="51"/>
        <v>100</v>
      </c>
      <c r="Y33" s="1839">
        <v>31.0</v>
      </c>
      <c r="Z33" s="1844">
        <v>31.0</v>
      </c>
      <c r="AA33" s="1845">
        <f t="shared" si="52"/>
        <v>1</v>
      </c>
      <c r="AB33" s="1852">
        <v>50.0</v>
      </c>
      <c r="AC33" s="1843">
        <f t="shared" si="42"/>
        <v>100</v>
      </c>
      <c r="AD33" s="1839">
        <v>30.0</v>
      </c>
      <c r="AE33" s="1840">
        <v>30.0</v>
      </c>
      <c r="AF33" s="1841">
        <v>1.0</v>
      </c>
      <c r="AG33" s="1842">
        <v>50.0</v>
      </c>
      <c r="AH33" s="1851">
        <f t="shared" si="54"/>
        <v>100</v>
      </c>
      <c r="AI33" s="1714">
        <v>31.0</v>
      </c>
      <c r="AJ33" s="1783"/>
      <c r="AK33" s="1840">
        <v>31.0</v>
      </c>
      <c r="AL33" s="1744">
        <f t="shared" si="43"/>
        <v>1</v>
      </c>
      <c r="AM33" s="1731">
        <v>0.0</v>
      </c>
      <c r="AN33" s="1746">
        <f t="shared" si="44"/>
        <v>50</v>
      </c>
      <c r="AO33" s="1719">
        <v>30.0</v>
      </c>
      <c r="AP33" s="1720">
        <f>SUMIF('Заполняемость'!$C$8:$C1030,B33,'Заполняемость'!$Z$8:$Z1030)</f>
        <v>0</v>
      </c>
      <c r="AQ33" s="1721"/>
      <c r="AR33" s="1716">
        <f t="shared" si="45"/>
        <v>0</v>
      </c>
      <c r="AS33" s="1731">
        <f t="shared" si="46"/>
        <v>0</v>
      </c>
      <c r="AT33" s="1718"/>
      <c r="AU33" s="1724"/>
      <c r="AV33" s="1724"/>
      <c r="AW33" s="1724"/>
      <c r="AX33" s="1724"/>
      <c r="AY33" s="1724"/>
      <c r="AZ33" s="1724"/>
      <c r="BA33" s="1724"/>
      <c r="BB33" s="1724"/>
      <c r="BC33" s="1724"/>
      <c r="BD33" s="1724"/>
      <c r="BE33" s="1724"/>
      <c r="BF33" s="1724"/>
    </row>
    <row r="34" ht="15.75" customHeight="1">
      <c r="A34" s="1693" t="s">
        <v>177</v>
      </c>
      <c r="B34" s="1833" t="str">
        <f>'1. Справочник'!C72</f>
        <v>Polo 4-12</v>
      </c>
      <c r="C34" s="1250" t="s">
        <v>563</v>
      </c>
      <c r="D34" s="1834">
        <v>50.0</v>
      </c>
      <c r="E34" s="1749">
        <v>50.0</v>
      </c>
      <c r="F34" s="1835">
        <v>0.0</v>
      </c>
      <c r="G34" s="1836">
        <v>50.0</v>
      </c>
      <c r="H34" s="1837">
        <v>80.0</v>
      </c>
      <c r="I34" s="1838">
        <v>100.0</v>
      </c>
      <c r="J34" s="1839">
        <v>31.0</v>
      </c>
      <c r="K34" s="1840">
        <f>SUMIF('Заполняемость'!$C$8:$C1030,B34,'Заполняемость'!$I$8:$I1030)</f>
        <v>0</v>
      </c>
      <c r="L34" s="1841">
        <f t="shared" si="47"/>
        <v>0</v>
      </c>
      <c r="M34" s="1842"/>
      <c r="N34" s="1843">
        <f t="shared" si="48"/>
        <v>50</v>
      </c>
      <c r="O34" s="1839">
        <v>30.0</v>
      </c>
      <c r="P34" s="1844">
        <f>SUMIF('Заполняемость'!$C$8:$C1030,B34,'Заполняемость'!$L$8:$L1030)</f>
        <v>0</v>
      </c>
      <c r="Q34" s="1845">
        <f t="shared" si="53"/>
        <v>0</v>
      </c>
      <c r="R34" s="1852">
        <v>100.0</v>
      </c>
      <c r="S34" s="1847">
        <f t="shared" si="49"/>
        <v>150</v>
      </c>
      <c r="T34" s="1839">
        <v>30.0</v>
      </c>
      <c r="U34" s="1844">
        <f t="shared" si="50"/>
        <v>0</v>
      </c>
      <c r="V34" s="1845"/>
      <c r="W34" s="1852">
        <v>50.0</v>
      </c>
      <c r="X34" s="1843">
        <f t="shared" si="51"/>
        <v>100</v>
      </c>
      <c r="Y34" s="1839">
        <v>31.0</v>
      </c>
      <c r="Z34" s="1844"/>
      <c r="AA34" s="1845">
        <f t="shared" si="52"/>
        <v>0</v>
      </c>
      <c r="AB34" s="1852"/>
      <c r="AC34" s="1843">
        <f t="shared" si="42"/>
        <v>50</v>
      </c>
      <c r="AD34" s="1839">
        <v>30.0</v>
      </c>
      <c r="AE34" s="1840">
        <v>0.0</v>
      </c>
      <c r="AF34" s="1841">
        <f t="shared" ref="AF34:AF44" si="55">AE34/AD34</f>
        <v>0</v>
      </c>
      <c r="AG34" s="1842">
        <v>50.0</v>
      </c>
      <c r="AH34" s="1851"/>
      <c r="AI34" s="1714">
        <v>31.0</v>
      </c>
      <c r="AJ34" s="1783"/>
      <c r="AK34" s="1840">
        <v>24.0</v>
      </c>
      <c r="AL34" s="1744">
        <f t="shared" si="43"/>
        <v>0.7741935484</v>
      </c>
      <c r="AM34" s="1731">
        <v>0.0</v>
      </c>
      <c r="AN34" s="1746">
        <v>100.0</v>
      </c>
      <c r="AO34" s="1719">
        <v>30.0</v>
      </c>
      <c r="AP34" s="1720">
        <f>SUMIF('Заполняемость'!$C$8:$C1030,B34,'Заполняемость'!$Z$8:$Z1030)</f>
        <v>0</v>
      </c>
      <c r="AQ34" s="1721"/>
      <c r="AR34" s="1716">
        <f t="shared" si="45"/>
        <v>0</v>
      </c>
      <c r="AS34" s="1731">
        <f t="shared" si="46"/>
        <v>0</v>
      </c>
      <c r="AT34" s="1853">
        <v>150.0</v>
      </c>
      <c r="AU34" s="1724"/>
      <c r="AV34" s="1724"/>
      <c r="AW34" s="1724"/>
      <c r="AX34" s="1724"/>
      <c r="AY34" s="1724"/>
      <c r="AZ34" s="1724"/>
      <c r="BA34" s="1724"/>
      <c r="BB34" s="1724"/>
      <c r="BC34" s="1724"/>
      <c r="BD34" s="1724"/>
      <c r="BE34" s="1724"/>
      <c r="BF34" s="1724"/>
    </row>
    <row r="35" ht="15.75" customHeight="1">
      <c r="A35" s="1693" t="s">
        <v>177</v>
      </c>
      <c r="B35" s="1833" t="str">
        <f>'1. Справочник'!C34</f>
        <v>С 1125</v>
      </c>
      <c r="C35" s="1250" t="s">
        <v>518</v>
      </c>
      <c r="D35" s="1834">
        <v>50.0</v>
      </c>
      <c r="E35" s="1749">
        <v>50.0</v>
      </c>
      <c r="F35" s="1835">
        <v>0.0</v>
      </c>
      <c r="G35" s="1836">
        <v>50.0</v>
      </c>
      <c r="H35" s="1837">
        <v>80.0</v>
      </c>
      <c r="I35" s="1838">
        <v>100.0</v>
      </c>
      <c r="J35" s="1839">
        <v>31.0</v>
      </c>
      <c r="K35" s="1840">
        <f>SUMIF('Заполняемость'!$C$8:$C1030,B35,'Заполняемость'!$I$8:$I1030)</f>
        <v>14</v>
      </c>
      <c r="L35" s="1841">
        <f t="shared" si="47"/>
        <v>0.4516129032</v>
      </c>
      <c r="M35" s="1854">
        <f>IF(L35&lt;=0.5,0,IF(AND(L35&gt;0.5,L35&lt;=0.7),0,IF(AND(L35&gt;0.7,L35&lt;=0.8),50,IF(AND(L35&gt;0.8,L35&lt;=0.9),80,IF(AND(L35&gt;0.9,L35&lt;=2),100,"")))))</f>
        <v>0</v>
      </c>
      <c r="N35" s="1843">
        <f t="shared" si="48"/>
        <v>50</v>
      </c>
      <c r="O35" s="1839">
        <v>30.0</v>
      </c>
      <c r="P35" s="1844">
        <f>SUMIF('Заполняемость'!$C$8:$C1030,B35,'Заполняемость'!$L$8:$L1030)</f>
        <v>19</v>
      </c>
      <c r="Q35" s="1845">
        <v>0.73</v>
      </c>
      <c r="R35" s="1846">
        <f t="shared" ref="R35:R43" si="56">IF(Q35&lt;=0.5,0,IF(AND(Q35&gt;0.5,Q35&lt;=0.7),0,IF(AND(Q35&gt;0.7,Q35&lt;=0.8),50,IF(AND(Q35&gt;0.8,Q35&lt;=0.9),80,IF(AND(Q35&gt;0.9,Q35&lt;=2),100,"")))))</f>
        <v>50</v>
      </c>
      <c r="S35" s="1843">
        <f t="shared" si="49"/>
        <v>100</v>
      </c>
      <c r="T35" s="1839">
        <v>30.0</v>
      </c>
      <c r="U35" s="1844">
        <f t="shared" si="50"/>
        <v>5.89</v>
      </c>
      <c r="V35" s="1845">
        <v>0.19</v>
      </c>
      <c r="W35" s="1848">
        <f t="shared" ref="W35:W44" si="57">IF(V35&lt;=0.5,0,IF(AND(V35&gt;0.5,V35&lt;=0.7),0,IF(AND(V35&gt;0.7,V35&lt;=0.8),50,IF(AND(V35&gt;0.8,V35&lt;=0.9),80,IF(AND(V35&gt;0.9,V35&lt;=2),100,"")))))</f>
        <v>0</v>
      </c>
      <c r="X35" s="1843">
        <f t="shared" si="51"/>
        <v>50</v>
      </c>
      <c r="Y35" s="1839">
        <v>31.0</v>
      </c>
      <c r="Z35" s="1844">
        <v>29.0</v>
      </c>
      <c r="AA35" s="1845">
        <f t="shared" si="52"/>
        <v>0.935483871</v>
      </c>
      <c r="AB35" s="1848">
        <f t="shared" ref="AB35:AB44" si="58">IF(AA35&lt;=0.5,0,IF(AND(AA35&gt;0.5,AA35&lt;=0.7),0,IF(AND(AA35&gt;0.7,AA35&lt;=0.8),50,IF(AND(AA35&gt;0.8,AA35&lt;=0.9),80,IF(AND(AA35&gt;0.9,AA35&lt;=2),100,"")))))</f>
        <v>100</v>
      </c>
      <c r="AC35" s="1843">
        <f t="shared" si="42"/>
        <v>150</v>
      </c>
      <c r="AD35" s="1839">
        <v>30.0</v>
      </c>
      <c r="AE35" s="1840">
        <v>29.0</v>
      </c>
      <c r="AF35" s="1841">
        <f t="shared" si="55"/>
        <v>0.9666666667</v>
      </c>
      <c r="AG35" s="1850">
        <f t="shared" ref="AG35:AG44" si="59">IF(AF35&lt;=0.5,0,IF(AND(AF35&gt;0.5,AF35&lt;=0.7),0,IF(AND(AF35&gt;0.7,AF35&lt;=0.8),50,IF(AND(AF35&gt;0.8,AF35&lt;=0.9),80,IF(AND(AF35&gt;0.9,AF35&lt;=2),100,"")))))</f>
        <v>100</v>
      </c>
      <c r="AH35" s="1851">
        <f t="shared" ref="AH35:AH39" si="60">D35+AG35</f>
        <v>150</v>
      </c>
      <c r="AI35" s="1714">
        <v>31.0</v>
      </c>
      <c r="AJ35" s="1783"/>
      <c r="AK35" s="1840">
        <v>25.0</v>
      </c>
      <c r="AL35" s="1744">
        <f t="shared" si="43"/>
        <v>0.8064516129</v>
      </c>
      <c r="AM35" s="1731">
        <v>0.0</v>
      </c>
      <c r="AN35" s="1855" t="s">
        <v>441</v>
      </c>
      <c r="AO35" s="1719">
        <v>30.0</v>
      </c>
      <c r="AP35" s="1720">
        <f>SUMIF('Заполняемость'!$C$8:$C1030,B35,'Заполняемость'!$Z$8:$Z1030)</f>
        <v>0</v>
      </c>
      <c r="AQ35" s="1721">
        <v>20.0</v>
      </c>
      <c r="AR35" s="1716">
        <f t="shared" si="45"/>
        <v>0.6666666667</v>
      </c>
      <c r="AS35" s="1731">
        <f t="shared" si="46"/>
        <v>0</v>
      </c>
      <c r="AT35" s="1718">
        <f>D35+AS35</f>
        <v>50</v>
      </c>
      <c r="AU35" s="1724"/>
      <c r="AV35" s="1724"/>
      <c r="AW35" s="1724"/>
      <c r="AX35" s="1724"/>
      <c r="AY35" s="1724"/>
      <c r="AZ35" s="1724"/>
      <c r="BA35" s="1724"/>
      <c r="BB35" s="1724"/>
      <c r="BC35" s="1724"/>
      <c r="BD35" s="1724"/>
      <c r="BE35" s="1724"/>
      <c r="BF35" s="1724"/>
    </row>
    <row r="36" ht="15.75" customHeight="1">
      <c r="A36" s="1693" t="s">
        <v>177</v>
      </c>
      <c r="B36" s="1833" t="str">
        <f>'1. Справочник'!C35</f>
        <v>С 1443</v>
      </c>
      <c r="C36" s="1250" t="s">
        <v>518</v>
      </c>
      <c r="D36" s="1834">
        <v>50.0</v>
      </c>
      <c r="E36" s="1749">
        <v>50.0</v>
      </c>
      <c r="F36" s="1835">
        <v>0.0</v>
      </c>
      <c r="G36" s="1836">
        <v>50.0</v>
      </c>
      <c r="H36" s="1837">
        <v>80.0</v>
      </c>
      <c r="I36" s="1838">
        <v>100.0</v>
      </c>
      <c r="J36" s="1839">
        <v>31.0</v>
      </c>
      <c r="K36" s="1840">
        <f>SUMIF('Заполняемость'!$C$8:$C1030,B36,'Заполняемость'!$I$8:$I1030)</f>
        <v>30</v>
      </c>
      <c r="L36" s="1841">
        <f t="shared" si="47"/>
        <v>0.9677419355</v>
      </c>
      <c r="M36" s="1842"/>
      <c r="N36" s="1843">
        <f t="shared" si="48"/>
        <v>50</v>
      </c>
      <c r="O36" s="1839">
        <v>30.0</v>
      </c>
      <c r="P36" s="1844">
        <f>SUMIF('Заполняемость'!$C$8:$C1030,B36,'Заполняемость'!$L$8:$L1030)</f>
        <v>25</v>
      </c>
      <c r="Q36" s="1845">
        <v>0.8</v>
      </c>
      <c r="R36" s="1846">
        <f t="shared" si="56"/>
        <v>50</v>
      </c>
      <c r="S36" s="1843">
        <f t="shared" si="49"/>
        <v>100</v>
      </c>
      <c r="T36" s="1839">
        <v>30.0</v>
      </c>
      <c r="U36" s="1844">
        <f t="shared" si="50"/>
        <v>22.94</v>
      </c>
      <c r="V36" s="1845">
        <v>0.74</v>
      </c>
      <c r="W36" s="1843">
        <f t="shared" si="57"/>
        <v>50</v>
      </c>
      <c r="X36" s="1843">
        <f t="shared" si="51"/>
        <v>100</v>
      </c>
      <c r="Y36" s="1839">
        <v>31.0</v>
      </c>
      <c r="Z36" s="1844">
        <v>27.0</v>
      </c>
      <c r="AA36" s="1845">
        <f t="shared" si="52"/>
        <v>0.8709677419</v>
      </c>
      <c r="AB36" s="1843">
        <f t="shared" si="58"/>
        <v>80</v>
      </c>
      <c r="AC36" s="1843">
        <f t="shared" si="42"/>
        <v>130</v>
      </c>
      <c r="AD36" s="1839">
        <v>30.0</v>
      </c>
      <c r="AE36" s="1840">
        <v>15.0</v>
      </c>
      <c r="AF36" s="1841">
        <f t="shared" si="55"/>
        <v>0.5</v>
      </c>
      <c r="AG36" s="1856">
        <f t="shared" si="59"/>
        <v>0</v>
      </c>
      <c r="AH36" s="1851">
        <f t="shared" si="60"/>
        <v>50</v>
      </c>
      <c r="AI36" s="1714">
        <v>31.0</v>
      </c>
      <c r="AJ36" s="1783"/>
      <c r="AK36" s="1840">
        <v>30.0</v>
      </c>
      <c r="AL36" s="1744">
        <f t="shared" si="43"/>
        <v>0.9677419355</v>
      </c>
      <c r="AM36" s="1731">
        <v>0.0</v>
      </c>
      <c r="AN36" s="1855"/>
      <c r="AO36" s="1719">
        <v>30.0</v>
      </c>
      <c r="AP36" s="1720">
        <f>SUMIF('Заполняемость'!$C$8:$C1030,B36,'Заполняемость'!$Z$8:$Z1030)</f>
        <v>0</v>
      </c>
      <c r="AQ36" s="1721">
        <v>0.0</v>
      </c>
      <c r="AR36" s="1716">
        <f t="shared" si="45"/>
        <v>0</v>
      </c>
      <c r="AS36" s="1731">
        <f t="shared" si="46"/>
        <v>0</v>
      </c>
      <c r="AT36" s="1718"/>
      <c r="AU36" s="1724"/>
      <c r="AV36" s="1724"/>
      <c r="AW36" s="1724"/>
      <c r="AX36" s="1724"/>
      <c r="AY36" s="1724"/>
      <c r="AZ36" s="1724"/>
      <c r="BA36" s="1724"/>
      <c r="BB36" s="1724"/>
      <c r="BC36" s="1724"/>
      <c r="BD36" s="1724"/>
      <c r="BE36" s="1724"/>
      <c r="BF36" s="1724"/>
    </row>
    <row r="37" ht="15.75" customHeight="1">
      <c r="A37" s="1693" t="s">
        <v>177</v>
      </c>
      <c r="B37" s="1833" t="str">
        <f>'1. Справочник'!C36</f>
        <v>C 4245</v>
      </c>
      <c r="C37" s="1250" t="s">
        <v>518</v>
      </c>
      <c r="D37" s="1834">
        <v>50.0</v>
      </c>
      <c r="E37" s="1749">
        <v>50.0</v>
      </c>
      <c r="F37" s="1835">
        <v>0.0</v>
      </c>
      <c r="G37" s="1836">
        <v>50.0</v>
      </c>
      <c r="H37" s="1837">
        <v>80.0</v>
      </c>
      <c r="I37" s="1838">
        <v>100.0</v>
      </c>
      <c r="J37" s="1839">
        <v>31.0</v>
      </c>
      <c r="K37" s="1840">
        <f>SUMIF('Заполняемость'!$C$8:$C1030,B37,'Заполняемость'!$I$8:$I1030)</f>
        <v>7</v>
      </c>
      <c r="L37" s="1841">
        <f t="shared" si="47"/>
        <v>0.2258064516</v>
      </c>
      <c r="M37" s="1854">
        <f t="shared" ref="M37:M43" si="61">IF(L37&lt;=0.5,0,IF(AND(L37&gt;0.5,L37&lt;=0.7),0,IF(AND(L37&gt;0.7,L37&lt;=0.8),50,IF(AND(L37&gt;0.8,L37&lt;=0.9),80,IF(AND(L37&gt;0.9,L37&lt;=2),100,"")))))</f>
        <v>0</v>
      </c>
      <c r="N37" s="1843">
        <f t="shared" si="48"/>
        <v>50</v>
      </c>
      <c r="O37" s="1839">
        <v>30.0</v>
      </c>
      <c r="P37" s="1844">
        <f>SUMIF('Заполняемость'!$C$8:$C1030,B37,'Заполняемость'!$L$8:$L1030)</f>
        <v>27</v>
      </c>
      <c r="Q37" s="1845">
        <v>0.76</v>
      </c>
      <c r="R37" s="1846">
        <f t="shared" si="56"/>
        <v>50</v>
      </c>
      <c r="S37" s="1843">
        <f t="shared" si="49"/>
        <v>100</v>
      </c>
      <c r="T37" s="1839">
        <v>30.0</v>
      </c>
      <c r="U37" s="1844">
        <f t="shared" si="50"/>
        <v>26.97</v>
      </c>
      <c r="V37" s="1845">
        <v>0.87</v>
      </c>
      <c r="W37" s="1846">
        <f t="shared" si="57"/>
        <v>80</v>
      </c>
      <c r="X37" s="1843">
        <f t="shared" si="51"/>
        <v>130</v>
      </c>
      <c r="Y37" s="1839">
        <v>31.0</v>
      </c>
      <c r="Z37" s="1844">
        <v>30.0</v>
      </c>
      <c r="AA37" s="1845">
        <f t="shared" si="52"/>
        <v>0.9677419355</v>
      </c>
      <c r="AB37" s="1846">
        <f t="shared" si="58"/>
        <v>100</v>
      </c>
      <c r="AC37" s="1843">
        <f t="shared" si="42"/>
        <v>150</v>
      </c>
      <c r="AD37" s="1839">
        <v>30.0</v>
      </c>
      <c r="AE37" s="1840">
        <v>15.0</v>
      </c>
      <c r="AF37" s="1841">
        <f t="shared" si="55"/>
        <v>0.5</v>
      </c>
      <c r="AG37" s="1854">
        <f t="shared" si="59"/>
        <v>0</v>
      </c>
      <c r="AH37" s="1851">
        <f t="shared" si="60"/>
        <v>50</v>
      </c>
      <c r="AI37" s="1714">
        <v>31.0</v>
      </c>
      <c r="AJ37" s="1783"/>
      <c r="AK37" s="1840">
        <v>20.0</v>
      </c>
      <c r="AL37" s="1744">
        <f t="shared" si="43"/>
        <v>0.6451612903</v>
      </c>
      <c r="AM37" s="1731">
        <f>IF(AL37&lt;=0.5,0,IF(AND(AL37&gt;0.5,AL37&lt;=0.7),0,IF(AND(AL37&gt;0.7,AL37&lt;=0.8),50,IF(AND(AL37&gt;0.8,AL37&lt;=0.9),80,IF(AND(AL37&gt;0.9,AL37&lt;=2),100,"")))))</f>
        <v>0</v>
      </c>
      <c r="AN37" s="1855"/>
      <c r="AO37" s="1719">
        <v>30.0</v>
      </c>
      <c r="AP37" s="1720">
        <f>SUMIF('Заполняемость'!$C$8:$C1030,B37,'Заполняемость'!$Z$8:$Z1030)</f>
        <v>0</v>
      </c>
      <c r="AQ37" s="1721">
        <v>27.0</v>
      </c>
      <c r="AR37" s="1716">
        <f t="shared" si="45"/>
        <v>0.9</v>
      </c>
      <c r="AS37" s="1722">
        <v>50.0</v>
      </c>
      <c r="AT37" s="1723">
        <v>100.0</v>
      </c>
      <c r="AU37" s="1724"/>
      <c r="AV37" s="1724"/>
      <c r="AW37" s="1724"/>
      <c r="AX37" s="1724"/>
      <c r="AY37" s="1724"/>
      <c r="AZ37" s="1724"/>
      <c r="BA37" s="1724"/>
      <c r="BB37" s="1724"/>
      <c r="BC37" s="1724"/>
      <c r="BD37" s="1724"/>
      <c r="BE37" s="1724"/>
      <c r="BF37" s="1724"/>
    </row>
    <row r="38" ht="15.75" customHeight="1">
      <c r="A38" s="1693" t="s">
        <v>177</v>
      </c>
      <c r="B38" s="1833" t="str">
        <f>'1. Справочник'!C37</f>
        <v>А 4049</v>
      </c>
      <c r="C38" s="1250" t="s">
        <v>518</v>
      </c>
      <c r="D38" s="1834">
        <v>50.0</v>
      </c>
      <c r="E38" s="1749">
        <v>50.0</v>
      </c>
      <c r="F38" s="1835">
        <v>0.0</v>
      </c>
      <c r="G38" s="1836">
        <v>50.0</v>
      </c>
      <c r="H38" s="1837">
        <v>80.0</v>
      </c>
      <c r="I38" s="1838">
        <v>100.0</v>
      </c>
      <c r="J38" s="1839">
        <v>31.0</v>
      </c>
      <c r="K38" s="1840">
        <f>SUMIF('Заполняемость'!$C$8:$C1030,B38,'Заполняемость'!$I$8:$I1030)</f>
        <v>12</v>
      </c>
      <c r="L38" s="1841">
        <f t="shared" si="47"/>
        <v>0.3870967742</v>
      </c>
      <c r="M38" s="1854">
        <f t="shared" si="61"/>
        <v>0</v>
      </c>
      <c r="N38" s="1843">
        <f t="shared" si="48"/>
        <v>50</v>
      </c>
      <c r="O38" s="1839">
        <v>30.0</v>
      </c>
      <c r="P38" s="1844">
        <f>SUMIF('Заполняемость'!$C$8:$C1030,B38,'Заполняемость'!$L$8:$L1030)</f>
        <v>27</v>
      </c>
      <c r="Q38" s="1845">
        <v>0.7</v>
      </c>
      <c r="R38" s="1846">
        <f t="shared" si="56"/>
        <v>0</v>
      </c>
      <c r="S38" s="1843">
        <f t="shared" si="49"/>
        <v>50</v>
      </c>
      <c r="T38" s="1839">
        <v>30.0</v>
      </c>
      <c r="U38" s="1844">
        <f t="shared" si="50"/>
        <v>26.04</v>
      </c>
      <c r="V38" s="1845">
        <v>0.84</v>
      </c>
      <c r="W38" s="1846">
        <f t="shared" si="57"/>
        <v>80</v>
      </c>
      <c r="X38" s="1843">
        <f t="shared" si="51"/>
        <v>130</v>
      </c>
      <c r="Y38" s="1839">
        <v>31.0</v>
      </c>
      <c r="Z38" s="1844">
        <v>28.0</v>
      </c>
      <c r="AA38" s="1845">
        <f t="shared" si="52"/>
        <v>0.9032258065</v>
      </c>
      <c r="AB38" s="1846">
        <f t="shared" si="58"/>
        <v>100</v>
      </c>
      <c r="AC38" s="1843">
        <f t="shared" si="42"/>
        <v>150</v>
      </c>
      <c r="AD38" s="1839">
        <v>30.0</v>
      </c>
      <c r="AE38" s="1840">
        <v>29.0</v>
      </c>
      <c r="AF38" s="1841">
        <f t="shared" si="55"/>
        <v>0.9666666667</v>
      </c>
      <c r="AG38" s="1854">
        <f t="shared" si="59"/>
        <v>100</v>
      </c>
      <c r="AH38" s="1851">
        <f t="shared" si="60"/>
        <v>150</v>
      </c>
      <c r="AI38" s="1714">
        <v>31.0</v>
      </c>
      <c r="AJ38" s="1783"/>
      <c r="AK38" s="1840">
        <v>30.0</v>
      </c>
      <c r="AL38" s="1744">
        <f t="shared" si="43"/>
        <v>0.9677419355</v>
      </c>
      <c r="AM38" s="1731">
        <v>0.0</v>
      </c>
      <c r="AN38" s="1855"/>
      <c r="AO38" s="1719">
        <v>30.0</v>
      </c>
      <c r="AP38" s="1720">
        <f>SUMIF('Заполняемость'!$C$8:$C1030,B38,'Заполняемость'!$Z$8:$Z1030)</f>
        <v>0</v>
      </c>
      <c r="AQ38" s="1721">
        <v>25.0</v>
      </c>
      <c r="AR38" s="1716">
        <f t="shared" si="45"/>
        <v>0.8333333333</v>
      </c>
      <c r="AS38" s="1722">
        <v>50.0</v>
      </c>
      <c r="AT38" s="1723">
        <v>100.0</v>
      </c>
      <c r="AU38" s="1724"/>
      <c r="AV38" s="1724"/>
      <c r="AW38" s="1724"/>
      <c r="AX38" s="1724"/>
      <c r="AY38" s="1724"/>
      <c r="AZ38" s="1724"/>
      <c r="BA38" s="1724"/>
      <c r="BB38" s="1724"/>
      <c r="BC38" s="1724"/>
      <c r="BD38" s="1724"/>
      <c r="BE38" s="1724"/>
      <c r="BF38" s="1724"/>
    </row>
    <row r="39" ht="15.75" customHeight="1">
      <c r="A39" s="1693" t="s">
        <v>177</v>
      </c>
      <c r="B39" s="1833" t="str">
        <f>'1. Справочник'!C38</f>
        <v>C 732</v>
      </c>
      <c r="C39" s="1747" t="s">
        <v>1544</v>
      </c>
      <c r="D39" s="1696"/>
      <c r="E39" s="1697"/>
      <c r="F39" s="1698"/>
      <c r="G39" s="1699"/>
      <c r="H39" s="1700"/>
      <c r="I39" s="1701"/>
      <c r="J39" s="1702">
        <v>31.0</v>
      </c>
      <c r="K39" s="1703">
        <f>SUMIF('Заполняемость'!$C$8:$C1030,B39,'Заполняемость'!$I$8:$I1030)</f>
        <v>0</v>
      </c>
      <c r="L39" s="1704">
        <f t="shared" si="47"/>
        <v>0</v>
      </c>
      <c r="M39" s="1705">
        <f t="shared" si="61"/>
        <v>0</v>
      </c>
      <c r="N39" s="1706">
        <f t="shared" si="48"/>
        <v>0</v>
      </c>
      <c r="O39" s="1702">
        <v>30.0</v>
      </c>
      <c r="P39" s="1707">
        <f>SUMIF('Заполняемость'!$C$8:$C1030,B39,'Заполняемость'!$L$8:$L1030)</f>
        <v>0</v>
      </c>
      <c r="Q39" s="1708">
        <f>P39/O39</f>
        <v>0</v>
      </c>
      <c r="R39" s="1709">
        <f t="shared" si="56"/>
        <v>0</v>
      </c>
      <c r="S39" s="1706">
        <f t="shared" si="49"/>
        <v>0</v>
      </c>
      <c r="T39" s="1702">
        <v>30.0</v>
      </c>
      <c r="U39" s="1707">
        <f t="shared" si="50"/>
        <v>22.94</v>
      </c>
      <c r="V39" s="1708">
        <v>0.74</v>
      </c>
      <c r="W39" s="1706">
        <f t="shared" si="57"/>
        <v>50</v>
      </c>
      <c r="X39" s="1706">
        <f t="shared" si="51"/>
        <v>50</v>
      </c>
      <c r="Y39" s="1702">
        <v>31.0</v>
      </c>
      <c r="Z39" s="1707">
        <v>19.0</v>
      </c>
      <c r="AA39" s="1708">
        <f t="shared" si="52"/>
        <v>0.6129032258</v>
      </c>
      <c r="AB39" s="1706">
        <f t="shared" si="58"/>
        <v>0</v>
      </c>
      <c r="AC39" s="1706">
        <f t="shared" si="42"/>
        <v>0</v>
      </c>
      <c r="AD39" s="1702">
        <v>30.0</v>
      </c>
      <c r="AE39" s="1703">
        <v>30.0</v>
      </c>
      <c r="AF39" s="1704">
        <f t="shared" si="55"/>
        <v>1</v>
      </c>
      <c r="AG39" s="1857">
        <f t="shared" si="59"/>
        <v>100</v>
      </c>
      <c r="AH39" s="1713">
        <f t="shared" si="60"/>
        <v>100</v>
      </c>
      <c r="AI39" s="1714">
        <v>31.0</v>
      </c>
      <c r="AJ39" s="1715"/>
      <c r="AK39" s="1703"/>
      <c r="AL39" s="1744">
        <f t="shared" si="43"/>
        <v>0</v>
      </c>
      <c r="AM39" s="1731">
        <f t="shared" ref="AM39:AM40" si="62">IF(AL39&lt;=0.5,0,IF(AND(AL39&gt;0.5,AL39&lt;=0.7),0,IF(AND(AL39&gt;0.7,AL39&lt;=0.8),50,IF(AND(AL39&gt;0.8,AL39&lt;=0.9),80,IF(AND(AL39&gt;0.9,AL39&lt;=2),100,"")))))</f>
        <v>0</v>
      </c>
      <c r="AN39" s="1855"/>
      <c r="AO39" s="1719">
        <v>30.0</v>
      </c>
      <c r="AP39" s="1720">
        <f>SUMIF('Заполняемость'!$C$8:$C1030,B39,'Заполняемость'!$Z$8:$Z1030)</f>
        <v>0</v>
      </c>
      <c r="AQ39" s="1721"/>
      <c r="AR39" s="1716">
        <f t="shared" si="45"/>
        <v>0</v>
      </c>
      <c r="AS39" s="1731">
        <f>IF(AR39&lt;=0.5,0,IF(AND(AR39&gt;0.5,AR39&lt;=0.7),0,IF(AND(AR39&gt;0.7,AR39&lt;=0.8),50,IF(AND(AR39&gt;0.8,AR39&lt;=0.9),80,IF(AND(AR39&gt;0.9,AR39&lt;=2),100,"")))))</f>
        <v>0</v>
      </c>
      <c r="AT39" s="1718">
        <f t="shared" ref="AT39:AT42" si="63">D39+AS39</f>
        <v>0</v>
      </c>
      <c r="AU39" s="1724"/>
      <c r="AV39" s="1724"/>
      <c r="AW39" s="1724"/>
      <c r="AX39" s="1724"/>
      <c r="AY39" s="1724"/>
      <c r="AZ39" s="1724"/>
      <c r="BA39" s="1724"/>
      <c r="BB39" s="1724"/>
      <c r="BC39" s="1724"/>
      <c r="BD39" s="1724"/>
      <c r="BE39" s="1724"/>
      <c r="BF39" s="1724"/>
    </row>
    <row r="40" ht="15.75" customHeight="1">
      <c r="A40" s="1790" t="s">
        <v>177</v>
      </c>
      <c r="B40" s="1858" t="str">
        <f>'1. Справочник'!C39</f>
        <v>С 2756</v>
      </c>
      <c r="C40" s="1859" t="s">
        <v>518</v>
      </c>
      <c r="D40" s="1860">
        <v>50.0</v>
      </c>
      <c r="E40" s="1794">
        <v>50.0</v>
      </c>
      <c r="F40" s="1861">
        <v>0.0</v>
      </c>
      <c r="G40" s="1862">
        <v>50.0</v>
      </c>
      <c r="H40" s="1863">
        <v>80.0</v>
      </c>
      <c r="I40" s="1864">
        <v>100.0</v>
      </c>
      <c r="J40" s="1811">
        <v>31.0</v>
      </c>
      <c r="K40" s="1865">
        <f>SUMIF('Заполняемость'!$C$8:$C1030,B40,'Заполняемость'!$I$8:$I1030)</f>
        <v>30</v>
      </c>
      <c r="L40" s="1819">
        <f t="shared" si="47"/>
        <v>0.9677419355</v>
      </c>
      <c r="M40" s="1814">
        <f t="shared" si="61"/>
        <v>100</v>
      </c>
      <c r="N40" s="1866">
        <f t="shared" si="48"/>
        <v>150</v>
      </c>
      <c r="O40" s="1811">
        <v>30.0</v>
      </c>
      <c r="P40" s="1867">
        <f>SUMIF('Заполняемость'!$C$8:$C1030,B40,'Заполняемость'!$L$8:$L1030)</f>
        <v>30</v>
      </c>
      <c r="Q40" s="1868">
        <v>0.77</v>
      </c>
      <c r="R40" s="1869">
        <f t="shared" si="56"/>
        <v>50</v>
      </c>
      <c r="S40" s="1866">
        <f t="shared" si="49"/>
        <v>100</v>
      </c>
      <c r="T40" s="1811">
        <v>30.0</v>
      </c>
      <c r="U40" s="1867">
        <f t="shared" si="50"/>
        <v>22.01</v>
      </c>
      <c r="V40" s="1868">
        <v>0.71</v>
      </c>
      <c r="W40" s="1866">
        <f t="shared" si="57"/>
        <v>50</v>
      </c>
      <c r="X40" s="1866">
        <f t="shared" si="51"/>
        <v>100</v>
      </c>
      <c r="Y40" s="1811">
        <v>31.0</v>
      </c>
      <c r="Z40" s="1867">
        <v>31.0</v>
      </c>
      <c r="AA40" s="1868">
        <f t="shared" si="52"/>
        <v>1</v>
      </c>
      <c r="AB40" s="1866">
        <f t="shared" si="58"/>
        <v>100</v>
      </c>
      <c r="AC40" s="1866">
        <f t="shared" si="42"/>
        <v>150</v>
      </c>
      <c r="AD40" s="1811">
        <v>30.0</v>
      </c>
      <c r="AE40" s="1865">
        <v>10.0</v>
      </c>
      <c r="AF40" s="1870">
        <f t="shared" si="55"/>
        <v>0.3333333333</v>
      </c>
      <c r="AG40" s="1871">
        <f t="shared" si="59"/>
        <v>0</v>
      </c>
      <c r="AH40" s="1815"/>
      <c r="AI40" s="1811">
        <v>31.0</v>
      </c>
      <c r="AJ40" s="1872"/>
      <c r="AK40" s="1865">
        <v>17.0</v>
      </c>
      <c r="AL40" s="1813">
        <f t="shared" si="43"/>
        <v>0.5483870968</v>
      </c>
      <c r="AM40" s="1814">
        <f t="shared" si="62"/>
        <v>0</v>
      </c>
      <c r="AN40" s="1815">
        <f>D40+AM40</f>
        <v>50</v>
      </c>
      <c r="AO40" s="1816">
        <v>30.0</v>
      </c>
      <c r="AP40" s="1817">
        <f>SUMIF('Заполняемость'!$C$8:$C1030,B40,'Заполняемость'!$Z$8:$Z1030)</f>
        <v>0</v>
      </c>
      <c r="AQ40" s="1818">
        <v>15.0</v>
      </c>
      <c r="AR40" s="1819">
        <f t="shared" si="45"/>
        <v>0.5</v>
      </c>
      <c r="AS40" s="1873">
        <v>0.0</v>
      </c>
      <c r="AT40" s="1815">
        <f t="shared" si="63"/>
        <v>50</v>
      </c>
      <c r="AU40" s="1724"/>
      <c r="AV40" s="1724"/>
      <c r="AW40" s="1724"/>
      <c r="AX40" s="1724"/>
      <c r="AY40" s="1724"/>
      <c r="AZ40" s="1724"/>
      <c r="BA40" s="1724"/>
      <c r="BB40" s="1724"/>
      <c r="BC40" s="1724"/>
      <c r="BD40" s="1724"/>
      <c r="BE40" s="1724"/>
      <c r="BF40" s="1724"/>
    </row>
    <row r="41" ht="15.75" customHeight="1">
      <c r="A41" s="1874" t="str">
        <f>'1. Справочник'!B40</f>
        <v>Борис</v>
      </c>
      <c r="B41" s="1822" t="str">
        <f>'1. Справочник'!C40</f>
        <v>D 1321</v>
      </c>
      <c r="C41" s="255" t="s">
        <v>518</v>
      </c>
      <c r="D41" s="1875">
        <v>50.0</v>
      </c>
      <c r="E41" s="1876">
        <v>50.0</v>
      </c>
      <c r="F41" s="1877">
        <v>0.0</v>
      </c>
      <c r="G41" s="1878">
        <v>50.0</v>
      </c>
      <c r="H41" s="1879">
        <v>80.0</v>
      </c>
      <c r="I41" s="1880">
        <v>100.0</v>
      </c>
      <c r="J41" s="1825">
        <v>31.0</v>
      </c>
      <c r="K41" s="1881">
        <f>SUMIF('Заполняемость'!$C$8:$C1030,B41,'Заполняемость'!$I$8:$I1030)</f>
        <v>18</v>
      </c>
      <c r="L41" s="1832">
        <f t="shared" si="47"/>
        <v>0.5806451613</v>
      </c>
      <c r="M41" s="1827">
        <f t="shared" si="61"/>
        <v>0</v>
      </c>
      <c r="N41" s="1882">
        <f t="shared" si="48"/>
        <v>50</v>
      </c>
      <c r="O41" s="1825">
        <v>30.0</v>
      </c>
      <c r="P41" s="1883">
        <f>SUMIF('Заполняемость'!$C$8:$C1030,B41,'Заполняемость'!$L$8:$L1030)</f>
        <v>17</v>
      </c>
      <c r="Q41" s="1884">
        <v>0.53</v>
      </c>
      <c r="R41" s="1885">
        <f t="shared" si="56"/>
        <v>0</v>
      </c>
      <c r="S41" s="1882">
        <f t="shared" si="49"/>
        <v>50</v>
      </c>
      <c r="T41" s="1825">
        <v>30.0</v>
      </c>
      <c r="U41" s="1883">
        <f t="shared" si="50"/>
        <v>16.12</v>
      </c>
      <c r="V41" s="1884">
        <v>0.52</v>
      </c>
      <c r="W41" s="1886">
        <f t="shared" si="57"/>
        <v>0</v>
      </c>
      <c r="X41" s="1882">
        <f t="shared" si="51"/>
        <v>50</v>
      </c>
      <c r="Y41" s="1825">
        <v>31.0</v>
      </c>
      <c r="Z41" s="1883">
        <v>21.0</v>
      </c>
      <c r="AA41" s="1884">
        <f t="shared" si="52"/>
        <v>0.6774193548</v>
      </c>
      <c r="AB41" s="1886">
        <f t="shared" si="58"/>
        <v>0</v>
      </c>
      <c r="AC41" s="1882">
        <f t="shared" si="42"/>
        <v>50</v>
      </c>
      <c r="AD41" s="1825">
        <v>30.0</v>
      </c>
      <c r="AE41" s="1881">
        <v>19.0</v>
      </c>
      <c r="AF41" s="1832">
        <f t="shared" si="55"/>
        <v>0.6333333333</v>
      </c>
      <c r="AG41" s="1887">
        <f t="shared" si="59"/>
        <v>0</v>
      </c>
      <c r="AH41" s="1828">
        <f t="shared" ref="AH41:AH42" si="64">D41+AG41</f>
        <v>50</v>
      </c>
      <c r="AI41" s="1825">
        <v>31.0</v>
      </c>
      <c r="AJ41" s="1715"/>
      <c r="AK41" s="1881">
        <v>31.0</v>
      </c>
      <c r="AL41" s="1826">
        <f t="shared" si="43"/>
        <v>1</v>
      </c>
      <c r="AM41" s="1827">
        <v>0.0</v>
      </c>
      <c r="AN41" s="1888"/>
      <c r="AO41" s="1829">
        <v>30.0</v>
      </c>
      <c r="AP41" s="1830">
        <f>SUMIF('Заполняемость'!$C$8:$C1030,B41,'Заполняемость'!$Z$8:$Z1030)</f>
        <v>0</v>
      </c>
      <c r="AQ41" s="1831">
        <v>4.0</v>
      </c>
      <c r="AR41" s="1832">
        <f t="shared" si="45"/>
        <v>0.1333333333</v>
      </c>
      <c r="AS41" s="1827">
        <f t="shared" ref="AS41:AS42" si="65">IF(AR41&lt;=0.5,0,IF(AND(AR41&gt;0.5,AR41&lt;=0.7),0,IF(AND(AR41&gt;0.7,AR41&lt;=0.8),50,IF(AND(AR41&gt;0.8,AR41&lt;=0.9),80,IF(AND(AR41&gt;0.9,AR41&lt;=2),100,"")))))</f>
        <v>0</v>
      </c>
      <c r="AT41" s="1828">
        <f t="shared" si="63"/>
        <v>50</v>
      </c>
      <c r="AU41" s="1724"/>
      <c r="AV41" s="1724"/>
      <c r="AW41" s="1724"/>
      <c r="AX41" s="1724"/>
      <c r="AY41" s="1724"/>
      <c r="AZ41" s="1724"/>
      <c r="BA41" s="1724"/>
      <c r="BB41" s="1724"/>
      <c r="BC41" s="1724"/>
      <c r="BD41" s="1724"/>
      <c r="BE41" s="1724"/>
      <c r="BF41" s="1724"/>
    </row>
    <row r="42" ht="15.75" customHeight="1">
      <c r="A42" s="1889" t="str">
        <f>'1. Справочник'!B41</f>
        <v>Борис</v>
      </c>
      <c r="B42" s="1833" t="str">
        <f>'1. Справочник'!C41</f>
        <v>D2 1625</v>
      </c>
      <c r="C42" s="1695" t="s">
        <v>518</v>
      </c>
      <c r="D42" s="1725">
        <v>50.0</v>
      </c>
      <c r="E42" s="1697">
        <v>50.0</v>
      </c>
      <c r="F42" s="1726">
        <v>0.0</v>
      </c>
      <c r="G42" s="1727">
        <v>50.0</v>
      </c>
      <c r="H42" s="1728">
        <v>80.0</v>
      </c>
      <c r="I42" s="1729">
        <v>100.0</v>
      </c>
      <c r="J42" s="1714">
        <v>31.0</v>
      </c>
      <c r="K42" s="1730">
        <f>SUMIF('Заполняемость'!$C$8:$C1030,B42,'Заполняемость'!$I$8:$I1030)</f>
        <v>17</v>
      </c>
      <c r="L42" s="1716">
        <f t="shared" si="47"/>
        <v>0.5483870968</v>
      </c>
      <c r="M42" s="1731">
        <f t="shared" si="61"/>
        <v>0</v>
      </c>
      <c r="N42" s="1732">
        <f t="shared" si="48"/>
        <v>50</v>
      </c>
      <c r="O42" s="1714">
        <v>30.0</v>
      </c>
      <c r="P42" s="1733">
        <f>SUMIF('Заполняемость'!$C$8:$C1030,B42,'Заполняемость'!$L$8:$L1030)</f>
        <v>22</v>
      </c>
      <c r="Q42" s="1734">
        <f t="shared" ref="Q42:Q43" si="66">P42/O42</f>
        <v>0.7333333333</v>
      </c>
      <c r="R42" s="1735">
        <f t="shared" si="56"/>
        <v>50</v>
      </c>
      <c r="S42" s="1732">
        <f t="shared" si="49"/>
        <v>100</v>
      </c>
      <c r="T42" s="1714">
        <v>30.0</v>
      </c>
      <c r="U42" s="1733">
        <f t="shared" si="50"/>
        <v>1.86</v>
      </c>
      <c r="V42" s="1734">
        <v>0.06</v>
      </c>
      <c r="W42" s="1737">
        <f t="shared" si="57"/>
        <v>0</v>
      </c>
      <c r="X42" s="1732">
        <f t="shared" si="51"/>
        <v>50</v>
      </c>
      <c r="Y42" s="1714">
        <v>31.0</v>
      </c>
      <c r="Z42" s="1733">
        <v>28.0</v>
      </c>
      <c r="AA42" s="1734">
        <f t="shared" si="52"/>
        <v>0.9032258065</v>
      </c>
      <c r="AB42" s="1737">
        <f t="shared" si="58"/>
        <v>100</v>
      </c>
      <c r="AC42" s="1732">
        <f t="shared" si="42"/>
        <v>150</v>
      </c>
      <c r="AD42" s="1714">
        <v>30.0</v>
      </c>
      <c r="AE42" s="1730">
        <v>29.0</v>
      </c>
      <c r="AF42" s="1716">
        <f t="shared" si="55"/>
        <v>0.9666666667</v>
      </c>
      <c r="AG42" s="1738">
        <f t="shared" si="59"/>
        <v>100</v>
      </c>
      <c r="AH42" s="1718">
        <f t="shared" si="64"/>
        <v>150</v>
      </c>
      <c r="AI42" s="1714">
        <v>31.0</v>
      </c>
      <c r="AJ42" s="1739"/>
      <c r="AK42" s="1730">
        <v>31.0</v>
      </c>
      <c r="AL42" s="1744">
        <f t="shared" si="43"/>
        <v>1</v>
      </c>
      <c r="AM42" s="1731">
        <v>0.0</v>
      </c>
      <c r="AN42" s="1855"/>
      <c r="AO42" s="1719">
        <v>30.0</v>
      </c>
      <c r="AP42" s="1720">
        <f>SUMIF('Заполняемость'!$C$8:$C1030,B42,'Заполняемость'!$Z$8:$Z1030)</f>
        <v>0</v>
      </c>
      <c r="AQ42" s="1721">
        <v>8.0</v>
      </c>
      <c r="AR42" s="1716">
        <f t="shared" si="45"/>
        <v>0.2666666667</v>
      </c>
      <c r="AS42" s="1731">
        <f t="shared" si="65"/>
        <v>0</v>
      </c>
      <c r="AT42" s="1718">
        <f t="shared" si="63"/>
        <v>50</v>
      </c>
      <c r="AU42" s="1724"/>
      <c r="AV42" s="1724"/>
      <c r="AW42" s="1724"/>
      <c r="AX42" s="1724"/>
      <c r="AY42" s="1724"/>
      <c r="AZ42" s="1724"/>
      <c r="BA42" s="1724"/>
      <c r="BB42" s="1724"/>
      <c r="BC42" s="1724"/>
      <c r="BD42" s="1724"/>
      <c r="BE42" s="1724"/>
      <c r="BF42" s="1724"/>
    </row>
    <row r="43" ht="15.75" customHeight="1">
      <c r="A43" s="1889" t="str">
        <f>'1. Справочник'!B42</f>
        <v>Борис</v>
      </c>
      <c r="B43" s="1833" t="str">
        <f>'1. Справочник'!C42</f>
        <v>D2 3216</v>
      </c>
      <c r="C43" s="1250" t="s">
        <v>518</v>
      </c>
      <c r="D43" s="1748">
        <v>50.0</v>
      </c>
      <c r="E43" s="1749">
        <v>50.0</v>
      </c>
      <c r="F43" s="1750">
        <v>0.0</v>
      </c>
      <c r="G43" s="1751">
        <v>50.0</v>
      </c>
      <c r="H43" s="1752">
        <v>80.0</v>
      </c>
      <c r="I43" s="1753">
        <v>100.0</v>
      </c>
      <c r="J43" s="1754">
        <v>31.0</v>
      </c>
      <c r="K43" s="1755">
        <f>SUMIF('Заполняемость'!$C$8:$C1030,B43,'Заполняемость'!$I$8:$I1030)</f>
        <v>15</v>
      </c>
      <c r="L43" s="1756">
        <f t="shared" si="47"/>
        <v>0.4838709677</v>
      </c>
      <c r="M43" s="1757">
        <f t="shared" si="61"/>
        <v>0</v>
      </c>
      <c r="N43" s="1758">
        <f t="shared" si="48"/>
        <v>50</v>
      </c>
      <c r="O43" s="1754">
        <v>30.0</v>
      </c>
      <c r="P43" s="1759">
        <f>SUMIF('Заполняемость'!$C$8:$C1030,B43,'Заполняемость'!$L$8:$L1030)</f>
        <v>15</v>
      </c>
      <c r="Q43" s="1760">
        <f t="shared" si="66"/>
        <v>0.5</v>
      </c>
      <c r="R43" s="1761">
        <f t="shared" si="56"/>
        <v>0</v>
      </c>
      <c r="S43" s="1758">
        <f t="shared" si="49"/>
        <v>50</v>
      </c>
      <c r="T43" s="1754">
        <v>30.0</v>
      </c>
      <c r="U43" s="1759">
        <f t="shared" si="50"/>
        <v>13.02</v>
      </c>
      <c r="V43" s="1760">
        <v>0.42</v>
      </c>
      <c r="W43" s="1763">
        <f t="shared" si="57"/>
        <v>0</v>
      </c>
      <c r="X43" s="1758">
        <f t="shared" si="51"/>
        <v>50</v>
      </c>
      <c r="Y43" s="1754">
        <v>31.0</v>
      </c>
      <c r="Z43" s="1759">
        <v>24.0</v>
      </c>
      <c r="AA43" s="1760">
        <f t="shared" si="52"/>
        <v>0.7741935484</v>
      </c>
      <c r="AB43" s="1763">
        <f t="shared" si="58"/>
        <v>50</v>
      </c>
      <c r="AC43" s="1758">
        <f t="shared" si="42"/>
        <v>100</v>
      </c>
      <c r="AD43" s="1754">
        <v>30.0</v>
      </c>
      <c r="AE43" s="1755">
        <v>9.0</v>
      </c>
      <c r="AF43" s="1890">
        <f t="shared" si="55"/>
        <v>0.3</v>
      </c>
      <c r="AG43" s="1764">
        <f t="shared" si="59"/>
        <v>0</v>
      </c>
      <c r="AH43" s="1765"/>
      <c r="AI43" s="1714">
        <v>31.0</v>
      </c>
      <c r="AJ43" s="1766"/>
      <c r="AK43" s="1755">
        <v>31.0</v>
      </c>
      <c r="AL43" s="1744">
        <f t="shared" si="43"/>
        <v>1</v>
      </c>
      <c r="AM43" s="1731">
        <v>0.0</v>
      </c>
      <c r="AN43" s="1855"/>
      <c r="AO43" s="1719">
        <v>30.0</v>
      </c>
      <c r="AP43" s="1720">
        <f>SUMIF('Заполняемость'!$C$8:$C1030,B43,'Заполняемость'!$Z$8:$Z1030)</f>
        <v>0</v>
      </c>
      <c r="AQ43" s="1721">
        <v>30.0</v>
      </c>
      <c r="AR43" s="1716">
        <f t="shared" si="45"/>
        <v>1</v>
      </c>
      <c r="AS43" s="1722">
        <v>50.0</v>
      </c>
      <c r="AT43" s="1723">
        <v>100.0</v>
      </c>
      <c r="AU43" s="1724"/>
      <c r="AV43" s="1724"/>
      <c r="AW43" s="1724"/>
      <c r="AX43" s="1724"/>
      <c r="AY43" s="1724"/>
      <c r="AZ43" s="1724"/>
      <c r="BA43" s="1724"/>
      <c r="BB43" s="1724"/>
      <c r="BC43" s="1724"/>
      <c r="BD43" s="1724"/>
      <c r="BE43" s="1724"/>
      <c r="BF43" s="1724"/>
    </row>
    <row r="44" ht="15.75" customHeight="1">
      <c r="A44" s="1889" t="str">
        <f>'1. Справочник'!B43</f>
        <v>Борис</v>
      </c>
      <c r="B44" s="1833" t="str">
        <f>'1. Справочник'!C43</f>
        <v>D1 3902</v>
      </c>
      <c r="C44" s="1250" t="s">
        <v>321</v>
      </c>
      <c r="D44" s="1834">
        <v>50.0</v>
      </c>
      <c r="E44" s="1749">
        <v>50.0</v>
      </c>
      <c r="F44" s="1835">
        <v>0.0</v>
      </c>
      <c r="G44" s="1836">
        <v>50.0</v>
      </c>
      <c r="H44" s="1837">
        <v>80.0</v>
      </c>
      <c r="I44" s="1838">
        <v>100.0</v>
      </c>
      <c r="J44" s="1839">
        <v>31.0</v>
      </c>
      <c r="K44" s="1840">
        <f>SUMIF('Заполняемость'!$C$8:$C1030,B44,'Заполняемость'!$I$8:$I1030)</f>
        <v>0</v>
      </c>
      <c r="L44" s="1841">
        <f t="shared" si="47"/>
        <v>0</v>
      </c>
      <c r="M44" s="1842"/>
      <c r="N44" s="1843">
        <f t="shared" si="48"/>
        <v>50</v>
      </c>
      <c r="O44" s="1839">
        <v>30.0</v>
      </c>
      <c r="P44" s="1844">
        <f>SUMIF('Заполняемость'!$C$8:$C1030,B44,'Заполняемость'!$L$8:$L1030)</f>
        <v>0</v>
      </c>
      <c r="Q44" s="1845">
        <v>1.0</v>
      </c>
      <c r="R44" s="1852"/>
      <c r="S44" s="1843">
        <f t="shared" si="49"/>
        <v>50</v>
      </c>
      <c r="T44" s="1839">
        <v>30.0</v>
      </c>
      <c r="U44" s="1844">
        <f t="shared" si="50"/>
        <v>23</v>
      </c>
      <c r="V44" s="1845">
        <f>23/31</f>
        <v>0.7419354839</v>
      </c>
      <c r="W44" s="1843">
        <f t="shared" si="57"/>
        <v>50</v>
      </c>
      <c r="X44" s="1843">
        <f t="shared" si="51"/>
        <v>100</v>
      </c>
      <c r="Y44" s="1839">
        <v>31.0</v>
      </c>
      <c r="Z44" s="1844">
        <v>28.0</v>
      </c>
      <c r="AA44" s="1845">
        <f t="shared" si="52"/>
        <v>0.9032258065</v>
      </c>
      <c r="AB44" s="1843">
        <f t="shared" si="58"/>
        <v>100</v>
      </c>
      <c r="AC44" s="1843">
        <f t="shared" si="42"/>
        <v>150</v>
      </c>
      <c r="AD44" s="1839">
        <v>30.0</v>
      </c>
      <c r="AE44" s="1840">
        <v>13.0</v>
      </c>
      <c r="AF44" s="1849">
        <f t="shared" si="55"/>
        <v>0.4333333333</v>
      </c>
      <c r="AG44" s="1856">
        <f t="shared" si="59"/>
        <v>0</v>
      </c>
      <c r="AH44" s="1851"/>
      <c r="AI44" s="1714">
        <v>31.0</v>
      </c>
      <c r="AJ44" s="1783"/>
      <c r="AK44" s="1840">
        <v>25.0</v>
      </c>
      <c r="AL44" s="1744">
        <f t="shared" si="43"/>
        <v>0.8064516129</v>
      </c>
      <c r="AM44" s="1731">
        <v>0.0</v>
      </c>
      <c r="AN44" s="1718">
        <f t="shared" ref="AN44:AN48" si="67">D44+AM44</f>
        <v>50</v>
      </c>
      <c r="AO44" s="1719">
        <v>30.0</v>
      </c>
      <c r="AP44" s="1720">
        <f>SUMIF('Заполняемость'!$C$8:$C1030,B44,'Заполняемость'!$Z$8:$Z1030)</f>
        <v>0</v>
      </c>
      <c r="AQ44" s="1721">
        <v>16.0</v>
      </c>
      <c r="AR44" s="1716">
        <f t="shared" si="45"/>
        <v>0.5333333333</v>
      </c>
      <c r="AS44" s="1731">
        <f t="shared" ref="AS44:AS45" si="68">IF(AR44&lt;=0.5,0,IF(AND(AR44&gt;0.5,AR44&lt;=0.7),0,IF(AND(AR44&gt;0.7,AR44&lt;=0.8),50,IF(AND(AR44&gt;0.8,AR44&lt;=0.9),80,IF(AND(AR44&gt;0.9,AR44&lt;=2),100,"")))))</f>
        <v>0</v>
      </c>
      <c r="AT44" s="1718">
        <f t="shared" ref="AT44:AT45" si="69">D44+AS44</f>
        <v>50</v>
      </c>
      <c r="AU44" s="1724"/>
      <c r="AV44" s="1724"/>
      <c r="AW44" s="1724"/>
      <c r="AX44" s="1724"/>
      <c r="AY44" s="1724"/>
      <c r="AZ44" s="1724"/>
      <c r="BA44" s="1724"/>
      <c r="BB44" s="1724"/>
      <c r="BC44" s="1724"/>
      <c r="BD44" s="1724"/>
      <c r="BE44" s="1724"/>
      <c r="BF44" s="1724"/>
    </row>
    <row r="45" ht="15.75" customHeight="1">
      <c r="A45" s="1889" t="str">
        <f>'1. Справочник'!B44</f>
        <v>Борис</v>
      </c>
      <c r="B45" s="1833" t="str">
        <f>'1. Справочник'!C44</f>
        <v>D2 503</v>
      </c>
      <c r="C45" s="1891" t="s">
        <v>518</v>
      </c>
      <c r="D45" s="1748">
        <v>50.0</v>
      </c>
      <c r="E45" s="1749">
        <v>50.0</v>
      </c>
      <c r="F45" s="1750">
        <v>0.0</v>
      </c>
      <c r="G45" s="1751">
        <v>50.0</v>
      </c>
      <c r="H45" s="1752">
        <v>80.0</v>
      </c>
      <c r="I45" s="1753">
        <v>100.0</v>
      </c>
      <c r="J45" s="1892"/>
      <c r="K45" s="1893"/>
      <c r="L45" s="1894"/>
      <c r="M45" s="1895"/>
      <c r="N45" s="1896"/>
      <c r="O45" s="1892"/>
      <c r="P45" s="1897"/>
      <c r="Q45" s="1898"/>
      <c r="R45" s="1899"/>
      <c r="S45" s="1896"/>
      <c r="T45" s="1892"/>
      <c r="U45" s="1897"/>
      <c r="V45" s="1900"/>
      <c r="W45" s="1899"/>
      <c r="X45" s="1896"/>
      <c r="Y45" s="1892"/>
      <c r="Z45" s="1897"/>
      <c r="AA45" s="1900"/>
      <c r="AB45" s="1899"/>
      <c r="AC45" s="1896"/>
      <c r="AD45" s="1892"/>
      <c r="AE45" s="1893"/>
      <c r="AF45" s="1901"/>
      <c r="AG45" s="1895"/>
      <c r="AH45" s="1902"/>
      <c r="AI45" s="1714">
        <v>31.0</v>
      </c>
      <c r="AJ45" s="1783"/>
      <c r="AK45" s="1893">
        <v>18.0</v>
      </c>
      <c r="AL45" s="1744">
        <f t="shared" si="43"/>
        <v>0.5806451613</v>
      </c>
      <c r="AM45" s="1731">
        <v>0.0</v>
      </c>
      <c r="AN45" s="1718">
        <f t="shared" si="67"/>
        <v>50</v>
      </c>
      <c r="AO45" s="1719">
        <v>30.0</v>
      </c>
      <c r="AP45" s="1720">
        <f>SUMIF('Заполняемость'!$C$8:$C1030,B45,'Заполняемость'!$Z$8:$Z1030)</f>
        <v>0</v>
      </c>
      <c r="AQ45" s="1721">
        <v>23.0</v>
      </c>
      <c r="AR45" s="1716">
        <f t="shared" si="45"/>
        <v>0.7666666667</v>
      </c>
      <c r="AS45" s="1731">
        <f t="shared" si="68"/>
        <v>50</v>
      </c>
      <c r="AT45" s="1718">
        <f t="shared" si="69"/>
        <v>100</v>
      </c>
      <c r="AU45" s="1724"/>
      <c r="AV45" s="1724"/>
      <c r="AW45" s="1724"/>
      <c r="AX45" s="1724"/>
      <c r="AY45" s="1724"/>
      <c r="AZ45" s="1724"/>
      <c r="BA45" s="1724"/>
      <c r="BB45" s="1724"/>
      <c r="BC45" s="1724"/>
      <c r="BD45" s="1724"/>
      <c r="BE45" s="1724"/>
      <c r="BF45" s="1724"/>
    </row>
    <row r="46" ht="15.75" customHeight="1">
      <c r="A46" s="1889" t="str">
        <f>'1. Справочник'!B45</f>
        <v>Дина</v>
      </c>
      <c r="B46" s="1833" t="str">
        <f>'1. Справочник'!C45</f>
        <v>CM 1604</v>
      </c>
      <c r="C46" s="1695" t="s">
        <v>321</v>
      </c>
      <c r="D46" s="1696">
        <v>50.0</v>
      </c>
      <c r="E46" s="1697">
        <v>50.0</v>
      </c>
      <c r="F46" s="1698">
        <v>0.0</v>
      </c>
      <c r="G46" s="1699">
        <v>50.0</v>
      </c>
      <c r="H46" s="1700">
        <v>80.0</v>
      </c>
      <c r="I46" s="1701">
        <v>100.0</v>
      </c>
      <c r="J46" s="1702">
        <v>31.0</v>
      </c>
      <c r="K46" s="1703">
        <f>SUMIF('Заполняемость'!$C$8:$C1030,B46,'Заполняемость'!$I$8:$I1030)</f>
        <v>13</v>
      </c>
      <c r="L46" s="1704">
        <f t="shared" ref="L46:L48" si="70">K46/J46</f>
        <v>0.4193548387</v>
      </c>
      <c r="M46" s="1705">
        <f t="shared" ref="M46:M48" si="71">IF(L46&lt;=0.5,0,IF(AND(L46&gt;0.5,L46&lt;=0.7),0,IF(AND(L46&gt;0.7,L46&lt;=0.8),50,IF(AND(L46&gt;0.8,L46&lt;=0.9),80,IF(AND(L46&gt;0.9,L46&lt;=2),100,"")))))</f>
        <v>0</v>
      </c>
      <c r="N46" s="1706">
        <f t="shared" ref="N46:N48" si="72">M46+D46</f>
        <v>50</v>
      </c>
      <c r="O46" s="1702">
        <v>30.0</v>
      </c>
      <c r="P46" s="1707">
        <f>SUMIF('Заполняемость'!$C$8:$C1030,B46,'Заполняемость'!$L$8:$L1030)</f>
        <v>17</v>
      </c>
      <c r="Q46" s="1708">
        <f t="shared" ref="Q46:Q48" si="73">P46/O46</f>
        <v>0.5666666667</v>
      </c>
      <c r="R46" s="1709">
        <f t="shared" ref="R46:R48" si="74">IF(Q46&lt;=0.5,0,IF(AND(Q46&gt;0.5,Q46&lt;=0.7),0,IF(AND(Q46&gt;0.7,Q46&lt;=0.8),50,IF(AND(Q46&gt;0.8,Q46&lt;=0.9),80,IF(AND(Q46&gt;0.9,Q46&lt;=2),100,"")))))</f>
        <v>0</v>
      </c>
      <c r="S46" s="1706">
        <f t="shared" ref="S46:S48" si="75">D46+R46</f>
        <v>50</v>
      </c>
      <c r="T46" s="1702">
        <v>30.0</v>
      </c>
      <c r="U46" s="1707">
        <f t="shared" ref="U46:U48" si="76">31*V46</f>
        <v>27.9</v>
      </c>
      <c r="V46" s="1711">
        <v>0.9</v>
      </c>
      <c r="W46" s="1709">
        <f t="shared" ref="W46:W48" si="77">IF(V46&lt;=0.5,0,IF(AND(V46&gt;0.5,V46&lt;=0.7),0,IF(AND(V46&gt;0.7,V46&lt;=0.8),50,IF(AND(V46&gt;0.8,V46&lt;=0.9),80,IF(AND(V46&gt;0.9,V46&lt;=2),100,"")))))</f>
        <v>80</v>
      </c>
      <c r="X46" s="1706">
        <f t="shared" ref="X46:X48" si="78">D46+W46</f>
        <v>130</v>
      </c>
      <c r="Y46" s="1702">
        <v>31.0</v>
      </c>
      <c r="Z46" s="1707">
        <v>27.0</v>
      </c>
      <c r="AA46" s="1711">
        <f t="shared" ref="AA46:AA48" si="79">Z46/Y46</f>
        <v>0.8709677419</v>
      </c>
      <c r="AB46" s="1709">
        <f t="shared" ref="AB46:AB48" si="80">IF(AA46&lt;=0.5,0,IF(AND(AA46&gt;0.5,AA46&lt;=0.7),0,IF(AND(AA46&gt;0.7,AA46&lt;=0.8),50,IF(AND(AA46&gt;0.8,AA46&lt;=0.9),80,IF(AND(AA46&gt;0.9,AA46&lt;=2),100,"")))))</f>
        <v>80</v>
      </c>
      <c r="AC46" s="1706">
        <f t="shared" ref="AC46:AC48" si="81">AB46+D46</f>
        <v>130</v>
      </c>
      <c r="AD46" s="1702">
        <v>30.0</v>
      </c>
      <c r="AE46" s="1703">
        <v>18.0</v>
      </c>
      <c r="AF46" s="1712">
        <f t="shared" ref="AF46:AF48" si="82">AE46/AD46</f>
        <v>0.6</v>
      </c>
      <c r="AG46" s="1705">
        <f t="shared" ref="AG46:AG48" si="83">IF(AF46&lt;=0.5,0,IF(AND(AF46&gt;0.5,AF46&lt;=0.7),0,IF(AND(AF46&gt;0.7,AF46&lt;=0.8),50,IF(AND(AF46&gt;0.8,AF46&lt;=0.9),80,IF(AND(AF46&gt;0.9,AF46&lt;=2),100,"")))))</f>
        <v>0</v>
      </c>
      <c r="AH46" s="1713">
        <f t="shared" ref="AH46:AH47" si="84">D46+AG46</f>
        <v>50</v>
      </c>
      <c r="AI46" s="1714">
        <v>31.0</v>
      </c>
      <c r="AJ46" s="1715"/>
      <c r="AK46" s="1703">
        <v>22.0</v>
      </c>
      <c r="AL46" s="1744">
        <f t="shared" si="43"/>
        <v>0.7096774194</v>
      </c>
      <c r="AM46" s="1731">
        <f>IF(AL46&lt;=0.5,0,IF(AND(AL46&gt;0.5,AL46&lt;=0.7),0,IF(AND(AL46&gt;0.7,AL46&lt;=0.8),50,IF(AND(AL46&gt;0.8,AL46&lt;=0.9),80,IF(AND(AL46&gt;0.9,AL46&lt;=2),100,"")))))</f>
        <v>50</v>
      </c>
      <c r="AN46" s="1718">
        <f t="shared" si="67"/>
        <v>100</v>
      </c>
      <c r="AO46" s="1719">
        <v>30.0</v>
      </c>
      <c r="AP46" s="1720">
        <f>SUMIF('Заполняемость'!$C$8:$C1030,B46,'Заполняемость'!$Z$8:$Z1030)</f>
        <v>0</v>
      </c>
      <c r="AQ46" s="1721">
        <v>30.0</v>
      </c>
      <c r="AR46" s="1716">
        <f t="shared" si="45"/>
        <v>1</v>
      </c>
      <c r="AS46" s="1722">
        <v>50.0</v>
      </c>
      <c r="AT46" s="1723">
        <v>100.0</v>
      </c>
      <c r="AU46" s="1724"/>
      <c r="AV46" s="1724"/>
      <c r="AW46" s="1724"/>
      <c r="AX46" s="1724"/>
      <c r="AY46" s="1724"/>
      <c r="AZ46" s="1724"/>
      <c r="BA46" s="1724"/>
      <c r="BB46" s="1724"/>
      <c r="BC46" s="1724"/>
      <c r="BD46" s="1724"/>
      <c r="BE46" s="1724"/>
      <c r="BF46" s="1724"/>
    </row>
    <row r="47" ht="15.75" customHeight="1">
      <c r="A47" s="1903" t="str">
        <f>'1. Справочник'!B46</f>
        <v>Дина</v>
      </c>
      <c r="B47" s="1742" t="str">
        <f>'1. Справочник'!C46</f>
        <v>CM 1606</v>
      </c>
      <c r="C47" s="147" t="s">
        <v>321</v>
      </c>
      <c r="D47" s="1725">
        <v>50.0</v>
      </c>
      <c r="E47" s="1697">
        <v>50.0</v>
      </c>
      <c r="F47" s="1726">
        <v>0.0</v>
      </c>
      <c r="G47" s="1727">
        <v>50.0</v>
      </c>
      <c r="H47" s="1728">
        <v>80.0</v>
      </c>
      <c r="I47" s="1729">
        <v>100.0</v>
      </c>
      <c r="J47" s="1714">
        <v>31.0</v>
      </c>
      <c r="K47" s="1730">
        <f>SUMIF('Заполняемость'!$C$8:$C1030,B47,'Заполняемость'!$I$8:$I1030)</f>
        <v>27</v>
      </c>
      <c r="L47" s="1716">
        <f t="shared" si="70"/>
        <v>0.8709677419</v>
      </c>
      <c r="M47" s="1731">
        <f t="shared" si="71"/>
        <v>80</v>
      </c>
      <c r="N47" s="1732">
        <f t="shared" si="72"/>
        <v>130</v>
      </c>
      <c r="O47" s="1714">
        <v>30.0</v>
      </c>
      <c r="P47" s="1733">
        <f>SUMIF('Заполняемость'!$C$8:$C1030,B47,'Заполняемость'!$L$8:$L1030)</f>
        <v>18</v>
      </c>
      <c r="Q47" s="1734">
        <f t="shared" si="73"/>
        <v>0.6</v>
      </c>
      <c r="R47" s="1735">
        <f t="shared" si="74"/>
        <v>0</v>
      </c>
      <c r="S47" s="1732">
        <f t="shared" si="75"/>
        <v>50</v>
      </c>
      <c r="T47" s="1714">
        <v>30.0</v>
      </c>
      <c r="U47" s="1733">
        <f t="shared" si="76"/>
        <v>27.9</v>
      </c>
      <c r="V47" s="1743">
        <v>0.9</v>
      </c>
      <c r="W47" s="1735">
        <f t="shared" si="77"/>
        <v>80</v>
      </c>
      <c r="X47" s="1732">
        <f t="shared" si="78"/>
        <v>130</v>
      </c>
      <c r="Y47" s="1714">
        <v>31.0</v>
      </c>
      <c r="Z47" s="1733">
        <v>29.0</v>
      </c>
      <c r="AA47" s="1743">
        <f t="shared" si="79"/>
        <v>0.935483871</v>
      </c>
      <c r="AB47" s="1735">
        <f t="shared" si="80"/>
        <v>100</v>
      </c>
      <c r="AC47" s="1732">
        <f t="shared" si="81"/>
        <v>150</v>
      </c>
      <c r="AD47" s="1714">
        <v>30.0</v>
      </c>
      <c r="AE47" s="1730">
        <v>19.0</v>
      </c>
      <c r="AF47" s="1744">
        <f t="shared" si="82"/>
        <v>0.6333333333</v>
      </c>
      <c r="AG47" s="1731">
        <f t="shared" si="83"/>
        <v>0</v>
      </c>
      <c r="AH47" s="1718">
        <f t="shared" si="84"/>
        <v>50</v>
      </c>
      <c r="AI47" s="1714">
        <v>31.0</v>
      </c>
      <c r="AJ47" s="1739"/>
      <c r="AK47" s="1730">
        <v>30.0</v>
      </c>
      <c r="AL47" s="1744">
        <f t="shared" si="43"/>
        <v>0.9677419355</v>
      </c>
      <c r="AM47" s="1717">
        <v>50.0</v>
      </c>
      <c r="AN47" s="1718">
        <f t="shared" si="67"/>
        <v>100</v>
      </c>
      <c r="AO47" s="1719">
        <v>30.0</v>
      </c>
      <c r="AP47" s="1720">
        <f>SUMIF('Заполняемость'!$C$8:$C1030,B47,'Заполняемость'!$Z$8:$Z1030)</f>
        <v>0</v>
      </c>
      <c r="AQ47" s="1721">
        <v>26.0</v>
      </c>
      <c r="AR47" s="1716">
        <f t="shared" si="45"/>
        <v>0.8666666667</v>
      </c>
      <c r="AS47" s="1731">
        <f t="shared" ref="AS47:AS52" si="85">IF(AR47&lt;=0.5,0,IF(AND(AR47&gt;0.5,AR47&lt;=0.7),0,IF(AND(AR47&gt;0.7,AR47&lt;=0.8),50,IF(AND(AR47&gt;0.8,AR47&lt;=0.9),80,IF(AND(AR47&gt;0.9,AR47&lt;=2),100,"")))))</f>
        <v>80</v>
      </c>
      <c r="AT47" s="1718">
        <f t="shared" ref="AT47:AT49" si="86">D47+AS47</f>
        <v>130</v>
      </c>
      <c r="AU47" s="1724"/>
      <c r="AV47" s="1724"/>
      <c r="AW47" s="1724"/>
      <c r="AX47" s="1724"/>
      <c r="AY47" s="1724"/>
      <c r="AZ47" s="1724"/>
      <c r="BA47" s="1724"/>
      <c r="BB47" s="1724"/>
      <c r="BC47" s="1724"/>
      <c r="BD47" s="1724"/>
      <c r="BE47" s="1724"/>
      <c r="BF47" s="1724"/>
    </row>
    <row r="48" ht="15.75" customHeight="1">
      <c r="A48" s="1903" t="str">
        <f>'1. Справочник'!B47</f>
        <v>Дина</v>
      </c>
      <c r="B48" s="1742" t="str">
        <f>'1. Справочник'!C47</f>
        <v>CM 1931</v>
      </c>
      <c r="C48" s="203" t="s">
        <v>321</v>
      </c>
      <c r="D48" s="1725">
        <v>50.0</v>
      </c>
      <c r="E48" s="1697">
        <v>50.0</v>
      </c>
      <c r="F48" s="1726">
        <v>0.0</v>
      </c>
      <c r="G48" s="1727">
        <v>50.0</v>
      </c>
      <c r="H48" s="1728">
        <v>80.0</v>
      </c>
      <c r="I48" s="1729">
        <v>100.0</v>
      </c>
      <c r="J48" s="1714">
        <v>31.0</v>
      </c>
      <c r="K48" s="1730">
        <f>SUMIF('Заполняемость'!$C$8:$C1030,B48,'Заполняемость'!$I$8:$I1030)</f>
        <v>18</v>
      </c>
      <c r="L48" s="1716">
        <f t="shared" si="70"/>
        <v>0.5806451613</v>
      </c>
      <c r="M48" s="1731">
        <f t="shared" si="71"/>
        <v>0</v>
      </c>
      <c r="N48" s="1732">
        <f t="shared" si="72"/>
        <v>50</v>
      </c>
      <c r="O48" s="1714">
        <v>30.0</v>
      </c>
      <c r="P48" s="1733">
        <f>SUMIF('Заполняемость'!$C$8:$C1030,B48,'Заполняемость'!$L$8:$L1030)</f>
        <v>23</v>
      </c>
      <c r="Q48" s="1734">
        <f t="shared" si="73"/>
        <v>0.7666666667</v>
      </c>
      <c r="R48" s="1735">
        <f t="shared" si="74"/>
        <v>50</v>
      </c>
      <c r="S48" s="1732">
        <f t="shared" si="75"/>
        <v>100</v>
      </c>
      <c r="T48" s="1714">
        <v>30.0</v>
      </c>
      <c r="U48" s="1733">
        <f t="shared" si="76"/>
        <v>22.01</v>
      </c>
      <c r="V48" s="1734">
        <v>0.71</v>
      </c>
      <c r="W48" s="1732">
        <f t="shared" si="77"/>
        <v>50</v>
      </c>
      <c r="X48" s="1732">
        <f t="shared" si="78"/>
        <v>100</v>
      </c>
      <c r="Y48" s="1714">
        <v>31.0</v>
      </c>
      <c r="Z48" s="1733">
        <v>27.0</v>
      </c>
      <c r="AA48" s="1734">
        <f t="shared" si="79"/>
        <v>0.8709677419</v>
      </c>
      <c r="AB48" s="1732">
        <f t="shared" si="80"/>
        <v>80</v>
      </c>
      <c r="AC48" s="1732">
        <f t="shared" si="81"/>
        <v>130</v>
      </c>
      <c r="AD48" s="1714">
        <v>30.0</v>
      </c>
      <c r="AE48" s="1730">
        <v>13.0</v>
      </c>
      <c r="AF48" s="1769">
        <f t="shared" si="82"/>
        <v>0.4333333333</v>
      </c>
      <c r="AG48" s="1740">
        <f t="shared" si="83"/>
        <v>0</v>
      </c>
      <c r="AH48" s="1718">
        <v>50.0</v>
      </c>
      <c r="AI48" s="1714">
        <v>31.0</v>
      </c>
      <c r="AJ48" s="1739"/>
      <c r="AK48" s="1730">
        <v>31.0</v>
      </c>
      <c r="AL48" s="1744">
        <f t="shared" si="43"/>
        <v>1</v>
      </c>
      <c r="AM48" s="1717">
        <v>50.0</v>
      </c>
      <c r="AN48" s="1718">
        <f t="shared" si="67"/>
        <v>100</v>
      </c>
      <c r="AO48" s="1719">
        <v>30.0</v>
      </c>
      <c r="AP48" s="1720">
        <f>SUMIF('Заполняемость'!$C$8:$C1030,B48,'Заполняемость'!$Z$8:$Z1030)</f>
        <v>0</v>
      </c>
      <c r="AQ48" s="1721">
        <v>11.0</v>
      </c>
      <c r="AR48" s="1716">
        <f t="shared" si="45"/>
        <v>0.3666666667</v>
      </c>
      <c r="AS48" s="1731">
        <f t="shared" si="85"/>
        <v>0</v>
      </c>
      <c r="AT48" s="1718">
        <f t="shared" si="86"/>
        <v>50</v>
      </c>
      <c r="AU48" s="1724"/>
      <c r="AV48" s="1724"/>
      <c r="AW48" s="1724"/>
      <c r="AX48" s="1724"/>
      <c r="AY48" s="1724"/>
      <c r="AZ48" s="1724"/>
      <c r="BA48" s="1724"/>
      <c r="BB48" s="1724"/>
      <c r="BC48" s="1724"/>
      <c r="BD48" s="1724"/>
      <c r="BE48" s="1724"/>
      <c r="BF48" s="1724"/>
    </row>
    <row r="49" ht="15.75" customHeight="1">
      <c r="A49" s="1903" t="str">
        <f>'1. Справочник'!B48</f>
        <v>Дина</v>
      </c>
      <c r="B49" s="1742" t="str">
        <f>'1. Справочник'!C48</f>
        <v>CM 1304</v>
      </c>
      <c r="C49" s="203" t="s">
        <v>321</v>
      </c>
      <c r="D49" s="1725">
        <v>50.0</v>
      </c>
      <c r="E49" s="1697">
        <v>50.0</v>
      </c>
      <c r="F49" s="1726">
        <v>0.0</v>
      </c>
      <c r="G49" s="1727">
        <v>50.0</v>
      </c>
      <c r="H49" s="1728">
        <v>80.0</v>
      </c>
      <c r="I49" s="1729">
        <v>100.0</v>
      </c>
      <c r="J49" s="1714"/>
      <c r="K49" s="1730"/>
      <c r="L49" s="1716"/>
      <c r="M49" s="1731"/>
      <c r="N49" s="1732"/>
      <c r="O49" s="1714"/>
      <c r="P49" s="1733"/>
      <c r="Q49" s="1734"/>
      <c r="R49" s="1735"/>
      <c r="S49" s="1732"/>
      <c r="T49" s="1714"/>
      <c r="U49" s="1733"/>
      <c r="V49" s="1734"/>
      <c r="W49" s="1735"/>
      <c r="X49" s="1732"/>
      <c r="Y49" s="1714"/>
      <c r="Z49" s="1733"/>
      <c r="AA49" s="1734"/>
      <c r="AB49" s="1735"/>
      <c r="AC49" s="1732"/>
      <c r="AD49" s="1714"/>
      <c r="AE49" s="1730"/>
      <c r="AF49" s="1716"/>
      <c r="AG49" s="1731"/>
      <c r="AH49" s="1718"/>
      <c r="AI49" s="1714"/>
      <c r="AJ49" s="1739"/>
      <c r="AK49" s="1730"/>
      <c r="AL49" s="1744"/>
      <c r="AM49" s="1731"/>
      <c r="AN49" s="1746">
        <v>100.0</v>
      </c>
      <c r="AO49" s="1719">
        <v>30.0</v>
      </c>
      <c r="AP49" s="1720">
        <f>SUMIF('Заполняемость'!$C$8:$C1030,B49,'Заполняемость'!$Z$8:$Z1030)</f>
        <v>0</v>
      </c>
      <c r="AQ49" s="1721">
        <v>24.0</v>
      </c>
      <c r="AR49" s="1716">
        <f t="shared" si="45"/>
        <v>0.8</v>
      </c>
      <c r="AS49" s="1731">
        <f t="shared" si="85"/>
        <v>50</v>
      </c>
      <c r="AT49" s="1718">
        <f t="shared" si="86"/>
        <v>100</v>
      </c>
      <c r="AU49" s="1724"/>
      <c r="AV49" s="1724"/>
      <c r="AW49" s="1724"/>
      <c r="AX49" s="1724"/>
      <c r="AY49" s="1724"/>
      <c r="AZ49" s="1724"/>
      <c r="BA49" s="1724"/>
      <c r="BB49" s="1724"/>
      <c r="BC49" s="1724"/>
      <c r="BD49" s="1724"/>
      <c r="BE49" s="1724"/>
      <c r="BF49" s="1724"/>
    </row>
    <row r="50" ht="15.75" customHeight="1">
      <c r="A50" s="1903" t="str">
        <f>'1. Справочник'!B49</f>
        <v>Дина</v>
      </c>
      <c r="B50" s="1742" t="str">
        <f>'1. Справочник'!C49</f>
        <v>CM 1327</v>
      </c>
      <c r="C50" s="203" t="s">
        <v>321</v>
      </c>
      <c r="D50" s="1725">
        <v>50.0</v>
      </c>
      <c r="E50" s="1697">
        <v>50.0</v>
      </c>
      <c r="F50" s="1726">
        <v>0.0</v>
      </c>
      <c r="G50" s="1727">
        <v>50.0</v>
      </c>
      <c r="H50" s="1728">
        <v>80.0</v>
      </c>
      <c r="I50" s="1729">
        <v>100.0</v>
      </c>
      <c r="J50" s="1714"/>
      <c r="K50" s="1730"/>
      <c r="L50" s="1716"/>
      <c r="M50" s="1731"/>
      <c r="N50" s="1732"/>
      <c r="O50" s="1714"/>
      <c r="P50" s="1733"/>
      <c r="Q50" s="1734"/>
      <c r="R50" s="1735"/>
      <c r="S50" s="1732"/>
      <c r="T50" s="1714"/>
      <c r="U50" s="1733"/>
      <c r="V50" s="1734"/>
      <c r="W50" s="1735"/>
      <c r="X50" s="1732"/>
      <c r="Y50" s="1714"/>
      <c r="Z50" s="1733"/>
      <c r="AA50" s="1734"/>
      <c r="AB50" s="1735"/>
      <c r="AC50" s="1732"/>
      <c r="AD50" s="1714"/>
      <c r="AE50" s="1730"/>
      <c r="AF50" s="1716"/>
      <c r="AG50" s="1731"/>
      <c r="AH50" s="1718"/>
      <c r="AI50" s="1714"/>
      <c r="AJ50" s="1739"/>
      <c r="AK50" s="1730"/>
      <c r="AL50" s="1744"/>
      <c r="AM50" s="1731"/>
      <c r="AN50" s="1718"/>
      <c r="AO50" s="1719">
        <v>30.0</v>
      </c>
      <c r="AP50" s="1720">
        <f>SUMIF('Заполняемость'!$C$8:$C1030,B50,'Заполняемость'!$Z$8:$Z1030)</f>
        <v>0</v>
      </c>
      <c r="AQ50" s="1721">
        <v>9.0</v>
      </c>
      <c r="AR50" s="1716">
        <f t="shared" si="45"/>
        <v>0.3</v>
      </c>
      <c r="AS50" s="1731">
        <f t="shared" si="85"/>
        <v>0</v>
      </c>
      <c r="AT50" s="1741">
        <v>150.0</v>
      </c>
      <c r="AU50" s="1724"/>
      <c r="AV50" s="1724"/>
      <c r="AW50" s="1724"/>
      <c r="AX50" s="1724"/>
      <c r="AY50" s="1724"/>
      <c r="AZ50" s="1724"/>
      <c r="BA50" s="1724"/>
      <c r="BB50" s="1724"/>
      <c r="BC50" s="1724"/>
      <c r="BD50" s="1724"/>
      <c r="BE50" s="1724"/>
      <c r="BF50" s="1724"/>
    </row>
    <row r="51" ht="15.75" customHeight="1">
      <c r="A51" s="1903" t="str">
        <f>'1. Справочник'!B57</f>
        <v>Юлия</v>
      </c>
      <c r="B51" s="1742" t="str">
        <f>'1. Справочник'!C57</f>
        <v>PT2604</v>
      </c>
      <c r="C51" s="147" t="s">
        <v>321</v>
      </c>
      <c r="D51" s="1725">
        <v>50.0</v>
      </c>
      <c r="E51" s="1697">
        <v>50.0</v>
      </c>
      <c r="F51" s="1726">
        <v>0.0</v>
      </c>
      <c r="G51" s="1727">
        <v>50.0</v>
      </c>
      <c r="H51" s="1728">
        <v>80.0</v>
      </c>
      <c r="I51" s="1729">
        <v>100.0</v>
      </c>
      <c r="J51" s="1714">
        <v>31.0</v>
      </c>
      <c r="K51" s="1730">
        <f>SUMIF('Заполняемость'!$C$8:$C1030,B51,'Заполняемость'!$I$8:$I1030)</f>
        <v>24</v>
      </c>
      <c r="L51" s="1716">
        <f t="shared" ref="L51:L52" si="87">K51/J51</f>
        <v>0.7741935484</v>
      </c>
      <c r="M51" s="1731">
        <f t="shared" ref="M51:M52" si="88">IF(L51&lt;=0.5,0,IF(AND(L51&gt;0.5,L51&lt;=0.7),0,IF(AND(L51&gt;0.7,L51&lt;=0.8),50,IF(AND(L51&gt;0.8,L51&lt;=0.9),80,IF(AND(L51&gt;0.9,L51&lt;=2),100,"")))))</f>
        <v>50</v>
      </c>
      <c r="N51" s="1732">
        <f t="shared" ref="N51:N52" si="89">M51+D51</f>
        <v>100</v>
      </c>
      <c r="O51" s="1714">
        <v>30.0</v>
      </c>
      <c r="P51" s="1733">
        <f>SUMIF('Заполняемость'!$C$8:$C1030,B51,'Заполняемость'!$L$8:$L1030)</f>
        <v>24</v>
      </c>
      <c r="Q51" s="1734">
        <v>0.83</v>
      </c>
      <c r="R51" s="1735">
        <f t="shared" ref="R51:R52" si="90">IF(Q51&lt;=0.5,0,IF(AND(Q51&gt;0.5,Q51&lt;=0.7),0,IF(AND(Q51&gt;0.7,Q51&lt;=0.8),50,IF(AND(Q51&gt;0.8,Q51&lt;=0.9),80,IF(AND(Q51&gt;0.9,Q51&lt;=2),100,"")))))</f>
        <v>80</v>
      </c>
      <c r="S51" s="1732">
        <f t="shared" ref="S51:S52" si="91">D51+R51</f>
        <v>130</v>
      </c>
      <c r="T51" s="1714">
        <v>30.0</v>
      </c>
      <c r="U51" s="1733">
        <f t="shared" ref="U51:U52" si="92">31*V51</f>
        <v>26.97</v>
      </c>
      <c r="V51" s="1734">
        <v>0.87</v>
      </c>
      <c r="W51" s="1735">
        <f t="shared" ref="W51:W52" si="93">IF(V51&lt;=0.5,0,IF(AND(V51&gt;0.5,V51&lt;=0.7),0,IF(AND(V51&gt;0.7,V51&lt;=0.8),50,IF(AND(V51&gt;0.8,V51&lt;=0.9),80,IF(AND(V51&gt;0.9,V51&lt;=2),100,"")))))</f>
        <v>80</v>
      </c>
      <c r="X51" s="1732">
        <f t="shared" ref="X51:X52" si="94">D51+W51</f>
        <v>130</v>
      </c>
      <c r="Y51" s="1714">
        <v>31.0</v>
      </c>
      <c r="Z51" s="1733">
        <v>24.0</v>
      </c>
      <c r="AA51" s="1734">
        <f t="shared" ref="AA51:AA52" si="95">Z51/Y51</f>
        <v>0.7741935484</v>
      </c>
      <c r="AB51" s="1735">
        <f t="shared" ref="AB51:AB52" si="96">IF(AA51&lt;=0.5,0,IF(AND(AA51&gt;0.5,AA51&lt;=0.7),0,IF(AND(AA51&gt;0.7,AA51&lt;=0.8),50,IF(AND(AA51&gt;0.8,AA51&lt;=0.9),80,IF(AND(AA51&gt;0.9,AA51&lt;=2),100,"")))))</f>
        <v>50</v>
      </c>
      <c r="AC51" s="1732">
        <f t="shared" ref="AC51:AC52" si="97">AB51+D51</f>
        <v>100</v>
      </c>
      <c r="AD51" s="1714">
        <v>30.0</v>
      </c>
      <c r="AE51" s="1730">
        <v>22.0</v>
      </c>
      <c r="AF51" s="1716">
        <f t="shared" ref="AF51:AF52" si="98">AE51/AD51</f>
        <v>0.7333333333</v>
      </c>
      <c r="AG51" s="1731">
        <f t="shared" ref="AG51:AG52" si="99">IF(AF51&lt;=0.5,0,IF(AND(AF51&gt;0.5,AF51&lt;=0.7),0,IF(AND(AF51&gt;0.7,AF51&lt;=0.8),50,IF(AND(AF51&gt;0.8,AF51&lt;=0.9),80,IF(AND(AF51&gt;0.9,AF51&lt;=2),100,"")))))</f>
        <v>50</v>
      </c>
      <c r="AH51" s="1718">
        <f t="shared" ref="AH51:AH52" si="100">D51+AG51</f>
        <v>100</v>
      </c>
      <c r="AI51" s="1714">
        <v>31.0</v>
      </c>
      <c r="AJ51" s="1739"/>
      <c r="AK51" s="1730">
        <v>13.0</v>
      </c>
      <c r="AL51" s="1744">
        <f t="shared" ref="AL51:AL52" si="101">AK51/AI51</f>
        <v>0.4193548387</v>
      </c>
      <c r="AM51" s="1731">
        <f t="shared" ref="AM51:AM52" si="102">IF(AL51&lt;=0.5,0,IF(AND(AL51&gt;0.5,AL51&lt;=0.7),0,IF(AND(AL51&gt;0.7,AL51&lt;=0.8),50,IF(AND(AL51&gt;0.8,AL51&lt;=0.9),80,IF(AND(AL51&gt;0.9,AL51&lt;=2),100,"")))))</f>
        <v>0</v>
      </c>
      <c r="AN51" s="1718">
        <f t="shared" ref="AN51:AN52" si="103">D51+AM51</f>
        <v>50</v>
      </c>
      <c r="AO51" s="1719">
        <v>30.0</v>
      </c>
      <c r="AP51" s="1720">
        <f>SUMIF('Заполняемость'!$C$8:$C1030,B51,'Заполняемость'!$Z$8:$Z1030)</f>
        <v>0</v>
      </c>
      <c r="AQ51" s="1721">
        <v>21.0</v>
      </c>
      <c r="AR51" s="1716">
        <f t="shared" si="45"/>
        <v>0.7</v>
      </c>
      <c r="AS51" s="1731">
        <f t="shared" si="85"/>
        <v>0</v>
      </c>
      <c r="AT51" s="1718">
        <f t="shared" ref="AT51:AT52" si="104">D51+AS51</f>
        <v>50</v>
      </c>
      <c r="AU51" s="1724"/>
      <c r="AV51" s="1724"/>
      <c r="AW51" s="1724"/>
      <c r="AX51" s="1724"/>
      <c r="AY51" s="1724"/>
      <c r="AZ51" s="1724"/>
      <c r="BA51" s="1724"/>
      <c r="BB51" s="1724"/>
      <c r="BC51" s="1724"/>
      <c r="BD51" s="1724"/>
      <c r="BE51" s="1724"/>
      <c r="BF51" s="1724"/>
    </row>
    <row r="52" ht="15.75" customHeight="1">
      <c r="A52" s="1903" t="str">
        <f>'1. Справочник'!B58</f>
        <v>Юлия</v>
      </c>
      <c r="B52" s="1742" t="str">
        <f>'1. Справочник'!C58</f>
        <v>PT2704</v>
      </c>
      <c r="C52" s="147" t="s">
        <v>321</v>
      </c>
      <c r="D52" s="1725">
        <v>50.0</v>
      </c>
      <c r="E52" s="1697">
        <v>50.0</v>
      </c>
      <c r="F52" s="1726">
        <v>0.0</v>
      </c>
      <c r="G52" s="1727">
        <v>50.0</v>
      </c>
      <c r="H52" s="1728">
        <v>80.0</v>
      </c>
      <c r="I52" s="1729">
        <v>100.0</v>
      </c>
      <c r="J52" s="1714">
        <v>31.0</v>
      </c>
      <c r="K52" s="1730">
        <f>SUMIF('Заполняемость'!$C$8:$C1030,B52,'Заполняемость'!$I$8:$I1030)</f>
        <v>25</v>
      </c>
      <c r="L52" s="1716">
        <f t="shared" si="87"/>
        <v>0.8064516129</v>
      </c>
      <c r="M52" s="1731">
        <f t="shared" si="88"/>
        <v>80</v>
      </c>
      <c r="N52" s="1732">
        <f t="shared" si="89"/>
        <v>130</v>
      </c>
      <c r="O52" s="1714">
        <v>30.0</v>
      </c>
      <c r="P52" s="1733">
        <f>SUMIF('Заполняемость'!$C$8:$C1030,B52,'Заполняемость'!$L$8:$L1030)</f>
        <v>30</v>
      </c>
      <c r="Q52" s="1734">
        <v>0.87</v>
      </c>
      <c r="R52" s="1735">
        <f t="shared" si="90"/>
        <v>80</v>
      </c>
      <c r="S52" s="1732">
        <f t="shared" si="91"/>
        <v>130</v>
      </c>
      <c r="T52" s="1714">
        <v>30.0</v>
      </c>
      <c r="U52" s="1733">
        <f t="shared" si="92"/>
        <v>22.94</v>
      </c>
      <c r="V52" s="1734">
        <v>0.74</v>
      </c>
      <c r="W52" s="1732">
        <f t="shared" si="93"/>
        <v>50</v>
      </c>
      <c r="X52" s="1732">
        <f t="shared" si="94"/>
        <v>100</v>
      </c>
      <c r="Y52" s="1714">
        <v>31.0</v>
      </c>
      <c r="Z52" s="1733">
        <v>25.0</v>
      </c>
      <c r="AA52" s="1734">
        <f t="shared" si="95"/>
        <v>0.8064516129</v>
      </c>
      <c r="AB52" s="1732">
        <f t="shared" si="96"/>
        <v>80</v>
      </c>
      <c r="AC52" s="1732">
        <f t="shared" si="97"/>
        <v>130</v>
      </c>
      <c r="AD52" s="1714">
        <v>30.0</v>
      </c>
      <c r="AE52" s="1730">
        <v>25.0</v>
      </c>
      <c r="AF52" s="1716">
        <f t="shared" si="98"/>
        <v>0.8333333333</v>
      </c>
      <c r="AG52" s="1740">
        <f t="shared" si="99"/>
        <v>80</v>
      </c>
      <c r="AH52" s="1718">
        <f t="shared" si="100"/>
        <v>130</v>
      </c>
      <c r="AI52" s="1714">
        <v>31.0</v>
      </c>
      <c r="AJ52" s="1739"/>
      <c r="AK52" s="1730">
        <v>22.0</v>
      </c>
      <c r="AL52" s="1744">
        <f t="shared" si="101"/>
        <v>0.7096774194</v>
      </c>
      <c r="AM52" s="1731">
        <f t="shared" si="102"/>
        <v>50</v>
      </c>
      <c r="AN52" s="1718">
        <f t="shared" si="103"/>
        <v>100</v>
      </c>
      <c r="AO52" s="1719">
        <v>30.0</v>
      </c>
      <c r="AP52" s="1720">
        <f>SUMIF('Заполняемость'!$C$8:$C1030,B52,'Заполняемость'!$Z$8:$Z1030)</f>
        <v>0</v>
      </c>
      <c r="AQ52" s="1721">
        <v>22.0</v>
      </c>
      <c r="AR52" s="1716">
        <f t="shared" si="45"/>
        <v>0.7333333333</v>
      </c>
      <c r="AS52" s="1731">
        <f t="shared" si="85"/>
        <v>50</v>
      </c>
      <c r="AT52" s="1718">
        <f t="shared" si="104"/>
        <v>100</v>
      </c>
      <c r="AU52" s="1724"/>
      <c r="AV52" s="1724"/>
      <c r="AW52" s="1724"/>
      <c r="AX52" s="1724"/>
      <c r="AY52" s="1724"/>
      <c r="AZ52" s="1724"/>
      <c r="BA52" s="1724"/>
      <c r="BB52" s="1724"/>
      <c r="BC52" s="1724"/>
      <c r="BD52" s="1724"/>
      <c r="BE52" s="1724"/>
      <c r="BF52" s="1724"/>
    </row>
    <row r="53" ht="15.75" hidden="1" customHeight="1">
      <c r="A53" s="1903" t="str">
        <f>'1. Справочник'!B59</f>
        <v>Юлия</v>
      </c>
      <c r="B53" s="1770" t="str">
        <f>'1. Справочник'!C59</f>
        <v>PT3604</v>
      </c>
      <c r="C53" s="147"/>
      <c r="D53" s="1725"/>
      <c r="E53" s="1697"/>
      <c r="F53" s="1726"/>
      <c r="G53" s="1727"/>
      <c r="H53" s="1728"/>
      <c r="I53" s="1729"/>
      <c r="J53" s="1714"/>
      <c r="K53" s="1730"/>
      <c r="L53" s="1716"/>
      <c r="M53" s="1731"/>
      <c r="N53" s="1732"/>
      <c r="O53" s="1714"/>
      <c r="P53" s="1733"/>
      <c r="Q53" s="1734"/>
      <c r="R53" s="1904"/>
      <c r="S53" s="1732"/>
      <c r="T53" s="1714"/>
      <c r="U53" s="1733"/>
      <c r="V53" s="1734"/>
      <c r="W53" s="1732"/>
      <c r="X53" s="1732"/>
      <c r="Y53" s="1714"/>
      <c r="Z53" s="1733"/>
      <c r="AA53" s="1734"/>
      <c r="AB53" s="1732"/>
      <c r="AC53" s="1732"/>
      <c r="AD53" s="1714"/>
      <c r="AE53" s="1730"/>
      <c r="AF53" s="1716"/>
      <c r="AG53" s="1740"/>
      <c r="AH53" s="1718"/>
      <c r="AI53" s="1714"/>
      <c r="AJ53" s="1739"/>
      <c r="AK53" s="1730"/>
      <c r="AL53" s="1744"/>
      <c r="AM53" s="1731"/>
      <c r="AN53" s="1718"/>
      <c r="AO53" s="1719"/>
      <c r="AP53" s="1720">
        <f>SUMIF('Заполняемость'!$C$8:$C1030,B53,'Заполняемость'!$Z$8:$Z1030)</f>
        <v>0</v>
      </c>
      <c r="AQ53" s="1721"/>
      <c r="AR53" s="1716"/>
      <c r="AS53" s="1731"/>
      <c r="AT53" s="1718"/>
      <c r="AU53" s="1724"/>
      <c r="AV53" s="1724"/>
      <c r="AW53" s="1724"/>
      <c r="AX53" s="1724"/>
      <c r="AY53" s="1724"/>
      <c r="AZ53" s="1724"/>
      <c r="BA53" s="1724"/>
      <c r="BB53" s="1724"/>
      <c r="BC53" s="1724"/>
      <c r="BD53" s="1724"/>
      <c r="BE53" s="1724"/>
      <c r="BF53" s="1724"/>
    </row>
    <row r="54" ht="15.75" customHeight="1">
      <c r="A54" s="1903" t="str">
        <f>'1. Справочник'!B63</f>
        <v>Юлия</v>
      </c>
      <c r="B54" s="1742" t="str">
        <f>'1. Справочник'!C63</f>
        <v>MZ 718</v>
      </c>
      <c r="C54" s="147" t="s">
        <v>321</v>
      </c>
      <c r="D54" s="1725">
        <v>50.0</v>
      </c>
      <c r="E54" s="1697">
        <v>50.0</v>
      </c>
      <c r="F54" s="1726">
        <v>0.0</v>
      </c>
      <c r="G54" s="1727">
        <v>50.0</v>
      </c>
      <c r="H54" s="1728">
        <v>80.0</v>
      </c>
      <c r="I54" s="1729">
        <v>100.0</v>
      </c>
      <c r="J54" s="1714">
        <v>31.0</v>
      </c>
      <c r="K54" s="1730">
        <f>SUMIF('Заполняемость'!$C$8:$C1030,B54,'Заполняемость'!$I$8:$I1030)</f>
        <v>20</v>
      </c>
      <c r="L54" s="1716">
        <f t="shared" ref="L54:L65" si="105">K54/J54</f>
        <v>0.6451612903</v>
      </c>
      <c r="M54" s="1731">
        <f t="shared" ref="M54:M65" si="106">IF(L54&lt;=0.5,0,IF(AND(L54&gt;0.5,L54&lt;=0.7),0,IF(AND(L54&gt;0.7,L54&lt;=0.8),50,IF(AND(L54&gt;0.8,L54&lt;=0.9),80,IF(AND(L54&gt;0.9,L54&lt;=2),100,"")))))</f>
        <v>0</v>
      </c>
      <c r="N54" s="1732">
        <f t="shared" ref="N54:N61" si="107">M54+D54</f>
        <v>50</v>
      </c>
      <c r="O54" s="1714">
        <v>30.0</v>
      </c>
      <c r="P54" s="1733">
        <f>SUMIF('Заполняемость'!$C$8:$C1030,B54,'Заполняемость'!$L$8:$L1030)</f>
        <v>20</v>
      </c>
      <c r="Q54" s="1734">
        <f t="shared" ref="Q54:Q65" si="108">P54/O54</f>
        <v>0.6666666667</v>
      </c>
      <c r="R54" s="1904">
        <v>100.0</v>
      </c>
      <c r="S54" s="1732">
        <f t="shared" ref="S54:S65" si="109">D54+R54</f>
        <v>150</v>
      </c>
      <c r="T54" s="1714">
        <v>30.0</v>
      </c>
      <c r="U54" s="1733">
        <f t="shared" ref="U54:U65" si="110">31*V54</f>
        <v>24.8</v>
      </c>
      <c r="V54" s="1734">
        <v>0.8</v>
      </c>
      <c r="W54" s="1732">
        <f t="shared" ref="W54:W55" si="111">IF(V54&lt;=0.5,0,IF(AND(V54&gt;0.5,V54&lt;=0.7),0,IF(AND(V54&gt;0.7,V54&lt;=0.8),50,IF(AND(V54&gt;0.8,V54&lt;=0.9),80,IF(AND(V54&gt;0.9,V54&lt;=2),100,"")))))</f>
        <v>50</v>
      </c>
      <c r="X54" s="1732">
        <f t="shared" ref="X54:X65" si="112">D54+W54</f>
        <v>100</v>
      </c>
      <c r="Y54" s="1714">
        <v>31.0</v>
      </c>
      <c r="Z54" s="1733">
        <v>28.0</v>
      </c>
      <c r="AA54" s="1734">
        <f t="shared" ref="AA54:AA65" si="113">Z54/Y54</f>
        <v>0.9032258065</v>
      </c>
      <c r="AB54" s="1732">
        <f t="shared" ref="AB54:AB65" si="114">IF(AA54&lt;=0.5,0,IF(AND(AA54&gt;0.5,AA54&lt;=0.7),0,IF(AND(AA54&gt;0.7,AA54&lt;=0.8),50,IF(AND(AA54&gt;0.8,AA54&lt;=0.9),80,IF(AND(AA54&gt;0.9,AA54&lt;=2),100,"")))))</f>
        <v>100</v>
      </c>
      <c r="AC54" s="1732">
        <f t="shared" ref="AC54:AC65" si="115">AB54+D54</f>
        <v>150</v>
      </c>
      <c r="AD54" s="1714">
        <v>30.0</v>
      </c>
      <c r="AE54" s="1730">
        <v>22.0</v>
      </c>
      <c r="AF54" s="1716">
        <f t="shared" ref="AF54:AF65" si="116">AE54/AD54</f>
        <v>0.7333333333</v>
      </c>
      <c r="AG54" s="1740">
        <f t="shared" ref="AG54:AG65" si="117">IF(AF54&lt;=0.5,0,IF(AND(AF54&gt;0.5,AF54&lt;=0.7),0,IF(AND(AF54&gt;0.7,AF54&lt;=0.8),50,IF(AND(AF54&gt;0.8,AF54&lt;=0.9),80,IF(AND(AF54&gt;0.9,AF54&lt;=2),100,"")))))</f>
        <v>50</v>
      </c>
      <c r="AH54" s="1718">
        <f t="shared" ref="AH54:AH65" si="118">D54+AG54</f>
        <v>100</v>
      </c>
      <c r="AI54" s="1714">
        <v>31.0</v>
      </c>
      <c r="AJ54" s="1739"/>
      <c r="AK54" s="1730">
        <v>19.0</v>
      </c>
      <c r="AL54" s="1744">
        <f t="shared" ref="AL54:AL65" si="119">AK54/AI54</f>
        <v>0.6129032258</v>
      </c>
      <c r="AM54" s="1731">
        <f t="shared" ref="AM54:AM55" si="120">IF(AL54&lt;=0.5,0,IF(AND(AL54&gt;0.5,AL54&lt;=0.7),0,IF(AND(AL54&gt;0.7,AL54&lt;=0.8),50,IF(AND(AL54&gt;0.8,AL54&lt;=0.9),80,IF(AND(AL54&gt;0.9,AL54&lt;=2),100,"")))))</f>
        <v>0</v>
      </c>
      <c r="AN54" s="1718">
        <f t="shared" ref="AN54:AN56" si="121">D54+AM54</f>
        <v>50</v>
      </c>
      <c r="AO54" s="1719">
        <v>30.0</v>
      </c>
      <c r="AP54" s="1720">
        <f>SUMIF('Заполняемость'!$C$8:$C1030,B54,'Заполняемость'!$Z$8:$Z1030)</f>
        <v>0</v>
      </c>
      <c r="AQ54" s="1721">
        <v>26.0</v>
      </c>
      <c r="AR54" s="1716">
        <f t="shared" ref="AR54:AR65" si="122">AQ54/AO54</f>
        <v>0.8666666667</v>
      </c>
      <c r="AS54" s="1722">
        <v>50.0</v>
      </c>
      <c r="AT54" s="1723">
        <v>100.0</v>
      </c>
      <c r="AU54" s="1724"/>
      <c r="AV54" s="1724"/>
      <c r="AW54" s="1724"/>
      <c r="AX54" s="1724"/>
      <c r="AY54" s="1724"/>
      <c r="AZ54" s="1724"/>
      <c r="BA54" s="1724"/>
      <c r="BB54" s="1724"/>
      <c r="BC54" s="1724"/>
      <c r="BD54" s="1724"/>
      <c r="BE54" s="1724"/>
      <c r="BF54" s="1724"/>
    </row>
    <row r="55" ht="15.75" customHeight="1">
      <c r="A55" s="1903" t="str">
        <f>'1. Справочник'!B64</f>
        <v>Юлия</v>
      </c>
      <c r="B55" s="1742" t="str">
        <f>'1. Справочник'!C64</f>
        <v>MZ 913</v>
      </c>
      <c r="C55" s="147" t="s">
        <v>321</v>
      </c>
      <c r="D55" s="1725">
        <v>50.0</v>
      </c>
      <c r="E55" s="1697">
        <v>50.0</v>
      </c>
      <c r="F55" s="1726">
        <v>0.0</v>
      </c>
      <c r="G55" s="1727">
        <v>50.0</v>
      </c>
      <c r="H55" s="1728">
        <v>80.0</v>
      </c>
      <c r="I55" s="1729">
        <v>100.0</v>
      </c>
      <c r="J55" s="1714">
        <v>31.0</v>
      </c>
      <c r="K55" s="1730">
        <f>SUMIF('Заполняемость'!$C$8:$C1030,B55,'Заполняемость'!$I$8:$I1030)</f>
        <v>16</v>
      </c>
      <c r="L55" s="1716">
        <f t="shared" si="105"/>
        <v>0.5161290323</v>
      </c>
      <c r="M55" s="1731">
        <f t="shared" si="106"/>
        <v>0</v>
      </c>
      <c r="N55" s="1732">
        <f t="shared" si="107"/>
        <v>50</v>
      </c>
      <c r="O55" s="1714">
        <v>30.0</v>
      </c>
      <c r="P55" s="1733">
        <f>SUMIF('Заполняемость'!$C$8:$C1030,B55,'Заполняемость'!$L$8:$L1030)</f>
        <v>28</v>
      </c>
      <c r="Q55" s="1734">
        <f t="shared" si="108"/>
        <v>0.9333333333</v>
      </c>
      <c r="R55" s="1735">
        <f t="shared" ref="R55:R62" si="123">IF(Q55&lt;=0.5,0,IF(AND(Q55&gt;0.5,Q55&lt;=0.7),0,IF(AND(Q55&gt;0.7,Q55&lt;=0.8),50,IF(AND(Q55&gt;0.8,Q55&lt;=0.9),80,IF(AND(Q55&gt;0.9,Q55&lt;=2),100,"")))))</f>
        <v>100</v>
      </c>
      <c r="S55" s="1732">
        <f t="shared" si="109"/>
        <v>150</v>
      </c>
      <c r="T55" s="1714">
        <v>30.0</v>
      </c>
      <c r="U55" s="1733">
        <f t="shared" si="110"/>
        <v>31</v>
      </c>
      <c r="V55" s="1743">
        <v>1.0</v>
      </c>
      <c r="W55" s="1735">
        <f t="shared" si="111"/>
        <v>100</v>
      </c>
      <c r="X55" s="1732">
        <f t="shared" si="112"/>
        <v>150</v>
      </c>
      <c r="Y55" s="1714">
        <v>31.0</v>
      </c>
      <c r="Z55" s="1733">
        <v>28.0</v>
      </c>
      <c r="AA55" s="1743">
        <f t="shared" si="113"/>
        <v>0.9032258065</v>
      </c>
      <c r="AB55" s="1735">
        <f t="shared" si="114"/>
        <v>100</v>
      </c>
      <c r="AC55" s="1732">
        <f t="shared" si="115"/>
        <v>150</v>
      </c>
      <c r="AD55" s="1714">
        <v>30.0</v>
      </c>
      <c r="AE55" s="1730">
        <v>25.0</v>
      </c>
      <c r="AF55" s="1744">
        <f t="shared" si="116"/>
        <v>0.8333333333</v>
      </c>
      <c r="AG55" s="1731">
        <f t="shared" si="117"/>
        <v>80</v>
      </c>
      <c r="AH55" s="1718">
        <f t="shared" si="118"/>
        <v>130</v>
      </c>
      <c r="AI55" s="1714">
        <v>31.0</v>
      </c>
      <c r="AJ55" s="1739"/>
      <c r="AK55" s="1730">
        <v>19.0</v>
      </c>
      <c r="AL55" s="1744">
        <f t="shared" si="119"/>
        <v>0.6129032258</v>
      </c>
      <c r="AM55" s="1731">
        <f t="shared" si="120"/>
        <v>0</v>
      </c>
      <c r="AN55" s="1718">
        <f t="shared" si="121"/>
        <v>50</v>
      </c>
      <c r="AO55" s="1719">
        <v>30.0</v>
      </c>
      <c r="AP55" s="1720">
        <f>SUMIF('Заполняемость'!$C$8:$C1030,B55,'Заполняемость'!$Z$8:$Z1030)</f>
        <v>0</v>
      </c>
      <c r="AQ55" s="1721">
        <v>29.0</v>
      </c>
      <c r="AR55" s="1716">
        <f t="shared" si="122"/>
        <v>0.9666666667</v>
      </c>
      <c r="AS55" s="1722">
        <v>50.0</v>
      </c>
      <c r="AT55" s="1723">
        <v>100.0</v>
      </c>
      <c r="AU55" s="1724"/>
      <c r="AV55" s="1724"/>
      <c r="AW55" s="1724"/>
      <c r="AX55" s="1724"/>
      <c r="AY55" s="1724"/>
      <c r="AZ55" s="1724"/>
      <c r="BA55" s="1724"/>
      <c r="BB55" s="1724"/>
      <c r="BC55" s="1724"/>
      <c r="BD55" s="1724"/>
      <c r="BE55" s="1724"/>
      <c r="BF55" s="1724"/>
    </row>
    <row r="56" ht="15.75" customHeight="1">
      <c r="A56" s="1903" t="str">
        <f>'1. Справочник'!B65</f>
        <v>Юлия</v>
      </c>
      <c r="B56" s="1742" t="str">
        <f>'1. Справочник'!C65</f>
        <v>MZ 1408</v>
      </c>
      <c r="C56" s="147" t="s">
        <v>321</v>
      </c>
      <c r="D56" s="1725">
        <v>50.0</v>
      </c>
      <c r="E56" s="1697">
        <v>50.0</v>
      </c>
      <c r="F56" s="1726">
        <v>0.0</v>
      </c>
      <c r="G56" s="1727">
        <v>50.0</v>
      </c>
      <c r="H56" s="1728">
        <v>80.0</v>
      </c>
      <c r="I56" s="1729">
        <v>100.0</v>
      </c>
      <c r="J56" s="1714">
        <v>31.0</v>
      </c>
      <c r="K56" s="1730">
        <f>SUMIF('Заполняемость'!$C$8:$C1030,B56,'Заполняемость'!$I$8:$I1030)</f>
        <v>0</v>
      </c>
      <c r="L56" s="1716">
        <f t="shared" si="105"/>
        <v>0</v>
      </c>
      <c r="M56" s="1731">
        <f t="shared" si="106"/>
        <v>0</v>
      </c>
      <c r="N56" s="1732">
        <f t="shared" si="107"/>
        <v>50</v>
      </c>
      <c r="O56" s="1714">
        <v>30.0</v>
      </c>
      <c r="P56" s="1733">
        <f>SUMIF('Заполняемость'!$C$8:$C1030,B56,'Заполняемость'!$L$8:$L1030)</f>
        <v>0</v>
      </c>
      <c r="Q56" s="1734">
        <f t="shared" si="108"/>
        <v>0</v>
      </c>
      <c r="R56" s="1904">
        <f t="shared" si="123"/>
        <v>0</v>
      </c>
      <c r="S56" s="1732">
        <f t="shared" si="109"/>
        <v>50</v>
      </c>
      <c r="T56" s="1714">
        <v>30.0</v>
      </c>
      <c r="U56" s="1733">
        <f t="shared" si="110"/>
        <v>21.08</v>
      </c>
      <c r="V56" s="1734">
        <v>0.68</v>
      </c>
      <c r="W56" s="1905">
        <v>50.0</v>
      </c>
      <c r="X56" s="1732">
        <f t="shared" si="112"/>
        <v>100</v>
      </c>
      <c r="Y56" s="1714">
        <v>31.0</v>
      </c>
      <c r="Z56" s="1733">
        <v>28.0</v>
      </c>
      <c r="AA56" s="1734">
        <f t="shared" si="113"/>
        <v>0.9032258065</v>
      </c>
      <c r="AB56" s="1735">
        <f t="shared" si="114"/>
        <v>100</v>
      </c>
      <c r="AC56" s="1732">
        <f t="shared" si="115"/>
        <v>150</v>
      </c>
      <c r="AD56" s="1714">
        <v>30.0</v>
      </c>
      <c r="AE56" s="1730">
        <v>27.0</v>
      </c>
      <c r="AF56" s="1716">
        <f t="shared" si="116"/>
        <v>0.9</v>
      </c>
      <c r="AG56" s="1731">
        <f t="shared" si="117"/>
        <v>80</v>
      </c>
      <c r="AH56" s="1718">
        <f t="shared" si="118"/>
        <v>130</v>
      </c>
      <c r="AI56" s="1714">
        <v>31.0</v>
      </c>
      <c r="AJ56" s="1739"/>
      <c r="AK56" s="1730">
        <v>31.0</v>
      </c>
      <c r="AL56" s="1744">
        <f t="shared" si="119"/>
        <v>1</v>
      </c>
      <c r="AM56" s="1717">
        <v>50.0</v>
      </c>
      <c r="AN56" s="1718">
        <f t="shared" si="121"/>
        <v>100</v>
      </c>
      <c r="AO56" s="1719">
        <v>30.0</v>
      </c>
      <c r="AP56" s="1720">
        <f>SUMIF('Заполняемость'!$C$8:$C1030,B56,'Заполняемость'!$Z$8:$Z1030)</f>
        <v>0</v>
      </c>
      <c r="AQ56" s="1721">
        <v>0.0</v>
      </c>
      <c r="AR56" s="1716">
        <f t="shared" si="122"/>
        <v>0</v>
      </c>
      <c r="AS56" s="1731">
        <f t="shared" ref="AS56:AS57" si="124">IF(AR56&lt;=0.5,0,IF(AND(AR56&gt;0.5,AR56&lt;=0.7),0,IF(AND(AR56&gt;0.7,AR56&lt;=0.8),50,IF(AND(AR56&gt;0.8,AR56&lt;=0.9),80,IF(AND(AR56&gt;0.9,AR56&lt;=2),100,"")))))</f>
        <v>0</v>
      </c>
      <c r="AT56" s="1718">
        <f>D56+AS56</f>
        <v>50</v>
      </c>
      <c r="AU56" s="1724"/>
      <c r="AV56" s="1724"/>
      <c r="AW56" s="1724"/>
      <c r="AX56" s="1724"/>
      <c r="AY56" s="1724"/>
      <c r="AZ56" s="1724"/>
      <c r="BA56" s="1724"/>
      <c r="BB56" s="1724"/>
      <c r="BC56" s="1724"/>
      <c r="BD56" s="1724"/>
      <c r="BE56" s="1724"/>
      <c r="BF56" s="1724"/>
    </row>
    <row r="57" ht="15.75" customHeight="1">
      <c r="A57" s="1903" t="str">
        <f>'1. Справочник'!B66</f>
        <v>Юлия</v>
      </c>
      <c r="B57" s="1742" t="str">
        <f>'1. Справочник'!C66</f>
        <v>MZ А 1113</v>
      </c>
      <c r="C57" s="147" t="s">
        <v>321</v>
      </c>
      <c r="D57" s="1725">
        <v>50.0</v>
      </c>
      <c r="E57" s="1697">
        <v>50.0</v>
      </c>
      <c r="F57" s="1726">
        <v>0.0</v>
      </c>
      <c r="G57" s="1727">
        <v>50.0</v>
      </c>
      <c r="H57" s="1728">
        <v>80.0</v>
      </c>
      <c r="I57" s="1729">
        <v>100.0</v>
      </c>
      <c r="J57" s="1714">
        <v>31.0</v>
      </c>
      <c r="K57" s="1730">
        <f>SUMIF('Заполняемость'!$C$8:$C1030,B57,'Заполняемость'!$I$8:$I1030)</f>
        <v>0</v>
      </c>
      <c r="L57" s="1716">
        <f t="shared" si="105"/>
        <v>0</v>
      </c>
      <c r="M57" s="1731">
        <f t="shared" si="106"/>
        <v>0</v>
      </c>
      <c r="N57" s="1732">
        <f t="shared" si="107"/>
        <v>50</v>
      </c>
      <c r="O57" s="1714">
        <v>30.0</v>
      </c>
      <c r="P57" s="1733">
        <f>SUMIF('Заполняемость'!$C$8:$C1030,B57,'Заполняемость'!$L$8:$L1030)</f>
        <v>0</v>
      </c>
      <c r="Q57" s="1734">
        <f t="shared" si="108"/>
        <v>0</v>
      </c>
      <c r="R57" s="1904">
        <f t="shared" si="123"/>
        <v>0</v>
      </c>
      <c r="S57" s="1732">
        <f t="shared" si="109"/>
        <v>50</v>
      </c>
      <c r="T57" s="1714">
        <v>30.0</v>
      </c>
      <c r="U57" s="1733">
        <f t="shared" si="110"/>
        <v>26.04</v>
      </c>
      <c r="V57" s="1734">
        <v>0.84</v>
      </c>
      <c r="W57" s="1735">
        <f>IF(V57&lt;=0.5,0,IF(AND(V57&gt;0.5,V57&lt;=0.7),0,IF(AND(V57&gt;0.7,V57&lt;=0.8),50,IF(AND(V57&gt;0.8,V57&lt;=0.9),80,IF(AND(V57&gt;0.9,V57&lt;=2),100,"")))))</f>
        <v>80</v>
      </c>
      <c r="X57" s="1732">
        <f t="shared" si="112"/>
        <v>130</v>
      </c>
      <c r="Y57" s="1714">
        <v>31.0</v>
      </c>
      <c r="Z57" s="1733">
        <v>26.0</v>
      </c>
      <c r="AA57" s="1734">
        <f t="shared" si="113"/>
        <v>0.8387096774</v>
      </c>
      <c r="AB57" s="1735">
        <f t="shared" si="114"/>
        <v>80</v>
      </c>
      <c r="AC57" s="1732">
        <f t="shared" si="115"/>
        <v>130</v>
      </c>
      <c r="AD57" s="1714">
        <v>30.0</v>
      </c>
      <c r="AE57" s="1730">
        <v>25.0</v>
      </c>
      <c r="AF57" s="1716">
        <f t="shared" si="116"/>
        <v>0.8333333333</v>
      </c>
      <c r="AG57" s="1731">
        <f t="shared" si="117"/>
        <v>80</v>
      </c>
      <c r="AH57" s="1718">
        <f t="shared" si="118"/>
        <v>130</v>
      </c>
      <c r="AI57" s="1714">
        <v>31.0</v>
      </c>
      <c r="AJ57" s="1739"/>
      <c r="AK57" s="1730">
        <v>0.0</v>
      </c>
      <c r="AL57" s="1744">
        <f t="shared" si="119"/>
        <v>0</v>
      </c>
      <c r="AM57" s="1731">
        <f>IF(AL57&lt;=0.5,0,IF(AND(AL57&gt;0.5,AL57&lt;=0.7),0,IF(AND(AL57&gt;0.7,AL57&lt;=0.8),50,IF(AND(AL57&gt;0.8,AL57&lt;=0.9),80,IF(AND(AL57&gt;0.9,AL57&lt;=2),100,"")))))</f>
        <v>0</v>
      </c>
      <c r="AN57" s="1718" t="s">
        <v>441</v>
      </c>
      <c r="AO57" s="1719">
        <v>30.0</v>
      </c>
      <c r="AP57" s="1720">
        <f>SUMIF('Заполняемость'!$C$8:$C1030,B57,'Заполняемость'!$Z$8:$Z1030)</f>
        <v>0</v>
      </c>
      <c r="AQ57" s="1721">
        <v>12.0</v>
      </c>
      <c r="AR57" s="1716">
        <f t="shared" si="122"/>
        <v>0.4</v>
      </c>
      <c r="AS57" s="1731">
        <f t="shared" si="124"/>
        <v>0</v>
      </c>
      <c r="AT57" s="1741">
        <v>150.0</v>
      </c>
      <c r="AU57" s="1724"/>
      <c r="AV57" s="1724"/>
      <c r="AW57" s="1724"/>
      <c r="AX57" s="1724"/>
      <c r="AY57" s="1724"/>
      <c r="AZ57" s="1724"/>
      <c r="BA57" s="1724"/>
      <c r="BB57" s="1724"/>
      <c r="BC57" s="1724"/>
      <c r="BD57" s="1724"/>
      <c r="BE57" s="1724"/>
      <c r="BF57" s="1724"/>
    </row>
    <row r="58" ht="15.75" customHeight="1">
      <c r="A58" s="1903" t="str">
        <f>'1. Справочник'!B60</f>
        <v>Дина</v>
      </c>
      <c r="B58" s="1742" t="str">
        <f>'1. Справочник'!C60</f>
        <v>NW 2-5</v>
      </c>
      <c r="C58" s="147" t="s">
        <v>321</v>
      </c>
      <c r="D58" s="1725">
        <v>50.0</v>
      </c>
      <c r="E58" s="1697">
        <v>50.0</v>
      </c>
      <c r="F58" s="1726">
        <v>0.0</v>
      </c>
      <c r="G58" s="1727">
        <v>50.0</v>
      </c>
      <c r="H58" s="1728">
        <v>80.0</v>
      </c>
      <c r="I58" s="1729">
        <v>100.0</v>
      </c>
      <c r="J58" s="1714">
        <v>31.0</v>
      </c>
      <c r="K58" s="1730">
        <f>SUMIF('Заполняемость'!$C$8:$C1030,B58,'Заполняемость'!$I$8:$I1030)</f>
        <v>0</v>
      </c>
      <c r="L58" s="1716">
        <f t="shared" si="105"/>
        <v>0</v>
      </c>
      <c r="M58" s="1731">
        <f t="shared" si="106"/>
        <v>0</v>
      </c>
      <c r="N58" s="1732">
        <f t="shared" si="107"/>
        <v>50</v>
      </c>
      <c r="O58" s="1714">
        <v>30.0</v>
      </c>
      <c r="P58" s="1733">
        <f>SUMIF('Заполняемость'!$C$8:$C1030,B58,'Заполняемость'!$L$8:$L1030)</f>
        <v>0</v>
      </c>
      <c r="Q58" s="1734">
        <f t="shared" si="108"/>
        <v>0</v>
      </c>
      <c r="R58" s="1904">
        <f t="shared" si="123"/>
        <v>0</v>
      </c>
      <c r="S58" s="1732">
        <f t="shared" si="109"/>
        <v>50</v>
      </c>
      <c r="T58" s="1714">
        <v>30.0</v>
      </c>
      <c r="U58" s="1733">
        <f t="shared" si="110"/>
        <v>1.86</v>
      </c>
      <c r="V58" s="1734">
        <v>0.06</v>
      </c>
      <c r="W58" s="1904">
        <v>100.0</v>
      </c>
      <c r="X58" s="1732">
        <f t="shared" si="112"/>
        <v>150</v>
      </c>
      <c r="Y58" s="1714">
        <v>31.0</v>
      </c>
      <c r="Z58" s="1733">
        <v>27.0</v>
      </c>
      <c r="AA58" s="1734">
        <f t="shared" si="113"/>
        <v>0.8709677419</v>
      </c>
      <c r="AB58" s="1735">
        <f t="shared" si="114"/>
        <v>80</v>
      </c>
      <c r="AC58" s="1732">
        <f t="shared" si="115"/>
        <v>130</v>
      </c>
      <c r="AD58" s="1714">
        <v>30.0</v>
      </c>
      <c r="AE58" s="1730">
        <v>22.0</v>
      </c>
      <c r="AF58" s="1716">
        <f t="shared" si="116"/>
        <v>0.7333333333</v>
      </c>
      <c r="AG58" s="1731">
        <f t="shared" si="117"/>
        <v>50</v>
      </c>
      <c r="AH58" s="1718">
        <f t="shared" si="118"/>
        <v>100</v>
      </c>
      <c r="AI58" s="1714">
        <v>31.0</v>
      </c>
      <c r="AJ58" s="1739"/>
      <c r="AK58" s="1730">
        <v>19.0</v>
      </c>
      <c r="AL58" s="1744">
        <f t="shared" si="119"/>
        <v>0.6129032258</v>
      </c>
      <c r="AM58" s="1906">
        <v>100.0</v>
      </c>
      <c r="AN58" s="1718">
        <f t="shared" ref="AN58:AN65" si="125">D58+AM58</f>
        <v>150</v>
      </c>
      <c r="AO58" s="1719">
        <v>30.0</v>
      </c>
      <c r="AP58" s="1720">
        <f>SUMIF('Заполняемость'!$C$8:$C1030,B58,'Заполняемость'!$Z$8:$Z1030)</f>
        <v>0</v>
      </c>
      <c r="AQ58" s="1721">
        <v>29.0</v>
      </c>
      <c r="AR58" s="1716">
        <f t="shared" si="122"/>
        <v>0.9666666667</v>
      </c>
      <c r="AS58" s="1722">
        <v>50.0</v>
      </c>
      <c r="AT58" s="1723">
        <v>100.0</v>
      </c>
      <c r="AU58" s="1724"/>
      <c r="AV58" s="1724"/>
      <c r="AW58" s="1724"/>
      <c r="AX58" s="1724"/>
      <c r="AY58" s="1724"/>
      <c r="AZ58" s="1724"/>
      <c r="BA58" s="1724"/>
      <c r="BB58" s="1724"/>
      <c r="BC58" s="1724"/>
      <c r="BD58" s="1724"/>
      <c r="BE58" s="1724"/>
      <c r="BF58" s="1724"/>
    </row>
    <row r="59" ht="15.75" hidden="1" customHeight="1">
      <c r="A59" s="1903" t="str">
        <f>'1. Справочник'!B136</f>
        <v>Дина</v>
      </c>
      <c r="B59" s="1742" t="str">
        <f>'1. Справочник'!C136</f>
        <v>NW 4-9</v>
      </c>
      <c r="C59" s="147" t="s">
        <v>321</v>
      </c>
      <c r="D59" s="1725">
        <v>50.0</v>
      </c>
      <c r="E59" s="1697">
        <v>50.0</v>
      </c>
      <c r="F59" s="1726">
        <v>0.0</v>
      </c>
      <c r="G59" s="1727">
        <v>50.0</v>
      </c>
      <c r="H59" s="1728">
        <v>80.0</v>
      </c>
      <c r="I59" s="1729">
        <v>100.0</v>
      </c>
      <c r="J59" s="1714">
        <v>31.0</v>
      </c>
      <c r="K59" s="1730">
        <f>SUMIF('Заполняемость'!$C$8:$C1030,B59,'Заполняемость'!$I$8:$I1030)</f>
        <v>0</v>
      </c>
      <c r="L59" s="1716">
        <f t="shared" si="105"/>
        <v>0</v>
      </c>
      <c r="M59" s="1731">
        <f t="shared" si="106"/>
        <v>0</v>
      </c>
      <c r="N59" s="1732">
        <f t="shared" si="107"/>
        <v>50</v>
      </c>
      <c r="O59" s="1714">
        <v>30.0</v>
      </c>
      <c r="P59" s="1733">
        <f>SUMIF('Заполняемость'!$C$8:$C1030,B59,'Заполняемость'!$L$8:$L1030)</f>
        <v>0</v>
      </c>
      <c r="Q59" s="1734">
        <f t="shared" si="108"/>
        <v>0</v>
      </c>
      <c r="R59" s="1904">
        <f t="shared" si="123"/>
        <v>0</v>
      </c>
      <c r="S59" s="1732">
        <f t="shared" si="109"/>
        <v>50</v>
      </c>
      <c r="T59" s="1714">
        <v>30.0</v>
      </c>
      <c r="U59" s="1733">
        <f t="shared" si="110"/>
        <v>26.04</v>
      </c>
      <c r="V59" s="1734">
        <v>0.84</v>
      </c>
      <c r="W59" s="1735">
        <f t="shared" ref="W59:W65" si="126">IF(V59&lt;=0.5,0,IF(AND(V59&gt;0.5,V59&lt;=0.7),0,IF(AND(V59&gt;0.7,V59&lt;=0.8),50,IF(AND(V59&gt;0.8,V59&lt;=0.9),80,IF(AND(V59&gt;0.9,V59&lt;=2),100,"")))))</f>
        <v>80</v>
      </c>
      <c r="X59" s="1732">
        <f t="shared" si="112"/>
        <v>130</v>
      </c>
      <c r="Y59" s="1714">
        <v>31.0</v>
      </c>
      <c r="Z59" s="1733">
        <v>30.0</v>
      </c>
      <c r="AA59" s="1734">
        <f t="shared" si="113"/>
        <v>0.9677419355</v>
      </c>
      <c r="AB59" s="1735">
        <f t="shared" si="114"/>
        <v>100</v>
      </c>
      <c r="AC59" s="1732">
        <f t="shared" si="115"/>
        <v>150</v>
      </c>
      <c r="AD59" s="1714">
        <v>30.0</v>
      </c>
      <c r="AE59" s="1730">
        <v>28.0</v>
      </c>
      <c r="AF59" s="1716">
        <f t="shared" si="116"/>
        <v>0.9333333333</v>
      </c>
      <c r="AG59" s="1731">
        <f t="shared" si="117"/>
        <v>100</v>
      </c>
      <c r="AH59" s="1718">
        <f t="shared" si="118"/>
        <v>150</v>
      </c>
      <c r="AI59" s="1714">
        <v>31.0</v>
      </c>
      <c r="AJ59" s="1739"/>
      <c r="AK59" s="1730">
        <v>1.0</v>
      </c>
      <c r="AL59" s="1907">
        <f t="shared" si="119"/>
        <v>0.03225806452</v>
      </c>
      <c r="AM59" s="1717">
        <v>50.0</v>
      </c>
      <c r="AN59" s="1718">
        <f t="shared" si="125"/>
        <v>100</v>
      </c>
      <c r="AO59" s="1719">
        <v>30.0</v>
      </c>
      <c r="AP59" s="1767">
        <f>SUMIF('Заполняемость'!$C$8:$C1030,B59,'Заполняемость'!$Z$8:$Z1030)</f>
        <v>0</v>
      </c>
      <c r="AQ59" s="1768">
        <v>0.0</v>
      </c>
      <c r="AR59" s="1716">
        <f t="shared" si="122"/>
        <v>0</v>
      </c>
      <c r="AS59" s="1731">
        <f t="shared" ref="AS59:AS61" si="127">IF(AR59&lt;=0.5,0,IF(AND(AR59&gt;0.5,AR59&lt;=0.7),0,IF(AND(AR59&gt;0.7,AR59&lt;=0.8),50,IF(AND(AR59&gt;0.8,AR59&lt;=0.9),80,IF(AND(AR59&gt;0.9,AR59&lt;=2),100,"")))))</f>
        <v>0</v>
      </c>
      <c r="AT59" s="1718"/>
      <c r="AU59" s="1724"/>
      <c r="AV59" s="1724"/>
      <c r="AW59" s="1724"/>
      <c r="AX59" s="1724"/>
      <c r="AY59" s="1724"/>
      <c r="AZ59" s="1724"/>
      <c r="BA59" s="1724"/>
      <c r="BB59" s="1724"/>
      <c r="BC59" s="1724"/>
      <c r="BD59" s="1724"/>
      <c r="BE59" s="1724"/>
      <c r="BF59" s="1724"/>
    </row>
    <row r="60" ht="15.75" hidden="1" customHeight="1">
      <c r="A60" s="1903" t="str">
        <f>'1. Справочник'!B137</f>
        <v>Дина</v>
      </c>
      <c r="B60" s="1742" t="str">
        <f>'1. Справочник'!C137</f>
        <v>NW 4-10</v>
      </c>
      <c r="C60" s="147" t="s">
        <v>321</v>
      </c>
      <c r="D60" s="1725">
        <v>50.0</v>
      </c>
      <c r="E60" s="1697">
        <v>50.0</v>
      </c>
      <c r="F60" s="1726">
        <v>0.0</v>
      </c>
      <c r="G60" s="1727">
        <v>50.0</v>
      </c>
      <c r="H60" s="1728">
        <v>80.0</v>
      </c>
      <c r="I60" s="1729">
        <v>100.0</v>
      </c>
      <c r="J60" s="1714">
        <v>31.0</v>
      </c>
      <c r="K60" s="1730">
        <f>SUMIF('Заполняемость'!$C$8:$C1030,B60,'Заполняемость'!$I$8:$I1030)</f>
        <v>0</v>
      </c>
      <c r="L60" s="1716">
        <f t="shared" si="105"/>
        <v>0</v>
      </c>
      <c r="M60" s="1731">
        <f t="shared" si="106"/>
        <v>0</v>
      </c>
      <c r="N60" s="1732">
        <f t="shared" si="107"/>
        <v>50</v>
      </c>
      <c r="O60" s="1714">
        <v>30.0</v>
      </c>
      <c r="P60" s="1733">
        <f>SUMIF('Заполняемость'!$C$8:$C1030,B60,'Заполняемость'!$L$8:$L1030)</f>
        <v>0</v>
      </c>
      <c r="Q60" s="1734">
        <f t="shared" si="108"/>
        <v>0</v>
      </c>
      <c r="R60" s="1904">
        <f t="shared" si="123"/>
        <v>0</v>
      </c>
      <c r="S60" s="1732">
        <f t="shared" si="109"/>
        <v>50</v>
      </c>
      <c r="T60" s="1714">
        <v>30.0</v>
      </c>
      <c r="U60" s="1733">
        <f t="shared" si="110"/>
        <v>30.07</v>
      </c>
      <c r="V60" s="1743">
        <v>0.97</v>
      </c>
      <c r="W60" s="1735">
        <f t="shared" si="126"/>
        <v>100</v>
      </c>
      <c r="X60" s="1732">
        <f t="shared" si="112"/>
        <v>150</v>
      </c>
      <c r="Y60" s="1714">
        <v>31.0</v>
      </c>
      <c r="Z60" s="1733">
        <v>25.0</v>
      </c>
      <c r="AA60" s="1743">
        <f t="shared" si="113"/>
        <v>0.8064516129</v>
      </c>
      <c r="AB60" s="1735">
        <f t="shared" si="114"/>
        <v>80</v>
      </c>
      <c r="AC60" s="1732">
        <f t="shared" si="115"/>
        <v>130</v>
      </c>
      <c r="AD60" s="1714">
        <v>30.0</v>
      </c>
      <c r="AE60" s="1730">
        <v>30.0</v>
      </c>
      <c r="AF60" s="1716">
        <f t="shared" si="116"/>
        <v>1</v>
      </c>
      <c r="AG60" s="1731">
        <f t="shared" si="117"/>
        <v>100</v>
      </c>
      <c r="AH60" s="1718">
        <f t="shared" si="118"/>
        <v>150</v>
      </c>
      <c r="AI60" s="1714">
        <v>31.0</v>
      </c>
      <c r="AJ60" s="1739"/>
      <c r="AK60" s="1730">
        <v>0.0</v>
      </c>
      <c r="AL60" s="1744">
        <f t="shared" si="119"/>
        <v>0</v>
      </c>
      <c r="AM60" s="1731">
        <f>IF(AL60&lt;=0.5,0,IF(AND(AL60&gt;0.5,AL60&lt;=0.7),0,IF(AND(AL60&gt;0.7,AL60&lt;=0.8),50,IF(AND(AL60&gt;0.8,AL60&lt;=0.9),80,IF(AND(AL60&gt;0.9,AL60&lt;=2),100,"")))))</f>
        <v>0</v>
      </c>
      <c r="AN60" s="1718">
        <f t="shared" si="125"/>
        <v>50</v>
      </c>
      <c r="AO60" s="1719">
        <v>30.0</v>
      </c>
      <c r="AP60" s="1767">
        <f>SUMIF('Заполняемость'!$C$8:$C1030,B60,'Заполняемость'!$Z$8:$Z1030)</f>
        <v>0</v>
      </c>
      <c r="AQ60" s="1768">
        <v>0.0</v>
      </c>
      <c r="AR60" s="1716">
        <f t="shared" si="122"/>
        <v>0</v>
      </c>
      <c r="AS60" s="1731">
        <f t="shared" si="127"/>
        <v>0</v>
      </c>
      <c r="AT60" s="1718"/>
      <c r="AU60" s="1724"/>
      <c r="AV60" s="1724"/>
      <c r="AW60" s="1724"/>
      <c r="AX60" s="1724"/>
      <c r="AY60" s="1724"/>
      <c r="AZ60" s="1724"/>
      <c r="BA60" s="1724"/>
      <c r="BB60" s="1724"/>
      <c r="BC60" s="1724"/>
      <c r="BD60" s="1724"/>
      <c r="BE60" s="1724"/>
      <c r="BF60" s="1724"/>
    </row>
    <row r="61" ht="15.75" hidden="1" customHeight="1">
      <c r="A61" s="1903" t="str">
        <f>'1. Справочник'!B138</f>
        <v>Дина</v>
      </c>
      <c r="B61" s="1742" t="str">
        <f>'1. Справочник'!C138</f>
        <v>NW 10-6</v>
      </c>
      <c r="C61" s="147" t="s">
        <v>321</v>
      </c>
      <c r="D61" s="1725">
        <v>50.0</v>
      </c>
      <c r="E61" s="1697">
        <v>50.0</v>
      </c>
      <c r="F61" s="1726">
        <v>0.0</v>
      </c>
      <c r="G61" s="1727">
        <v>50.0</v>
      </c>
      <c r="H61" s="1728">
        <v>80.0</v>
      </c>
      <c r="I61" s="1729">
        <v>100.0</v>
      </c>
      <c r="J61" s="1714">
        <v>31.0</v>
      </c>
      <c r="K61" s="1730">
        <f>SUMIF('Заполняемость'!$C$8:$C1030,B61,'Заполняемость'!$I$8:$I1030)</f>
        <v>0</v>
      </c>
      <c r="L61" s="1716">
        <f t="shared" si="105"/>
        <v>0</v>
      </c>
      <c r="M61" s="1731">
        <f t="shared" si="106"/>
        <v>0</v>
      </c>
      <c r="N61" s="1732">
        <f t="shared" si="107"/>
        <v>50</v>
      </c>
      <c r="O61" s="1714">
        <v>30.0</v>
      </c>
      <c r="P61" s="1733">
        <f>SUMIF('Заполняемость'!$C$8:$C1030,B61,'Заполняемость'!$L$8:$L1030)</f>
        <v>0</v>
      </c>
      <c r="Q61" s="1734">
        <f t="shared" si="108"/>
        <v>0</v>
      </c>
      <c r="R61" s="1904">
        <f t="shared" si="123"/>
        <v>0</v>
      </c>
      <c r="S61" s="1732">
        <f t="shared" si="109"/>
        <v>50</v>
      </c>
      <c r="T61" s="1714">
        <v>30.0</v>
      </c>
      <c r="U61" s="1733">
        <f t="shared" si="110"/>
        <v>21.08</v>
      </c>
      <c r="V61" s="1734">
        <v>0.68</v>
      </c>
      <c r="W61" s="1737">
        <f t="shared" si="126"/>
        <v>0</v>
      </c>
      <c r="X61" s="1732">
        <f t="shared" si="112"/>
        <v>50</v>
      </c>
      <c r="Y61" s="1714">
        <v>31.0</v>
      </c>
      <c r="Z61" s="1733">
        <v>21.0</v>
      </c>
      <c r="AA61" s="1734">
        <f t="shared" si="113"/>
        <v>0.6774193548</v>
      </c>
      <c r="AB61" s="1737">
        <f t="shared" si="114"/>
        <v>0</v>
      </c>
      <c r="AC61" s="1732">
        <f t="shared" si="115"/>
        <v>50</v>
      </c>
      <c r="AD61" s="1714">
        <v>30.0</v>
      </c>
      <c r="AE61" s="1730">
        <v>21.0</v>
      </c>
      <c r="AF61" s="1716">
        <f t="shared" si="116"/>
        <v>0.7</v>
      </c>
      <c r="AG61" s="1738">
        <f t="shared" si="117"/>
        <v>0</v>
      </c>
      <c r="AH61" s="1718">
        <f t="shared" si="118"/>
        <v>50</v>
      </c>
      <c r="AI61" s="1714">
        <v>31.0</v>
      </c>
      <c r="AJ61" s="1739"/>
      <c r="AK61" s="1730">
        <v>31.0</v>
      </c>
      <c r="AL61" s="1744">
        <f t="shared" si="119"/>
        <v>1</v>
      </c>
      <c r="AM61" s="1717">
        <v>50.0</v>
      </c>
      <c r="AN61" s="1718">
        <f t="shared" si="125"/>
        <v>100</v>
      </c>
      <c r="AO61" s="1719">
        <v>30.0</v>
      </c>
      <c r="AP61" s="1767">
        <f>SUMIF('Заполняемость'!$C$8:$C1030,B61,'Заполняемость'!$Z$8:$Z1030)</f>
        <v>0</v>
      </c>
      <c r="AQ61" s="1768">
        <v>0.0</v>
      </c>
      <c r="AR61" s="1716">
        <f t="shared" si="122"/>
        <v>0</v>
      </c>
      <c r="AS61" s="1731">
        <f t="shared" si="127"/>
        <v>0</v>
      </c>
      <c r="AT61" s="1718">
        <f t="shared" ref="AT61:AT65" si="128">D61+AS61</f>
        <v>50</v>
      </c>
      <c r="AU61" s="1724"/>
      <c r="AV61" s="1724"/>
      <c r="AW61" s="1724"/>
      <c r="AX61" s="1724"/>
      <c r="AY61" s="1724"/>
      <c r="AZ61" s="1724"/>
      <c r="BA61" s="1724"/>
      <c r="BB61" s="1724"/>
      <c r="BC61" s="1724"/>
      <c r="BD61" s="1724"/>
      <c r="BE61" s="1724"/>
      <c r="BF61" s="1724"/>
    </row>
    <row r="62" ht="15.75" customHeight="1">
      <c r="A62" s="1903" t="str">
        <f>'1. Справочник'!B61</f>
        <v>Дина</v>
      </c>
      <c r="B62" s="1742" t="str">
        <f>'1. Справочник'!C61</f>
        <v>NW 3-7</v>
      </c>
      <c r="C62" s="147" t="s">
        <v>321</v>
      </c>
      <c r="D62" s="1725">
        <v>50.0</v>
      </c>
      <c r="E62" s="1697">
        <v>50.0</v>
      </c>
      <c r="F62" s="1726">
        <v>0.0</v>
      </c>
      <c r="G62" s="1727">
        <v>50.0</v>
      </c>
      <c r="H62" s="1728">
        <v>80.0</v>
      </c>
      <c r="I62" s="1729">
        <v>100.0</v>
      </c>
      <c r="J62" s="1714">
        <v>31.0</v>
      </c>
      <c r="K62" s="1730">
        <f>SUMIF('Заполняемость'!$C$8:$C1030,B62,'Заполняемость'!$I$8:$I1030)</f>
        <v>0</v>
      </c>
      <c r="L62" s="1716">
        <f t="shared" si="105"/>
        <v>0</v>
      </c>
      <c r="M62" s="1731">
        <f t="shared" si="106"/>
        <v>0</v>
      </c>
      <c r="N62" s="1732">
        <v>50.0</v>
      </c>
      <c r="O62" s="1714">
        <v>30.0</v>
      </c>
      <c r="P62" s="1733">
        <f>SUMIF('Заполняемость'!$C$8:$C1030,B62,'Заполняемость'!$L$8:$L1030)</f>
        <v>0</v>
      </c>
      <c r="Q62" s="1734">
        <f t="shared" si="108"/>
        <v>0</v>
      </c>
      <c r="R62" s="1904">
        <f t="shared" si="123"/>
        <v>0</v>
      </c>
      <c r="S62" s="1732">
        <f t="shared" si="109"/>
        <v>50</v>
      </c>
      <c r="T62" s="1714">
        <v>30.0</v>
      </c>
      <c r="U62" s="1733">
        <f t="shared" si="110"/>
        <v>23.87</v>
      </c>
      <c r="V62" s="1734">
        <v>0.77</v>
      </c>
      <c r="W62" s="1732">
        <f t="shared" si="126"/>
        <v>50</v>
      </c>
      <c r="X62" s="1732">
        <f t="shared" si="112"/>
        <v>100</v>
      </c>
      <c r="Y62" s="1714">
        <v>31.0</v>
      </c>
      <c r="Z62" s="1733">
        <v>26.0</v>
      </c>
      <c r="AA62" s="1734">
        <f t="shared" si="113"/>
        <v>0.8387096774</v>
      </c>
      <c r="AB62" s="1732">
        <f t="shared" si="114"/>
        <v>80</v>
      </c>
      <c r="AC62" s="1732">
        <f t="shared" si="115"/>
        <v>130</v>
      </c>
      <c r="AD62" s="1714">
        <v>30.0</v>
      </c>
      <c r="AE62" s="1730">
        <v>27.0</v>
      </c>
      <c r="AF62" s="1716">
        <f t="shared" si="116"/>
        <v>0.9</v>
      </c>
      <c r="AG62" s="1740">
        <f t="shared" si="117"/>
        <v>80</v>
      </c>
      <c r="AH62" s="1718">
        <f t="shared" si="118"/>
        <v>130</v>
      </c>
      <c r="AI62" s="1714">
        <v>31.0</v>
      </c>
      <c r="AJ62" s="1739"/>
      <c r="AK62" s="1730">
        <v>29.0</v>
      </c>
      <c r="AL62" s="1744">
        <f t="shared" si="119"/>
        <v>0.935483871</v>
      </c>
      <c r="AM62" s="1908">
        <f>80*2.7</f>
        <v>216</v>
      </c>
      <c r="AN62" s="1718">
        <f t="shared" si="125"/>
        <v>266</v>
      </c>
      <c r="AO62" s="1719">
        <v>30.0</v>
      </c>
      <c r="AP62" s="1720">
        <f>SUMIF('Заполняемость'!$C$8:$C1030,B62,'Заполняемость'!$Z$8:$Z1030)</f>
        <v>0</v>
      </c>
      <c r="AQ62" s="1721">
        <v>30.0</v>
      </c>
      <c r="AR62" s="1716">
        <f t="shared" si="122"/>
        <v>1</v>
      </c>
      <c r="AS62" s="1722">
        <v>50.0</v>
      </c>
      <c r="AT62" s="1723">
        <f t="shared" si="128"/>
        <v>100</v>
      </c>
      <c r="AU62" s="1724"/>
      <c r="AV62" s="1724"/>
      <c r="AW62" s="1724"/>
      <c r="AX62" s="1724"/>
      <c r="AY62" s="1724"/>
      <c r="AZ62" s="1724"/>
      <c r="BA62" s="1724"/>
      <c r="BB62" s="1724"/>
      <c r="BC62" s="1724"/>
      <c r="BD62" s="1724"/>
      <c r="BE62" s="1724"/>
      <c r="BF62" s="1724"/>
    </row>
    <row r="63" ht="15.75" customHeight="1">
      <c r="A63" s="1903" t="str">
        <f>'1. Справочник'!B50</f>
        <v>Дина</v>
      </c>
      <c r="B63" s="1742" t="str">
        <f>'1. Справочник'!C50</f>
        <v>Int 2905</v>
      </c>
      <c r="C63" s="147" t="s">
        <v>563</v>
      </c>
      <c r="D63" s="1725">
        <v>50.0</v>
      </c>
      <c r="E63" s="1697">
        <v>50.0</v>
      </c>
      <c r="F63" s="1726">
        <v>0.0</v>
      </c>
      <c r="G63" s="1727">
        <v>50.0</v>
      </c>
      <c r="H63" s="1728">
        <v>80.0</v>
      </c>
      <c r="I63" s="1729">
        <v>100.0</v>
      </c>
      <c r="J63" s="1714">
        <v>31.0</v>
      </c>
      <c r="K63" s="1730">
        <f>SUMIF('Заполняемость'!$C$8:$C1030,B63,'Заполняемость'!$I$8:$I1030)</f>
        <v>30</v>
      </c>
      <c r="L63" s="1716">
        <f t="shared" si="105"/>
        <v>0.9677419355</v>
      </c>
      <c r="M63" s="1731">
        <f t="shared" si="106"/>
        <v>100</v>
      </c>
      <c r="N63" s="1732">
        <f t="shared" ref="N63:N65" si="129">M63+D63</f>
        <v>150</v>
      </c>
      <c r="O63" s="1714">
        <v>30.0</v>
      </c>
      <c r="P63" s="1733">
        <f>SUMIF('Заполняемость'!$C$8:$C1030,B63,'Заполняемость'!$L$8:$L1030)</f>
        <v>30</v>
      </c>
      <c r="Q63" s="1734">
        <f t="shared" si="108"/>
        <v>1</v>
      </c>
      <c r="R63" s="1909">
        <v>50.0</v>
      </c>
      <c r="S63" s="1732">
        <f t="shared" si="109"/>
        <v>100</v>
      </c>
      <c r="T63" s="1714">
        <v>30.0</v>
      </c>
      <c r="U63" s="1733">
        <f t="shared" si="110"/>
        <v>26.04</v>
      </c>
      <c r="V63" s="1734">
        <v>0.84</v>
      </c>
      <c r="W63" s="1735">
        <f t="shared" si="126"/>
        <v>80</v>
      </c>
      <c r="X63" s="1732">
        <f t="shared" si="112"/>
        <v>130</v>
      </c>
      <c r="Y63" s="1714">
        <v>31.0</v>
      </c>
      <c r="Z63" s="1733">
        <v>30.0</v>
      </c>
      <c r="AA63" s="1734">
        <f t="shared" si="113"/>
        <v>0.9677419355</v>
      </c>
      <c r="AB63" s="1735">
        <f t="shared" si="114"/>
        <v>100</v>
      </c>
      <c r="AC63" s="1732">
        <f t="shared" si="115"/>
        <v>150</v>
      </c>
      <c r="AD63" s="1714">
        <v>30.0</v>
      </c>
      <c r="AE63" s="1730">
        <v>28.0</v>
      </c>
      <c r="AF63" s="1716">
        <f t="shared" si="116"/>
        <v>0.9333333333</v>
      </c>
      <c r="AG63" s="1731">
        <f t="shared" si="117"/>
        <v>100</v>
      </c>
      <c r="AH63" s="1718">
        <f t="shared" si="118"/>
        <v>150</v>
      </c>
      <c r="AI63" s="1714">
        <v>31.0</v>
      </c>
      <c r="AJ63" s="1739"/>
      <c r="AK63" s="1730">
        <v>28.0</v>
      </c>
      <c r="AL63" s="1744">
        <f t="shared" si="119"/>
        <v>0.9032258065</v>
      </c>
      <c r="AM63" s="1906">
        <v>100.0</v>
      </c>
      <c r="AN63" s="1718">
        <f t="shared" si="125"/>
        <v>150</v>
      </c>
      <c r="AO63" s="1719">
        <v>30.0</v>
      </c>
      <c r="AP63" s="1720">
        <f>SUMIF('Заполняемость'!$C$8:$C1030,B63,'Заполняемость'!$Z$8:$Z1030)</f>
        <v>0</v>
      </c>
      <c r="AQ63" s="1721">
        <v>20.0</v>
      </c>
      <c r="AR63" s="1716">
        <f t="shared" si="122"/>
        <v>0.6666666667</v>
      </c>
      <c r="AS63" s="1731">
        <f t="shared" ref="AS63:AS64" si="130">IF(AR63&lt;=0.5,0,IF(AND(AR63&gt;0.5,AR63&lt;=0.7),0,IF(AND(AR63&gt;0.7,AR63&lt;=0.8),50,IF(AND(AR63&gt;0.8,AR63&lt;=0.9),80,IF(AND(AR63&gt;0.9,AR63&lt;=2),100,"")))))</f>
        <v>0</v>
      </c>
      <c r="AT63" s="1718">
        <f t="shared" si="128"/>
        <v>50</v>
      </c>
      <c r="AU63" s="1724"/>
      <c r="AV63" s="1724"/>
      <c r="AW63" s="1724"/>
      <c r="AX63" s="1724"/>
      <c r="AY63" s="1724"/>
      <c r="AZ63" s="1724"/>
      <c r="BA63" s="1724"/>
      <c r="BB63" s="1724"/>
      <c r="BC63" s="1724"/>
      <c r="BD63" s="1724"/>
      <c r="BE63" s="1724"/>
      <c r="BF63" s="1724"/>
    </row>
    <row r="64" ht="15.75" customHeight="1">
      <c r="A64" s="1903" t="str">
        <f>'1. Справочник'!B51</f>
        <v>Дина</v>
      </c>
      <c r="B64" s="1742" t="str">
        <f>'1. Справочник'!C51</f>
        <v>Int 2612</v>
      </c>
      <c r="C64" s="147" t="s">
        <v>321</v>
      </c>
      <c r="D64" s="1725">
        <v>50.0</v>
      </c>
      <c r="E64" s="1697">
        <v>50.0</v>
      </c>
      <c r="F64" s="1726">
        <v>0.0</v>
      </c>
      <c r="G64" s="1727">
        <v>50.0</v>
      </c>
      <c r="H64" s="1728">
        <v>80.0</v>
      </c>
      <c r="I64" s="1729">
        <v>100.0</v>
      </c>
      <c r="J64" s="1714">
        <v>31.0</v>
      </c>
      <c r="K64" s="1730">
        <f>SUMIF('Заполняемость'!$C$8:$C1030,B64,'Заполняемость'!$I$8:$I1030)</f>
        <v>0</v>
      </c>
      <c r="L64" s="1716">
        <f t="shared" si="105"/>
        <v>0</v>
      </c>
      <c r="M64" s="1731">
        <f t="shared" si="106"/>
        <v>0</v>
      </c>
      <c r="N64" s="1732">
        <f t="shared" si="129"/>
        <v>50</v>
      </c>
      <c r="O64" s="1714">
        <v>30.0</v>
      </c>
      <c r="P64" s="1733">
        <f>SUMIF('Заполняемость'!$C$8:$C1030,B64,'Заполняемость'!$L$8:$L1030)</f>
        <v>13</v>
      </c>
      <c r="Q64" s="1734">
        <f t="shared" si="108"/>
        <v>0.4333333333</v>
      </c>
      <c r="R64" s="1909">
        <v>100.0</v>
      </c>
      <c r="S64" s="1732">
        <f t="shared" si="109"/>
        <v>150</v>
      </c>
      <c r="T64" s="1714">
        <v>30.0</v>
      </c>
      <c r="U64" s="1733">
        <f t="shared" si="110"/>
        <v>30.07</v>
      </c>
      <c r="V64" s="1743">
        <v>0.97</v>
      </c>
      <c r="W64" s="1735">
        <f t="shared" si="126"/>
        <v>100</v>
      </c>
      <c r="X64" s="1732">
        <f t="shared" si="112"/>
        <v>150</v>
      </c>
      <c r="Y64" s="1714">
        <v>31.0</v>
      </c>
      <c r="Z64" s="1733">
        <v>26.0</v>
      </c>
      <c r="AA64" s="1743">
        <f t="shared" si="113"/>
        <v>0.8387096774</v>
      </c>
      <c r="AB64" s="1735">
        <f t="shared" si="114"/>
        <v>80</v>
      </c>
      <c r="AC64" s="1732">
        <f t="shared" si="115"/>
        <v>130</v>
      </c>
      <c r="AD64" s="1714">
        <v>30.0</v>
      </c>
      <c r="AE64" s="1730">
        <v>25.0</v>
      </c>
      <c r="AF64" s="1716">
        <f t="shared" si="116"/>
        <v>0.8333333333</v>
      </c>
      <c r="AG64" s="1731">
        <f t="shared" si="117"/>
        <v>80</v>
      </c>
      <c r="AH64" s="1718">
        <f t="shared" si="118"/>
        <v>130</v>
      </c>
      <c r="AI64" s="1714">
        <v>31.0</v>
      </c>
      <c r="AJ64" s="1739"/>
      <c r="AK64" s="1730">
        <v>25.0</v>
      </c>
      <c r="AL64" s="1744">
        <f t="shared" si="119"/>
        <v>0.8064516129</v>
      </c>
      <c r="AM64" s="1731">
        <f>IF(AL64&lt;=0.5,0,IF(AND(AL64&gt;0.5,AL64&lt;=0.7),0,IF(AND(AL64&gt;0.7,AL64&lt;=0.8),50,IF(AND(AL64&gt;0.8,AL64&lt;=0.9),80,IF(AND(AL64&gt;0.9,AL64&lt;=2),100,"")))))</f>
        <v>80</v>
      </c>
      <c r="AN64" s="1718">
        <f t="shared" si="125"/>
        <v>130</v>
      </c>
      <c r="AO64" s="1719">
        <v>30.0</v>
      </c>
      <c r="AP64" s="1720">
        <f>SUMIF('Заполняемость'!$C$8:$C1030,B64,'Заполняемость'!$Z$8:$Z1030)</f>
        <v>0</v>
      </c>
      <c r="AQ64" s="1721">
        <v>27.0</v>
      </c>
      <c r="AR64" s="1716">
        <f t="shared" si="122"/>
        <v>0.9</v>
      </c>
      <c r="AS64" s="1731">
        <f t="shared" si="130"/>
        <v>80</v>
      </c>
      <c r="AT64" s="1718">
        <f t="shared" si="128"/>
        <v>130</v>
      </c>
      <c r="AU64" s="1724"/>
      <c r="AV64" s="1724"/>
      <c r="AW64" s="1724"/>
      <c r="AX64" s="1724"/>
      <c r="AY64" s="1724"/>
      <c r="AZ64" s="1724"/>
      <c r="BA64" s="1724"/>
      <c r="BB64" s="1724"/>
      <c r="BC64" s="1724"/>
      <c r="BD64" s="1724"/>
      <c r="BE64" s="1724"/>
      <c r="BF64" s="1724"/>
    </row>
    <row r="65" ht="15.75" customHeight="1">
      <c r="A65" s="1903" t="str">
        <f>'1. Справочник'!B52</f>
        <v>Дина</v>
      </c>
      <c r="B65" s="1742" t="str">
        <f>'1. Справочник'!C52</f>
        <v>Шар 2505</v>
      </c>
      <c r="C65" s="147" t="s">
        <v>321</v>
      </c>
      <c r="D65" s="1725">
        <v>50.0</v>
      </c>
      <c r="E65" s="1697">
        <v>50.0</v>
      </c>
      <c r="F65" s="1726">
        <v>0.0</v>
      </c>
      <c r="G65" s="1727">
        <v>50.0</v>
      </c>
      <c r="H65" s="1728">
        <v>80.0</v>
      </c>
      <c r="I65" s="1729">
        <v>100.0</v>
      </c>
      <c r="J65" s="1714">
        <v>31.0</v>
      </c>
      <c r="K65" s="1730">
        <f>SUMIF('Заполняемость'!$C$8:$C1030,B65,'Заполняемость'!$I$8:$I1030)</f>
        <v>39</v>
      </c>
      <c r="L65" s="1716">
        <f t="shared" si="105"/>
        <v>1.258064516</v>
      </c>
      <c r="M65" s="1731">
        <f t="shared" si="106"/>
        <v>100</v>
      </c>
      <c r="N65" s="1732">
        <f t="shared" si="129"/>
        <v>150</v>
      </c>
      <c r="O65" s="1714">
        <v>30.0</v>
      </c>
      <c r="P65" s="1733">
        <f>SUMIF('Заполняемость'!$C$8:$C1030,B65,'Заполняемость'!$L$8:$L1030)</f>
        <v>6</v>
      </c>
      <c r="Q65" s="1734">
        <f t="shared" si="108"/>
        <v>0.2</v>
      </c>
      <c r="R65" s="1735">
        <f>IF(Q65&lt;=0.5,0,IF(AND(Q65&gt;0.5,Q65&lt;=0.7),0,IF(AND(Q65&gt;0.7,Q65&lt;=0.8),50,IF(AND(Q65&gt;0.8,Q65&lt;=0.9),80,IF(AND(Q65&gt;0.9,Q65&lt;=2),100,"")))))</f>
        <v>0</v>
      </c>
      <c r="S65" s="1732">
        <f t="shared" si="109"/>
        <v>50</v>
      </c>
      <c r="T65" s="1714">
        <v>30.0</v>
      </c>
      <c r="U65" s="1733">
        <f t="shared" si="110"/>
        <v>27.9</v>
      </c>
      <c r="V65" s="1743">
        <v>0.9</v>
      </c>
      <c r="W65" s="1735">
        <f t="shared" si="126"/>
        <v>80</v>
      </c>
      <c r="X65" s="1732">
        <f t="shared" si="112"/>
        <v>130</v>
      </c>
      <c r="Y65" s="1714">
        <v>31.0</v>
      </c>
      <c r="Z65" s="1733">
        <v>29.0</v>
      </c>
      <c r="AA65" s="1743">
        <f t="shared" si="113"/>
        <v>0.935483871</v>
      </c>
      <c r="AB65" s="1735">
        <f t="shared" si="114"/>
        <v>100</v>
      </c>
      <c r="AC65" s="1732">
        <f t="shared" si="115"/>
        <v>150</v>
      </c>
      <c r="AD65" s="1714">
        <v>30.0</v>
      </c>
      <c r="AE65" s="1730">
        <v>30.0</v>
      </c>
      <c r="AF65" s="1716">
        <f t="shared" si="116"/>
        <v>1</v>
      </c>
      <c r="AG65" s="1731">
        <f t="shared" si="117"/>
        <v>100</v>
      </c>
      <c r="AH65" s="1718">
        <f t="shared" si="118"/>
        <v>150</v>
      </c>
      <c r="AI65" s="1714">
        <v>31.0</v>
      </c>
      <c r="AJ65" s="1739"/>
      <c r="AK65" s="1730">
        <v>29.0</v>
      </c>
      <c r="AL65" s="1744">
        <f t="shared" si="119"/>
        <v>0.935483871</v>
      </c>
      <c r="AM65" s="1717">
        <v>50.0</v>
      </c>
      <c r="AN65" s="1718">
        <f t="shared" si="125"/>
        <v>100</v>
      </c>
      <c r="AO65" s="1719">
        <v>30.0</v>
      </c>
      <c r="AP65" s="1720">
        <f>SUMIF('Заполняемость'!$C$8:$C1030,B65,'Заполняемость'!$Z$8:$Z1030)</f>
        <v>0</v>
      </c>
      <c r="AQ65" s="1721">
        <v>30.0</v>
      </c>
      <c r="AR65" s="1716">
        <f t="shared" si="122"/>
        <v>1</v>
      </c>
      <c r="AS65" s="1722">
        <v>50.0</v>
      </c>
      <c r="AT65" s="1723">
        <f t="shared" si="128"/>
        <v>100</v>
      </c>
      <c r="AU65" s="1724"/>
      <c r="AV65" s="1724"/>
      <c r="AW65" s="1724"/>
      <c r="AX65" s="1724"/>
      <c r="AY65" s="1724"/>
      <c r="AZ65" s="1724"/>
      <c r="BA65" s="1724"/>
      <c r="BB65" s="1724"/>
      <c r="BC65" s="1724"/>
      <c r="BD65" s="1724"/>
      <c r="BE65" s="1724"/>
      <c r="BF65" s="1724"/>
    </row>
    <row r="66" ht="15.75" customHeight="1">
      <c r="A66" s="1903" t="str">
        <f>'1. Справочник'!B54</f>
        <v>Дина</v>
      </c>
      <c r="B66" s="1742" t="str">
        <f>'1. Справочник'!C54</f>
        <v>Багратиони</v>
      </c>
      <c r="C66" s="203" t="s">
        <v>518</v>
      </c>
      <c r="D66" s="1725">
        <v>50.0</v>
      </c>
      <c r="E66" s="1697">
        <v>50.0</v>
      </c>
      <c r="F66" s="1726">
        <v>0.0</v>
      </c>
      <c r="G66" s="1727">
        <v>50.0</v>
      </c>
      <c r="H66" s="1728">
        <v>80.0</v>
      </c>
      <c r="I66" s="1729">
        <v>100.0</v>
      </c>
      <c r="J66" s="1910"/>
      <c r="K66" s="1911"/>
      <c r="L66" s="1912"/>
      <c r="M66" s="1913"/>
      <c r="N66" s="1914"/>
      <c r="O66" s="1910"/>
      <c r="P66" s="1915"/>
      <c r="Q66" s="1916"/>
      <c r="R66" s="1917"/>
      <c r="S66" s="1914"/>
      <c r="T66" s="1910"/>
      <c r="U66" s="1915"/>
      <c r="V66" s="1918"/>
      <c r="W66" s="1917"/>
      <c r="X66" s="1914"/>
      <c r="Y66" s="1910"/>
      <c r="Z66" s="1915"/>
      <c r="AA66" s="1918"/>
      <c r="AB66" s="1917"/>
      <c r="AC66" s="1732"/>
      <c r="AD66" s="1910"/>
      <c r="AE66" s="1911"/>
      <c r="AF66" s="1912"/>
      <c r="AG66" s="1913"/>
      <c r="AH66" s="1919"/>
      <c r="AI66" s="1714"/>
      <c r="AJ66" s="1766"/>
      <c r="AK66" s="1911"/>
      <c r="AL66" s="1744"/>
      <c r="AM66" s="1717"/>
      <c r="AN66" s="1718"/>
      <c r="AO66" s="1719"/>
      <c r="AP66" s="1720"/>
      <c r="AQ66" s="1721"/>
      <c r="AR66" s="1716"/>
      <c r="AS66" s="1722"/>
      <c r="AT66" s="1723"/>
      <c r="AU66" s="1724"/>
      <c r="AV66" s="1724"/>
      <c r="AW66" s="1724"/>
      <c r="AX66" s="1724"/>
      <c r="AY66" s="1724"/>
      <c r="AZ66" s="1724"/>
      <c r="BA66" s="1724"/>
      <c r="BB66" s="1724"/>
      <c r="BC66" s="1724"/>
      <c r="BD66" s="1724"/>
      <c r="BE66" s="1724"/>
      <c r="BF66" s="1724"/>
    </row>
    <row r="67" ht="15.75" customHeight="1">
      <c r="A67" s="1903" t="str">
        <f>'1. Справочник'!B55</f>
        <v>Юлия</v>
      </c>
      <c r="B67" s="1742" t="str">
        <f>'1. Справочник'!C55</f>
        <v>Думбадзе</v>
      </c>
      <c r="C67" s="203" t="s">
        <v>518</v>
      </c>
      <c r="D67" s="1725">
        <v>50.0</v>
      </c>
      <c r="E67" s="1697">
        <v>50.0</v>
      </c>
      <c r="F67" s="1726">
        <v>0.0</v>
      </c>
      <c r="G67" s="1727">
        <v>50.0</v>
      </c>
      <c r="H67" s="1728">
        <v>80.0</v>
      </c>
      <c r="I67" s="1729">
        <v>100.0</v>
      </c>
      <c r="J67" s="1910"/>
      <c r="K67" s="1911"/>
      <c r="L67" s="1912"/>
      <c r="M67" s="1913"/>
      <c r="N67" s="1914"/>
      <c r="O67" s="1910"/>
      <c r="P67" s="1915"/>
      <c r="Q67" s="1916"/>
      <c r="R67" s="1917"/>
      <c r="S67" s="1914"/>
      <c r="T67" s="1910"/>
      <c r="U67" s="1915"/>
      <c r="V67" s="1918"/>
      <c r="W67" s="1917"/>
      <c r="X67" s="1914"/>
      <c r="Y67" s="1910"/>
      <c r="Z67" s="1915"/>
      <c r="AA67" s="1918"/>
      <c r="AB67" s="1917"/>
      <c r="AC67" s="1732"/>
      <c r="AD67" s="1910"/>
      <c r="AE67" s="1911"/>
      <c r="AF67" s="1912"/>
      <c r="AG67" s="1913"/>
      <c r="AH67" s="1919"/>
      <c r="AI67" s="1714"/>
      <c r="AJ67" s="1766"/>
      <c r="AK67" s="1911"/>
      <c r="AL67" s="1744"/>
      <c r="AM67" s="1717"/>
      <c r="AN67" s="1718"/>
      <c r="AO67" s="1719"/>
      <c r="AP67" s="1720"/>
      <c r="AQ67" s="1721"/>
      <c r="AR67" s="1716"/>
      <c r="AS67" s="1722"/>
      <c r="AT67" s="1723"/>
      <c r="AU67" s="1724"/>
      <c r="AV67" s="1724"/>
      <c r="AW67" s="1724"/>
      <c r="AX67" s="1724"/>
      <c r="AY67" s="1724"/>
      <c r="AZ67" s="1724"/>
      <c r="BA67" s="1724"/>
      <c r="BB67" s="1724"/>
      <c r="BC67" s="1724"/>
      <c r="BD67" s="1724"/>
      <c r="BE67" s="1724"/>
      <c r="BF67" s="1724"/>
    </row>
    <row r="68" ht="15.75" customHeight="1">
      <c r="A68" s="1920" t="str">
        <f>'1. Справочник'!B52</f>
        <v>Дина</v>
      </c>
      <c r="B68" s="1921" t="str">
        <f>'1. Справочник'!C74</f>
        <v>шартава 16/18</v>
      </c>
      <c r="C68" s="203" t="s">
        <v>563</v>
      </c>
      <c r="D68" s="1922">
        <v>50.0</v>
      </c>
      <c r="E68" s="1697">
        <v>50.0</v>
      </c>
      <c r="F68" s="1923">
        <v>0.0</v>
      </c>
      <c r="G68" s="1924">
        <v>50.0</v>
      </c>
      <c r="H68" s="1925">
        <v>80.0</v>
      </c>
      <c r="I68" s="1926">
        <v>100.0</v>
      </c>
      <c r="J68" s="1910">
        <v>31.0</v>
      </c>
      <c r="K68" s="1911">
        <f>SUMIF('Заполняемость'!$C$8:$C1030,B68,'Заполняемость'!$I$8:$I1030)</f>
        <v>0</v>
      </c>
      <c r="L68" s="1912">
        <f t="shared" ref="L68:L75" si="131">K68/J68</f>
        <v>0</v>
      </c>
      <c r="M68" s="1927"/>
      <c r="N68" s="1914">
        <f t="shared" ref="N68:N75" si="132">M68+D68</f>
        <v>50</v>
      </c>
      <c r="O68" s="1910">
        <v>30.0</v>
      </c>
      <c r="P68" s="1915">
        <f>SUMIF('Заполняемость'!$C$8:$C1030,B68,'Заполняемость'!$L$8:$L1030)</f>
        <v>0</v>
      </c>
      <c r="Q68" s="1916">
        <f t="shared" ref="Q68:Q75" si="133">P68/O68</f>
        <v>0</v>
      </c>
      <c r="R68" s="1928"/>
      <c r="S68" s="1914">
        <f t="shared" ref="S68:S75" si="134">D68+R68</f>
        <v>50</v>
      </c>
      <c r="T68" s="1910"/>
      <c r="U68" s="1915"/>
      <c r="V68" s="1918"/>
      <c r="W68" s="1905">
        <v>50.0</v>
      </c>
      <c r="X68" s="1914">
        <f t="shared" ref="X68:X76" si="135">D68+W68</f>
        <v>100</v>
      </c>
      <c r="Y68" s="1910">
        <v>31.0</v>
      </c>
      <c r="Z68" s="1915">
        <v>31.0</v>
      </c>
      <c r="AA68" s="1918">
        <f t="shared" ref="AA68:AA111" si="136">Z68/Y68</f>
        <v>1</v>
      </c>
      <c r="AB68" s="1905">
        <v>50.0</v>
      </c>
      <c r="AC68" s="1732">
        <f>AB68+D68</f>
        <v>100</v>
      </c>
      <c r="AD68" s="1910">
        <v>30.0</v>
      </c>
      <c r="AE68" s="1911">
        <v>30.0</v>
      </c>
      <c r="AF68" s="1912">
        <f t="shared" ref="AF68:AF111" si="137">AE68/AD68</f>
        <v>1</v>
      </c>
      <c r="AG68" s="1929"/>
      <c r="AH68" s="1919">
        <f t="shared" ref="AH68:AH72" si="138">D68+AG68</f>
        <v>50</v>
      </c>
      <c r="AI68" s="1714">
        <v>31.0</v>
      </c>
      <c r="AJ68" s="1766"/>
      <c r="AK68" s="1911">
        <v>30.0</v>
      </c>
      <c r="AL68" s="1744">
        <f t="shared" ref="AL68:AL111" si="139">AK68/AI68</f>
        <v>0.9677419355</v>
      </c>
      <c r="AM68" s="1731"/>
      <c r="AN68" s="1718">
        <f>D68+AM68</f>
        <v>50</v>
      </c>
      <c r="AO68" s="1719">
        <v>30.0</v>
      </c>
      <c r="AP68" s="1720">
        <f>SUMIF('Заполняемость'!$C$8:$C1030,B68,'Заполняемость'!$Z$8:$Z1030)</f>
        <v>0</v>
      </c>
      <c r="AQ68" s="1721">
        <v>30.0</v>
      </c>
      <c r="AR68" s="1716">
        <f t="shared" ref="AR68:AR111" si="140">AQ68/AO68</f>
        <v>1</v>
      </c>
      <c r="AS68" s="1722">
        <v>50.0</v>
      </c>
      <c r="AT68" s="1723">
        <f>D68+AS68</f>
        <v>100</v>
      </c>
      <c r="AU68" s="1724"/>
      <c r="AV68" s="1724"/>
      <c r="AW68" s="1724"/>
      <c r="AX68" s="1724"/>
      <c r="AY68" s="1724"/>
      <c r="AZ68" s="1724"/>
      <c r="BA68" s="1724"/>
      <c r="BB68" s="1724"/>
      <c r="BC68" s="1724"/>
      <c r="BD68" s="1724"/>
      <c r="BE68" s="1724"/>
      <c r="BF68" s="1724"/>
    </row>
    <row r="69" ht="15.75" hidden="1" customHeight="1">
      <c r="A69" s="1930" t="str">
        <f>'1. Справочник'!B75</f>
        <v/>
      </c>
      <c r="B69" s="1931" t="str">
        <f>'1. Справочник'!C75</f>
        <v>DL 11-1112</v>
      </c>
      <c r="C69" s="282" t="s">
        <v>321</v>
      </c>
      <c r="D69" s="1932">
        <v>50.0</v>
      </c>
      <c r="E69" s="1697">
        <v>50.0</v>
      </c>
      <c r="F69" s="1933">
        <v>0.0</v>
      </c>
      <c r="G69" s="1934">
        <v>50.0</v>
      </c>
      <c r="H69" s="1935">
        <v>80.0</v>
      </c>
      <c r="I69" s="1936">
        <v>100.0</v>
      </c>
      <c r="J69" s="1937">
        <v>31.0</v>
      </c>
      <c r="K69" s="1938">
        <f>SUMIF('Заполняемость'!$C$8:$C1030,B69,'Заполняемость'!$I$8:$I1030)</f>
        <v>0</v>
      </c>
      <c r="L69" s="1939">
        <f t="shared" si="131"/>
        <v>0</v>
      </c>
      <c r="M69" s="1940">
        <f t="shared" ref="M69:M75" si="141">IF(L69&lt;=0.5,0,IF(AND(L69&gt;0.5,L69&lt;=0.7),0,IF(AND(L69&gt;0.7,L69&lt;=0.8),50,IF(AND(L69&gt;0.8,L69&lt;=0.9),80,IF(AND(L69&gt;0.9,L69&lt;=2),100,"")))))</f>
        <v>0</v>
      </c>
      <c r="N69" s="1941">
        <f t="shared" si="132"/>
        <v>50</v>
      </c>
      <c r="O69" s="1937">
        <v>30.0</v>
      </c>
      <c r="P69" s="1942">
        <f>SUMIF('Заполняемость'!$C$8:$C1030,B69,'Заполняемость'!$L$8:$L1030)</f>
        <v>10</v>
      </c>
      <c r="Q69" s="1943">
        <f t="shared" si="133"/>
        <v>0.3333333333</v>
      </c>
      <c r="R69" s="1944">
        <f t="shared" ref="R69:R75" si="142">IF(Q69&lt;=0.5,0,IF(AND(Q69&gt;0.5,Q69&lt;=0.7),0,IF(AND(Q69&gt;0.7,Q69&lt;=0.8),50,IF(AND(Q69&gt;0.8,Q69&lt;=0.9),80,IF(AND(Q69&gt;0.9,Q69&lt;=2),100,"")))))</f>
        <v>0</v>
      </c>
      <c r="S69" s="1941">
        <f t="shared" si="134"/>
        <v>50</v>
      </c>
      <c r="T69" s="1937">
        <v>30.0</v>
      </c>
      <c r="U69" s="1942">
        <f t="shared" ref="U69:U76" si="143">31*V69</f>
        <v>30.07</v>
      </c>
      <c r="V69" s="1945">
        <v>0.97</v>
      </c>
      <c r="W69" s="1944">
        <f t="shared" ref="W69:W76" si="144">IF(V69&lt;=0.5,0,IF(AND(V69&gt;0.5,V69&lt;=0.7),0,IF(AND(V69&gt;0.7,V69&lt;=0.8),50,IF(AND(V69&gt;0.8,V69&lt;=0.9),80,IF(AND(V69&gt;0.9,V69&lt;=2),100,"")))))</f>
        <v>100</v>
      </c>
      <c r="X69" s="1941">
        <f t="shared" si="135"/>
        <v>150</v>
      </c>
      <c r="Y69" s="1937">
        <v>31.0</v>
      </c>
      <c r="Z69" s="1942">
        <v>29.0</v>
      </c>
      <c r="AA69" s="1945">
        <f t="shared" si="136"/>
        <v>0.935483871</v>
      </c>
      <c r="AB69" s="1944">
        <f t="shared" ref="AB69:AB111" si="145">IF(AA69&lt;=0.5,0,IF(AND(AA69&gt;0.5,AA69&lt;=0.7),0,IF(AND(AA69&gt;0.7,AA69&lt;=0.8),50,IF(AND(AA69&gt;0.8,AA69&lt;=0.9),80,IF(AND(AA69&gt;0.9,AA69&lt;=2),100,"")))))</f>
        <v>100</v>
      </c>
      <c r="AC69" s="1732">
        <f t="shared" ref="AC69:AC89" si="146">(AB69+D69)/2</f>
        <v>75</v>
      </c>
      <c r="AD69" s="1937">
        <v>30.0</v>
      </c>
      <c r="AE69" s="1938">
        <v>15.0</v>
      </c>
      <c r="AF69" s="1946">
        <f t="shared" si="137"/>
        <v>0.5</v>
      </c>
      <c r="AG69" s="1940">
        <f t="shared" ref="AG69:AG84" si="147">IF(AF69&lt;=0.5,0,IF(AND(AF69&gt;0.5,AF69&lt;=0.7),0,IF(AND(AF69&gt;0.7,AF69&lt;=0.8),50,IF(AND(AF69&gt;0.8,AF69&lt;=0.9),80,IF(AND(AF69&gt;0.9,AF69&lt;=2),100,"")))))</f>
        <v>0</v>
      </c>
      <c r="AH69" s="1947">
        <f t="shared" si="138"/>
        <v>50</v>
      </c>
      <c r="AI69" s="1714">
        <v>31.0</v>
      </c>
      <c r="AJ69" s="1948"/>
      <c r="AK69" s="1938"/>
      <c r="AL69" s="1744">
        <f t="shared" si="139"/>
        <v>0</v>
      </c>
      <c r="AM69" s="1731">
        <f t="shared" ref="AM69:AM111" si="148">IF(AL69&lt;=0.5,0,IF(AND(AL69&gt;0.5,AL69&lt;=0.7),0,IF(AND(AL69&gt;0.7,AL69&lt;=0.8),50,IF(AND(AL69&gt;0.8,AL69&lt;=0.9),80,IF(AND(AL69&gt;0.9,AL69&lt;=2),100,"")))))</f>
        <v>0</v>
      </c>
      <c r="AN69" s="1718"/>
      <c r="AO69" s="1719">
        <v>30.0</v>
      </c>
      <c r="AP69" s="1720">
        <f>SUMIF('Заполняемость'!$C$8:$C1030,B69,'Заполняемость'!$Z$8:$Z1030)</f>
        <v>0</v>
      </c>
      <c r="AQ69" s="1949"/>
      <c r="AR69" s="1716">
        <f t="shared" si="140"/>
        <v>0</v>
      </c>
      <c r="AS69" s="1731">
        <f t="shared" ref="AS69:AS111" si="149">IF(AR69&lt;=0.5,0,IF(AND(AR69&gt;0.5,AR69&lt;=0.7),0,IF(AND(AR69&gt;0.7,AR69&lt;=0.8),50,IF(AND(AR69&gt;0.8,AR69&lt;=0.9),80,IF(AND(AR69&gt;0.9,AR69&lt;=2),100,"")))))</f>
        <v>0</v>
      </c>
      <c r="AT69" s="1718"/>
      <c r="AU69" s="1724"/>
      <c r="AV69" s="1724"/>
      <c r="AW69" s="1724"/>
      <c r="AX69" s="1724"/>
      <c r="AY69" s="1724"/>
      <c r="AZ69" s="1724"/>
      <c r="BA69" s="1724"/>
      <c r="BB69" s="1724"/>
      <c r="BC69" s="1724"/>
      <c r="BD69" s="1724"/>
      <c r="BE69" s="1724"/>
      <c r="BF69" s="1724"/>
    </row>
    <row r="70" ht="15.75" hidden="1" customHeight="1">
      <c r="A70" s="1950" t="str">
        <f>'1. Справочник'!B76</f>
        <v/>
      </c>
      <c r="B70" s="1742" t="str">
        <f>'1. Справочник'!C76</f>
        <v>DL 11-1305</v>
      </c>
      <c r="C70" s="147" t="s">
        <v>321</v>
      </c>
      <c r="D70" s="1725">
        <v>50.0</v>
      </c>
      <c r="E70" s="1697">
        <v>50.0</v>
      </c>
      <c r="F70" s="1951">
        <v>0.0</v>
      </c>
      <c r="G70" s="1952">
        <v>50.0</v>
      </c>
      <c r="H70" s="1953">
        <v>80.0</v>
      </c>
      <c r="I70" s="1954">
        <v>100.0</v>
      </c>
      <c r="J70" s="1955">
        <v>31.0</v>
      </c>
      <c r="K70" s="1956">
        <f>SUMIF('Заполняемость'!$C$8:$C1030,B70,'Заполняемость'!$I$8:$I1030)</f>
        <v>0</v>
      </c>
      <c r="L70" s="1957">
        <f t="shared" si="131"/>
        <v>0</v>
      </c>
      <c r="M70" s="1731">
        <f t="shared" si="141"/>
        <v>0</v>
      </c>
      <c r="N70" s="1732">
        <f t="shared" si="132"/>
        <v>50</v>
      </c>
      <c r="O70" s="1955">
        <v>30.0</v>
      </c>
      <c r="P70" s="1958">
        <f>SUMIF('Заполняемость'!$C$8:$C1030,B70,'Заполняемость'!$L$8:$L1030)</f>
        <v>27</v>
      </c>
      <c r="Q70" s="1959">
        <f t="shared" si="133"/>
        <v>0.9</v>
      </c>
      <c r="R70" s="1735">
        <f t="shared" si="142"/>
        <v>80</v>
      </c>
      <c r="S70" s="1732">
        <f t="shared" si="134"/>
        <v>130</v>
      </c>
      <c r="T70" s="1955">
        <v>30.0</v>
      </c>
      <c r="U70" s="1958">
        <f t="shared" si="143"/>
        <v>22.94</v>
      </c>
      <c r="V70" s="1959">
        <v>0.74</v>
      </c>
      <c r="W70" s="1737">
        <f t="shared" si="144"/>
        <v>50</v>
      </c>
      <c r="X70" s="1732">
        <f t="shared" si="135"/>
        <v>100</v>
      </c>
      <c r="Y70" s="1955">
        <v>31.0</v>
      </c>
      <c r="Z70" s="1958">
        <v>28.0</v>
      </c>
      <c r="AA70" s="1959">
        <f t="shared" si="136"/>
        <v>0.9032258065</v>
      </c>
      <c r="AB70" s="1737">
        <f t="shared" si="145"/>
        <v>100</v>
      </c>
      <c r="AC70" s="1732">
        <f t="shared" si="146"/>
        <v>75</v>
      </c>
      <c r="AD70" s="1955">
        <v>30.0</v>
      </c>
      <c r="AE70" s="1956">
        <v>15.0</v>
      </c>
      <c r="AF70" s="1957">
        <f t="shared" si="137"/>
        <v>0.5</v>
      </c>
      <c r="AG70" s="1738">
        <f t="shared" si="147"/>
        <v>0</v>
      </c>
      <c r="AH70" s="1960">
        <f t="shared" si="138"/>
        <v>50</v>
      </c>
      <c r="AI70" s="1714">
        <v>31.0</v>
      </c>
      <c r="AJ70" s="1961"/>
      <c r="AK70" s="1956"/>
      <c r="AL70" s="1744">
        <f t="shared" si="139"/>
        <v>0</v>
      </c>
      <c r="AM70" s="1731">
        <f t="shared" si="148"/>
        <v>0</v>
      </c>
      <c r="AN70" s="1718"/>
      <c r="AO70" s="1719">
        <v>30.0</v>
      </c>
      <c r="AP70" s="1720">
        <f>SUMIF('Заполняемость'!$C$8:$C1030,B70,'Заполняемость'!$Z$8:$Z1030)</f>
        <v>0</v>
      </c>
      <c r="AQ70" s="1949">
        <v>29.0</v>
      </c>
      <c r="AR70" s="1716">
        <f t="shared" si="140"/>
        <v>0.9666666667</v>
      </c>
      <c r="AS70" s="1731">
        <f t="shared" si="149"/>
        <v>100</v>
      </c>
      <c r="AT70" s="1718">
        <f>D70+AS70</f>
        <v>150</v>
      </c>
      <c r="AU70" s="1724"/>
      <c r="AV70" s="1724"/>
      <c r="AW70" s="1724"/>
      <c r="AX70" s="1724"/>
      <c r="AY70" s="1724"/>
      <c r="AZ70" s="1724"/>
      <c r="BA70" s="1724"/>
      <c r="BB70" s="1724"/>
      <c r="BC70" s="1724"/>
      <c r="BD70" s="1724"/>
      <c r="BE70" s="1724"/>
      <c r="BF70" s="1724"/>
    </row>
    <row r="71" ht="15.75" hidden="1" customHeight="1">
      <c r="A71" s="1950" t="str">
        <f>'1. Справочник'!B77</f>
        <v/>
      </c>
      <c r="B71" s="1742" t="str">
        <f>'1. Справочник'!C77</f>
        <v>DL 14-516</v>
      </c>
      <c r="C71" s="147" t="s">
        <v>321</v>
      </c>
      <c r="D71" s="1725">
        <v>50.0</v>
      </c>
      <c r="E71" s="1697">
        <v>50.0</v>
      </c>
      <c r="F71" s="1951">
        <v>0.0</v>
      </c>
      <c r="G71" s="1952">
        <v>50.0</v>
      </c>
      <c r="H71" s="1953">
        <v>80.0</v>
      </c>
      <c r="I71" s="1954">
        <v>100.0</v>
      </c>
      <c r="J71" s="1955">
        <v>31.0</v>
      </c>
      <c r="K71" s="1956">
        <f>SUMIF('Заполняемость'!$C$8:$C1030,B71,'Заполняемость'!$I$8:$I1030)</f>
        <v>11</v>
      </c>
      <c r="L71" s="1957">
        <f t="shared" si="131"/>
        <v>0.3548387097</v>
      </c>
      <c r="M71" s="1731">
        <f t="shared" si="141"/>
        <v>0</v>
      </c>
      <c r="N71" s="1732">
        <f t="shared" si="132"/>
        <v>50</v>
      </c>
      <c r="O71" s="1955">
        <v>30.0</v>
      </c>
      <c r="P71" s="1958">
        <f>SUMIF('Заполняемость'!$C$8:$C1030,B71,'Заполняемость'!$L$8:$L1030)</f>
        <v>12</v>
      </c>
      <c r="Q71" s="1959">
        <f t="shared" si="133"/>
        <v>0.4</v>
      </c>
      <c r="R71" s="1735">
        <f t="shared" si="142"/>
        <v>0</v>
      </c>
      <c r="S71" s="1732">
        <f t="shared" si="134"/>
        <v>50</v>
      </c>
      <c r="T71" s="1955">
        <v>30.0</v>
      </c>
      <c r="U71" s="1958">
        <f t="shared" si="143"/>
        <v>26.04</v>
      </c>
      <c r="V71" s="1959">
        <v>0.84</v>
      </c>
      <c r="W71" s="1735">
        <f t="shared" si="144"/>
        <v>80</v>
      </c>
      <c r="X71" s="1732">
        <f t="shared" si="135"/>
        <v>130</v>
      </c>
      <c r="Y71" s="1955">
        <v>31.0</v>
      </c>
      <c r="Z71" s="1958">
        <v>26.0</v>
      </c>
      <c r="AA71" s="1959">
        <f t="shared" si="136"/>
        <v>0.8387096774</v>
      </c>
      <c r="AB71" s="1735">
        <f t="shared" si="145"/>
        <v>80</v>
      </c>
      <c r="AC71" s="1732">
        <f t="shared" si="146"/>
        <v>65</v>
      </c>
      <c r="AD71" s="1955">
        <v>30.0</v>
      </c>
      <c r="AE71" s="1956">
        <v>15.0</v>
      </c>
      <c r="AF71" s="1957">
        <f t="shared" si="137"/>
        <v>0.5</v>
      </c>
      <c r="AG71" s="1731">
        <f t="shared" si="147"/>
        <v>0</v>
      </c>
      <c r="AH71" s="1960">
        <f t="shared" si="138"/>
        <v>50</v>
      </c>
      <c r="AI71" s="1714">
        <v>31.0</v>
      </c>
      <c r="AJ71" s="1961"/>
      <c r="AK71" s="1956">
        <v>4.0</v>
      </c>
      <c r="AL71" s="1744">
        <f t="shared" si="139"/>
        <v>0.1290322581</v>
      </c>
      <c r="AM71" s="1731">
        <f t="shared" si="148"/>
        <v>0</v>
      </c>
      <c r="AN71" s="1718">
        <f>D71+AM71</f>
        <v>50</v>
      </c>
      <c r="AO71" s="1719">
        <v>30.0</v>
      </c>
      <c r="AP71" s="1720">
        <f>SUMIF('Заполняемость'!$C$8:$C1030,B71,'Заполняемость'!$Z$8:$Z1030)</f>
        <v>0</v>
      </c>
      <c r="AQ71" s="1949"/>
      <c r="AR71" s="1716">
        <f t="shared" si="140"/>
        <v>0</v>
      </c>
      <c r="AS71" s="1731">
        <f t="shared" si="149"/>
        <v>0</v>
      </c>
      <c r="AT71" s="1718"/>
      <c r="AU71" s="1724"/>
      <c r="AV71" s="1724"/>
      <c r="AW71" s="1724"/>
      <c r="AX71" s="1724"/>
      <c r="AY71" s="1724"/>
      <c r="AZ71" s="1724"/>
      <c r="BA71" s="1724"/>
      <c r="BB71" s="1724"/>
      <c r="BC71" s="1724"/>
      <c r="BD71" s="1724"/>
      <c r="BE71" s="1724"/>
      <c r="BF71" s="1724"/>
    </row>
    <row r="72" ht="15.75" hidden="1" customHeight="1">
      <c r="A72" s="1950" t="str">
        <f>'1. Справочник'!B78</f>
        <v/>
      </c>
      <c r="B72" s="1742" t="str">
        <f>'1. Справочник'!C78</f>
        <v>DL 14-702</v>
      </c>
      <c r="C72" s="147" t="s">
        <v>321</v>
      </c>
      <c r="D72" s="1725">
        <v>50.0</v>
      </c>
      <c r="E72" s="1697">
        <v>50.0</v>
      </c>
      <c r="F72" s="1951">
        <v>0.0</v>
      </c>
      <c r="G72" s="1952">
        <v>50.0</v>
      </c>
      <c r="H72" s="1953">
        <v>80.0</v>
      </c>
      <c r="I72" s="1954">
        <v>100.0</v>
      </c>
      <c r="J72" s="1955">
        <v>31.0</v>
      </c>
      <c r="K72" s="1956">
        <f>SUMIF('Заполняемость'!$C$8:$C1030,B72,'Заполняемость'!$I$8:$I1030)</f>
        <v>6</v>
      </c>
      <c r="L72" s="1957">
        <f t="shared" si="131"/>
        <v>0.1935483871</v>
      </c>
      <c r="M72" s="1731">
        <f t="shared" si="141"/>
        <v>0</v>
      </c>
      <c r="N72" s="1732">
        <f t="shared" si="132"/>
        <v>50</v>
      </c>
      <c r="O72" s="1955">
        <v>30.0</v>
      </c>
      <c r="P72" s="1958">
        <f>SUMIF('Заполняемость'!$C$8:$C1030,B72,'Заполняемость'!$L$8:$L1030)</f>
        <v>9</v>
      </c>
      <c r="Q72" s="1959">
        <f t="shared" si="133"/>
        <v>0.3</v>
      </c>
      <c r="R72" s="1735">
        <f t="shared" si="142"/>
        <v>0</v>
      </c>
      <c r="S72" s="1732">
        <f t="shared" si="134"/>
        <v>50</v>
      </c>
      <c r="T72" s="1955">
        <v>30.0</v>
      </c>
      <c r="U72" s="1958">
        <f t="shared" si="143"/>
        <v>22.01</v>
      </c>
      <c r="V72" s="1959">
        <v>0.71</v>
      </c>
      <c r="W72" s="1737">
        <f t="shared" si="144"/>
        <v>50</v>
      </c>
      <c r="X72" s="1732">
        <f t="shared" si="135"/>
        <v>100</v>
      </c>
      <c r="Y72" s="1955">
        <v>31.0</v>
      </c>
      <c r="Z72" s="1958">
        <v>31.0</v>
      </c>
      <c r="AA72" s="1959">
        <f t="shared" si="136"/>
        <v>1</v>
      </c>
      <c r="AB72" s="1737">
        <f t="shared" si="145"/>
        <v>100</v>
      </c>
      <c r="AC72" s="1732">
        <f t="shared" si="146"/>
        <v>75</v>
      </c>
      <c r="AD72" s="1955">
        <v>30.0</v>
      </c>
      <c r="AE72" s="1956">
        <v>19.0</v>
      </c>
      <c r="AF72" s="1957">
        <f t="shared" si="137"/>
        <v>0.6333333333</v>
      </c>
      <c r="AG72" s="1738">
        <f t="shared" si="147"/>
        <v>0</v>
      </c>
      <c r="AH72" s="1960">
        <f t="shared" si="138"/>
        <v>50</v>
      </c>
      <c r="AI72" s="1714">
        <v>31.0</v>
      </c>
      <c r="AJ72" s="1961"/>
      <c r="AK72" s="1956"/>
      <c r="AL72" s="1744">
        <f t="shared" si="139"/>
        <v>0</v>
      </c>
      <c r="AM72" s="1731">
        <f t="shared" si="148"/>
        <v>0</v>
      </c>
      <c r="AN72" s="1718"/>
      <c r="AO72" s="1719">
        <v>30.0</v>
      </c>
      <c r="AP72" s="1720">
        <f>SUMIF('Заполняемость'!$C$8:$C1030,B72,'Заполняемость'!$Z$8:$Z1030)</f>
        <v>0</v>
      </c>
      <c r="AQ72" s="1949"/>
      <c r="AR72" s="1716">
        <f t="shared" si="140"/>
        <v>0</v>
      </c>
      <c r="AS72" s="1731">
        <f t="shared" si="149"/>
        <v>0</v>
      </c>
      <c r="AT72" s="1718"/>
      <c r="AU72" s="1724"/>
      <c r="AV72" s="1724"/>
      <c r="AW72" s="1724"/>
      <c r="AX72" s="1724"/>
      <c r="AY72" s="1724"/>
      <c r="AZ72" s="1724"/>
      <c r="BA72" s="1724"/>
      <c r="BB72" s="1724"/>
      <c r="BC72" s="1724"/>
      <c r="BD72" s="1724"/>
      <c r="BE72" s="1724"/>
      <c r="BF72" s="1724"/>
    </row>
    <row r="73" ht="15.75" hidden="1" customHeight="1">
      <c r="A73" s="1950" t="str">
        <f>'1. Справочник'!B79</f>
        <v/>
      </c>
      <c r="B73" s="1742" t="str">
        <f>'1. Справочник'!C79</f>
        <v>DL 14-1214</v>
      </c>
      <c r="C73" s="147" t="s">
        <v>321</v>
      </c>
      <c r="D73" s="1725">
        <v>50.0</v>
      </c>
      <c r="E73" s="1697">
        <v>50.0</v>
      </c>
      <c r="F73" s="1951">
        <v>0.0</v>
      </c>
      <c r="G73" s="1952">
        <v>50.0</v>
      </c>
      <c r="H73" s="1953">
        <v>80.0</v>
      </c>
      <c r="I73" s="1954">
        <v>100.0</v>
      </c>
      <c r="J73" s="1955">
        <v>31.0</v>
      </c>
      <c r="K73" s="1956">
        <f>SUMIF('Заполняемость'!$C$8:$C1030,B73,'Заполняемость'!$I$8:$I1030)</f>
        <v>0</v>
      </c>
      <c r="L73" s="1957">
        <f t="shared" si="131"/>
        <v>0</v>
      </c>
      <c r="M73" s="1731">
        <f t="shared" si="141"/>
        <v>0</v>
      </c>
      <c r="N73" s="1732">
        <f t="shared" si="132"/>
        <v>50</v>
      </c>
      <c r="O73" s="1955">
        <v>30.0</v>
      </c>
      <c r="P73" s="1958">
        <f>SUMIF('Заполняемость'!$C$8:$C1030,B73,'Заполняемость'!$L$8:$L1030)</f>
        <v>1</v>
      </c>
      <c r="Q73" s="1959">
        <f t="shared" si="133"/>
        <v>0.03333333333</v>
      </c>
      <c r="R73" s="1735">
        <f t="shared" si="142"/>
        <v>0</v>
      </c>
      <c r="S73" s="1732">
        <f t="shared" si="134"/>
        <v>50</v>
      </c>
      <c r="T73" s="1955">
        <v>30.0</v>
      </c>
      <c r="U73" s="1958">
        <f t="shared" si="143"/>
        <v>21.08</v>
      </c>
      <c r="V73" s="1959">
        <v>0.68</v>
      </c>
      <c r="W73" s="1735">
        <f t="shared" si="144"/>
        <v>0</v>
      </c>
      <c r="X73" s="1732">
        <f t="shared" si="135"/>
        <v>50</v>
      </c>
      <c r="Y73" s="1955">
        <v>31.0</v>
      </c>
      <c r="Z73" s="1958">
        <v>31.0</v>
      </c>
      <c r="AA73" s="1959">
        <f t="shared" si="136"/>
        <v>1</v>
      </c>
      <c r="AB73" s="1735">
        <f t="shared" si="145"/>
        <v>100</v>
      </c>
      <c r="AC73" s="1732">
        <f t="shared" si="146"/>
        <v>75</v>
      </c>
      <c r="AD73" s="1955">
        <v>30.0</v>
      </c>
      <c r="AE73" s="1956">
        <v>11.0</v>
      </c>
      <c r="AF73" s="1962">
        <f t="shared" si="137"/>
        <v>0.3666666667</v>
      </c>
      <c r="AG73" s="1731">
        <f t="shared" si="147"/>
        <v>0</v>
      </c>
      <c r="AH73" s="1960"/>
      <c r="AI73" s="1714">
        <v>31.0</v>
      </c>
      <c r="AJ73" s="1961"/>
      <c r="AK73" s="1956"/>
      <c r="AL73" s="1744">
        <f t="shared" si="139"/>
        <v>0</v>
      </c>
      <c r="AM73" s="1731">
        <f t="shared" si="148"/>
        <v>0</v>
      </c>
      <c r="AN73" s="1718"/>
      <c r="AO73" s="1719">
        <v>30.0</v>
      </c>
      <c r="AP73" s="1720">
        <f>SUMIF('Заполняемость'!$C$8:$C1030,B73,'Заполняемость'!$Z$8:$Z1030)</f>
        <v>0</v>
      </c>
      <c r="AQ73" s="1949"/>
      <c r="AR73" s="1716">
        <f t="shared" si="140"/>
        <v>0</v>
      </c>
      <c r="AS73" s="1731">
        <f t="shared" si="149"/>
        <v>0</v>
      </c>
      <c r="AT73" s="1718"/>
      <c r="AU73" s="1724"/>
      <c r="AV73" s="1724"/>
      <c r="AW73" s="1724"/>
      <c r="AX73" s="1724"/>
      <c r="AY73" s="1724"/>
      <c r="AZ73" s="1724"/>
      <c r="BA73" s="1724"/>
      <c r="BB73" s="1724"/>
      <c r="BC73" s="1724"/>
      <c r="BD73" s="1724"/>
      <c r="BE73" s="1724"/>
      <c r="BF73" s="1724"/>
    </row>
    <row r="74" ht="15.75" hidden="1" customHeight="1">
      <c r="A74" s="1950" t="str">
        <f>'1. Справочник'!B80</f>
        <v/>
      </c>
      <c r="B74" s="1742" t="str">
        <f>'1. Справочник'!C80</f>
        <v>14-411</v>
      </c>
      <c r="C74" s="147" t="s">
        <v>321</v>
      </c>
      <c r="D74" s="1725">
        <v>50.0</v>
      </c>
      <c r="E74" s="1697">
        <v>50.0</v>
      </c>
      <c r="F74" s="1951">
        <v>0.0</v>
      </c>
      <c r="G74" s="1952">
        <v>50.0</v>
      </c>
      <c r="H74" s="1953">
        <v>80.0</v>
      </c>
      <c r="I74" s="1954">
        <v>100.0</v>
      </c>
      <c r="J74" s="1955">
        <v>31.0</v>
      </c>
      <c r="K74" s="1956">
        <f>SUMIF('Заполняемость'!$C$8:$C1030,B74,'Заполняемость'!$I$8:$I1030)</f>
        <v>5</v>
      </c>
      <c r="L74" s="1957">
        <f t="shared" si="131"/>
        <v>0.1612903226</v>
      </c>
      <c r="M74" s="1731">
        <f t="shared" si="141"/>
        <v>0</v>
      </c>
      <c r="N74" s="1732">
        <f t="shared" si="132"/>
        <v>50</v>
      </c>
      <c r="O74" s="1955">
        <v>30.0</v>
      </c>
      <c r="P74" s="1958">
        <f>SUMIF('Заполняемость'!$C$8:$C1030,B74,'Заполняемость'!$L$8:$L1030)</f>
        <v>24</v>
      </c>
      <c r="Q74" s="1959">
        <f t="shared" si="133"/>
        <v>0.8</v>
      </c>
      <c r="R74" s="1735">
        <f t="shared" si="142"/>
        <v>50</v>
      </c>
      <c r="S74" s="1732">
        <f t="shared" si="134"/>
        <v>100</v>
      </c>
      <c r="T74" s="1955">
        <v>30.0</v>
      </c>
      <c r="U74" s="1958">
        <f t="shared" si="143"/>
        <v>26.97</v>
      </c>
      <c r="V74" s="1959">
        <v>0.87</v>
      </c>
      <c r="W74" s="1735">
        <f t="shared" si="144"/>
        <v>80</v>
      </c>
      <c r="X74" s="1732">
        <f t="shared" si="135"/>
        <v>130</v>
      </c>
      <c r="Y74" s="1955">
        <v>31.0</v>
      </c>
      <c r="Z74" s="1958">
        <v>27.0</v>
      </c>
      <c r="AA74" s="1959">
        <f t="shared" si="136"/>
        <v>0.8709677419</v>
      </c>
      <c r="AB74" s="1735">
        <f t="shared" si="145"/>
        <v>80</v>
      </c>
      <c r="AC74" s="1732">
        <f t="shared" si="146"/>
        <v>65</v>
      </c>
      <c r="AD74" s="1955">
        <v>30.0</v>
      </c>
      <c r="AE74" s="1956">
        <v>8.0</v>
      </c>
      <c r="AF74" s="1962">
        <f t="shared" si="137"/>
        <v>0.2666666667</v>
      </c>
      <c r="AG74" s="1731">
        <f t="shared" si="147"/>
        <v>0</v>
      </c>
      <c r="AH74" s="1960"/>
      <c r="AI74" s="1714">
        <v>31.0</v>
      </c>
      <c r="AJ74" s="1961"/>
      <c r="AK74" s="1956"/>
      <c r="AL74" s="1744">
        <f t="shared" si="139"/>
        <v>0</v>
      </c>
      <c r="AM74" s="1731">
        <f t="shared" si="148"/>
        <v>0</v>
      </c>
      <c r="AN74" s="1718"/>
      <c r="AO74" s="1719">
        <v>30.0</v>
      </c>
      <c r="AP74" s="1720">
        <f>SUMIF('Заполняемость'!$C$8:$C1030,B74,'Заполняемость'!$Z$8:$Z1030)</f>
        <v>0</v>
      </c>
      <c r="AQ74" s="1949"/>
      <c r="AR74" s="1716">
        <f t="shared" si="140"/>
        <v>0</v>
      </c>
      <c r="AS74" s="1731">
        <f t="shared" si="149"/>
        <v>0</v>
      </c>
      <c r="AT74" s="1718"/>
      <c r="AU74" s="1724"/>
      <c r="AV74" s="1724"/>
      <c r="AW74" s="1724"/>
      <c r="AX74" s="1724"/>
      <c r="AY74" s="1724"/>
      <c r="AZ74" s="1724"/>
      <c r="BA74" s="1724"/>
      <c r="BB74" s="1724"/>
      <c r="BC74" s="1724"/>
      <c r="BD74" s="1724"/>
      <c r="BE74" s="1724"/>
      <c r="BF74" s="1724"/>
    </row>
    <row r="75" ht="15.75" hidden="1" customHeight="1">
      <c r="A75" s="1950" t="str">
        <f>'1. Справочник'!B81</f>
        <v/>
      </c>
      <c r="B75" s="1742" t="str">
        <f>'1. Справочник'!C81</f>
        <v>DL 4-09</v>
      </c>
      <c r="C75" s="147" t="s">
        <v>321</v>
      </c>
      <c r="D75" s="1725">
        <v>50.0</v>
      </c>
      <c r="E75" s="1697">
        <v>50.0</v>
      </c>
      <c r="F75" s="1951">
        <v>0.0</v>
      </c>
      <c r="G75" s="1952">
        <v>50.0</v>
      </c>
      <c r="H75" s="1953">
        <v>80.0</v>
      </c>
      <c r="I75" s="1954">
        <v>100.0</v>
      </c>
      <c r="J75" s="1955">
        <v>31.0</v>
      </c>
      <c r="K75" s="1956">
        <f>SUMIF('Заполняемость'!$C$8:$C1030,B75,'Заполняемость'!$I$8:$I1030)</f>
        <v>0</v>
      </c>
      <c r="L75" s="1957">
        <f t="shared" si="131"/>
        <v>0</v>
      </c>
      <c r="M75" s="1731">
        <f t="shared" si="141"/>
        <v>0</v>
      </c>
      <c r="N75" s="1732">
        <f t="shared" si="132"/>
        <v>50</v>
      </c>
      <c r="O75" s="1955">
        <v>30.0</v>
      </c>
      <c r="P75" s="1958">
        <f>SUMIF('Заполняемость'!$C$8:$C1030,B75,'Заполняемость'!$L$8:$L1030)</f>
        <v>6</v>
      </c>
      <c r="Q75" s="1959">
        <f t="shared" si="133"/>
        <v>0.2</v>
      </c>
      <c r="R75" s="1735">
        <f t="shared" si="142"/>
        <v>0</v>
      </c>
      <c r="S75" s="1732">
        <f t="shared" si="134"/>
        <v>50</v>
      </c>
      <c r="T75" s="1955">
        <v>30.0</v>
      </c>
      <c r="U75" s="1958">
        <f t="shared" si="143"/>
        <v>31</v>
      </c>
      <c r="V75" s="1963">
        <v>1.0</v>
      </c>
      <c r="W75" s="1735">
        <f t="shared" si="144"/>
        <v>100</v>
      </c>
      <c r="X75" s="1732">
        <f t="shared" si="135"/>
        <v>150</v>
      </c>
      <c r="Y75" s="1955">
        <v>31.0</v>
      </c>
      <c r="Z75" s="1958">
        <v>26.0</v>
      </c>
      <c r="AA75" s="1963">
        <f t="shared" si="136"/>
        <v>0.8387096774</v>
      </c>
      <c r="AB75" s="1735">
        <f t="shared" si="145"/>
        <v>80</v>
      </c>
      <c r="AC75" s="1732">
        <f t="shared" si="146"/>
        <v>65</v>
      </c>
      <c r="AD75" s="1955">
        <v>30.0</v>
      </c>
      <c r="AE75" s="1956">
        <v>27.0</v>
      </c>
      <c r="AF75" s="1964">
        <f t="shared" si="137"/>
        <v>0.9</v>
      </c>
      <c r="AG75" s="1731">
        <f t="shared" si="147"/>
        <v>80</v>
      </c>
      <c r="AH75" s="1960">
        <f t="shared" ref="AH75:AH79" si="150">D75+AG75</f>
        <v>130</v>
      </c>
      <c r="AI75" s="1714">
        <v>31.0</v>
      </c>
      <c r="AJ75" s="1961"/>
      <c r="AK75" s="1956">
        <v>4.0</v>
      </c>
      <c r="AL75" s="1744">
        <f t="shared" si="139"/>
        <v>0.1290322581</v>
      </c>
      <c r="AM75" s="1731">
        <f t="shared" si="148"/>
        <v>0</v>
      </c>
      <c r="AN75" s="1718">
        <f t="shared" ref="AN75:AN76" si="151">D75+AM75</f>
        <v>50</v>
      </c>
      <c r="AO75" s="1719">
        <v>30.0</v>
      </c>
      <c r="AP75" s="1720">
        <f>SUMIF('Заполняемость'!$C$8:$C1030,B75,'Заполняемость'!$Z$8:$Z1030)</f>
        <v>0</v>
      </c>
      <c r="AQ75" s="1949">
        <v>3.0</v>
      </c>
      <c r="AR75" s="1716">
        <f t="shared" si="140"/>
        <v>0.1</v>
      </c>
      <c r="AS75" s="1731">
        <f t="shared" si="149"/>
        <v>0</v>
      </c>
      <c r="AT75" s="1718">
        <f>D75+AS75</f>
        <v>50</v>
      </c>
      <c r="AU75" s="1724"/>
      <c r="AV75" s="1724"/>
      <c r="AW75" s="1724"/>
      <c r="AX75" s="1724"/>
      <c r="AY75" s="1724"/>
      <c r="AZ75" s="1724"/>
      <c r="BA75" s="1724"/>
      <c r="BB75" s="1724"/>
      <c r="BC75" s="1724"/>
      <c r="BD75" s="1724"/>
      <c r="BE75" s="1724"/>
      <c r="BF75" s="1724"/>
    </row>
    <row r="76" ht="15.75" hidden="1" customHeight="1">
      <c r="A76" s="1950" t="str">
        <f>'1. Справочник'!B82</f>
        <v/>
      </c>
      <c r="B76" s="1742" t="str">
        <f>'1. Справочник'!C93</f>
        <v>DL 13-703</v>
      </c>
      <c r="C76" s="147" t="s">
        <v>321</v>
      </c>
      <c r="D76" s="1725">
        <v>50.0</v>
      </c>
      <c r="E76" s="1697">
        <v>50.0</v>
      </c>
      <c r="F76" s="1951">
        <v>0.0</v>
      </c>
      <c r="G76" s="1952">
        <v>50.0</v>
      </c>
      <c r="H76" s="1953">
        <v>80.0</v>
      </c>
      <c r="I76" s="1954">
        <v>100.0</v>
      </c>
      <c r="J76" s="1955"/>
      <c r="K76" s="1956"/>
      <c r="L76" s="1957"/>
      <c r="M76" s="1731"/>
      <c r="N76" s="1732"/>
      <c r="O76" s="1955"/>
      <c r="P76" s="1958"/>
      <c r="Q76" s="1959"/>
      <c r="R76" s="1735"/>
      <c r="S76" s="1732"/>
      <c r="T76" s="1955">
        <v>30.0</v>
      </c>
      <c r="U76" s="1958">
        <f t="shared" si="143"/>
        <v>14.88</v>
      </c>
      <c r="V76" s="1959">
        <v>0.48</v>
      </c>
      <c r="W76" s="1735">
        <f t="shared" si="144"/>
        <v>0</v>
      </c>
      <c r="X76" s="1732">
        <f t="shared" si="135"/>
        <v>50</v>
      </c>
      <c r="Y76" s="1955">
        <v>31.0</v>
      </c>
      <c r="Z76" s="1958">
        <v>30.0</v>
      </c>
      <c r="AA76" s="1959">
        <f t="shared" si="136"/>
        <v>0.9677419355</v>
      </c>
      <c r="AB76" s="1735">
        <f t="shared" si="145"/>
        <v>100</v>
      </c>
      <c r="AC76" s="1732">
        <f t="shared" si="146"/>
        <v>75</v>
      </c>
      <c r="AD76" s="1955">
        <v>30.0</v>
      </c>
      <c r="AE76" s="1956">
        <v>16.0</v>
      </c>
      <c r="AF76" s="1957">
        <f t="shared" si="137"/>
        <v>0.5333333333</v>
      </c>
      <c r="AG76" s="1731">
        <f t="shared" si="147"/>
        <v>0</v>
      </c>
      <c r="AH76" s="1960">
        <f t="shared" si="150"/>
        <v>50</v>
      </c>
      <c r="AI76" s="1714">
        <v>31.0</v>
      </c>
      <c r="AJ76" s="1961"/>
      <c r="AK76" s="1956">
        <v>2.0</v>
      </c>
      <c r="AL76" s="1744">
        <f t="shared" si="139"/>
        <v>0.06451612903</v>
      </c>
      <c r="AM76" s="1731">
        <f t="shared" si="148"/>
        <v>0</v>
      </c>
      <c r="AN76" s="1718">
        <f t="shared" si="151"/>
        <v>50</v>
      </c>
      <c r="AO76" s="1719">
        <v>30.0</v>
      </c>
      <c r="AP76" s="1720">
        <f>SUMIF('Заполняемость'!$C$8:$C1030,B76,'Заполняемость'!$Z$8:$Z1030)</f>
        <v>0</v>
      </c>
      <c r="AQ76" s="1949"/>
      <c r="AR76" s="1716">
        <f t="shared" si="140"/>
        <v>0</v>
      </c>
      <c r="AS76" s="1731">
        <f t="shared" si="149"/>
        <v>0</v>
      </c>
      <c r="AT76" s="1718"/>
      <c r="AU76" s="1724"/>
      <c r="AV76" s="1724"/>
      <c r="AW76" s="1724"/>
      <c r="AX76" s="1724"/>
      <c r="AY76" s="1724"/>
      <c r="AZ76" s="1724"/>
      <c r="BA76" s="1724"/>
      <c r="BB76" s="1724"/>
      <c r="BC76" s="1724"/>
      <c r="BD76" s="1724"/>
      <c r="BE76" s="1724"/>
      <c r="BF76" s="1724"/>
    </row>
    <row r="77" ht="15.75" hidden="1" customHeight="1">
      <c r="A77" s="1950" t="str">
        <f>'1. Справочник'!B83</f>
        <v/>
      </c>
      <c r="B77" s="1742" t="str">
        <f>'1. Справочник'!C91</f>
        <v>DL 13-201</v>
      </c>
      <c r="C77" s="147" t="s">
        <v>321</v>
      </c>
      <c r="D77" s="1725">
        <v>50.0</v>
      </c>
      <c r="E77" s="1697">
        <v>50.0</v>
      </c>
      <c r="F77" s="1951">
        <v>0.0</v>
      </c>
      <c r="G77" s="1952">
        <v>50.0</v>
      </c>
      <c r="H77" s="1953">
        <v>80.0</v>
      </c>
      <c r="I77" s="1954">
        <v>100.0</v>
      </c>
      <c r="J77" s="1955"/>
      <c r="K77" s="1956"/>
      <c r="L77" s="1957"/>
      <c r="M77" s="1731"/>
      <c r="N77" s="1732"/>
      <c r="O77" s="1955"/>
      <c r="P77" s="1958"/>
      <c r="Q77" s="1959"/>
      <c r="R77" s="1735"/>
      <c r="S77" s="1732"/>
      <c r="T77" s="1955"/>
      <c r="U77" s="1958"/>
      <c r="V77" s="1959"/>
      <c r="W77" s="1735"/>
      <c r="X77" s="1732"/>
      <c r="Y77" s="1955">
        <v>31.0</v>
      </c>
      <c r="Z77" s="1958">
        <v>21.0</v>
      </c>
      <c r="AA77" s="1959">
        <f t="shared" si="136"/>
        <v>0.6774193548</v>
      </c>
      <c r="AB77" s="1735">
        <f t="shared" si="145"/>
        <v>0</v>
      </c>
      <c r="AC77" s="1732">
        <f t="shared" si="146"/>
        <v>25</v>
      </c>
      <c r="AD77" s="1955">
        <v>30.0</v>
      </c>
      <c r="AE77" s="1956">
        <v>16.0</v>
      </c>
      <c r="AF77" s="1957">
        <f t="shared" si="137"/>
        <v>0.5333333333</v>
      </c>
      <c r="AG77" s="1731">
        <f t="shared" si="147"/>
        <v>0</v>
      </c>
      <c r="AH77" s="1960">
        <f t="shared" si="150"/>
        <v>50</v>
      </c>
      <c r="AI77" s="1714">
        <v>31.0</v>
      </c>
      <c r="AJ77" s="1961"/>
      <c r="AK77" s="1956"/>
      <c r="AL77" s="1744">
        <f t="shared" si="139"/>
        <v>0</v>
      </c>
      <c r="AM77" s="1731">
        <f t="shared" si="148"/>
        <v>0</v>
      </c>
      <c r="AN77" s="1718"/>
      <c r="AO77" s="1719">
        <v>30.0</v>
      </c>
      <c r="AP77" s="1720">
        <f>SUMIF('Заполняемость'!$C$8:$C1030,B77,'Заполняемость'!$Z$8:$Z1030)</f>
        <v>0</v>
      </c>
      <c r="AQ77" s="1949"/>
      <c r="AR77" s="1716">
        <f t="shared" si="140"/>
        <v>0</v>
      </c>
      <c r="AS77" s="1731">
        <f t="shared" si="149"/>
        <v>0</v>
      </c>
      <c r="AT77" s="1718"/>
      <c r="AU77" s="1724"/>
      <c r="AV77" s="1724"/>
      <c r="AW77" s="1724"/>
      <c r="AX77" s="1724"/>
      <c r="AY77" s="1724"/>
      <c r="AZ77" s="1724"/>
      <c r="BA77" s="1724"/>
      <c r="BB77" s="1724"/>
      <c r="BC77" s="1724"/>
      <c r="BD77" s="1724"/>
      <c r="BE77" s="1724"/>
      <c r="BF77" s="1724"/>
    </row>
    <row r="78" ht="15.75" hidden="1" customHeight="1">
      <c r="A78" s="1950" t="str">
        <f>'1. Справочник'!B83</f>
        <v/>
      </c>
      <c r="B78" s="1742" t="str">
        <f>'1. Справочник'!C90</f>
        <v>DL 13-206</v>
      </c>
      <c r="C78" s="147" t="s">
        <v>321</v>
      </c>
      <c r="D78" s="1725">
        <v>50.0</v>
      </c>
      <c r="E78" s="1697">
        <v>50.0</v>
      </c>
      <c r="F78" s="1951">
        <v>0.0</v>
      </c>
      <c r="G78" s="1952">
        <v>50.0</v>
      </c>
      <c r="H78" s="1953">
        <v>80.0</v>
      </c>
      <c r="I78" s="1954">
        <v>100.0</v>
      </c>
      <c r="J78" s="1955"/>
      <c r="K78" s="1956"/>
      <c r="L78" s="1957"/>
      <c r="M78" s="1731"/>
      <c r="N78" s="1732"/>
      <c r="O78" s="1955"/>
      <c r="P78" s="1958"/>
      <c r="Q78" s="1959"/>
      <c r="R78" s="1735"/>
      <c r="S78" s="1732"/>
      <c r="T78" s="1955">
        <v>30.0</v>
      </c>
      <c r="U78" s="1958">
        <f t="shared" ref="U78:U89" si="152">31*V78</f>
        <v>8.06</v>
      </c>
      <c r="V78" s="1959">
        <v>0.26</v>
      </c>
      <c r="W78" s="1735">
        <f t="shared" ref="W78:W110" si="153">IF(V78&lt;=0.5,0,IF(AND(V78&gt;0.5,V78&lt;=0.7),0,IF(AND(V78&gt;0.7,V78&lt;=0.8),50,IF(AND(V78&gt;0.8,V78&lt;=0.9),80,IF(AND(V78&gt;0.9,V78&lt;=2),100,"")))))</f>
        <v>0</v>
      </c>
      <c r="X78" s="1732">
        <f t="shared" ref="X78:X110" si="154">D78+W78</f>
        <v>50</v>
      </c>
      <c r="Y78" s="1955">
        <v>31.0</v>
      </c>
      <c r="Z78" s="1958">
        <v>29.0</v>
      </c>
      <c r="AA78" s="1959">
        <f t="shared" si="136"/>
        <v>0.935483871</v>
      </c>
      <c r="AB78" s="1735">
        <f t="shared" si="145"/>
        <v>100</v>
      </c>
      <c r="AC78" s="1732">
        <f t="shared" si="146"/>
        <v>75</v>
      </c>
      <c r="AD78" s="1955">
        <v>30.0</v>
      </c>
      <c r="AE78" s="1956">
        <v>16.0</v>
      </c>
      <c r="AF78" s="1957">
        <f t="shared" si="137"/>
        <v>0.5333333333</v>
      </c>
      <c r="AG78" s="1731">
        <f t="shared" si="147"/>
        <v>0</v>
      </c>
      <c r="AH78" s="1960">
        <f t="shared" si="150"/>
        <v>50</v>
      </c>
      <c r="AI78" s="1714">
        <v>31.0</v>
      </c>
      <c r="AJ78" s="1961"/>
      <c r="AK78" s="1956"/>
      <c r="AL78" s="1744">
        <f t="shared" si="139"/>
        <v>0</v>
      </c>
      <c r="AM78" s="1731">
        <f t="shared" si="148"/>
        <v>0</v>
      </c>
      <c r="AN78" s="1718"/>
      <c r="AO78" s="1719">
        <v>30.0</v>
      </c>
      <c r="AP78" s="1720">
        <f>SUMIF('Заполняемость'!$C$8:$C1030,B78,'Заполняемость'!$Z$8:$Z1030)</f>
        <v>0</v>
      </c>
      <c r="AQ78" s="1949"/>
      <c r="AR78" s="1716">
        <f t="shared" si="140"/>
        <v>0</v>
      </c>
      <c r="AS78" s="1731">
        <f t="shared" si="149"/>
        <v>0</v>
      </c>
      <c r="AT78" s="1718"/>
      <c r="AU78" s="1724"/>
      <c r="AV78" s="1724"/>
      <c r="AW78" s="1724"/>
      <c r="AX78" s="1724"/>
      <c r="AY78" s="1724"/>
      <c r="AZ78" s="1724"/>
      <c r="BA78" s="1724"/>
      <c r="BB78" s="1724"/>
      <c r="BC78" s="1724"/>
      <c r="BD78" s="1724"/>
      <c r="BE78" s="1724"/>
      <c r="BF78" s="1724"/>
    </row>
    <row r="79" ht="15.75" hidden="1" customHeight="1">
      <c r="A79" s="1950" t="str">
        <f>'1. Справочник'!B84</f>
        <v/>
      </c>
      <c r="B79" s="1742" t="str">
        <f>'1. Справочник'!C92</f>
        <v>DL 13-709</v>
      </c>
      <c r="C79" s="147" t="s">
        <v>321</v>
      </c>
      <c r="D79" s="1725">
        <v>50.0</v>
      </c>
      <c r="E79" s="1697">
        <v>50.0</v>
      </c>
      <c r="F79" s="1951">
        <v>0.0</v>
      </c>
      <c r="G79" s="1952">
        <v>50.0</v>
      </c>
      <c r="H79" s="1953">
        <v>80.0</v>
      </c>
      <c r="I79" s="1954">
        <v>100.0</v>
      </c>
      <c r="J79" s="1955"/>
      <c r="K79" s="1956"/>
      <c r="L79" s="1957"/>
      <c r="M79" s="1731"/>
      <c r="N79" s="1732"/>
      <c r="O79" s="1955"/>
      <c r="P79" s="1958"/>
      <c r="Q79" s="1959"/>
      <c r="R79" s="1735"/>
      <c r="S79" s="1732"/>
      <c r="T79" s="1955">
        <v>30.0</v>
      </c>
      <c r="U79" s="1958">
        <f t="shared" si="152"/>
        <v>17.98</v>
      </c>
      <c r="V79" s="1959">
        <v>0.58</v>
      </c>
      <c r="W79" s="1735">
        <f t="shared" si="153"/>
        <v>0</v>
      </c>
      <c r="X79" s="1732">
        <f t="shared" si="154"/>
        <v>50</v>
      </c>
      <c r="Y79" s="1955">
        <v>31.0</v>
      </c>
      <c r="Z79" s="1958">
        <v>31.0</v>
      </c>
      <c r="AA79" s="1959">
        <f t="shared" si="136"/>
        <v>1</v>
      </c>
      <c r="AB79" s="1735">
        <f t="shared" si="145"/>
        <v>100</v>
      </c>
      <c r="AC79" s="1732">
        <f t="shared" si="146"/>
        <v>75</v>
      </c>
      <c r="AD79" s="1955">
        <v>30.0</v>
      </c>
      <c r="AE79" s="1956">
        <v>18.0</v>
      </c>
      <c r="AF79" s="1957">
        <f t="shared" si="137"/>
        <v>0.6</v>
      </c>
      <c r="AG79" s="1731">
        <f t="shared" si="147"/>
        <v>0</v>
      </c>
      <c r="AH79" s="1960">
        <f t="shared" si="150"/>
        <v>50</v>
      </c>
      <c r="AI79" s="1714">
        <v>31.0</v>
      </c>
      <c r="AJ79" s="1961"/>
      <c r="AK79" s="1956"/>
      <c r="AL79" s="1744">
        <f t="shared" si="139"/>
        <v>0</v>
      </c>
      <c r="AM79" s="1731">
        <f t="shared" si="148"/>
        <v>0</v>
      </c>
      <c r="AN79" s="1718"/>
      <c r="AO79" s="1719">
        <v>30.0</v>
      </c>
      <c r="AP79" s="1720">
        <f>SUMIF('Заполняемость'!$C$8:$C1030,B79,'Заполняемость'!$Z$8:$Z1030)</f>
        <v>0</v>
      </c>
      <c r="AQ79" s="1949"/>
      <c r="AR79" s="1716">
        <f t="shared" si="140"/>
        <v>0</v>
      </c>
      <c r="AS79" s="1731">
        <f t="shared" si="149"/>
        <v>0</v>
      </c>
      <c r="AT79" s="1718"/>
      <c r="AU79" s="1724"/>
      <c r="AV79" s="1724"/>
      <c r="AW79" s="1724"/>
      <c r="AX79" s="1724"/>
      <c r="AY79" s="1724"/>
      <c r="AZ79" s="1724"/>
      <c r="BA79" s="1724"/>
      <c r="BB79" s="1724"/>
      <c r="BC79" s="1724"/>
      <c r="BD79" s="1724"/>
      <c r="BE79" s="1724"/>
      <c r="BF79" s="1724"/>
    </row>
    <row r="80" ht="15.75" hidden="1" customHeight="1">
      <c r="A80" s="1950" t="str">
        <f>'1. Справочник'!B85</f>
        <v/>
      </c>
      <c r="B80" s="1742" t="str">
        <f>'1. Справочник'!C94</f>
        <v>DL 13-1006</v>
      </c>
      <c r="C80" s="147" t="s">
        <v>321</v>
      </c>
      <c r="D80" s="1725">
        <v>50.0</v>
      </c>
      <c r="E80" s="1697">
        <v>50.0</v>
      </c>
      <c r="F80" s="1951">
        <v>0.0</v>
      </c>
      <c r="G80" s="1952">
        <v>50.0</v>
      </c>
      <c r="H80" s="1953">
        <v>80.0</v>
      </c>
      <c r="I80" s="1954">
        <v>100.0</v>
      </c>
      <c r="J80" s="1955"/>
      <c r="K80" s="1956"/>
      <c r="L80" s="1957"/>
      <c r="M80" s="1731"/>
      <c r="N80" s="1732"/>
      <c r="O80" s="1955"/>
      <c r="P80" s="1958"/>
      <c r="Q80" s="1959"/>
      <c r="R80" s="1735"/>
      <c r="S80" s="1732"/>
      <c r="T80" s="1955">
        <v>30.0</v>
      </c>
      <c r="U80" s="1958">
        <f t="shared" si="152"/>
        <v>17.98</v>
      </c>
      <c r="V80" s="1959">
        <v>0.58</v>
      </c>
      <c r="W80" s="1735">
        <f t="shared" si="153"/>
        <v>0</v>
      </c>
      <c r="X80" s="1732">
        <f t="shared" si="154"/>
        <v>50</v>
      </c>
      <c r="Y80" s="1955">
        <v>31.0</v>
      </c>
      <c r="Z80" s="1958">
        <v>16.0</v>
      </c>
      <c r="AA80" s="1959">
        <f t="shared" si="136"/>
        <v>0.5161290323</v>
      </c>
      <c r="AB80" s="1735">
        <f t="shared" si="145"/>
        <v>0</v>
      </c>
      <c r="AC80" s="1732">
        <f t="shared" si="146"/>
        <v>25</v>
      </c>
      <c r="AD80" s="1955">
        <v>30.0</v>
      </c>
      <c r="AE80" s="1956">
        <v>11.0</v>
      </c>
      <c r="AF80" s="1962">
        <f t="shared" si="137"/>
        <v>0.3666666667</v>
      </c>
      <c r="AG80" s="1731">
        <f t="shared" si="147"/>
        <v>0</v>
      </c>
      <c r="AH80" s="1960"/>
      <c r="AI80" s="1714">
        <v>31.0</v>
      </c>
      <c r="AJ80" s="1961"/>
      <c r="AK80" s="1956"/>
      <c r="AL80" s="1744">
        <f t="shared" si="139"/>
        <v>0</v>
      </c>
      <c r="AM80" s="1731">
        <f t="shared" si="148"/>
        <v>0</v>
      </c>
      <c r="AN80" s="1718"/>
      <c r="AO80" s="1719">
        <v>30.0</v>
      </c>
      <c r="AP80" s="1720">
        <f>SUMIF('Заполняемость'!$C$8:$C1030,B80,'Заполняемость'!$Z$8:$Z1030)</f>
        <v>0</v>
      </c>
      <c r="AQ80" s="1949"/>
      <c r="AR80" s="1716">
        <f t="shared" si="140"/>
        <v>0</v>
      </c>
      <c r="AS80" s="1731">
        <f t="shared" si="149"/>
        <v>0</v>
      </c>
      <c r="AT80" s="1718"/>
      <c r="AU80" s="1724"/>
      <c r="AV80" s="1724"/>
      <c r="AW80" s="1724"/>
      <c r="AX80" s="1724"/>
      <c r="AY80" s="1724"/>
      <c r="AZ80" s="1724"/>
      <c r="BA80" s="1724"/>
      <c r="BB80" s="1724"/>
      <c r="BC80" s="1724"/>
      <c r="BD80" s="1724"/>
      <c r="BE80" s="1724"/>
      <c r="BF80" s="1724"/>
    </row>
    <row r="81" ht="15.75" hidden="1" customHeight="1">
      <c r="A81" s="1950" t="str">
        <f>'1. Справочник'!B82</f>
        <v/>
      </c>
      <c r="B81" s="1742" t="str">
        <f>'1. Справочник'!C82</f>
        <v>DL14-518</v>
      </c>
      <c r="C81" s="147" t="s">
        <v>321</v>
      </c>
      <c r="D81" s="1725">
        <v>50.0</v>
      </c>
      <c r="E81" s="1697">
        <v>50.0</v>
      </c>
      <c r="F81" s="1951">
        <v>0.0</v>
      </c>
      <c r="G81" s="1952">
        <v>50.0</v>
      </c>
      <c r="H81" s="1953">
        <v>80.0</v>
      </c>
      <c r="I81" s="1954">
        <v>100.0</v>
      </c>
      <c r="J81" s="1955">
        <v>31.0</v>
      </c>
      <c r="K81" s="1956">
        <f>SUMIF('Заполняемость'!$C$8:$C1030,B81,'Заполняемость'!$I$8:$I1030)</f>
        <v>4</v>
      </c>
      <c r="L81" s="1957">
        <f t="shared" ref="L81:L111" si="155">K81/J81</f>
        <v>0.1290322581</v>
      </c>
      <c r="M81" s="1731">
        <f t="shared" ref="M81:M111" si="156">IF(L81&lt;=0.5,0,IF(AND(L81&gt;0.5,L81&lt;=0.7),0,IF(AND(L81&gt;0.7,L81&lt;=0.8),50,IF(AND(L81&gt;0.8,L81&lt;=0.9),80,IF(AND(L81&gt;0.9,L81&lt;=2),100,"")))))</f>
        <v>0</v>
      </c>
      <c r="N81" s="1732">
        <f t="shared" ref="N81:N110" si="157">M81+D81</f>
        <v>50</v>
      </c>
      <c r="O81" s="1955">
        <v>30.0</v>
      </c>
      <c r="P81" s="1958">
        <f>SUMIF('Заполняемость'!$C$8:$C1030,B81,'Заполняемость'!$L$8:$L1030)</f>
        <v>15</v>
      </c>
      <c r="Q81" s="1959">
        <f t="shared" ref="Q81:Q110" si="158">P81/O81</f>
        <v>0.5</v>
      </c>
      <c r="R81" s="1735">
        <f t="shared" ref="R81:R110" si="159">IF(Q81&lt;=0.5,0,IF(AND(Q81&gt;0.5,Q81&lt;=0.7),0,IF(AND(Q81&gt;0.7,Q81&lt;=0.8),50,IF(AND(Q81&gt;0.8,Q81&lt;=0.9),80,IF(AND(Q81&gt;0.9,Q81&lt;=2),100,"")))))</f>
        <v>0</v>
      </c>
      <c r="S81" s="1732">
        <f t="shared" ref="S81:S110" si="160">D81+R81</f>
        <v>50</v>
      </c>
      <c r="T81" s="1955">
        <v>30.0</v>
      </c>
      <c r="U81" s="1958">
        <f t="shared" si="152"/>
        <v>27.9</v>
      </c>
      <c r="V81" s="1963">
        <v>0.9</v>
      </c>
      <c r="W81" s="1735">
        <f t="shared" si="153"/>
        <v>80</v>
      </c>
      <c r="X81" s="1732">
        <f t="shared" si="154"/>
        <v>130</v>
      </c>
      <c r="Y81" s="1955">
        <v>31.0</v>
      </c>
      <c r="Z81" s="1958">
        <v>24.0</v>
      </c>
      <c r="AA81" s="1963">
        <f t="shared" si="136"/>
        <v>0.7741935484</v>
      </c>
      <c r="AB81" s="1735">
        <f t="shared" si="145"/>
        <v>50</v>
      </c>
      <c r="AC81" s="1732">
        <f t="shared" si="146"/>
        <v>50</v>
      </c>
      <c r="AD81" s="1955">
        <v>30.0</v>
      </c>
      <c r="AE81" s="1956">
        <v>9.0</v>
      </c>
      <c r="AF81" s="1962">
        <f t="shared" si="137"/>
        <v>0.3</v>
      </c>
      <c r="AG81" s="1731">
        <f t="shared" si="147"/>
        <v>0</v>
      </c>
      <c r="AH81" s="1960"/>
      <c r="AI81" s="1714">
        <v>31.0</v>
      </c>
      <c r="AJ81" s="1961"/>
      <c r="AK81" s="1956"/>
      <c r="AL81" s="1744">
        <f t="shared" si="139"/>
        <v>0</v>
      </c>
      <c r="AM81" s="1731">
        <f t="shared" si="148"/>
        <v>0</v>
      </c>
      <c r="AN81" s="1718"/>
      <c r="AO81" s="1719">
        <v>30.0</v>
      </c>
      <c r="AP81" s="1720">
        <f>SUMIF('Заполняемость'!$C$8:$C1030,B81,'Заполняемость'!$Z$8:$Z1030)</f>
        <v>0</v>
      </c>
      <c r="AQ81" s="1949"/>
      <c r="AR81" s="1716">
        <f t="shared" si="140"/>
        <v>0</v>
      </c>
      <c r="AS81" s="1731">
        <f t="shared" si="149"/>
        <v>0</v>
      </c>
      <c r="AT81" s="1718"/>
      <c r="AU81" s="1724"/>
      <c r="AV81" s="1724"/>
      <c r="AW81" s="1724"/>
      <c r="AX81" s="1724"/>
      <c r="AY81" s="1724"/>
      <c r="AZ81" s="1724"/>
      <c r="BA81" s="1724"/>
      <c r="BB81" s="1724"/>
      <c r="BC81" s="1724"/>
      <c r="BD81" s="1724"/>
      <c r="BE81" s="1724"/>
      <c r="BF81" s="1724"/>
    </row>
    <row r="82" ht="15.75" hidden="1" customHeight="1">
      <c r="A82" s="1950" t="str">
        <f>'1. Справочник'!B83</f>
        <v/>
      </c>
      <c r="B82" s="1742" t="str">
        <f>'1. Справочник'!C83</f>
        <v>DL14-1405</v>
      </c>
      <c r="C82" s="147" t="s">
        <v>321</v>
      </c>
      <c r="D82" s="1725">
        <v>50.0</v>
      </c>
      <c r="E82" s="1697">
        <v>50.0</v>
      </c>
      <c r="F82" s="1951">
        <v>0.0</v>
      </c>
      <c r="G82" s="1952">
        <v>50.0</v>
      </c>
      <c r="H82" s="1953">
        <v>80.0</v>
      </c>
      <c r="I82" s="1954">
        <v>100.0</v>
      </c>
      <c r="J82" s="1955">
        <v>31.0</v>
      </c>
      <c r="K82" s="1956">
        <f>SUMIF('Заполняемость'!$C$8:$C1030,B82,'Заполняемость'!$I$8:$I1030)</f>
        <v>3</v>
      </c>
      <c r="L82" s="1957">
        <f t="shared" si="155"/>
        <v>0.09677419355</v>
      </c>
      <c r="M82" s="1731">
        <f t="shared" si="156"/>
        <v>0</v>
      </c>
      <c r="N82" s="1732">
        <f t="shared" si="157"/>
        <v>50</v>
      </c>
      <c r="O82" s="1955">
        <v>30.0</v>
      </c>
      <c r="P82" s="1958">
        <f>SUMIF('Заполняемость'!$C$8:$C1030,B82,'Заполняемость'!$L$8:$L1030)</f>
        <v>12</v>
      </c>
      <c r="Q82" s="1959">
        <f t="shared" si="158"/>
        <v>0.4</v>
      </c>
      <c r="R82" s="1735">
        <f t="shared" si="159"/>
        <v>0</v>
      </c>
      <c r="S82" s="1732">
        <f t="shared" si="160"/>
        <v>50</v>
      </c>
      <c r="T82" s="1955">
        <v>30.0</v>
      </c>
      <c r="U82" s="1958">
        <f t="shared" si="152"/>
        <v>26.04</v>
      </c>
      <c r="V82" s="1959">
        <v>0.84</v>
      </c>
      <c r="W82" s="1735">
        <f t="shared" si="153"/>
        <v>80</v>
      </c>
      <c r="X82" s="1732">
        <f t="shared" si="154"/>
        <v>130</v>
      </c>
      <c r="Y82" s="1955">
        <v>31.0</v>
      </c>
      <c r="Z82" s="1958">
        <v>28.0</v>
      </c>
      <c r="AA82" s="1959">
        <f t="shared" si="136"/>
        <v>0.9032258065</v>
      </c>
      <c r="AB82" s="1735">
        <f t="shared" si="145"/>
        <v>100</v>
      </c>
      <c r="AC82" s="1732">
        <f t="shared" si="146"/>
        <v>75</v>
      </c>
      <c r="AD82" s="1955">
        <v>30.0</v>
      </c>
      <c r="AE82" s="1956">
        <v>13.0</v>
      </c>
      <c r="AF82" s="1962">
        <f t="shared" si="137"/>
        <v>0.4333333333</v>
      </c>
      <c r="AG82" s="1731">
        <f t="shared" si="147"/>
        <v>0</v>
      </c>
      <c r="AH82" s="1960"/>
      <c r="AI82" s="1714">
        <v>31.0</v>
      </c>
      <c r="AJ82" s="1961"/>
      <c r="AK82" s="1956"/>
      <c r="AL82" s="1744">
        <f t="shared" si="139"/>
        <v>0</v>
      </c>
      <c r="AM82" s="1731">
        <f t="shared" si="148"/>
        <v>0</v>
      </c>
      <c r="AN82" s="1718"/>
      <c r="AO82" s="1719">
        <v>30.0</v>
      </c>
      <c r="AP82" s="1720">
        <f>SUMIF('Заполняемость'!$C$8:$C1030,B82,'Заполняемость'!$Z$8:$Z1030)</f>
        <v>0</v>
      </c>
      <c r="AQ82" s="1949">
        <v>27.0</v>
      </c>
      <c r="AR82" s="1716">
        <f t="shared" si="140"/>
        <v>0.9</v>
      </c>
      <c r="AS82" s="1731">
        <f t="shared" si="149"/>
        <v>80</v>
      </c>
      <c r="AT82" s="1718">
        <f>D82+AS82</f>
        <v>130</v>
      </c>
      <c r="AU82" s="1724"/>
      <c r="AV82" s="1724"/>
      <c r="AW82" s="1724"/>
      <c r="AX82" s="1724"/>
      <c r="AY82" s="1724"/>
      <c r="AZ82" s="1724"/>
      <c r="BA82" s="1724"/>
      <c r="BB82" s="1724"/>
      <c r="BC82" s="1724"/>
      <c r="BD82" s="1724"/>
      <c r="BE82" s="1724"/>
      <c r="BF82" s="1724"/>
    </row>
    <row r="83" ht="15.75" hidden="1" customHeight="1">
      <c r="A83" s="1950" t="str">
        <f>'1. Справочник'!B85</f>
        <v/>
      </c>
      <c r="B83" s="1742" t="str">
        <f>'1. Справочник'!C84</f>
        <v>DL 14-505</v>
      </c>
      <c r="C83" s="147" t="s">
        <v>321</v>
      </c>
      <c r="D83" s="1725">
        <v>50.0</v>
      </c>
      <c r="E83" s="1697">
        <v>50.0</v>
      </c>
      <c r="F83" s="1951">
        <v>0.0</v>
      </c>
      <c r="G83" s="1952">
        <v>50.0</v>
      </c>
      <c r="H83" s="1953">
        <v>80.0</v>
      </c>
      <c r="I83" s="1954">
        <v>100.0</v>
      </c>
      <c r="J83" s="1955">
        <v>31.0</v>
      </c>
      <c r="K83" s="1956">
        <f>SUMIF('Заполняемость'!$C$8:$C1030,B83,'Заполняемость'!$I$8:$I1030)</f>
        <v>7</v>
      </c>
      <c r="L83" s="1957">
        <f t="shared" si="155"/>
        <v>0.2258064516</v>
      </c>
      <c r="M83" s="1731">
        <f t="shared" si="156"/>
        <v>0</v>
      </c>
      <c r="N83" s="1732">
        <f t="shared" si="157"/>
        <v>50</v>
      </c>
      <c r="O83" s="1955">
        <v>30.0</v>
      </c>
      <c r="P83" s="1958">
        <f>SUMIF('Заполняемость'!$C$8:$C1030,B83,'Заполняемость'!$L$8:$L1030)</f>
        <v>18</v>
      </c>
      <c r="Q83" s="1959">
        <f t="shared" si="158"/>
        <v>0.6</v>
      </c>
      <c r="R83" s="1735">
        <f t="shared" si="159"/>
        <v>0</v>
      </c>
      <c r="S83" s="1732">
        <f t="shared" si="160"/>
        <v>50</v>
      </c>
      <c r="T83" s="1955">
        <v>30.0</v>
      </c>
      <c r="U83" s="1958">
        <f t="shared" si="152"/>
        <v>29.14</v>
      </c>
      <c r="V83" s="1963">
        <v>0.94</v>
      </c>
      <c r="W83" s="1735">
        <f t="shared" si="153"/>
        <v>100</v>
      </c>
      <c r="X83" s="1732">
        <f t="shared" si="154"/>
        <v>150</v>
      </c>
      <c r="Y83" s="1955">
        <v>31.0</v>
      </c>
      <c r="Z83" s="1958">
        <v>30.0</v>
      </c>
      <c r="AA83" s="1963">
        <f t="shared" si="136"/>
        <v>0.9677419355</v>
      </c>
      <c r="AB83" s="1735">
        <f t="shared" si="145"/>
        <v>100</v>
      </c>
      <c r="AC83" s="1732">
        <f t="shared" si="146"/>
        <v>75</v>
      </c>
      <c r="AD83" s="1955">
        <v>30.0</v>
      </c>
      <c r="AE83" s="1956">
        <v>12.0</v>
      </c>
      <c r="AF83" s="1962">
        <f t="shared" si="137"/>
        <v>0.4</v>
      </c>
      <c r="AG83" s="1731">
        <f t="shared" si="147"/>
        <v>0</v>
      </c>
      <c r="AH83" s="1960"/>
      <c r="AI83" s="1714">
        <v>31.0</v>
      </c>
      <c r="AJ83" s="1961"/>
      <c r="AK83" s="1956">
        <v>5.0</v>
      </c>
      <c r="AL83" s="1744">
        <f t="shared" si="139"/>
        <v>0.1612903226</v>
      </c>
      <c r="AM83" s="1731">
        <f t="shared" si="148"/>
        <v>0</v>
      </c>
      <c r="AN83" s="1718">
        <f>D83+AM83</f>
        <v>50</v>
      </c>
      <c r="AO83" s="1719">
        <v>30.0</v>
      </c>
      <c r="AP83" s="1720">
        <f>SUMIF('Заполняемость'!$C$8:$C1030,B83,'Заполняемость'!$Z$8:$Z1030)</f>
        <v>0</v>
      </c>
      <c r="AQ83" s="1949"/>
      <c r="AR83" s="1716">
        <f t="shared" si="140"/>
        <v>0</v>
      </c>
      <c r="AS83" s="1731">
        <f t="shared" si="149"/>
        <v>0</v>
      </c>
      <c r="AT83" s="1718"/>
      <c r="AU83" s="1724"/>
      <c r="AV83" s="1724"/>
      <c r="AW83" s="1724"/>
      <c r="AX83" s="1724"/>
      <c r="AY83" s="1724"/>
      <c r="AZ83" s="1724"/>
      <c r="BA83" s="1724"/>
      <c r="BB83" s="1724"/>
      <c r="BC83" s="1724"/>
      <c r="BD83" s="1724"/>
      <c r="BE83" s="1724"/>
      <c r="BF83" s="1724"/>
    </row>
    <row r="84" ht="15.75" hidden="1" customHeight="1">
      <c r="A84" s="1950" t="str">
        <f>'1. Справочник'!B86</f>
        <v/>
      </c>
      <c r="B84" s="1742" t="str">
        <f>'1. Справочник'!C96</f>
        <v>DL 14-506</v>
      </c>
      <c r="C84" s="147" t="s">
        <v>321</v>
      </c>
      <c r="D84" s="1725">
        <v>50.0</v>
      </c>
      <c r="E84" s="1697">
        <v>50.0</v>
      </c>
      <c r="F84" s="1951">
        <v>0.0</v>
      </c>
      <c r="G84" s="1952">
        <v>50.0</v>
      </c>
      <c r="H84" s="1953">
        <v>80.0</v>
      </c>
      <c r="I84" s="1954">
        <v>100.0</v>
      </c>
      <c r="J84" s="1955">
        <v>31.0</v>
      </c>
      <c r="K84" s="1956">
        <f>SUMIF('Заполняемость'!$C$8:$C1030,B84,'Заполняемость'!$I$8:$I1030)</f>
        <v>0</v>
      </c>
      <c r="L84" s="1957">
        <f t="shared" si="155"/>
        <v>0</v>
      </c>
      <c r="M84" s="1731">
        <f t="shared" si="156"/>
        <v>0</v>
      </c>
      <c r="N84" s="1732">
        <f t="shared" si="157"/>
        <v>50</v>
      </c>
      <c r="O84" s="1955">
        <v>30.0</v>
      </c>
      <c r="P84" s="1958">
        <f>SUMIF('Заполняемость'!$C$8:$C1030,B84,'Заполняемость'!$L$8:$L1030)</f>
        <v>0</v>
      </c>
      <c r="Q84" s="1959">
        <f t="shared" si="158"/>
        <v>0</v>
      </c>
      <c r="R84" s="1735">
        <f t="shared" si="159"/>
        <v>0</v>
      </c>
      <c r="S84" s="1732">
        <f t="shared" si="160"/>
        <v>50</v>
      </c>
      <c r="T84" s="1955">
        <v>30.0</v>
      </c>
      <c r="U84" s="1958">
        <f t="shared" si="152"/>
        <v>29.14</v>
      </c>
      <c r="V84" s="1963">
        <v>0.94</v>
      </c>
      <c r="W84" s="1735">
        <f t="shared" si="153"/>
        <v>100</v>
      </c>
      <c r="X84" s="1732">
        <f t="shared" si="154"/>
        <v>150</v>
      </c>
      <c r="Y84" s="1955">
        <v>31.0</v>
      </c>
      <c r="Z84" s="1958">
        <v>21.0</v>
      </c>
      <c r="AA84" s="1963">
        <f t="shared" si="136"/>
        <v>0.6774193548</v>
      </c>
      <c r="AB84" s="1735">
        <f t="shared" si="145"/>
        <v>0</v>
      </c>
      <c r="AC84" s="1732">
        <f t="shared" si="146"/>
        <v>25</v>
      </c>
      <c r="AD84" s="1955">
        <v>30.0</v>
      </c>
      <c r="AE84" s="1956">
        <v>14.0</v>
      </c>
      <c r="AF84" s="1965">
        <f t="shared" si="137"/>
        <v>0.4666666667</v>
      </c>
      <c r="AG84" s="1731">
        <f t="shared" si="147"/>
        <v>0</v>
      </c>
      <c r="AH84" s="1960">
        <v>50.0</v>
      </c>
      <c r="AI84" s="1714">
        <v>31.0</v>
      </c>
      <c r="AJ84" s="1961"/>
      <c r="AK84" s="1956"/>
      <c r="AL84" s="1744">
        <f t="shared" si="139"/>
        <v>0</v>
      </c>
      <c r="AM84" s="1731">
        <f t="shared" si="148"/>
        <v>0</v>
      </c>
      <c r="AN84" s="1718"/>
      <c r="AO84" s="1719">
        <v>30.0</v>
      </c>
      <c r="AP84" s="1720">
        <f>SUMIF('Заполняемость'!$C$8:$C1030,B84,'Заполняемость'!$Z$8:$Z1030)</f>
        <v>0</v>
      </c>
      <c r="AQ84" s="1949"/>
      <c r="AR84" s="1716">
        <f t="shared" si="140"/>
        <v>0</v>
      </c>
      <c r="AS84" s="1731">
        <f t="shared" si="149"/>
        <v>0</v>
      </c>
      <c r="AT84" s="1718"/>
      <c r="AU84" s="1724"/>
      <c r="AV84" s="1724"/>
      <c r="AW84" s="1724"/>
      <c r="AX84" s="1724"/>
      <c r="AY84" s="1724"/>
      <c r="AZ84" s="1724"/>
      <c r="BA84" s="1724"/>
      <c r="BB84" s="1724"/>
      <c r="BC84" s="1724"/>
      <c r="BD84" s="1724"/>
      <c r="BE84" s="1724"/>
      <c r="BF84" s="1724"/>
    </row>
    <row r="85" ht="15.75" hidden="1" customHeight="1">
      <c r="A85" s="1950" t="str">
        <f>'1. Справочник'!B87</f>
        <v/>
      </c>
      <c r="B85" s="1742" t="str">
        <f>'1. Справочник'!C95</f>
        <v>DL 13-1106</v>
      </c>
      <c r="C85" s="147" t="s">
        <v>321</v>
      </c>
      <c r="D85" s="1725">
        <v>50.0</v>
      </c>
      <c r="E85" s="1697">
        <v>50.0</v>
      </c>
      <c r="F85" s="1951">
        <v>0.0</v>
      </c>
      <c r="G85" s="1952">
        <v>50.0</v>
      </c>
      <c r="H85" s="1953">
        <v>80.0</v>
      </c>
      <c r="I85" s="1954">
        <v>100.0</v>
      </c>
      <c r="J85" s="1955">
        <v>31.0</v>
      </c>
      <c r="K85" s="1956">
        <f>SUMIF('Заполняемость'!$C$8:$C1030,B85,'Заполняемость'!$I$8:$I1030)</f>
        <v>0</v>
      </c>
      <c r="L85" s="1957">
        <f t="shared" si="155"/>
        <v>0</v>
      </c>
      <c r="M85" s="1731">
        <f t="shared" si="156"/>
        <v>0</v>
      </c>
      <c r="N85" s="1732">
        <f t="shared" si="157"/>
        <v>50</v>
      </c>
      <c r="O85" s="1955">
        <v>30.0</v>
      </c>
      <c r="P85" s="1958">
        <f>SUMIF('Заполняемость'!$C$8:$C1030,B85,'Заполняемость'!$L$8:$L1030)</f>
        <v>0</v>
      </c>
      <c r="Q85" s="1959">
        <f t="shared" si="158"/>
        <v>0</v>
      </c>
      <c r="R85" s="1735">
        <f t="shared" si="159"/>
        <v>0</v>
      </c>
      <c r="S85" s="1732">
        <f t="shared" si="160"/>
        <v>50</v>
      </c>
      <c r="T85" s="1955">
        <v>30.0</v>
      </c>
      <c r="U85" s="1958">
        <f t="shared" si="152"/>
        <v>22.94</v>
      </c>
      <c r="V85" s="1959">
        <v>0.74</v>
      </c>
      <c r="W85" s="1737">
        <f t="shared" si="153"/>
        <v>50</v>
      </c>
      <c r="X85" s="1732">
        <f t="shared" si="154"/>
        <v>100</v>
      </c>
      <c r="Y85" s="1955">
        <v>31.0</v>
      </c>
      <c r="Z85" s="1958">
        <v>24.0</v>
      </c>
      <c r="AA85" s="1959">
        <f t="shared" si="136"/>
        <v>0.7741935484</v>
      </c>
      <c r="AB85" s="1737">
        <f t="shared" si="145"/>
        <v>50</v>
      </c>
      <c r="AC85" s="1732">
        <f t="shared" si="146"/>
        <v>50</v>
      </c>
      <c r="AD85" s="1955">
        <v>30.0</v>
      </c>
      <c r="AE85" s="1956">
        <v>3.0</v>
      </c>
      <c r="AF85" s="1962">
        <f t="shared" si="137"/>
        <v>0.1</v>
      </c>
      <c r="AG85" s="1738">
        <v>0.0</v>
      </c>
      <c r="AH85" s="1960"/>
      <c r="AI85" s="1714">
        <v>31.0</v>
      </c>
      <c r="AJ85" s="1961"/>
      <c r="AK85" s="1956"/>
      <c r="AL85" s="1744">
        <f t="shared" si="139"/>
        <v>0</v>
      </c>
      <c r="AM85" s="1731">
        <f t="shared" si="148"/>
        <v>0</v>
      </c>
      <c r="AN85" s="1718"/>
      <c r="AO85" s="1719">
        <v>30.0</v>
      </c>
      <c r="AP85" s="1720">
        <f>SUMIF('Заполняемость'!$C$8:$C1030,B85,'Заполняемость'!$Z$8:$Z1030)</f>
        <v>0</v>
      </c>
      <c r="AQ85" s="1949"/>
      <c r="AR85" s="1716">
        <f t="shared" si="140"/>
        <v>0</v>
      </c>
      <c r="AS85" s="1731">
        <f t="shared" si="149"/>
        <v>0</v>
      </c>
      <c r="AT85" s="1718"/>
      <c r="AU85" s="1724"/>
      <c r="AV85" s="1724"/>
      <c r="AW85" s="1724"/>
      <c r="AX85" s="1724"/>
      <c r="AY85" s="1724"/>
      <c r="AZ85" s="1724"/>
      <c r="BA85" s="1724"/>
      <c r="BB85" s="1724"/>
      <c r="BC85" s="1724"/>
      <c r="BD85" s="1724"/>
      <c r="BE85" s="1724"/>
      <c r="BF85" s="1724"/>
    </row>
    <row r="86" ht="15.75" hidden="1" customHeight="1">
      <c r="A86" s="1950" t="str">
        <f>'1. Справочник'!B84</f>
        <v/>
      </c>
      <c r="B86" s="1742" t="str">
        <f>'1. Справочник'!C86</f>
        <v>DL 14-1710</v>
      </c>
      <c r="C86" s="147" t="s">
        <v>321</v>
      </c>
      <c r="D86" s="1725">
        <v>50.0</v>
      </c>
      <c r="E86" s="1697">
        <v>50.0</v>
      </c>
      <c r="F86" s="1951">
        <v>0.0</v>
      </c>
      <c r="G86" s="1952">
        <v>50.0</v>
      </c>
      <c r="H86" s="1953">
        <v>80.0</v>
      </c>
      <c r="I86" s="1954">
        <v>100.0</v>
      </c>
      <c r="J86" s="1955">
        <v>31.0</v>
      </c>
      <c r="K86" s="1956">
        <f>SUMIF('Заполняемость'!$C$8:$C1030,B86,'Заполняемость'!$I$8:$I1030)</f>
        <v>0</v>
      </c>
      <c r="L86" s="1957">
        <f t="shared" si="155"/>
        <v>0</v>
      </c>
      <c r="M86" s="1731">
        <f t="shared" si="156"/>
        <v>0</v>
      </c>
      <c r="N86" s="1732">
        <f t="shared" si="157"/>
        <v>50</v>
      </c>
      <c r="O86" s="1955">
        <v>30.0</v>
      </c>
      <c r="P86" s="1958">
        <f>SUMIF('Заполняемость'!$C$8:$C1030,B86,'Заполняемость'!$L$8:$L1030)</f>
        <v>14</v>
      </c>
      <c r="Q86" s="1959">
        <f t="shared" si="158"/>
        <v>0.4666666667</v>
      </c>
      <c r="R86" s="1735">
        <f t="shared" si="159"/>
        <v>0</v>
      </c>
      <c r="S86" s="1732">
        <f t="shared" si="160"/>
        <v>50</v>
      </c>
      <c r="T86" s="1955">
        <v>30.0</v>
      </c>
      <c r="U86" s="1958">
        <f t="shared" si="152"/>
        <v>21.08</v>
      </c>
      <c r="V86" s="1959">
        <v>0.68</v>
      </c>
      <c r="W86" s="1735">
        <f t="shared" si="153"/>
        <v>0</v>
      </c>
      <c r="X86" s="1732">
        <f t="shared" si="154"/>
        <v>50</v>
      </c>
      <c r="Y86" s="1955">
        <v>31.0</v>
      </c>
      <c r="Z86" s="1958">
        <v>31.0</v>
      </c>
      <c r="AA86" s="1959">
        <f t="shared" si="136"/>
        <v>1</v>
      </c>
      <c r="AB86" s="1735">
        <f t="shared" si="145"/>
        <v>100</v>
      </c>
      <c r="AC86" s="1732">
        <f t="shared" si="146"/>
        <v>75</v>
      </c>
      <c r="AD86" s="1955">
        <v>30.0</v>
      </c>
      <c r="AE86" s="1956">
        <v>20.0</v>
      </c>
      <c r="AF86" s="1957">
        <f t="shared" si="137"/>
        <v>0.6666666667</v>
      </c>
      <c r="AG86" s="1731">
        <f t="shared" ref="AG86:AG111" si="161">IF(AF86&lt;=0.5,0,IF(AND(AF86&gt;0.5,AF86&lt;=0.7),0,IF(AND(AF86&gt;0.7,AF86&lt;=0.8),50,IF(AND(AF86&gt;0.8,AF86&lt;=0.9),80,IF(AND(AF86&gt;0.9,AF86&lt;=2),100,"")))))</f>
        <v>0</v>
      </c>
      <c r="AH86" s="1960">
        <f>D86+AG86</f>
        <v>50</v>
      </c>
      <c r="AI86" s="1714">
        <v>31.0</v>
      </c>
      <c r="AJ86" s="1961"/>
      <c r="AK86" s="1956"/>
      <c r="AL86" s="1744">
        <f t="shared" si="139"/>
        <v>0</v>
      </c>
      <c r="AM86" s="1731">
        <f t="shared" si="148"/>
        <v>0</v>
      </c>
      <c r="AN86" s="1718"/>
      <c r="AO86" s="1719">
        <v>30.0</v>
      </c>
      <c r="AP86" s="1720">
        <f>SUMIF('Заполняемость'!$C$8:$C1030,B86,'Заполняемость'!$Z$8:$Z1030)</f>
        <v>0</v>
      </c>
      <c r="AQ86" s="1949"/>
      <c r="AR86" s="1716">
        <f t="shared" si="140"/>
        <v>0</v>
      </c>
      <c r="AS86" s="1731">
        <f t="shared" si="149"/>
        <v>0</v>
      </c>
      <c r="AT86" s="1718"/>
      <c r="AU86" s="1724"/>
      <c r="AV86" s="1724"/>
      <c r="AW86" s="1724"/>
      <c r="AX86" s="1724"/>
      <c r="AY86" s="1724"/>
      <c r="AZ86" s="1724"/>
      <c r="BA86" s="1724"/>
      <c r="BB86" s="1724"/>
      <c r="BC86" s="1724"/>
      <c r="BD86" s="1724"/>
      <c r="BE86" s="1724"/>
      <c r="BF86" s="1724"/>
    </row>
    <row r="87" ht="15.75" hidden="1" customHeight="1">
      <c r="A87" s="1950" t="str">
        <f>'1. Справочник'!B85</f>
        <v/>
      </c>
      <c r="B87" s="1742" t="str">
        <f>'1. Справочник'!C87</f>
        <v>DL14-305</v>
      </c>
      <c r="C87" s="147" t="s">
        <v>321</v>
      </c>
      <c r="D87" s="1725">
        <v>50.0</v>
      </c>
      <c r="E87" s="1697">
        <v>50.0</v>
      </c>
      <c r="F87" s="1951">
        <v>0.0</v>
      </c>
      <c r="G87" s="1952">
        <v>50.0</v>
      </c>
      <c r="H87" s="1953">
        <v>80.0</v>
      </c>
      <c r="I87" s="1954">
        <v>100.0</v>
      </c>
      <c r="J87" s="1955">
        <v>31.0</v>
      </c>
      <c r="K87" s="1956">
        <f>SUMIF('Заполняемость'!$C$8:$C1030,B87,'Заполняемость'!$I$8:$I1030)</f>
        <v>0</v>
      </c>
      <c r="L87" s="1957">
        <f t="shared" si="155"/>
        <v>0</v>
      </c>
      <c r="M87" s="1731">
        <f t="shared" si="156"/>
        <v>0</v>
      </c>
      <c r="N87" s="1732">
        <f t="shared" si="157"/>
        <v>50</v>
      </c>
      <c r="O87" s="1955">
        <v>30.0</v>
      </c>
      <c r="P87" s="1958">
        <f>SUMIF('Заполняемость'!$C$8:$C1030,B87,'Заполняемость'!$L$8:$L1030)</f>
        <v>12</v>
      </c>
      <c r="Q87" s="1959">
        <f t="shared" si="158"/>
        <v>0.4</v>
      </c>
      <c r="R87" s="1735">
        <f t="shared" si="159"/>
        <v>0</v>
      </c>
      <c r="S87" s="1732">
        <f t="shared" si="160"/>
        <v>50</v>
      </c>
      <c r="T87" s="1955">
        <v>30.0</v>
      </c>
      <c r="U87" s="1958">
        <f t="shared" si="152"/>
        <v>21.08</v>
      </c>
      <c r="V87" s="1959">
        <v>0.68</v>
      </c>
      <c r="W87" s="1735">
        <f t="shared" si="153"/>
        <v>0</v>
      </c>
      <c r="X87" s="1732">
        <f t="shared" si="154"/>
        <v>50</v>
      </c>
      <c r="Y87" s="1955">
        <v>31.0</v>
      </c>
      <c r="Z87" s="1958">
        <v>27.0</v>
      </c>
      <c r="AA87" s="1959">
        <f t="shared" si="136"/>
        <v>0.8709677419</v>
      </c>
      <c r="AB87" s="1735">
        <f t="shared" si="145"/>
        <v>80</v>
      </c>
      <c r="AC87" s="1732">
        <f t="shared" si="146"/>
        <v>65</v>
      </c>
      <c r="AD87" s="1955">
        <v>30.0</v>
      </c>
      <c r="AE87" s="1956">
        <v>14.0</v>
      </c>
      <c r="AF87" s="1957">
        <f t="shared" si="137"/>
        <v>0.4666666667</v>
      </c>
      <c r="AG87" s="1731">
        <f t="shared" si="161"/>
        <v>0</v>
      </c>
      <c r="AH87" s="1960">
        <v>50.0</v>
      </c>
      <c r="AI87" s="1714">
        <v>31.0</v>
      </c>
      <c r="AJ87" s="1961"/>
      <c r="AK87" s="1956"/>
      <c r="AL87" s="1744">
        <f t="shared" si="139"/>
        <v>0</v>
      </c>
      <c r="AM87" s="1731">
        <f t="shared" si="148"/>
        <v>0</v>
      </c>
      <c r="AN87" s="1718"/>
      <c r="AO87" s="1719">
        <v>30.0</v>
      </c>
      <c r="AP87" s="1720">
        <f>SUMIF('Заполняемость'!$C$8:$C1030,B87,'Заполняемость'!$Z$8:$Z1030)</f>
        <v>0</v>
      </c>
      <c r="AQ87" s="1949"/>
      <c r="AR87" s="1716">
        <f t="shared" si="140"/>
        <v>0</v>
      </c>
      <c r="AS87" s="1731">
        <f t="shared" si="149"/>
        <v>0</v>
      </c>
      <c r="AT87" s="1718"/>
      <c r="AU87" s="1724"/>
      <c r="AV87" s="1724"/>
      <c r="AW87" s="1724"/>
      <c r="AX87" s="1724"/>
      <c r="AY87" s="1724"/>
      <c r="AZ87" s="1724"/>
      <c r="BA87" s="1724"/>
      <c r="BB87" s="1724"/>
      <c r="BC87" s="1724"/>
      <c r="BD87" s="1724"/>
      <c r="BE87" s="1724"/>
      <c r="BF87" s="1724"/>
    </row>
    <row r="88" ht="15.75" hidden="1" customHeight="1">
      <c r="A88" s="1950" t="str">
        <f>'1. Справочник'!B86</f>
        <v/>
      </c>
      <c r="B88" s="1742" t="str">
        <f>'1. Справочник'!C88</f>
        <v>DL14-501-502</v>
      </c>
      <c r="C88" s="147" t="s">
        <v>321</v>
      </c>
      <c r="D88" s="1725">
        <v>50.0</v>
      </c>
      <c r="E88" s="1697">
        <v>50.0</v>
      </c>
      <c r="F88" s="1951">
        <v>0.0</v>
      </c>
      <c r="G88" s="1952">
        <v>50.0</v>
      </c>
      <c r="H88" s="1953">
        <v>80.0</v>
      </c>
      <c r="I88" s="1954">
        <v>100.0</v>
      </c>
      <c r="J88" s="1955">
        <v>31.0</v>
      </c>
      <c r="K88" s="1956">
        <f>SUMIF('Заполняемость'!$C$8:$C1030,B88,'Заполняемость'!$I$8:$I1030)</f>
        <v>0</v>
      </c>
      <c r="L88" s="1957">
        <f t="shared" si="155"/>
        <v>0</v>
      </c>
      <c r="M88" s="1731">
        <f t="shared" si="156"/>
        <v>0</v>
      </c>
      <c r="N88" s="1732">
        <f t="shared" si="157"/>
        <v>50</v>
      </c>
      <c r="O88" s="1955">
        <v>30.0</v>
      </c>
      <c r="P88" s="1958">
        <f>SUMIF('Заполняемость'!$C$8:$C1030,B88,'Заполняемость'!$L$8:$L1030)</f>
        <v>8</v>
      </c>
      <c r="Q88" s="1959">
        <f t="shared" si="158"/>
        <v>0.2666666667</v>
      </c>
      <c r="R88" s="1735">
        <f t="shared" si="159"/>
        <v>0</v>
      </c>
      <c r="S88" s="1732">
        <f t="shared" si="160"/>
        <v>50</v>
      </c>
      <c r="T88" s="1955">
        <v>30.0</v>
      </c>
      <c r="U88" s="1958">
        <f t="shared" si="152"/>
        <v>22.01</v>
      </c>
      <c r="V88" s="1959">
        <v>0.71</v>
      </c>
      <c r="W88" s="1737">
        <f t="shared" si="153"/>
        <v>50</v>
      </c>
      <c r="X88" s="1732">
        <f t="shared" si="154"/>
        <v>100</v>
      </c>
      <c r="Y88" s="1955">
        <v>31.0</v>
      </c>
      <c r="Z88" s="1958">
        <v>31.0</v>
      </c>
      <c r="AA88" s="1959">
        <f t="shared" si="136"/>
        <v>1</v>
      </c>
      <c r="AB88" s="1737">
        <f t="shared" si="145"/>
        <v>100</v>
      </c>
      <c r="AC88" s="1732">
        <f t="shared" si="146"/>
        <v>75</v>
      </c>
      <c r="AD88" s="1955">
        <v>30.0</v>
      </c>
      <c r="AE88" s="1956">
        <v>16.0</v>
      </c>
      <c r="AF88" s="1957">
        <f t="shared" si="137"/>
        <v>0.5333333333</v>
      </c>
      <c r="AG88" s="1738">
        <f t="shared" si="161"/>
        <v>0</v>
      </c>
      <c r="AH88" s="1960">
        <f>D88+AG88</f>
        <v>50</v>
      </c>
      <c r="AI88" s="1714">
        <v>31.0</v>
      </c>
      <c r="AJ88" s="1961"/>
      <c r="AK88" s="1956"/>
      <c r="AL88" s="1744">
        <f t="shared" si="139"/>
        <v>0</v>
      </c>
      <c r="AM88" s="1731">
        <f t="shared" si="148"/>
        <v>0</v>
      </c>
      <c r="AN88" s="1718"/>
      <c r="AO88" s="1719">
        <v>30.0</v>
      </c>
      <c r="AP88" s="1720">
        <f>SUMIF('Заполняемость'!$C$8:$C1030,B88,'Заполняемость'!$Z$8:$Z1030)</f>
        <v>0</v>
      </c>
      <c r="AQ88" s="1949"/>
      <c r="AR88" s="1716">
        <f t="shared" si="140"/>
        <v>0</v>
      </c>
      <c r="AS88" s="1731">
        <f t="shared" si="149"/>
        <v>0</v>
      </c>
      <c r="AT88" s="1718"/>
      <c r="AU88" s="1724"/>
      <c r="AV88" s="1724"/>
      <c r="AW88" s="1724"/>
      <c r="AX88" s="1724"/>
      <c r="AY88" s="1724"/>
      <c r="AZ88" s="1724"/>
      <c r="BA88" s="1724"/>
      <c r="BB88" s="1724"/>
      <c r="BC88" s="1724"/>
      <c r="BD88" s="1724"/>
      <c r="BE88" s="1724"/>
      <c r="BF88" s="1724"/>
    </row>
    <row r="89" ht="15.75" hidden="1" customHeight="1">
      <c r="A89" s="1966" t="str">
        <f>'1. Справочник'!B88</f>
        <v/>
      </c>
      <c r="B89" s="1967" t="str">
        <f>'1. Справочник'!C89</f>
        <v>DL7-16</v>
      </c>
      <c r="C89" s="302" t="s">
        <v>321</v>
      </c>
      <c r="D89" s="1860">
        <v>50.0</v>
      </c>
      <c r="E89" s="1697">
        <v>50.0</v>
      </c>
      <c r="F89" s="1968">
        <v>0.0</v>
      </c>
      <c r="G89" s="1969">
        <v>50.0</v>
      </c>
      <c r="H89" s="1970">
        <v>80.0</v>
      </c>
      <c r="I89" s="1971">
        <v>100.0</v>
      </c>
      <c r="J89" s="1972">
        <v>31.0</v>
      </c>
      <c r="K89" s="1973">
        <f>SUMIF('Заполняемость'!$C$8:$C1030,B89,'Заполняемость'!$I$8:$I1030)</f>
        <v>0</v>
      </c>
      <c r="L89" s="1974">
        <f t="shared" si="155"/>
        <v>0</v>
      </c>
      <c r="M89" s="1814">
        <f t="shared" si="156"/>
        <v>0</v>
      </c>
      <c r="N89" s="1866">
        <f t="shared" si="157"/>
        <v>50</v>
      </c>
      <c r="O89" s="1972">
        <v>30.0</v>
      </c>
      <c r="P89" s="1975">
        <f>SUMIF('Заполняемость'!$C$8:$C1030,B89,'Заполняемость'!$L$8:$L1030)</f>
        <v>5</v>
      </c>
      <c r="Q89" s="1976">
        <f t="shared" si="158"/>
        <v>0.1666666667</v>
      </c>
      <c r="R89" s="1869">
        <f t="shared" si="159"/>
        <v>0</v>
      </c>
      <c r="S89" s="1866">
        <f t="shared" si="160"/>
        <v>50</v>
      </c>
      <c r="T89" s="1972">
        <v>30.0</v>
      </c>
      <c r="U89" s="1975">
        <f t="shared" si="152"/>
        <v>22.01</v>
      </c>
      <c r="V89" s="1976">
        <v>0.71</v>
      </c>
      <c r="W89" s="1977">
        <f t="shared" si="153"/>
        <v>50</v>
      </c>
      <c r="X89" s="1866">
        <f t="shared" si="154"/>
        <v>100</v>
      </c>
      <c r="Y89" s="1972">
        <v>31.0</v>
      </c>
      <c r="Z89" s="1975">
        <v>26.0</v>
      </c>
      <c r="AA89" s="1976">
        <f t="shared" si="136"/>
        <v>0.8387096774</v>
      </c>
      <c r="AB89" s="1977">
        <f t="shared" si="145"/>
        <v>80</v>
      </c>
      <c r="AC89" s="1732">
        <f t="shared" si="146"/>
        <v>65</v>
      </c>
      <c r="AD89" s="1972">
        <v>30.0</v>
      </c>
      <c r="AE89" s="1973">
        <v>12.0</v>
      </c>
      <c r="AF89" s="1974">
        <f t="shared" si="137"/>
        <v>0.4</v>
      </c>
      <c r="AG89" s="1978">
        <f t="shared" si="161"/>
        <v>0</v>
      </c>
      <c r="AH89" s="1979"/>
      <c r="AI89" s="1714">
        <v>31.0</v>
      </c>
      <c r="AJ89" s="1980"/>
      <c r="AK89" s="1973"/>
      <c r="AL89" s="1744">
        <f t="shared" si="139"/>
        <v>0</v>
      </c>
      <c r="AM89" s="1731">
        <f t="shared" si="148"/>
        <v>0</v>
      </c>
      <c r="AN89" s="1718"/>
      <c r="AO89" s="1719">
        <v>30.0</v>
      </c>
      <c r="AP89" s="1720">
        <f>SUMIF('Заполняемость'!$C$8:$C1030,B89,'Заполняемость'!$Z$8:$Z1030)</f>
        <v>0</v>
      </c>
      <c r="AQ89" s="1949">
        <v>24.0</v>
      </c>
      <c r="AR89" s="1716">
        <f t="shared" si="140"/>
        <v>0.8</v>
      </c>
      <c r="AS89" s="1731">
        <f t="shared" si="149"/>
        <v>50</v>
      </c>
      <c r="AT89" s="1718">
        <f>D89+AS89</f>
        <v>100</v>
      </c>
      <c r="AU89" s="1724"/>
      <c r="AV89" s="1724"/>
      <c r="AW89" s="1724"/>
      <c r="AX89" s="1724"/>
      <c r="AY89" s="1724"/>
      <c r="AZ89" s="1724"/>
      <c r="BA89" s="1724"/>
      <c r="BB89" s="1724"/>
      <c r="BC89" s="1724"/>
      <c r="BD89" s="1724"/>
      <c r="BE89" s="1724"/>
      <c r="BF89" s="1724"/>
    </row>
    <row r="90" ht="15.75" hidden="1" customHeight="1">
      <c r="A90" s="1981" t="str">
        <f>'1. Справочник'!B140</f>
        <v/>
      </c>
      <c r="B90" s="1982" t="str">
        <f>'1. Справочник'!C140</f>
        <v>TGA1</v>
      </c>
      <c r="C90" s="255" t="s">
        <v>321</v>
      </c>
      <c r="D90" s="1875">
        <v>50.0</v>
      </c>
      <c r="E90" s="1697">
        <v>50.0</v>
      </c>
      <c r="F90" s="1983">
        <v>0.0</v>
      </c>
      <c r="G90" s="1984">
        <v>50.0</v>
      </c>
      <c r="H90" s="1985">
        <v>80.0</v>
      </c>
      <c r="I90" s="1986">
        <v>100.0</v>
      </c>
      <c r="J90" s="1987">
        <v>31.0</v>
      </c>
      <c r="K90" s="1988">
        <f>SUMIF('Заполняемость'!$C$8:$C1030,B90,'Заполняемость'!$I$8:$I1030)</f>
        <v>10</v>
      </c>
      <c r="L90" s="1989">
        <f t="shared" si="155"/>
        <v>0.3225806452</v>
      </c>
      <c r="M90" s="1827">
        <f t="shared" si="156"/>
        <v>0</v>
      </c>
      <c r="N90" s="1882">
        <f t="shared" si="157"/>
        <v>50</v>
      </c>
      <c r="O90" s="1987">
        <v>30.0</v>
      </c>
      <c r="P90" s="1990">
        <f>SUMIF('Заполняемость'!$C$8:$C1030,B90,'Заполняемость'!$L$8:$L1030)</f>
        <v>30</v>
      </c>
      <c r="Q90" s="1991">
        <f t="shared" si="158"/>
        <v>1</v>
      </c>
      <c r="R90" s="1885">
        <f t="shared" si="159"/>
        <v>100</v>
      </c>
      <c r="S90" s="1882">
        <f t="shared" si="160"/>
        <v>150</v>
      </c>
      <c r="T90" s="1987">
        <v>30.0</v>
      </c>
      <c r="U90" s="1990">
        <f>SUMIF('Заполняемость'!$C$8:$C1030,B90,'Заполняемость'!$L$8:$L1030)</f>
        <v>30</v>
      </c>
      <c r="V90" s="1992">
        <f t="shared" ref="V90:V110" si="162">U90/T90</f>
        <v>1</v>
      </c>
      <c r="W90" s="1885">
        <f t="shared" si="153"/>
        <v>100</v>
      </c>
      <c r="X90" s="1882">
        <f t="shared" si="154"/>
        <v>150</v>
      </c>
      <c r="Y90" s="1987">
        <v>31.0</v>
      </c>
      <c r="Z90" s="1958">
        <v>28.0</v>
      </c>
      <c r="AA90" s="1992">
        <f t="shared" si="136"/>
        <v>0.9032258065</v>
      </c>
      <c r="AB90" s="1885">
        <f t="shared" si="145"/>
        <v>100</v>
      </c>
      <c r="AC90" s="1732">
        <f t="shared" ref="AC90:AC111" si="163">AB90+D90</f>
        <v>150</v>
      </c>
      <c r="AD90" s="1987">
        <v>30.0</v>
      </c>
      <c r="AE90" s="1956">
        <v>20.0</v>
      </c>
      <c r="AF90" s="1989">
        <f t="shared" si="137"/>
        <v>0.6666666667</v>
      </c>
      <c r="AG90" s="1827">
        <f t="shared" si="161"/>
        <v>0</v>
      </c>
      <c r="AH90" s="1828">
        <f t="shared" ref="AH90:AH97" si="164">D90+AG90</f>
        <v>50</v>
      </c>
      <c r="AI90" s="1714">
        <v>31.0</v>
      </c>
      <c r="AJ90" s="1961"/>
      <c r="AK90" s="1956">
        <v>26.0</v>
      </c>
      <c r="AL90" s="1744">
        <f t="shared" si="139"/>
        <v>0.8387096774</v>
      </c>
      <c r="AM90" s="1731">
        <f t="shared" si="148"/>
        <v>80</v>
      </c>
      <c r="AN90" s="1718">
        <f t="shared" ref="AN90:AN92" si="165">D90+AM90</f>
        <v>130</v>
      </c>
      <c r="AO90" s="1719">
        <v>30.0</v>
      </c>
      <c r="AP90" s="1720">
        <f>SUMIF('Заполняемость'!$C$8:$C1030,B90,'Заполняемость'!$Z$8:$Z1030)</f>
        <v>0</v>
      </c>
      <c r="AQ90" s="1949"/>
      <c r="AR90" s="1716">
        <f t="shared" si="140"/>
        <v>0</v>
      </c>
      <c r="AS90" s="1731">
        <f t="shared" si="149"/>
        <v>0</v>
      </c>
      <c r="AT90" s="1718"/>
      <c r="AU90" s="1724"/>
      <c r="AV90" s="1724"/>
      <c r="AW90" s="1724"/>
      <c r="AX90" s="1724"/>
      <c r="AY90" s="1724"/>
      <c r="AZ90" s="1724"/>
      <c r="BA90" s="1724"/>
      <c r="BB90" s="1724"/>
      <c r="BC90" s="1724"/>
      <c r="BD90" s="1724"/>
      <c r="BE90" s="1724"/>
      <c r="BF90" s="1724"/>
    </row>
    <row r="91" ht="15.75" hidden="1" customHeight="1">
      <c r="A91" s="1993" t="str">
        <f>'1. Справочник'!B98</f>
        <v>Светлана</v>
      </c>
      <c r="B91" s="1742" t="str">
        <f>'1. Справочник'!C98</f>
        <v>TGA2</v>
      </c>
      <c r="C91" s="147" t="s">
        <v>321</v>
      </c>
      <c r="D91" s="1725">
        <v>50.0</v>
      </c>
      <c r="E91" s="1697">
        <v>50.0</v>
      </c>
      <c r="F91" s="1951">
        <v>0.0</v>
      </c>
      <c r="G91" s="1952">
        <v>50.0</v>
      </c>
      <c r="H91" s="1953">
        <v>80.0</v>
      </c>
      <c r="I91" s="1954">
        <v>100.0</v>
      </c>
      <c r="J91" s="1955">
        <v>31.0</v>
      </c>
      <c r="K91" s="1956">
        <f>SUMIF('Заполняемость'!$C$8:$C1030,B91,'Заполняемость'!$I$8:$I1030)</f>
        <v>3</v>
      </c>
      <c r="L91" s="1957">
        <f t="shared" si="155"/>
        <v>0.09677419355</v>
      </c>
      <c r="M91" s="1731">
        <f t="shared" si="156"/>
        <v>0</v>
      </c>
      <c r="N91" s="1732">
        <f t="shared" si="157"/>
        <v>50</v>
      </c>
      <c r="O91" s="1955">
        <v>30.0</v>
      </c>
      <c r="P91" s="1958">
        <f>SUMIF('Заполняемость'!$C$8:$C1030,B91,'Заполняемость'!$L$8:$L1030)</f>
        <v>14</v>
      </c>
      <c r="Q91" s="1959">
        <f t="shared" si="158"/>
        <v>0.4666666667</v>
      </c>
      <c r="R91" s="1735">
        <f t="shared" si="159"/>
        <v>0</v>
      </c>
      <c r="S91" s="1732">
        <f t="shared" si="160"/>
        <v>50</v>
      </c>
      <c r="T91" s="1955">
        <v>30.0</v>
      </c>
      <c r="U91" s="1958">
        <f>SUMIF('Заполняемость'!$C$8:$C1030,B91,'Заполняемость'!$L$8:$L1030)</f>
        <v>14</v>
      </c>
      <c r="V91" s="1959">
        <f t="shared" si="162"/>
        <v>0.4666666667</v>
      </c>
      <c r="W91" s="1735">
        <f t="shared" si="153"/>
        <v>0</v>
      </c>
      <c r="X91" s="1732">
        <f t="shared" si="154"/>
        <v>50</v>
      </c>
      <c r="Y91" s="1955">
        <v>31.0</v>
      </c>
      <c r="Z91" s="1958">
        <v>25.0</v>
      </c>
      <c r="AA91" s="1959">
        <f t="shared" si="136"/>
        <v>0.8064516129</v>
      </c>
      <c r="AB91" s="1735">
        <f t="shared" si="145"/>
        <v>80</v>
      </c>
      <c r="AC91" s="1732">
        <f t="shared" si="163"/>
        <v>130</v>
      </c>
      <c r="AD91" s="1955">
        <v>30.0</v>
      </c>
      <c r="AE91" s="1956">
        <v>19.0</v>
      </c>
      <c r="AF91" s="1957">
        <f t="shared" si="137"/>
        <v>0.6333333333</v>
      </c>
      <c r="AG91" s="1731">
        <f t="shared" si="161"/>
        <v>0</v>
      </c>
      <c r="AH91" s="1718">
        <f t="shared" si="164"/>
        <v>50</v>
      </c>
      <c r="AI91" s="1714">
        <v>31.0</v>
      </c>
      <c r="AJ91" s="1961"/>
      <c r="AK91" s="1956">
        <v>8.0</v>
      </c>
      <c r="AL91" s="1744">
        <f t="shared" si="139"/>
        <v>0.2580645161</v>
      </c>
      <c r="AM91" s="1731">
        <f t="shared" si="148"/>
        <v>0</v>
      </c>
      <c r="AN91" s="1718">
        <f t="shared" si="165"/>
        <v>50</v>
      </c>
      <c r="AO91" s="1719">
        <v>30.0</v>
      </c>
      <c r="AP91" s="1720">
        <f>SUMIF('Заполняемость'!$C$8:$C1030,B91,'Заполняемость'!$Z$8:$Z1030)</f>
        <v>0</v>
      </c>
      <c r="AQ91" s="1949"/>
      <c r="AR91" s="1716">
        <f t="shared" si="140"/>
        <v>0</v>
      </c>
      <c r="AS91" s="1731">
        <f t="shared" si="149"/>
        <v>0</v>
      </c>
      <c r="AT91" s="1718"/>
      <c r="AU91" s="1724"/>
      <c r="AV91" s="1724"/>
      <c r="AW91" s="1724"/>
      <c r="AX91" s="1724"/>
      <c r="AY91" s="1724"/>
      <c r="AZ91" s="1724"/>
      <c r="BA91" s="1724"/>
      <c r="BB91" s="1724"/>
      <c r="BC91" s="1724"/>
      <c r="BD91" s="1724"/>
      <c r="BE91" s="1724"/>
      <c r="BF91" s="1724"/>
    </row>
    <row r="92" ht="15.75" hidden="1" customHeight="1">
      <c r="A92" s="1993" t="str">
        <f>'1. Справочник'!B141</f>
        <v/>
      </c>
      <c r="B92" s="1742" t="str">
        <f>'1. Справочник'!C141</f>
        <v>TGA3</v>
      </c>
      <c r="C92" s="147" t="s">
        <v>321</v>
      </c>
      <c r="D92" s="1725">
        <v>50.0</v>
      </c>
      <c r="E92" s="1697">
        <v>50.0</v>
      </c>
      <c r="F92" s="1951">
        <v>0.0</v>
      </c>
      <c r="G92" s="1952">
        <v>50.0</v>
      </c>
      <c r="H92" s="1953">
        <v>80.0</v>
      </c>
      <c r="I92" s="1954">
        <v>100.0</v>
      </c>
      <c r="J92" s="1955">
        <v>31.0</v>
      </c>
      <c r="K92" s="1956">
        <f>SUMIF('Заполняемость'!$C$8:$C1030,B92,'Заполняемость'!$I$8:$I1030)</f>
        <v>1</v>
      </c>
      <c r="L92" s="1957">
        <f t="shared" si="155"/>
        <v>0.03225806452</v>
      </c>
      <c r="M92" s="1731">
        <f t="shared" si="156"/>
        <v>0</v>
      </c>
      <c r="N92" s="1732">
        <f t="shared" si="157"/>
        <v>50</v>
      </c>
      <c r="O92" s="1955">
        <v>30.0</v>
      </c>
      <c r="P92" s="1958">
        <f>SUMIF('Заполняемость'!$C$8:$C1030,B92,'Заполняемость'!$L$8:$L1030)</f>
        <v>20</v>
      </c>
      <c r="Q92" s="1959">
        <f t="shared" si="158"/>
        <v>0.6666666667</v>
      </c>
      <c r="R92" s="1735">
        <f t="shared" si="159"/>
        <v>0</v>
      </c>
      <c r="S92" s="1732">
        <f t="shared" si="160"/>
        <v>50</v>
      </c>
      <c r="T92" s="1955">
        <v>30.0</v>
      </c>
      <c r="U92" s="1958">
        <f>SUMIF('Заполняемость'!$C$8:$C1030,B92,'Заполняемость'!$L$8:$L1030)</f>
        <v>20</v>
      </c>
      <c r="V92" s="1959">
        <f t="shared" si="162"/>
        <v>0.6666666667</v>
      </c>
      <c r="W92" s="1735">
        <f t="shared" si="153"/>
        <v>0</v>
      </c>
      <c r="X92" s="1732">
        <f t="shared" si="154"/>
        <v>50</v>
      </c>
      <c r="Y92" s="1955">
        <v>31.0</v>
      </c>
      <c r="Z92" s="1958">
        <v>25.0</v>
      </c>
      <c r="AA92" s="1959">
        <f t="shared" si="136"/>
        <v>0.8064516129</v>
      </c>
      <c r="AB92" s="1735">
        <f t="shared" si="145"/>
        <v>80</v>
      </c>
      <c r="AC92" s="1732">
        <f t="shared" si="163"/>
        <v>130</v>
      </c>
      <c r="AD92" s="1955">
        <v>30.0</v>
      </c>
      <c r="AE92" s="1956">
        <v>21.0</v>
      </c>
      <c r="AF92" s="1957">
        <f t="shared" si="137"/>
        <v>0.7</v>
      </c>
      <c r="AG92" s="1731">
        <f t="shared" si="161"/>
        <v>0</v>
      </c>
      <c r="AH92" s="1718">
        <f t="shared" si="164"/>
        <v>50</v>
      </c>
      <c r="AI92" s="1714">
        <v>31.0</v>
      </c>
      <c r="AJ92" s="1961"/>
      <c r="AK92" s="1956">
        <v>31.0</v>
      </c>
      <c r="AL92" s="1744">
        <f t="shared" si="139"/>
        <v>1</v>
      </c>
      <c r="AM92" s="1731">
        <f t="shared" si="148"/>
        <v>100</v>
      </c>
      <c r="AN92" s="1718">
        <f t="shared" si="165"/>
        <v>150</v>
      </c>
      <c r="AO92" s="1719">
        <v>30.0</v>
      </c>
      <c r="AP92" s="1720">
        <f>SUMIF('Заполняемость'!$C$8:$C1030,B92,'Заполняемость'!$Z$8:$Z1030)</f>
        <v>0</v>
      </c>
      <c r="AQ92" s="1949"/>
      <c r="AR92" s="1716">
        <f t="shared" si="140"/>
        <v>0</v>
      </c>
      <c r="AS92" s="1731">
        <f t="shared" si="149"/>
        <v>0</v>
      </c>
      <c r="AT92" s="1718"/>
      <c r="AU92" s="1724"/>
      <c r="AV92" s="1724"/>
      <c r="AW92" s="1724"/>
      <c r="AX92" s="1724"/>
      <c r="AY92" s="1724"/>
      <c r="AZ92" s="1724"/>
      <c r="BA92" s="1724"/>
      <c r="BB92" s="1724"/>
      <c r="BC92" s="1724"/>
      <c r="BD92" s="1724"/>
      <c r="BE92" s="1724"/>
      <c r="BF92" s="1724"/>
    </row>
    <row r="93" ht="15.75" hidden="1" customHeight="1">
      <c r="A93" s="1993" t="str">
        <f>'1. Справочник'!B142</f>
        <v/>
      </c>
      <c r="B93" s="1742" t="str">
        <f>'1. Справочник'!C142</f>
        <v>TGA4</v>
      </c>
      <c r="C93" s="147" t="s">
        <v>321</v>
      </c>
      <c r="D93" s="1725">
        <v>50.0</v>
      </c>
      <c r="E93" s="1697">
        <v>50.0</v>
      </c>
      <c r="F93" s="1951">
        <v>0.0</v>
      </c>
      <c r="G93" s="1952">
        <v>50.0</v>
      </c>
      <c r="H93" s="1953">
        <v>80.0</v>
      </c>
      <c r="I93" s="1954">
        <v>100.0</v>
      </c>
      <c r="J93" s="1955">
        <v>31.0</v>
      </c>
      <c r="K93" s="1956">
        <f>SUMIF('Заполняемость'!$C$8:$C1030,B93,'Заполняемость'!$I$8:$I1030)</f>
        <v>0</v>
      </c>
      <c r="L93" s="1957">
        <f t="shared" si="155"/>
        <v>0</v>
      </c>
      <c r="M93" s="1731">
        <f t="shared" si="156"/>
        <v>0</v>
      </c>
      <c r="N93" s="1732">
        <f t="shared" si="157"/>
        <v>50</v>
      </c>
      <c r="O93" s="1955">
        <v>30.0</v>
      </c>
      <c r="P93" s="1958">
        <f>SUMIF('Заполняемость'!$C$8:$C1030,B93,'Заполняемость'!$L$8:$L1030)</f>
        <v>8</v>
      </c>
      <c r="Q93" s="1959">
        <f t="shared" si="158"/>
        <v>0.2666666667</v>
      </c>
      <c r="R93" s="1735">
        <f t="shared" si="159"/>
        <v>0</v>
      </c>
      <c r="S93" s="1732">
        <f t="shared" si="160"/>
        <v>50</v>
      </c>
      <c r="T93" s="1955">
        <v>30.0</v>
      </c>
      <c r="U93" s="1958">
        <f>SUMIF('Заполняемость'!$C$8:$C1030,B93,'Заполняемость'!$L$8:$L1030)</f>
        <v>8</v>
      </c>
      <c r="V93" s="1959">
        <f t="shared" si="162"/>
        <v>0.2666666667</v>
      </c>
      <c r="W93" s="1735">
        <f t="shared" si="153"/>
        <v>0</v>
      </c>
      <c r="X93" s="1732">
        <f t="shared" si="154"/>
        <v>50</v>
      </c>
      <c r="Y93" s="1955">
        <v>31.0</v>
      </c>
      <c r="Z93" s="1958">
        <v>29.0</v>
      </c>
      <c r="AA93" s="1959">
        <f t="shared" si="136"/>
        <v>0.935483871</v>
      </c>
      <c r="AB93" s="1735">
        <f t="shared" si="145"/>
        <v>100</v>
      </c>
      <c r="AC93" s="1732">
        <f t="shared" si="163"/>
        <v>150</v>
      </c>
      <c r="AD93" s="1955">
        <v>30.0</v>
      </c>
      <c r="AE93" s="1956">
        <v>0.0</v>
      </c>
      <c r="AF93" s="1957">
        <f t="shared" si="137"/>
        <v>0</v>
      </c>
      <c r="AG93" s="1731">
        <f t="shared" si="161"/>
        <v>0</v>
      </c>
      <c r="AH93" s="1718">
        <f t="shared" si="164"/>
        <v>50</v>
      </c>
      <c r="AI93" s="1714">
        <v>31.0</v>
      </c>
      <c r="AJ93" s="1961"/>
      <c r="AK93" s="1956"/>
      <c r="AL93" s="1744">
        <f t="shared" si="139"/>
        <v>0</v>
      </c>
      <c r="AM93" s="1731">
        <f t="shared" si="148"/>
        <v>0</v>
      </c>
      <c r="AN93" s="1718"/>
      <c r="AO93" s="1719">
        <v>30.0</v>
      </c>
      <c r="AP93" s="1720">
        <f>SUMIF('Заполняемость'!$C$8:$C1030,B93,'Заполняемость'!$Z$8:$Z1030)</f>
        <v>0</v>
      </c>
      <c r="AQ93" s="1949"/>
      <c r="AR93" s="1716">
        <f t="shared" si="140"/>
        <v>0</v>
      </c>
      <c r="AS93" s="1731">
        <f t="shared" si="149"/>
        <v>0</v>
      </c>
      <c r="AT93" s="1718"/>
      <c r="AU93" s="1724"/>
      <c r="AV93" s="1724"/>
      <c r="AW93" s="1724"/>
      <c r="AX93" s="1724"/>
      <c r="AY93" s="1724"/>
      <c r="AZ93" s="1724"/>
      <c r="BA93" s="1724"/>
      <c r="BB93" s="1724"/>
      <c r="BC93" s="1724"/>
      <c r="BD93" s="1724"/>
      <c r="BE93" s="1724"/>
      <c r="BF93" s="1724"/>
    </row>
    <row r="94" ht="15.75" hidden="1" customHeight="1">
      <c r="A94" s="1993" t="str">
        <f>'1. Справочник'!B143</f>
        <v/>
      </c>
      <c r="B94" s="1742" t="str">
        <f>'1. Справочник'!C143</f>
        <v>TGA5</v>
      </c>
      <c r="C94" s="147" t="s">
        <v>321</v>
      </c>
      <c r="D94" s="1725">
        <v>50.0</v>
      </c>
      <c r="E94" s="1697">
        <v>50.0</v>
      </c>
      <c r="F94" s="1951">
        <v>0.0</v>
      </c>
      <c r="G94" s="1952">
        <v>50.0</v>
      </c>
      <c r="H94" s="1953">
        <v>80.0</v>
      </c>
      <c r="I94" s="1954">
        <v>100.0</v>
      </c>
      <c r="J94" s="1955">
        <v>31.0</v>
      </c>
      <c r="K94" s="1956">
        <f>SUMIF('Заполняемость'!$C$8:$C1030,B94,'Заполняемость'!$I$8:$I1030)</f>
        <v>22</v>
      </c>
      <c r="L94" s="1957">
        <f t="shared" si="155"/>
        <v>0.7096774194</v>
      </c>
      <c r="M94" s="1731">
        <f t="shared" si="156"/>
        <v>50</v>
      </c>
      <c r="N94" s="1732">
        <f t="shared" si="157"/>
        <v>100</v>
      </c>
      <c r="O94" s="1955">
        <v>30.0</v>
      </c>
      <c r="P94" s="1958">
        <f>SUMIF('Заполняемость'!$C$8:$C1030,B94,'Заполняемость'!$L$8:$L1030)</f>
        <v>30</v>
      </c>
      <c r="Q94" s="1959">
        <f t="shared" si="158"/>
        <v>1</v>
      </c>
      <c r="R94" s="1735">
        <f t="shared" si="159"/>
        <v>100</v>
      </c>
      <c r="S94" s="1732">
        <f t="shared" si="160"/>
        <v>150</v>
      </c>
      <c r="T94" s="1955">
        <v>30.0</v>
      </c>
      <c r="U94" s="1958">
        <f>SUMIF('Заполняемость'!$C$8:$C1030,B94,'Заполняемость'!$L$8:$L1030)</f>
        <v>30</v>
      </c>
      <c r="V94" s="1963">
        <f t="shared" si="162"/>
        <v>1</v>
      </c>
      <c r="W94" s="1735">
        <f t="shared" si="153"/>
        <v>100</v>
      </c>
      <c r="X94" s="1732">
        <f t="shared" si="154"/>
        <v>150</v>
      </c>
      <c r="Y94" s="1955">
        <v>31.0</v>
      </c>
      <c r="Z94" s="1958">
        <v>21.0</v>
      </c>
      <c r="AA94" s="1963">
        <f t="shared" si="136"/>
        <v>0.6774193548</v>
      </c>
      <c r="AB94" s="1735">
        <f t="shared" si="145"/>
        <v>0</v>
      </c>
      <c r="AC94" s="1732">
        <f t="shared" si="163"/>
        <v>50</v>
      </c>
      <c r="AD94" s="1955">
        <v>30.0</v>
      </c>
      <c r="AE94" s="1956">
        <v>16.0</v>
      </c>
      <c r="AF94" s="1957">
        <f t="shared" si="137"/>
        <v>0.5333333333</v>
      </c>
      <c r="AG94" s="1731">
        <f t="shared" si="161"/>
        <v>0</v>
      </c>
      <c r="AH94" s="1718">
        <f t="shared" si="164"/>
        <v>50</v>
      </c>
      <c r="AI94" s="1714">
        <v>31.0</v>
      </c>
      <c r="AJ94" s="1961"/>
      <c r="AK94" s="1956"/>
      <c r="AL94" s="1744">
        <f t="shared" si="139"/>
        <v>0</v>
      </c>
      <c r="AM94" s="1731">
        <f t="shared" si="148"/>
        <v>0</v>
      </c>
      <c r="AN94" s="1718"/>
      <c r="AO94" s="1719">
        <v>30.0</v>
      </c>
      <c r="AP94" s="1720">
        <f>SUMIF('Заполняемость'!$C$8:$C1030,B94,'Заполняемость'!$Z$8:$Z1030)</f>
        <v>0</v>
      </c>
      <c r="AQ94" s="1949"/>
      <c r="AR94" s="1716">
        <f t="shared" si="140"/>
        <v>0</v>
      </c>
      <c r="AS94" s="1731">
        <f t="shared" si="149"/>
        <v>0</v>
      </c>
      <c r="AT94" s="1718"/>
      <c r="AU94" s="1724"/>
      <c r="AV94" s="1724"/>
      <c r="AW94" s="1724"/>
      <c r="AX94" s="1724"/>
      <c r="AY94" s="1724"/>
      <c r="AZ94" s="1724"/>
      <c r="BA94" s="1724"/>
      <c r="BB94" s="1724"/>
      <c r="BC94" s="1724"/>
      <c r="BD94" s="1724"/>
      <c r="BE94" s="1724"/>
      <c r="BF94" s="1724"/>
    </row>
    <row r="95" ht="15.75" hidden="1" customHeight="1">
      <c r="A95" s="1993" t="str">
        <f>'1. Справочник'!B144</f>
        <v/>
      </c>
      <c r="B95" s="1742" t="str">
        <f>'1. Справочник'!C144</f>
        <v>TGA6</v>
      </c>
      <c r="C95" s="147" t="s">
        <v>321</v>
      </c>
      <c r="D95" s="1725">
        <v>50.0</v>
      </c>
      <c r="E95" s="1697">
        <v>50.0</v>
      </c>
      <c r="F95" s="1951">
        <v>0.0</v>
      </c>
      <c r="G95" s="1952">
        <v>50.0</v>
      </c>
      <c r="H95" s="1953">
        <v>80.0</v>
      </c>
      <c r="I95" s="1954">
        <v>100.0</v>
      </c>
      <c r="J95" s="1955">
        <v>31.0</v>
      </c>
      <c r="K95" s="1956">
        <f>SUMIF('Заполняемость'!$C$8:$C1030,B95,'Заполняемость'!$I$8:$I1030)</f>
        <v>9</v>
      </c>
      <c r="L95" s="1957">
        <f t="shared" si="155"/>
        <v>0.2903225806</v>
      </c>
      <c r="M95" s="1731">
        <f t="shared" si="156"/>
        <v>0</v>
      </c>
      <c r="N95" s="1732">
        <f t="shared" si="157"/>
        <v>50</v>
      </c>
      <c r="O95" s="1955">
        <v>30.0</v>
      </c>
      <c r="P95" s="1958">
        <f>SUMIF('Заполняемость'!$C$8:$C1030,B95,'Заполняемость'!$L$8:$L1030)</f>
        <v>14</v>
      </c>
      <c r="Q95" s="1959">
        <f t="shared" si="158"/>
        <v>0.4666666667</v>
      </c>
      <c r="R95" s="1735">
        <f t="shared" si="159"/>
        <v>0</v>
      </c>
      <c r="S95" s="1732">
        <f t="shared" si="160"/>
        <v>50</v>
      </c>
      <c r="T95" s="1955">
        <v>30.0</v>
      </c>
      <c r="U95" s="1958">
        <f>SUMIF('Заполняемость'!$C$8:$C1030,B95,'Заполняемость'!$L$8:$L1030)</f>
        <v>14</v>
      </c>
      <c r="V95" s="1959">
        <f t="shared" si="162"/>
        <v>0.4666666667</v>
      </c>
      <c r="W95" s="1735">
        <f t="shared" si="153"/>
        <v>0</v>
      </c>
      <c r="X95" s="1732">
        <f t="shared" si="154"/>
        <v>50</v>
      </c>
      <c r="Y95" s="1955">
        <v>31.0</v>
      </c>
      <c r="Z95" s="1958">
        <v>27.0</v>
      </c>
      <c r="AA95" s="1959">
        <f t="shared" si="136"/>
        <v>0.8709677419</v>
      </c>
      <c r="AB95" s="1735">
        <f t="shared" si="145"/>
        <v>80</v>
      </c>
      <c r="AC95" s="1732">
        <f t="shared" si="163"/>
        <v>130</v>
      </c>
      <c r="AD95" s="1955">
        <v>30.0</v>
      </c>
      <c r="AE95" s="1956">
        <v>27.0</v>
      </c>
      <c r="AF95" s="1957">
        <f t="shared" si="137"/>
        <v>0.9</v>
      </c>
      <c r="AG95" s="1731">
        <f t="shared" si="161"/>
        <v>80</v>
      </c>
      <c r="AH95" s="1718">
        <f t="shared" si="164"/>
        <v>130</v>
      </c>
      <c r="AI95" s="1714">
        <v>31.0</v>
      </c>
      <c r="AJ95" s="1961"/>
      <c r="AK95" s="1956">
        <v>25.0</v>
      </c>
      <c r="AL95" s="1744">
        <f t="shared" si="139"/>
        <v>0.8064516129</v>
      </c>
      <c r="AM95" s="1731">
        <f t="shared" si="148"/>
        <v>80</v>
      </c>
      <c r="AN95" s="1718">
        <f>D95+AM95</f>
        <v>130</v>
      </c>
      <c r="AO95" s="1719">
        <v>30.0</v>
      </c>
      <c r="AP95" s="1720">
        <f>SUMIF('Заполняемость'!$C$8:$C1030,B95,'Заполняемость'!$Z$8:$Z1030)</f>
        <v>0</v>
      </c>
      <c r="AQ95" s="1949"/>
      <c r="AR95" s="1716">
        <f t="shared" si="140"/>
        <v>0</v>
      </c>
      <c r="AS95" s="1731">
        <f t="shared" si="149"/>
        <v>0</v>
      </c>
      <c r="AT95" s="1718"/>
      <c r="AU95" s="1724"/>
      <c r="AV95" s="1724"/>
      <c r="AW95" s="1724"/>
      <c r="AX95" s="1724"/>
      <c r="AY95" s="1724"/>
      <c r="AZ95" s="1724"/>
      <c r="BA95" s="1724"/>
      <c r="BB95" s="1724"/>
      <c r="BC95" s="1724"/>
      <c r="BD95" s="1724"/>
      <c r="BE95" s="1724"/>
      <c r="BF95" s="1724"/>
    </row>
    <row r="96" ht="15.75" hidden="1" customHeight="1">
      <c r="A96" s="1993" t="str">
        <f>'1. Справочник'!B145</f>
        <v/>
      </c>
      <c r="B96" s="1742" t="str">
        <f>'1. Справочник'!C145</f>
        <v>TGA7</v>
      </c>
      <c r="C96" s="147" t="s">
        <v>321</v>
      </c>
      <c r="D96" s="1725">
        <v>50.0</v>
      </c>
      <c r="E96" s="1697">
        <v>50.0</v>
      </c>
      <c r="F96" s="1951">
        <v>0.0</v>
      </c>
      <c r="G96" s="1952">
        <v>50.0</v>
      </c>
      <c r="H96" s="1953">
        <v>80.0</v>
      </c>
      <c r="I96" s="1954">
        <v>100.0</v>
      </c>
      <c r="J96" s="1955">
        <v>31.0</v>
      </c>
      <c r="K96" s="1956">
        <f>SUMIF('Заполняемость'!$C$8:$C1030,B96,'Заполняемость'!$I$8:$I1030)</f>
        <v>0</v>
      </c>
      <c r="L96" s="1957">
        <f t="shared" si="155"/>
        <v>0</v>
      </c>
      <c r="M96" s="1731">
        <f t="shared" si="156"/>
        <v>0</v>
      </c>
      <c r="N96" s="1732">
        <f t="shared" si="157"/>
        <v>50</v>
      </c>
      <c r="O96" s="1955">
        <v>30.0</v>
      </c>
      <c r="P96" s="1958">
        <f>SUMIF('Заполняемость'!$C$8:$C1030,B96,'Заполняемость'!$L$8:$L1030)</f>
        <v>14</v>
      </c>
      <c r="Q96" s="1959">
        <f t="shared" si="158"/>
        <v>0.4666666667</v>
      </c>
      <c r="R96" s="1735">
        <f t="shared" si="159"/>
        <v>0</v>
      </c>
      <c r="S96" s="1732">
        <f t="shared" si="160"/>
        <v>50</v>
      </c>
      <c r="T96" s="1955">
        <v>30.0</v>
      </c>
      <c r="U96" s="1958">
        <f>SUMIF('Заполняемость'!$C$8:$C1030,B96,'Заполняемость'!$L$8:$L1030)</f>
        <v>14</v>
      </c>
      <c r="V96" s="1959">
        <f t="shared" si="162"/>
        <v>0.4666666667</v>
      </c>
      <c r="W96" s="1735">
        <f t="shared" si="153"/>
        <v>0</v>
      </c>
      <c r="X96" s="1732">
        <f t="shared" si="154"/>
        <v>50</v>
      </c>
      <c r="Y96" s="1955">
        <v>31.0</v>
      </c>
      <c r="Z96" s="1958">
        <v>26.0</v>
      </c>
      <c r="AA96" s="1959">
        <f t="shared" si="136"/>
        <v>0.8387096774</v>
      </c>
      <c r="AB96" s="1735">
        <f t="shared" si="145"/>
        <v>80</v>
      </c>
      <c r="AC96" s="1732">
        <f t="shared" si="163"/>
        <v>130</v>
      </c>
      <c r="AD96" s="1955">
        <v>30.0</v>
      </c>
      <c r="AE96" s="1956">
        <v>30.0</v>
      </c>
      <c r="AF96" s="1957">
        <f t="shared" si="137"/>
        <v>1</v>
      </c>
      <c r="AG96" s="1731">
        <f t="shared" si="161"/>
        <v>100</v>
      </c>
      <c r="AH96" s="1718">
        <f t="shared" si="164"/>
        <v>150</v>
      </c>
      <c r="AI96" s="1714">
        <v>31.0</v>
      </c>
      <c r="AJ96" s="1961"/>
      <c r="AK96" s="1956"/>
      <c r="AL96" s="1744">
        <f t="shared" si="139"/>
        <v>0</v>
      </c>
      <c r="AM96" s="1731">
        <f t="shared" si="148"/>
        <v>0</v>
      </c>
      <c r="AN96" s="1718"/>
      <c r="AO96" s="1719">
        <v>30.0</v>
      </c>
      <c r="AP96" s="1720">
        <f>SUMIF('Заполняемость'!$C$8:$C1030,B96,'Заполняемость'!$Z$8:$Z1030)</f>
        <v>0</v>
      </c>
      <c r="AQ96" s="1949"/>
      <c r="AR96" s="1716">
        <f t="shared" si="140"/>
        <v>0</v>
      </c>
      <c r="AS96" s="1731">
        <f t="shared" si="149"/>
        <v>0</v>
      </c>
      <c r="AT96" s="1718"/>
      <c r="AU96" s="1724"/>
      <c r="AV96" s="1724"/>
      <c r="AW96" s="1724"/>
      <c r="AX96" s="1724"/>
      <c r="AY96" s="1724"/>
      <c r="AZ96" s="1724"/>
      <c r="BA96" s="1724"/>
      <c r="BB96" s="1724"/>
      <c r="BC96" s="1724"/>
      <c r="BD96" s="1724"/>
      <c r="BE96" s="1724"/>
      <c r="BF96" s="1724"/>
    </row>
    <row r="97" ht="15.75" hidden="1" customHeight="1">
      <c r="A97" s="1993" t="str">
        <f>'1. Справочник'!B146</f>
        <v/>
      </c>
      <c r="B97" s="1742" t="str">
        <f>'1. Справочник'!C146</f>
        <v>TGA8</v>
      </c>
      <c r="C97" s="147" t="s">
        <v>321</v>
      </c>
      <c r="D97" s="1725">
        <v>50.0</v>
      </c>
      <c r="E97" s="1697">
        <v>50.0</v>
      </c>
      <c r="F97" s="1951">
        <v>0.0</v>
      </c>
      <c r="G97" s="1952">
        <v>50.0</v>
      </c>
      <c r="H97" s="1953">
        <v>80.0</v>
      </c>
      <c r="I97" s="1954">
        <v>100.0</v>
      </c>
      <c r="J97" s="1955">
        <v>31.0</v>
      </c>
      <c r="K97" s="1956">
        <f>SUMIF('Заполняемость'!$C$8:$C1030,B97,'Заполняемость'!$I$8:$I1030)</f>
        <v>0</v>
      </c>
      <c r="L97" s="1957">
        <f t="shared" si="155"/>
        <v>0</v>
      </c>
      <c r="M97" s="1731">
        <f t="shared" si="156"/>
        <v>0</v>
      </c>
      <c r="N97" s="1732">
        <f t="shared" si="157"/>
        <v>50</v>
      </c>
      <c r="O97" s="1955">
        <v>30.0</v>
      </c>
      <c r="P97" s="1958">
        <f>SUMIF('Заполняемость'!$C$8:$C1030,B97,'Заполняемость'!$L$8:$L1030)</f>
        <v>19</v>
      </c>
      <c r="Q97" s="1959">
        <f t="shared" si="158"/>
        <v>0.6333333333</v>
      </c>
      <c r="R97" s="1735">
        <f t="shared" si="159"/>
        <v>0</v>
      </c>
      <c r="S97" s="1732">
        <f t="shared" si="160"/>
        <v>50</v>
      </c>
      <c r="T97" s="1955">
        <v>30.0</v>
      </c>
      <c r="U97" s="1958">
        <f>SUMIF('Заполняемость'!$C$8:$C1030,B97,'Заполняемость'!$L$8:$L1030)</f>
        <v>19</v>
      </c>
      <c r="V97" s="1959">
        <f t="shared" si="162"/>
        <v>0.6333333333</v>
      </c>
      <c r="W97" s="1735">
        <f t="shared" si="153"/>
        <v>0</v>
      </c>
      <c r="X97" s="1732">
        <f t="shared" si="154"/>
        <v>50</v>
      </c>
      <c r="Y97" s="1955">
        <v>31.0</v>
      </c>
      <c r="Z97" s="1958">
        <v>25.0</v>
      </c>
      <c r="AA97" s="1959">
        <f t="shared" si="136"/>
        <v>0.8064516129</v>
      </c>
      <c r="AB97" s="1735">
        <f t="shared" si="145"/>
        <v>80</v>
      </c>
      <c r="AC97" s="1732">
        <f t="shared" si="163"/>
        <v>130</v>
      </c>
      <c r="AD97" s="1955">
        <v>30.0</v>
      </c>
      <c r="AE97" s="1956">
        <v>18.0</v>
      </c>
      <c r="AF97" s="1957">
        <f t="shared" si="137"/>
        <v>0.6</v>
      </c>
      <c r="AG97" s="1731">
        <f t="shared" si="161"/>
        <v>0</v>
      </c>
      <c r="AH97" s="1718">
        <f t="shared" si="164"/>
        <v>50</v>
      </c>
      <c r="AI97" s="1714">
        <v>31.0</v>
      </c>
      <c r="AJ97" s="1961"/>
      <c r="AK97" s="1956">
        <v>31.0</v>
      </c>
      <c r="AL97" s="1744">
        <f t="shared" si="139"/>
        <v>1</v>
      </c>
      <c r="AM97" s="1731">
        <f t="shared" si="148"/>
        <v>100</v>
      </c>
      <c r="AN97" s="1718">
        <f t="shared" ref="AN97:AN98" si="166">D97+AM97</f>
        <v>150</v>
      </c>
      <c r="AO97" s="1719">
        <v>30.0</v>
      </c>
      <c r="AP97" s="1720">
        <f>SUMIF('Заполняемость'!$C$8:$C1030,B97,'Заполняемость'!$Z$8:$Z1030)</f>
        <v>0</v>
      </c>
      <c r="AQ97" s="1949"/>
      <c r="AR97" s="1716">
        <f t="shared" si="140"/>
        <v>0</v>
      </c>
      <c r="AS97" s="1731">
        <f t="shared" si="149"/>
        <v>0</v>
      </c>
      <c r="AT97" s="1718"/>
      <c r="AU97" s="1724"/>
      <c r="AV97" s="1724"/>
      <c r="AW97" s="1724"/>
      <c r="AX97" s="1724"/>
      <c r="AY97" s="1724"/>
      <c r="AZ97" s="1724"/>
      <c r="BA97" s="1724"/>
      <c r="BB97" s="1724"/>
      <c r="BC97" s="1724"/>
      <c r="BD97" s="1724"/>
      <c r="BE97" s="1724"/>
      <c r="BF97" s="1724"/>
    </row>
    <row r="98" ht="15.75" hidden="1" customHeight="1">
      <c r="A98" s="1993" t="str">
        <f>'1. Справочник'!B99</f>
        <v>Светлана</v>
      </c>
      <c r="B98" s="1742" t="str">
        <f>'1. Справочник'!C99</f>
        <v>TGA9</v>
      </c>
      <c r="C98" s="147" t="s">
        <v>321</v>
      </c>
      <c r="D98" s="1725">
        <v>50.0</v>
      </c>
      <c r="E98" s="1697">
        <v>50.0</v>
      </c>
      <c r="F98" s="1951">
        <v>0.0</v>
      </c>
      <c r="G98" s="1952">
        <v>50.0</v>
      </c>
      <c r="H98" s="1953">
        <v>80.0</v>
      </c>
      <c r="I98" s="1954">
        <v>100.0</v>
      </c>
      <c r="J98" s="1955">
        <v>31.0</v>
      </c>
      <c r="K98" s="1956">
        <f>SUMIF('Заполняемость'!$C$8:$C1030,B98,'Заполняемость'!$I$8:$I1030)</f>
        <v>0</v>
      </c>
      <c r="L98" s="1957">
        <f t="shared" si="155"/>
        <v>0</v>
      </c>
      <c r="M98" s="1731">
        <f t="shared" si="156"/>
        <v>0</v>
      </c>
      <c r="N98" s="1732">
        <f t="shared" si="157"/>
        <v>50</v>
      </c>
      <c r="O98" s="1955">
        <v>30.0</v>
      </c>
      <c r="P98" s="1958">
        <f>SUMIF('Заполняемость'!$C$8:$C1030,B98,'Заполняемость'!$L$8:$L1030)</f>
        <v>5</v>
      </c>
      <c r="Q98" s="1959">
        <f t="shared" si="158"/>
        <v>0.1666666667</v>
      </c>
      <c r="R98" s="1735">
        <f t="shared" si="159"/>
        <v>0</v>
      </c>
      <c r="S98" s="1732">
        <f t="shared" si="160"/>
        <v>50</v>
      </c>
      <c r="T98" s="1955">
        <v>30.0</v>
      </c>
      <c r="U98" s="1958">
        <f>SUMIF('Заполняемость'!$C$8:$C1030,B98,'Заполняемость'!$L$8:$L1030)</f>
        <v>5</v>
      </c>
      <c r="V98" s="1959">
        <f t="shared" si="162"/>
        <v>0.1666666667</v>
      </c>
      <c r="W98" s="1735">
        <f t="shared" si="153"/>
        <v>0</v>
      </c>
      <c r="X98" s="1732">
        <f t="shared" si="154"/>
        <v>50</v>
      </c>
      <c r="Y98" s="1955">
        <v>31.0</v>
      </c>
      <c r="Z98" s="1958">
        <v>28.0</v>
      </c>
      <c r="AA98" s="1959">
        <f t="shared" si="136"/>
        <v>0.9032258065</v>
      </c>
      <c r="AB98" s="1735">
        <f t="shared" si="145"/>
        <v>100</v>
      </c>
      <c r="AC98" s="1732">
        <f t="shared" si="163"/>
        <v>150</v>
      </c>
      <c r="AD98" s="1955">
        <v>30.0</v>
      </c>
      <c r="AE98" s="1956">
        <v>11.0</v>
      </c>
      <c r="AF98" s="1962">
        <f t="shared" si="137"/>
        <v>0.3666666667</v>
      </c>
      <c r="AG98" s="1731">
        <f t="shared" si="161"/>
        <v>0</v>
      </c>
      <c r="AH98" s="1718"/>
      <c r="AI98" s="1714">
        <v>31.0</v>
      </c>
      <c r="AJ98" s="1961"/>
      <c r="AK98" s="1956">
        <v>4.0</v>
      </c>
      <c r="AL98" s="1744">
        <f t="shared" si="139"/>
        <v>0.1290322581</v>
      </c>
      <c r="AM98" s="1731">
        <f t="shared" si="148"/>
        <v>0</v>
      </c>
      <c r="AN98" s="1718">
        <f t="shared" si="166"/>
        <v>50</v>
      </c>
      <c r="AO98" s="1719">
        <v>30.0</v>
      </c>
      <c r="AP98" s="1720">
        <f>SUMIF('Заполняемость'!$C$8:$C1030,B98,'Заполняемость'!$Z$8:$Z1030)</f>
        <v>0</v>
      </c>
      <c r="AQ98" s="1949"/>
      <c r="AR98" s="1716">
        <f t="shared" si="140"/>
        <v>0</v>
      </c>
      <c r="AS98" s="1731">
        <f t="shared" si="149"/>
        <v>0</v>
      </c>
      <c r="AT98" s="1718"/>
      <c r="AU98" s="1724"/>
      <c r="AV98" s="1724"/>
      <c r="AW98" s="1724"/>
      <c r="AX98" s="1724"/>
      <c r="AY98" s="1724"/>
      <c r="AZ98" s="1724"/>
      <c r="BA98" s="1724"/>
      <c r="BB98" s="1724"/>
      <c r="BC98" s="1724"/>
      <c r="BD98" s="1724"/>
      <c r="BE98" s="1724"/>
      <c r="BF98" s="1724"/>
    </row>
    <row r="99" ht="15.75" hidden="1" customHeight="1">
      <c r="A99" s="1993" t="str">
        <f>'1. Справочник'!B147</f>
        <v/>
      </c>
      <c r="B99" s="1742" t="str">
        <f>'1. Справочник'!C147</f>
        <v>TGA10</v>
      </c>
      <c r="C99" s="147" t="s">
        <v>321</v>
      </c>
      <c r="D99" s="1725">
        <v>50.0</v>
      </c>
      <c r="E99" s="1697">
        <v>50.0</v>
      </c>
      <c r="F99" s="1951">
        <v>0.0</v>
      </c>
      <c r="G99" s="1952">
        <v>50.0</v>
      </c>
      <c r="H99" s="1953">
        <v>80.0</v>
      </c>
      <c r="I99" s="1954">
        <v>100.0</v>
      </c>
      <c r="J99" s="1955">
        <v>31.0</v>
      </c>
      <c r="K99" s="1956">
        <f>SUMIF('Заполняемость'!$C$8:$C1030,B99,'Заполняемость'!$I$8:$I1030)</f>
        <v>0</v>
      </c>
      <c r="L99" s="1957">
        <f t="shared" si="155"/>
        <v>0</v>
      </c>
      <c r="M99" s="1731">
        <f t="shared" si="156"/>
        <v>0</v>
      </c>
      <c r="N99" s="1732">
        <f t="shared" si="157"/>
        <v>50</v>
      </c>
      <c r="O99" s="1955">
        <v>30.0</v>
      </c>
      <c r="P99" s="1958">
        <f>SUMIF('Заполняемость'!$C$8:$C1030,B99,'Заполняемость'!$L$8:$L1030)</f>
        <v>23</v>
      </c>
      <c r="Q99" s="1959">
        <f t="shared" si="158"/>
        <v>0.7666666667</v>
      </c>
      <c r="R99" s="1735">
        <f t="shared" si="159"/>
        <v>50</v>
      </c>
      <c r="S99" s="1732">
        <f t="shared" si="160"/>
        <v>100</v>
      </c>
      <c r="T99" s="1955">
        <v>30.0</v>
      </c>
      <c r="U99" s="1958">
        <f>SUMIF('Заполняемость'!$C$8:$C1030,B99,'Заполняемость'!$L$8:$L1030)</f>
        <v>23</v>
      </c>
      <c r="V99" s="1959">
        <f t="shared" si="162"/>
        <v>0.7666666667</v>
      </c>
      <c r="W99" s="1737">
        <f t="shared" si="153"/>
        <v>50</v>
      </c>
      <c r="X99" s="1732">
        <f t="shared" si="154"/>
        <v>100</v>
      </c>
      <c r="Y99" s="1955">
        <v>31.0</v>
      </c>
      <c r="Z99" s="1958">
        <v>30.0</v>
      </c>
      <c r="AA99" s="1959">
        <f t="shared" si="136"/>
        <v>0.9677419355</v>
      </c>
      <c r="AB99" s="1737">
        <f t="shared" si="145"/>
        <v>100</v>
      </c>
      <c r="AC99" s="1732">
        <f t="shared" si="163"/>
        <v>150</v>
      </c>
      <c r="AD99" s="1955">
        <v>30.0</v>
      </c>
      <c r="AE99" s="1956">
        <v>26.0</v>
      </c>
      <c r="AF99" s="1957">
        <f t="shared" si="137"/>
        <v>0.8666666667</v>
      </c>
      <c r="AG99" s="1738">
        <f t="shared" si="161"/>
        <v>80</v>
      </c>
      <c r="AH99" s="1718">
        <f t="shared" ref="AH99:AH104" si="167">D99+AG99</f>
        <v>130</v>
      </c>
      <c r="AI99" s="1714">
        <v>31.0</v>
      </c>
      <c r="AJ99" s="1961"/>
      <c r="AK99" s="1956"/>
      <c r="AL99" s="1744">
        <f t="shared" si="139"/>
        <v>0</v>
      </c>
      <c r="AM99" s="1731">
        <f t="shared" si="148"/>
        <v>0</v>
      </c>
      <c r="AN99" s="1718"/>
      <c r="AO99" s="1719">
        <v>30.0</v>
      </c>
      <c r="AP99" s="1720">
        <f>SUMIF('Заполняемость'!$C$8:$C1030,B99,'Заполняемость'!$Z$8:$Z1030)</f>
        <v>0</v>
      </c>
      <c r="AQ99" s="1949"/>
      <c r="AR99" s="1716">
        <f t="shared" si="140"/>
        <v>0</v>
      </c>
      <c r="AS99" s="1731">
        <f t="shared" si="149"/>
        <v>0</v>
      </c>
      <c r="AT99" s="1718"/>
      <c r="AU99" s="1724"/>
      <c r="AV99" s="1724"/>
      <c r="AW99" s="1724"/>
      <c r="AX99" s="1724"/>
      <c r="AY99" s="1724"/>
      <c r="AZ99" s="1724"/>
      <c r="BA99" s="1724"/>
      <c r="BB99" s="1724"/>
      <c r="BC99" s="1724"/>
      <c r="BD99" s="1724"/>
      <c r="BE99" s="1724"/>
      <c r="BF99" s="1724"/>
    </row>
    <row r="100" ht="15.75" hidden="1" customHeight="1">
      <c r="A100" s="1993" t="str">
        <f>'1. Справочник'!B148</f>
        <v/>
      </c>
      <c r="B100" s="1742" t="str">
        <f>'1. Справочник'!C148</f>
        <v>TGB1</v>
      </c>
      <c r="C100" s="147" t="s">
        <v>321</v>
      </c>
      <c r="D100" s="1725">
        <v>50.0</v>
      </c>
      <c r="E100" s="1697">
        <v>50.0</v>
      </c>
      <c r="F100" s="1951">
        <v>0.0</v>
      </c>
      <c r="G100" s="1952">
        <v>50.0</v>
      </c>
      <c r="H100" s="1953">
        <v>80.0</v>
      </c>
      <c r="I100" s="1954">
        <v>100.0</v>
      </c>
      <c r="J100" s="1955">
        <v>31.0</v>
      </c>
      <c r="K100" s="1956">
        <f>SUMIF('Заполняемость'!$C$8:$C1030,B100,'Заполняемость'!$I$8:$I1030)</f>
        <v>0</v>
      </c>
      <c r="L100" s="1957">
        <f t="shared" si="155"/>
        <v>0</v>
      </c>
      <c r="M100" s="1731">
        <f t="shared" si="156"/>
        <v>0</v>
      </c>
      <c r="N100" s="1732">
        <f t="shared" si="157"/>
        <v>50</v>
      </c>
      <c r="O100" s="1955">
        <v>30.0</v>
      </c>
      <c r="P100" s="1958">
        <f>SUMIF('Заполняемость'!$C$8:$C1030,B100,'Заполняемость'!$L$8:$L1030)</f>
        <v>2</v>
      </c>
      <c r="Q100" s="1959">
        <f t="shared" si="158"/>
        <v>0.06666666667</v>
      </c>
      <c r="R100" s="1735">
        <f t="shared" si="159"/>
        <v>0</v>
      </c>
      <c r="S100" s="1732">
        <f t="shared" si="160"/>
        <v>50</v>
      </c>
      <c r="T100" s="1955">
        <v>30.0</v>
      </c>
      <c r="U100" s="1958">
        <f>SUMIF('Заполняемость'!$C$8:$C1030,B100,'Заполняемость'!$L$8:$L1030)</f>
        <v>2</v>
      </c>
      <c r="V100" s="1959">
        <f t="shared" si="162"/>
        <v>0.06666666667</v>
      </c>
      <c r="W100" s="1735">
        <f t="shared" si="153"/>
        <v>0</v>
      </c>
      <c r="X100" s="1732">
        <f t="shared" si="154"/>
        <v>50</v>
      </c>
      <c r="Y100" s="1955">
        <v>31.0</v>
      </c>
      <c r="Z100" s="1958">
        <v>26.0</v>
      </c>
      <c r="AA100" s="1959">
        <f t="shared" si="136"/>
        <v>0.8387096774</v>
      </c>
      <c r="AB100" s="1735">
        <f t="shared" si="145"/>
        <v>80</v>
      </c>
      <c r="AC100" s="1732">
        <f t="shared" si="163"/>
        <v>130</v>
      </c>
      <c r="AD100" s="1955">
        <v>30.0</v>
      </c>
      <c r="AE100" s="1956">
        <v>17.0</v>
      </c>
      <c r="AF100" s="1957">
        <f t="shared" si="137"/>
        <v>0.5666666667</v>
      </c>
      <c r="AG100" s="1731">
        <f t="shared" si="161"/>
        <v>0</v>
      </c>
      <c r="AH100" s="1718">
        <f t="shared" si="167"/>
        <v>50</v>
      </c>
      <c r="AI100" s="1714">
        <v>31.0</v>
      </c>
      <c r="AJ100" s="1961"/>
      <c r="AK100" s="1956"/>
      <c r="AL100" s="1744">
        <f t="shared" si="139"/>
        <v>0</v>
      </c>
      <c r="AM100" s="1731">
        <f t="shared" si="148"/>
        <v>0</v>
      </c>
      <c r="AN100" s="1718"/>
      <c r="AO100" s="1719">
        <v>30.0</v>
      </c>
      <c r="AP100" s="1720">
        <f>SUMIF('Заполняемость'!$C$8:$C1030,B100,'Заполняемость'!$Z$8:$Z1030)</f>
        <v>0</v>
      </c>
      <c r="AQ100" s="1949"/>
      <c r="AR100" s="1716">
        <f t="shared" si="140"/>
        <v>0</v>
      </c>
      <c r="AS100" s="1731">
        <f t="shared" si="149"/>
        <v>0</v>
      </c>
      <c r="AT100" s="1718"/>
      <c r="AU100" s="1724"/>
      <c r="AV100" s="1724"/>
      <c r="AW100" s="1724"/>
      <c r="AX100" s="1724"/>
      <c r="AY100" s="1724"/>
      <c r="AZ100" s="1724"/>
      <c r="BA100" s="1724"/>
      <c r="BB100" s="1724"/>
      <c r="BC100" s="1724"/>
      <c r="BD100" s="1724"/>
      <c r="BE100" s="1724"/>
      <c r="BF100" s="1724"/>
    </row>
    <row r="101" ht="15.75" hidden="1" customHeight="1">
      <c r="A101" s="1993" t="str">
        <f>'1. Справочник'!B149</f>
        <v/>
      </c>
      <c r="B101" s="1742" t="str">
        <f>'1. Справочник'!C149</f>
        <v>TGB2</v>
      </c>
      <c r="C101" s="147" t="s">
        <v>321</v>
      </c>
      <c r="D101" s="1725">
        <v>50.0</v>
      </c>
      <c r="E101" s="1697">
        <v>50.0</v>
      </c>
      <c r="F101" s="1951">
        <v>0.0</v>
      </c>
      <c r="G101" s="1952">
        <v>50.0</v>
      </c>
      <c r="H101" s="1953">
        <v>80.0</v>
      </c>
      <c r="I101" s="1954">
        <v>100.0</v>
      </c>
      <c r="J101" s="1955">
        <v>31.0</v>
      </c>
      <c r="K101" s="1956">
        <f>SUMIF('Заполняемость'!$C$8:$C1030,B101,'Заполняемость'!$I$8:$I1030)</f>
        <v>0</v>
      </c>
      <c r="L101" s="1957">
        <f t="shared" si="155"/>
        <v>0</v>
      </c>
      <c r="M101" s="1731">
        <f t="shared" si="156"/>
        <v>0</v>
      </c>
      <c r="N101" s="1732">
        <f t="shared" si="157"/>
        <v>50</v>
      </c>
      <c r="O101" s="1955">
        <v>30.0</v>
      </c>
      <c r="P101" s="1958">
        <f>SUMIF('Заполняемость'!$C$8:$C1030,B101,'Заполняемость'!$L$8:$L1030)</f>
        <v>26</v>
      </c>
      <c r="Q101" s="1959">
        <f t="shared" si="158"/>
        <v>0.8666666667</v>
      </c>
      <c r="R101" s="1735">
        <f t="shared" si="159"/>
        <v>80</v>
      </c>
      <c r="S101" s="1732">
        <f t="shared" si="160"/>
        <v>130</v>
      </c>
      <c r="T101" s="1955">
        <v>30.0</v>
      </c>
      <c r="U101" s="1958">
        <f>SUMIF('Заполняемость'!$C$8:$C1030,B101,'Заполняемость'!$L$8:$L1030)</f>
        <v>26</v>
      </c>
      <c r="V101" s="1959">
        <f t="shared" si="162"/>
        <v>0.8666666667</v>
      </c>
      <c r="W101" s="1735">
        <f t="shared" si="153"/>
        <v>80</v>
      </c>
      <c r="X101" s="1732">
        <f t="shared" si="154"/>
        <v>130</v>
      </c>
      <c r="Y101" s="1955">
        <v>31.0</v>
      </c>
      <c r="Z101" s="1958">
        <v>30.0</v>
      </c>
      <c r="AA101" s="1959">
        <f t="shared" si="136"/>
        <v>0.9677419355</v>
      </c>
      <c r="AB101" s="1735">
        <f t="shared" si="145"/>
        <v>100</v>
      </c>
      <c r="AC101" s="1732">
        <f t="shared" si="163"/>
        <v>150</v>
      </c>
      <c r="AD101" s="1955">
        <v>30.0</v>
      </c>
      <c r="AE101" s="1956">
        <v>0.0</v>
      </c>
      <c r="AF101" s="1957">
        <f t="shared" si="137"/>
        <v>0</v>
      </c>
      <c r="AG101" s="1731">
        <f t="shared" si="161"/>
        <v>0</v>
      </c>
      <c r="AH101" s="1718">
        <f t="shared" si="167"/>
        <v>50</v>
      </c>
      <c r="AI101" s="1714">
        <v>31.0</v>
      </c>
      <c r="AJ101" s="1961"/>
      <c r="AK101" s="1956"/>
      <c r="AL101" s="1744">
        <f t="shared" si="139"/>
        <v>0</v>
      </c>
      <c r="AM101" s="1731">
        <f t="shared" si="148"/>
        <v>0</v>
      </c>
      <c r="AN101" s="1718"/>
      <c r="AO101" s="1719">
        <v>30.0</v>
      </c>
      <c r="AP101" s="1720">
        <f>SUMIF('Заполняемость'!$C$8:$C1030,B101,'Заполняемость'!$Z$8:$Z1030)</f>
        <v>0</v>
      </c>
      <c r="AQ101" s="1949"/>
      <c r="AR101" s="1716">
        <f t="shared" si="140"/>
        <v>0</v>
      </c>
      <c r="AS101" s="1731">
        <f t="shared" si="149"/>
        <v>0</v>
      </c>
      <c r="AT101" s="1718"/>
      <c r="AU101" s="1724"/>
      <c r="AV101" s="1724"/>
      <c r="AW101" s="1724"/>
      <c r="AX101" s="1724"/>
      <c r="AY101" s="1724"/>
      <c r="AZ101" s="1724"/>
      <c r="BA101" s="1724"/>
      <c r="BB101" s="1724"/>
      <c r="BC101" s="1724"/>
      <c r="BD101" s="1724"/>
      <c r="BE101" s="1724"/>
      <c r="BF101" s="1724"/>
    </row>
    <row r="102" ht="15.75" hidden="1" customHeight="1">
      <c r="A102" s="1993" t="str">
        <f>'1. Справочник'!B100</f>
        <v>Светлана</v>
      </c>
      <c r="B102" s="1742" t="str">
        <f>'1. Справочник'!C100</f>
        <v>TGB3</v>
      </c>
      <c r="C102" s="147" t="s">
        <v>321</v>
      </c>
      <c r="D102" s="1725">
        <v>50.0</v>
      </c>
      <c r="E102" s="1697">
        <v>50.0</v>
      </c>
      <c r="F102" s="1951">
        <v>0.0</v>
      </c>
      <c r="G102" s="1952">
        <v>50.0</v>
      </c>
      <c r="H102" s="1953">
        <v>80.0</v>
      </c>
      <c r="I102" s="1954">
        <v>100.0</v>
      </c>
      <c r="J102" s="1955">
        <v>31.0</v>
      </c>
      <c r="K102" s="1956">
        <f>SUMIF('Заполняемость'!$C$8:$C1030,B102,'Заполняемость'!$I$8:$I1030)</f>
        <v>0</v>
      </c>
      <c r="L102" s="1957">
        <f t="shared" si="155"/>
        <v>0</v>
      </c>
      <c r="M102" s="1731">
        <f t="shared" si="156"/>
        <v>0</v>
      </c>
      <c r="N102" s="1732">
        <f t="shared" si="157"/>
        <v>50</v>
      </c>
      <c r="O102" s="1955">
        <v>30.0</v>
      </c>
      <c r="P102" s="1958">
        <f>SUMIF('Заполняемость'!$C$8:$C1030,B102,'Заполняемость'!$L$8:$L1030)</f>
        <v>14</v>
      </c>
      <c r="Q102" s="1959">
        <f t="shared" si="158"/>
        <v>0.4666666667</v>
      </c>
      <c r="R102" s="1735">
        <f t="shared" si="159"/>
        <v>0</v>
      </c>
      <c r="S102" s="1732">
        <f t="shared" si="160"/>
        <v>50</v>
      </c>
      <c r="T102" s="1955">
        <v>30.0</v>
      </c>
      <c r="U102" s="1958">
        <f>SUMIF('Заполняемость'!$C$8:$C1030,B102,'Заполняемость'!$L$8:$L1030)</f>
        <v>14</v>
      </c>
      <c r="V102" s="1959">
        <f t="shared" si="162"/>
        <v>0.4666666667</v>
      </c>
      <c r="W102" s="1735">
        <f t="shared" si="153"/>
        <v>0</v>
      </c>
      <c r="X102" s="1732">
        <f t="shared" si="154"/>
        <v>50</v>
      </c>
      <c r="Y102" s="1955">
        <v>31.0</v>
      </c>
      <c r="Z102" s="1958">
        <v>28.0</v>
      </c>
      <c r="AA102" s="1959">
        <f t="shared" si="136"/>
        <v>0.9032258065</v>
      </c>
      <c r="AB102" s="1735">
        <f t="shared" si="145"/>
        <v>100</v>
      </c>
      <c r="AC102" s="1732">
        <f t="shared" si="163"/>
        <v>150</v>
      </c>
      <c r="AD102" s="1955">
        <v>30.0</v>
      </c>
      <c r="AE102" s="1956">
        <v>14.0</v>
      </c>
      <c r="AF102" s="1957">
        <f t="shared" si="137"/>
        <v>0.4666666667</v>
      </c>
      <c r="AG102" s="1731">
        <f t="shared" si="161"/>
        <v>0</v>
      </c>
      <c r="AH102" s="1718">
        <f t="shared" si="167"/>
        <v>50</v>
      </c>
      <c r="AI102" s="1714">
        <v>31.0</v>
      </c>
      <c r="AJ102" s="1961"/>
      <c r="AK102" s="1956">
        <v>5.0</v>
      </c>
      <c r="AL102" s="1744">
        <f t="shared" si="139"/>
        <v>0.1612903226</v>
      </c>
      <c r="AM102" s="1731">
        <f t="shared" si="148"/>
        <v>0</v>
      </c>
      <c r="AN102" s="1718">
        <f t="shared" ref="AN102:AN103" si="168">D102+AM102</f>
        <v>50</v>
      </c>
      <c r="AO102" s="1719">
        <v>30.0</v>
      </c>
      <c r="AP102" s="1720">
        <f>SUMIF('Заполняемость'!$C$8:$C1030,B102,'Заполняемость'!$Z$8:$Z1030)</f>
        <v>0</v>
      </c>
      <c r="AQ102" s="1949"/>
      <c r="AR102" s="1716">
        <f t="shared" si="140"/>
        <v>0</v>
      </c>
      <c r="AS102" s="1731">
        <f t="shared" si="149"/>
        <v>0</v>
      </c>
      <c r="AT102" s="1718"/>
      <c r="AU102" s="1724"/>
      <c r="AV102" s="1724"/>
      <c r="AW102" s="1724"/>
      <c r="AX102" s="1724"/>
      <c r="AY102" s="1724"/>
      <c r="AZ102" s="1724"/>
      <c r="BA102" s="1724"/>
      <c r="BB102" s="1724"/>
      <c r="BC102" s="1724"/>
      <c r="BD102" s="1724"/>
      <c r="BE102" s="1724"/>
      <c r="BF102" s="1724"/>
    </row>
    <row r="103" ht="15.75" hidden="1" customHeight="1">
      <c r="A103" s="1993" t="str">
        <f>'1. Справочник'!B150</f>
        <v/>
      </c>
      <c r="B103" s="1742" t="str">
        <f>'1. Справочник'!C150</f>
        <v>TGB4</v>
      </c>
      <c r="C103" s="147" t="s">
        <v>321</v>
      </c>
      <c r="D103" s="1725">
        <v>50.0</v>
      </c>
      <c r="E103" s="1697">
        <v>50.0</v>
      </c>
      <c r="F103" s="1951">
        <v>0.0</v>
      </c>
      <c r="G103" s="1952">
        <v>50.0</v>
      </c>
      <c r="H103" s="1953">
        <v>80.0</v>
      </c>
      <c r="I103" s="1954">
        <v>100.0</v>
      </c>
      <c r="J103" s="1955">
        <v>31.0</v>
      </c>
      <c r="K103" s="1956">
        <f>SUMIF('Заполняемость'!$C$8:$C1030,B103,'Заполняемость'!$I$8:$I1030)</f>
        <v>0</v>
      </c>
      <c r="L103" s="1957">
        <f t="shared" si="155"/>
        <v>0</v>
      </c>
      <c r="M103" s="1731">
        <f t="shared" si="156"/>
        <v>0</v>
      </c>
      <c r="N103" s="1732">
        <f t="shared" si="157"/>
        <v>50</v>
      </c>
      <c r="O103" s="1955">
        <v>30.0</v>
      </c>
      <c r="P103" s="1958">
        <f>SUMIF('Заполняемость'!$C$8:$C1030,B103,'Заполняемость'!$L$8:$L1030)</f>
        <v>0</v>
      </c>
      <c r="Q103" s="1959">
        <f t="shared" si="158"/>
        <v>0</v>
      </c>
      <c r="R103" s="1735">
        <f t="shared" si="159"/>
        <v>0</v>
      </c>
      <c r="S103" s="1732">
        <f t="shared" si="160"/>
        <v>50</v>
      </c>
      <c r="T103" s="1955">
        <v>30.0</v>
      </c>
      <c r="U103" s="1958">
        <f>SUMIF('Заполняемость'!$C$8:$C1030,B103,'Заполняемость'!$L$8:$L1030)</f>
        <v>0</v>
      </c>
      <c r="V103" s="1959">
        <f t="shared" si="162"/>
        <v>0</v>
      </c>
      <c r="W103" s="1735">
        <f t="shared" si="153"/>
        <v>0</v>
      </c>
      <c r="X103" s="1732">
        <f t="shared" si="154"/>
        <v>50</v>
      </c>
      <c r="Y103" s="1955">
        <v>31.0</v>
      </c>
      <c r="Z103" s="1958">
        <v>26.0</v>
      </c>
      <c r="AA103" s="1959">
        <f t="shared" si="136"/>
        <v>0.8387096774</v>
      </c>
      <c r="AB103" s="1735">
        <f t="shared" si="145"/>
        <v>80</v>
      </c>
      <c r="AC103" s="1732">
        <f t="shared" si="163"/>
        <v>130</v>
      </c>
      <c r="AD103" s="1955">
        <v>30.0</v>
      </c>
      <c r="AE103" s="1956">
        <v>27.0</v>
      </c>
      <c r="AF103" s="1957">
        <f t="shared" si="137"/>
        <v>0.9</v>
      </c>
      <c r="AG103" s="1731">
        <f t="shared" si="161"/>
        <v>80</v>
      </c>
      <c r="AH103" s="1718">
        <f t="shared" si="167"/>
        <v>130</v>
      </c>
      <c r="AI103" s="1714">
        <v>31.0</v>
      </c>
      <c r="AJ103" s="1961"/>
      <c r="AK103" s="1956">
        <v>5.0</v>
      </c>
      <c r="AL103" s="1744">
        <f t="shared" si="139"/>
        <v>0.1612903226</v>
      </c>
      <c r="AM103" s="1731">
        <f t="shared" si="148"/>
        <v>0</v>
      </c>
      <c r="AN103" s="1718">
        <f t="shared" si="168"/>
        <v>50</v>
      </c>
      <c r="AO103" s="1719">
        <v>30.0</v>
      </c>
      <c r="AP103" s="1720">
        <f>SUMIF('Заполняемость'!$C$8:$C1030,B103,'Заполняемость'!$Z$8:$Z1030)</f>
        <v>0</v>
      </c>
      <c r="AQ103" s="1949"/>
      <c r="AR103" s="1716">
        <f t="shared" si="140"/>
        <v>0</v>
      </c>
      <c r="AS103" s="1731">
        <f t="shared" si="149"/>
        <v>0</v>
      </c>
      <c r="AT103" s="1718"/>
      <c r="AU103" s="1724"/>
      <c r="AV103" s="1724"/>
      <c r="AW103" s="1724"/>
      <c r="AX103" s="1724"/>
      <c r="AY103" s="1724"/>
      <c r="AZ103" s="1724"/>
      <c r="BA103" s="1724"/>
      <c r="BB103" s="1724"/>
      <c r="BC103" s="1724"/>
      <c r="BD103" s="1724"/>
      <c r="BE103" s="1724"/>
      <c r="BF103" s="1724"/>
    </row>
    <row r="104" ht="15.75" hidden="1" customHeight="1">
      <c r="A104" s="1993" t="str">
        <f>'1. Справочник'!B151</f>
        <v/>
      </c>
      <c r="B104" s="1742" t="str">
        <f>'1. Справочник'!C151</f>
        <v>TGB5</v>
      </c>
      <c r="C104" s="147" t="s">
        <v>321</v>
      </c>
      <c r="D104" s="1725">
        <v>50.0</v>
      </c>
      <c r="E104" s="1697">
        <v>50.0</v>
      </c>
      <c r="F104" s="1951">
        <v>0.0</v>
      </c>
      <c r="G104" s="1952">
        <v>50.0</v>
      </c>
      <c r="H104" s="1953">
        <v>80.0</v>
      </c>
      <c r="I104" s="1954">
        <v>100.0</v>
      </c>
      <c r="J104" s="1955">
        <v>31.0</v>
      </c>
      <c r="K104" s="1956">
        <f>SUMIF('Заполняемость'!$C$8:$C1030,B104,'Заполняемость'!$I$8:$I1030)</f>
        <v>0</v>
      </c>
      <c r="L104" s="1957">
        <f t="shared" si="155"/>
        <v>0</v>
      </c>
      <c r="M104" s="1731">
        <f t="shared" si="156"/>
        <v>0</v>
      </c>
      <c r="N104" s="1732">
        <f t="shared" si="157"/>
        <v>50</v>
      </c>
      <c r="O104" s="1955">
        <v>30.0</v>
      </c>
      <c r="P104" s="1958">
        <f>SUMIF('Заполняемость'!$C$8:$C1030,B104,'Заполняемость'!$L$8:$L1030)</f>
        <v>0</v>
      </c>
      <c r="Q104" s="1959">
        <f t="shared" si="158"/>
        <v>0</v>
      </c>
      <c r="R104" s="1735">
        <f t="shared" si="159"/>
        <v>0</v>
      </c>
      <c r="S104" s="1732">
        <f t="shared" si="160"/>
        <v>50</v>
      </c>
      <c r="T104" s="1955">
        <v>30.0</v>
      </c>
      <c r="U104" s="1958">
        <f>SUMIF('Заполняемость'!$C$8:$C1030,B104,'Заполняемость'!$L$8:$L1030)</f>
        <v>0</v>
      </c>
      <c r="V104" s="1959">
        <f t="shared" si="162"/>
        <v>0</v>
      </c>
      <c r="W104" s="1735">
        <f t="shared" si="153"/>
        <v>0</v>
      </c>
      <c r="X104" s="1732">
        <f t="shared" si="154"/>
        <v>50</v>
      </c>
      <c r="Y104" s="1955">
        <v>31.0</v>
      </c>
      <c r="Z104" s="1958">
        <v>26.0</v>
      </c>
      <c r="AA104" s="1959">
        <f t="shared" si="136"/>
        <v>0.8387096774</v>
      </c>
      <c r="AB104" s="1735">
        <f t="shared" si="145"/>
        <v>80</v>
      </c>
      <c r="AC104" s="1732">
        <f t="shared" si="163"/>
        <v>130</v>
      </c>
      <c r="AD104" s="1955">
        <v>30.0</v>
      </c>
      <c r="AE104" s="1956">
        <v>20.0</v>
      </c>
      <c r="AF104" s="1957">
        <f t="shared" si="137"/>
        <v>0.6666666667</v>
      </c>
      <c r="AG104" s="1731">
        <f t="shared" si="161"/>
        <v>0</v>
      </c>
      <c r="AH104" s="1718">
        <f t="shared" si="167"/>
        <v>50</v>
      </c>
      <c r="AI104" s="1714">
        <v>31.0</v>
      </c>
      <c r="AJ104" s="1961"/>
      <c r="AK104" s="1956"/>
      <c r="AL104" s="1744">
        <f t="shared" si="139"/>
        <v>0</v>
      </c>
      <c r="AM104" s="1731">
        <f t="shared" si="148"/>
        <v>0</v>
      </c>
      <c r="AN104" s="1718"/>
      <c r="AO104" s="1719">
        <v>30.0</v>
      </c>
      <c r="AP104" s="1720">
        <f>SUMIF('Заполняемость'!$C$8:$C1030,B104,'Заполняемость'!$Z$8:$Z1030)</f>
        <v>0</v>
      </c>
      <c r="AQ104" s="1949"/>
      <c r="AR104" s="1716">
        <f t="shared" si="140"/>
        <v>0</v>
      </c>
      <c r="AS104" s="1731">
        <f t="shared" si="149"/>
        <v>0</v>
      </c>
      <c r="AT104" s="1718"/>
      <c r="AU104" s="1724"/>
      <c r="AV104" s="1724"/>
      <c r="AW104" s="1724"/>
      <c r="AX104" s="1724"/>
      <c r="AY104" s="1724"/>
      <c r="AZ104" s="1724"/>
      <c r="BA104" s="1724"/>
      <c r="BB104" s="1724"/>
      <c r="BC104" s="1724"/>
      <c r="BD104" s="1724"/>
      <c r="BE104" s="1724"/>
      <c r="BF104" s="1724"/>
    </row>
    <row r="105" ht="15.75" hidden="1" customHeight="1">
      <c r="A105" s="1993" t="str">
        <f>'1. Справочник'!B152</f>
        <v/>
      </c>
      <c r="B105" s="1742" t="str">
        <f>'1. Справочник'!C152</f>
        <v>TGB6</v>
      </c>
      <c r="C105" s="147" t="s">
        <v>321</v>
      </c>
      <c r="D105" s="1725">
        <v>50.0</v>
      </c>
      <c r="E105" s="1697">
        <v>50.0</v>
      </c>
      <c r="F105" s="1951">
        <v>0.0</v>
      </c>
      <c r="G105" s="1952">
        <v>50.0</v>
      </c>
      <c r="H105" s="1953">
        <v>80.0</v>
      </c>
      <c r="I105" s="1954">
        <v>100.0</v>
      </c>
      <c r="J105" s="1955">
        <v>31.0</v>
      </c>
      <c r="K105" s="1956">
        <f>SUMIF('Заполняемость'!$C$8:$C1030,B105,'Заполняемость'!$I$8:$I1030)</f>
        <v>0</v>
      </c>
      <c r="L105" s="1957">
        <f t="shared" si="155"/>
        <v>0</v>
      </c>
      <c r="M105" s="1731">
        <f t="shared" si="156"/>
        <v>0</v>
      </c>
      <c r="N105" s="1732">
        <f t="shared" si="157"/>
        <v>50</v>
      </c>
      <c r="O105" s="1955">
        <v>30.0</v>
      </c>
      <c r="P105" s="1958">
        <f>SUMIF('Заполняемость'!$C$8:$C1030,B105,'Заполняемость'!$L$8:$L1030)</f>
        <v>7</v>
      </c>
      <c r="Q105" s="1959">
        <f t="shared" si="158"/>
        <v>0.2333333333</v>
      </c>
      <c r="R105" s="1735">
        <f t="shared" si="159"/>
        <v>0</v>
      </c>
      <c r="S105" s="1732">
        <f t="shared" si="160"/>
        <v>50</v>
      </c>
      <c r="T105" s="1955">
        <v>30.0</v>
      </c>
      <c r="U105" s="1958">
        <f>SUMIF('Заполняемость'!$C$8:$C1030,B105,'Заполняемость'!$L$8:$L1030)</f>
        <v>7</v>
      </c>
      <c r="V105" s="1959">
        <f t="shared" si="162"/>
        <v>0.2333333333</v>
      </c>
      <c r="W105" s="1735">
        <f t="shared" si="153"/>
        <v>0</v>
      </c>
      <c r="X105" s="1732">
        <f t="shared" si="154"/>
        <v>50</v>
      </c>
      <c r="Y105" s="1955">
        <v>31.0</v>
      </c>
      <c r="Z105" s="1958">
        <v>25.0</v>
      </c>
      <c r="AA105" s="1959">
        <f t="shared" si="136"/>
        <v>0.8064516129</v>
      </c>
      <c r="AB105" s="1735">
        <f t="shared" si="145"/>
        <v>80</v>
      </c>
      <c r="AC105" s="1732">
        <f t="shared" si="163"/>
        <v>130</v>
      </c>
      <c r="AD105" s="1955">
        <v>30.0</v>
      </c>
      <c r="AE105" s="1956">
        <v>8.0</v>
      </c>
      <c r="AF105" s="1962">
        <f t="shared" si="137"/>
        <v>0.2666666667</v>
      </c>
      <c r="AG105" s="1731">
        <f t="shared" si="161"/>
        <v>0</v>
      </c>
      <c r="AH105" s="1718"/>
      <c r="AI105" s="1714">
        <v>31.0</v>
      </c>
      <c r="AJ105" s="1961"/>
      <c r="AK105" s="1956"/>
      <c r="AL105" s="1744">
        <f t="shared" si="139"/>
        <v>0</v>
      </c>
      <c r="AM105" s="1731">
        <f t="shared" si="148"/>
        <v>0</v>
      </c>
      <c r="AN105" s="1718"/>
      <c r="AO105" s="1719">
        <v>30.0</v>
      </c>
      <c r="AP105" s="1720">
        <f>SUMIF('Заполняемость'!$C$8:$C1030,B105,'Заполняемость'!$Z$8:$Z1030)</f>
        <v>0</v>
      </c>
      <c r="AQ105" s="1949"/>
      <c r="AR105" s="1716">
        <f t="shared" si="140"/>
        <v>0</v>
      </c>
      <c r="AS105" s="1731">
        <f t="shared" si="149"/>
        <v>0</v>
      </c>
      <c r="AT105" s="1718"/>
      <c r="AU105" s="1724"/>
      <c r="AV105" s="1724"/>
      <c r="AW105" s="1724"/>
      <c r="AX105" s="1724"/>
      <c r="AY105" s="1724"/>
      <c r="AZ105" s="1724"/>
      <c r="BA105" s="1724"/>
      <c r="BB105" s="1724"/>
      <c r="BC105" s="1724"/>
      <c r="BD105" s="1724"/>
      <c r="BE105" s="1724"/>
      <c r="BF105" s="1724"/>
    </row>
    <row r="106" ht="15.75" hidden="1" customHeight="1">
      <c r="A106" s="1993" t="str">
        <f>'1. Справочник'!B153</f>
        <v/>
      </c>
      <c r="B106" s="1742" t="str">
        <f>'1. Справочник'!C153</f>
        <v>TGB7</v>
      </c>
      <c r="C106" s="147" t="s">
        <v>321</v>
      </c>
      <c r="D106" s="1725">
        <v>50.0</v>
      </c>
      <c r="E106" s="1697">
        <v>50.0</v>
      </c>
      <c r="F106" s="1951">
        <v>0.0</v>
      </c>
      <c r="G106" s="1952">
        <v>50.0</v>
      </c>
      <c r="H106" s="1953">
        <v>80.0</v>
      </c>
      <c r="I106" s="1954">
        <v>100.0</v>
      </c>
      <c r="J106" s="1955">
        <v>31.0</v>
      </c>
      <c r="K106" s="1956">
        <f>SUMIF('Заполняемость'!$C$8:$C1030,B106,'Заполняемость'!$I$8:$I1030)</f>
        <v>0</v>
      </c>
      <c r="L106" s="1957">
        <f t="shared" si="155"/>
        <v>0</v>
      </c>
      <c r="M106" s="1731">
        <f t="shared" si="156"/>
        <v>0</v>
      </c>
      <c r="N106" s="1732">
        <f t="shared" si="157"/>
        <v>50</v>
      </c>
      <c r="O106" s="1955">
        <v>30.0</v>
      </c>
      <c r="P106" s="1958">
        <f>SUMIF('Заполняемость'!$C$8:$C1030,B106,'Заполняемость'!$L$8:$L1030)</f>
        <v>8</v>
      </c>
      <c r="Q106" s="1959">
        <f t="shared" si="158"/>
        <v>0.2666666667</v>
      </c>
      <c r="R106" s="1735">
        <f t="shared" si="159"/>
        <v>0</v>
      </c>
      <c r="S106" s="1732">
        <f t="shared" si="160"/>
        <v>50</v>
      </c>
      <c r="T106" s="1955">
        <v>30.0</v>
      </c>
      <c r="U106" s="1958">
        <f>SUMIF('Заполняемость'!$C$8:$C1030,B106,'Заполняемость'!$L$8:$L1030)</f>
        <v>8</v>
      </c>
      <c r="V106" s="1959">
        <f t="shared" si="162"/>
        <v>0.2666666667</v>
      </c>
      <c r="W106" s="1735">
        <f t="shared" si="153"/>
        <v>0</v>
      </c>
      <c r="X106" s="1732">
        <f t="shared" si="154"/>
        <v>50</v>
      </c>
      <c r="Y106" s="1955">
        <v>31.0</v>
      </c>
      <c r="Z106" s="1958">
        <v>29.0</v>
      </c>
      <c r="AA106" s="1959">
        <f t="shared" si="136"/>
        <v>0.935483871</v>
      </c>
      <c r="AB106" s="1735">
        <f t="shared" si="145"/>
        <v>100</v>
      </c>
      <c r="AC106" s="1732">
        <f t="shared" si="163"/>
        <v>150</v>
      </c>
      <c r="AD106" s="1955">
        <v>30.0</v>
      </c>
      <c r="AE106" s="1956">
        <v>0.0</v>
      </c>
      <c r="AF106" s="1957">
        <f t="shared" si="137"/>
        <v>0</v>
      </c>
      <c r="AG106" s="1731">
        <f t="shared" si="161"/>
        <v>0</v>
      </c>
      <c r="AH106" s="1718"/>
      <c r="AI106" s="1714">
        <v>31.0</v>
      </c>
      <c r="AJ106" s="1961"/>
      <c r="AK106" s="1956">
        <v>5.0</v>
      </c>
      <c r="AL106" s="1744">
        <f t="shared" si="139"/>
        <v>0.1612903226</v>
      </c>
      <c r="AM106" s="1731">
        <f t="shared" si="148"/>
        <v>0</v>
      </c>
      <c r="AN106" s="1718">
        <f>D106+AM106</f>
        <v>50</v>
      </c>
      <c r="AO106" s="1719">
        <v>30.0</v>
      </c>
      <c r="AP106" s="1720">
        <f>SUMIF('Заполняемость'!$C$8:$C1030,B106,'Заполняемость'!$Z$8:$Z1030)</f>
        <v>0</v>
      </c>
      <c r="AQ106" s="1949"/>
      <c r="AR106" s="1716">
        <f t="shared" si="140"/>
        <v>0</v>
      </c>
      <c r="AS106" s="1731">
        <f t="shared" si="149"/>
        <v>0</v>
      </c>
      <c r="AT106" s="1718"/>
      <c r="AU106" s="1724"/>
      <c r="AV106" s="1724"/>
      <c r="AW106" s="1724"/>
      <c r="AX106" s="1724"/>
      <c r="AY106" s="1724"/>
      <c r="AZ106" s="1724"/>
      <c r="BA106" s="1724"/>
      <c r="BB106" s="1724"/>
      <c r="BC106" s="1724"/>
      <c r="BD106" s="1724"/>
      <c r="BE106" s="1724"/>
      <c r="BF106" s="1724"/>
    </row>
    <row r="107" ht="15.75" hidden="1" customHeight="1">
      <c r="A107" s="1993" t="str">
        <f>'1. Справочник'!B154</f>
        <v/>
      </c>
      <c r="B107" s="1742" t="str">
        <f>'1. Справочник'!C154</f>
        <v>TGB8</v>
      </c>
      <c r="C107" s="147" t="s">
        <v>321</v>
      </c>
      <c r="D107" s="1725">
        <v>50.0</v>
      </c>
      <c r="E107" s="1697">
        <v>50.0</v>
      </c>
      <c r="F107" s="1951">
        <v>0.0</v>
      </c>
      <c r="G107" s="1952">
        <v>50.0</v>
      </c>
      <c r="H107" s="1953">
        <v>80.0</v>
      </c>
      <c r="I107" s="1954">
        <v>100.0</v>
      </c>
      <c r="J107" s="1955">
        <v>31.0</v>
      </c>
      <c r="K107" s="1956">
        <f>SUMIF('Заполняемость'!$C$8:$C1030,B107,'Заполняемость'!$I$8:$I1030)</f>
        <v>0</v>
      </c>
      <c r="L107" s="1957">
        <f t="shared" si="155"/>
        <v>0</v>
      </c>
      <c r="M107" s="1731">
        <f t="shared" si="156"/>
        <v>0</v>
      </c>
      <c r="N107" s="1732">
        <f t="shared" si="157"/>
        <v>50</v>
      </c>
      <c r="O107" s="1955">
        <v>30.0</v>
      </c>
      <c r="P107" s="1958">
        <f>SUMIF('Заполняемость'!$C$8:$C1030,B107,'Заполняемость'!$L$8:$L1030)</f>
        <v>3</v>
      </c>
      <c r="Q107" s="1959">
        <f t="shared" si="158"/>
        <v>0.1</v>
      </c>
      <c r="R107" s="1735">
        <f t="shared" si="159"/>
        <v>0</v>
      </c>
      <c r="S107" s="1732">
        <f t="shared" si="160"/>
        <v>50</v>
      </c>
      <c r="T107" s="1955">
        <v>30.0</v>
      </c>
      <c r="U107" s="1958">
        <f>SUMIF('Заполняемость'!$C$8:$C1030,B107,'Заполняемость'!$L$8:$L1030)</f>
        <v>3</v>
      </c>
      <c r="V107" s="1959">
        <f t="shared" si="162"/>
        <v>0.1</v>
      </c>
      <c r="W107" s="1735">
        <f t="shared" si="153"/>
        <v>0</v>
      </c>
      <c r="X107" s="1732">
        <f t="shared" si="154"/>
        <v>50</v>
      </c>
      <c r="Y107" s="1955">
        <v>31.0</v>
      </c>
      <c r="Z107" s="1958">
        <v>22.0</v>
      </c>
      <c r="AA107" s="1959">
        <f t="shared" si="136"/>
        <v>0.7096774194</v>
      </c>
      <c r="AB107" s="1735">
        <f t="shared" si="145"/>
        <v>50</v>
      </c>
      <c r="AC107" s="1732">
        <f t="shared" si="163"/>
        <v>100</v>
      </c>
      <c r="AD107" s="1955">
        <v>30.0</v>
      </c>
      <c r="AE107" s="1956">
        <v>25.0</v>
      </c>
      <c r="AF107" s="1957">
        <f t="shared" si="137"/>
        <v>0.8333333333</v>
      </c>
      <c r="AG107" s="1731">
        <f t="shared" si="161"/>
        <v>80</v>
      </c>
      <c r="AH107" s="1718">
        <f>D107+AG107</f>
        <v>130</v>
      </c>
      <c r="AI107" s="1714">
        <v>31.0</v>
      </c>
      <c r="AJ107" s="1961"/>
      <c r="AK107" s="1956"/>
      <c r="AL107" s="1744">
        <f t="shared" si="139"/>
        <v>0</v>
      </c>
      <c r="AM107" s="1731">
        <f t="shared" si="148"/>
        <v>0</v>
      </c>
      <c r="AN107" s="1718"/>
      <c r="AO107" s="1719">
        <v>30.0</v>
      </c>
      <c r="AP107" s="1720">
        <f>SUMIF('Заполняемость'!$C$8:$C1030,B107,'Заполняемость'!$Z$8:$Z1030)</f>
        <v>0</v>
      </c>
      <c r="AQ107" s="1949"/>
      <c r="AR107" s="1716">
        <f t="shared" si="140"/>
        <v>0</v>
      </c>
      <c r="AS107" s="1731">
        <f t="shared" si="149"/>
        <v>0</v>
      </c>
      <c r="AT107" s="1718"/>
      <c r="AU107" s="1724"/>
      <c r="AV107" s="1724"/>
      <c r="AW107" s="1724"/>
      <c r="AX107" s="1724"/>
      <c r="AY107" s="1724"/>
      <c r="AZ107" s="1724"/>
      <c r="BA107" s="1724"/>
      <c r="BB107" s="1724"/>
      <c r="BC107" s="1724"/>
      <c r="BD107" s="1724"/>
      <c r="BE107" s="1724"/>
      <c r="BF107" s="1724"/>
    </row>
    <row r="108" ht="15.75" hidden="1" customHeight="1">
      <c r="A108" s="1993" t="str">
        <f>'1. Справочник'!B155</f>
        <v/>
      </c>
      <c r="B108" s="1742" t="str">
        <f>'1. Справочник'!C155</f>
        <v>TGB9</v>
      </c>
      <c r="C108" s="147" t="s">
        <v>321</v>
      </c>
      <c r="D108" s="1725">
        <v>50.0</v>
      </c>
      <c r="E108" s="1697">
        <v>50.0</v>
      </c>
      <c r="F108" s="1951">
        <v>0.0</v>
      </c>
      <c r="G108" s="1952">
        <v>50.0</v>
      </c>
      <c r="H108" s="1953">
        <v>80.0</v>
      </c>
      <c r="I108" s="1954">
        <v>100.0</v>
      </c>
      <c r="J108" s="1955">
        <v>31.0</v>
      </c>
      <c r="K108" s="1956">
        <f>SUMIF('Заполняемость'!$C$8:$C1030,B108,'Заполняемость'!$I$8:$I1030)</f>
        <v>0</v>
      </c>
      <c r="L108" s="1957">
        <f t="shared" si="155"/>
        <v>0</v>
      </c>
      <c r="M108" s="1731">
        <f t="shared" si="156"/>
        <v>0</v>
      </c>
      <c r="N108" s="1732">
        <f t="shared" si="157"/>
        <v>50</v>
      </c>
      <c r="O108" s="1955">
        <v>30.0</v>
      </c>
      <c r="P108" s="1958">
        <f>SUMIF('Заполняемость'!$C$8:$C1030,B108,'Заполняемость'!$L$8:$L1030)</f>
        <v>14</v>
      </c>
      <c r="Q108" s="1959">
        <f t="shared" si="158"/>
        <v>0.4666666667</v>
      </c>
      <c r="R108" s="1735">
        <f t="shared" si="159"/>
        <v>0</v>
      </c>
      <c r="S108" s="1732">
        <f t="shared" si="160"/>
        <v>50</v>
      </c>
      <c r="T108" s="1955">
        <v>30.0</v>
      </c>
      <c r="U108" s="1958">
        <f>SUMIF('Заполняемость'!$C$8:$C1030,B108,'Заполняемость'!$L$8:$L1030)</f>
        <v>14</v>
      </c>
      <c r="V108" s="1959">
        <f t="shared" si="162"/>
        <v>0.4666666667</v>
      </c>
      <c r="W108" s="1735">
        <f t="shared" si="153"/>
        <v>0</v>
      </c>
      <c r="X108" s="1732">
        <f t="shared" si="154"/>
        <v>50</v>
      </c>
      <c r="Y108" s="1955">
        <v>31.0</v>
      </c>
      <c r="Z108" s="1958">
        <v>29.0</v>
      </c>
      <c r="AA108" s="1959">
        <f t="shared" si="136"/>
        <v>0.935483871</v>
      </c>
      <c r="AB108" s="1735">
        <f t="shared" si="145"/>
        <v>100</v>
      </c>
      <c r="AC108" s="1732">
        <f t="shared" si="163"/>
        <v>150</v>
      </c>
      <c r="AD108" s="1955">
        <v>30.0</v>
      </c>
      <c r="AE108" s="1956">
        <v>7.0</v>
      </c>
      <c r="AF108" s="1962">
        <f t="shared" si="137"/>
        <v>0.2333333333</v>
      </c>
      <c r="AG108" s="1731">
        <f t="shared" si="161"/>
        <v>0</v>
      </c>
      <c r="AH108" s="1718"/>
      <c r="AI108" s="1714">
        <v>31.0</v>
      </c>
      <c r="AJ108" s="1961"/>
      <c r="AK108" s="1956">
        <v>8.0</v>
      </c>
      <c r="AL108" s="1744">
        <f t="shared" si="139"/>
        <v>0.2580645161</v>
      </c>
      <c r="AM108" s="1731">
        <f t="shared" si="148"/>
        <v>0</v>
      </c>
      <c r="AN108" s="1718">
        <f>D108+AM108</f>
        <v>50</v>
      </c>
      <c r="AO108" s="1719">
        <v>30.0</v>
      </c>
      <c r="AP108" s="1720">
        <f>SUMIF('Заполняемость'!$C$8:$C1030,B108,'Заполняемость'!$Z$8:$Z1030)</f>
        <v>0</v>
      </c>
      <c r="AQ108" s="1949"/>
      <c r="AR108" s="1716">
        <f t="shared" si="140"/>
        <v>0</v>
      </c>
      <c r="AS108" s="1731">
        <f t="shared" si="149"/>
        <v>0</v>
      </c>
      <c r="AT108" s="1718"/>
      <c r="AU108" s="1724"/>
      <c r="AV108" s="1724"/>
      <c r="AW108" s="1724"/>
      <c r="AX108" s="1724"/>
      <c r="AY108" s="1724"/>
      <c r="AZ108" s="1724"/>
      <c r="BA108" s="1724"/>
      <c r="BB108" s="1724"/>
      <c r="BC108" s="1724"/>
      <c r="BD108" s="1724"/>
      <c r="BE108" s="1724"/>
      <c r="BF108" s="1724"/>
    </row>
    <row r="109" ht="15.75" hidden="1" customHeight="1">
      <c r="A109" s="1993" t="str">
        <f>'1. Справочник'!B156</f>
        <v/>
      </c>
      <c r="B109" s="1742" t="str">
        <f>'1. Справочник'!C156</f>
        <v>TGB10</v>
      </c>
      <c r="C109" s="147" t="s">
        <v>321</v>
      </c>
      <c r="D109" s="1725">
        <v>50.0</v>
      </c>
      <c r="E109" s="1697">
        <v>50.0</v>
      </c>
      <c r="F109" s="1951">
        <v>0.0</v>
      </c>
      <c r="G109" s="1952">
        <v>50.0</v>
      </c>
      <c r="H109" s="1953">
        <v>80.0</v>
      </c>
      <c r="I109" s="1954">
        <v>100.0</v>
      </c>
      <c r="J109" s="1955">
        <v>31.0</v>
      </c>
      <c r="K109" s="1956">
        <f>SUMIF('Заполняемость'!$C$8:$C1030,B109,'Заполняемость'!$I$8:$I1030)</f>
        <v>0</v>
      </c>
      <c r="L109" s="1957">
        <f t="shared" si="155"/>
        <v>0</v>
      </c>
      <c r="M109" s="1731">
        <f t="shared" si="156"/>
        <v>0</v>
      </c>
      <c r="N109" s="1732">
        <f t="shared" si="157"/>
        <v>50</v>
      </c>
      <c r="O109" s="1955">
        <v>30.0</v>
      </c>
      <c r="P109" s="1958">
        <f>SUMIF('Заполняемость'!$C$8:$C1030,B109,'Заполняемость'!$L$8:$L1030)</f>
        <v>10</v>
      </c>
      <c r="Q109" s="1959">
        <f t="shared" si="158"/>
        <v>0.3333333333</v>
      </c>
      <c r="R109" s="1735">
        <f t="shared" si="159"/>
        <v>0</v>
      </c>
      <c r="S109" s="1732">
        <f t="shared" si="160"/>
        <v>50</v>
      </c>
      <c r="T109" s="1955">
        <v>30.0</v>
      </c>
      <c r="U109" s="1958">
        <f>SUMIF('Заполняемость'!$C$8:$C1030,B109,'Заполняемость'!$L$8:$L1030)</f>
        <v>10</v>
      </c>
      <c r="V109" s="1959">
        <f t="shared" si="162"/>
        <v>0.3333333333</v>
      </c>
      <c r="W109" s="1735">
        <f t="shared" si="153"/>
        <v>0</v>
      </c>
      <c r="X109" s="1732">
        <f t="shared" si="154"/>
        <v>50</v>
      </c>
      <c r="Y109" s="1955">
        <v>31.0</v>
      </c>
      <c r="Z109" s="1958">
        <v>27.0</v>
      </c>
      <c r="AA109" s="1959">
        <f t="shared" si="136"/>
        <v>0.8709677419</v>
      </c>
      <c r="AB109" s="1735">
        <f t="shared" si="145"/>
        <v>80</v>
      </c>
      <c r="AC109" s="1732">
        <f t="shared" si="163"/>
        <v>130</v>
      </c>
      <c r="AD109" s="1955">
        <v>30.0</v>
      </c>
      <c r="AE109" s="1956">
        <v>8.0</v>
      </c>
      <c r="AF109" s="1962">
        <f t="shared" si="137"/>
        <v>0.2666666667</v>
      </c>
      <c r="AG109" s="1731">
        <f t="shared" si="161"/>
        <v>0</v>
      </c>
      <c r="AH109" s="1718"/>
      <c r="AI109" s="1714">
        <v>31.0</v>
      </c>
      <c r="AJ109" s="1961"/>
      <c r="AK109" s="1956"/>
      <c r="AL109" s="1744">
        <f t="shared" si="139"/>
        <v>0</v>
      </c>
      <c r="AM109" s="1731">
        <f t="shared" si="148"/>
        <v>0</v>
      </c>
      <c r="AN109" s="1718"/>
      <c r="AO109" s="1719">
        <v>30.0</v>
      </c>
      <c r="AP109" s="1720">
        <f>SUMIF('Заполняемость'!$C$8:$C1030,B109,'Заполняемость'!$Z$8:$Z1030)</f>
        <v>0</v>
      </c>
      <c r="AQ109" s="1949"/>
      <c r="AR109" s="1716">
        <f t="shared" si="140"/>
        <v>0</v>
      </c>
      <c r="AS109" s="1731">
        <f t="shared" si="149"/>
        <v>0</v>
      </c>
      <c r="AT109" s="1718"/>
      <c r="AU109" s="1724"/>
      <c r="AV109" s="1724"/>
      <c r="AW109" s="1724"/>
      <c r="AX109" s="1724"/>
      <c r="AY109" s="1724"/>
      <c r="AZ109" s="1724"/>
      <c r="BA109" s="1724"/>
      <c r="BB109" s="1724"/>
      <c r="BC109" s="1724"/>
      <c r="BD109" s="1724"/>
      <c r="BE109" s="1724"/>
      <c r="BF109" s="1724"/>
    </row>
    <row r="110" ht="15.75" hidden="1" customHeight="1">
      <c r="A110" s="1993" t="str">
        <f>'1. Справочник'!B157</f>
        <v/>
      </c>
      <c r="B110" s="1742" t="str">
        <f>'1. Справочник'!C157</f>
        <v>TGB11</v>
      </c>
      <c r="C110" s="147" t="s">
        <v>321</v>
      </c>
      <c r="D110" s="1725">
        <v>50.0</v>
      </c>
      <c r="E110" s="1697">
        <v>50.0</v>
      </c>
      <c r="F110" s="1951">
        <v>0.0</v>
      </c>
      <c r="G110" s="1952">
        <v>50.0</v>
      </c>
      <c r="H110" s="1953">
        <v>80.0</v>
      </c>
      <c r="I110" s="1954">
        <v>100.0</v>
      </c>
      <c r="J110" s="1955">
        <v>31.0</v>
      </c>
      <c r="K110" s="1956">
        <f>SUMIF('Заполняемость'!$C$8:$C1030,B110,'Заполняемость'!$I$8:$I1030)</f>
        <v>0</v>
      </c>
      <c r="L110" s="1957">
        <f t="shared" si="155"/>
        <v>0</v>
      </c>
      <c r="M110" s="1731">
        <f t="shared" si="156"/>
        <v>0</v>
      </c>
      <c r="N110" s="1732">
        <f t="shared" si="157"/>
        <v>50</v>
      </c>
      <c r="O110" s="1955">
        <v>30.0</v>
      </c>
      <c r="P110" s="1958">
        <f>SUMIF('Заполняемость'!$C$8:$C1030,B110,'Заполняемость'!$L$8:$L1030)</f>
        <v>0</v>
      </c>
      <c r="Q110" s="1959">
        <f t="shared" si="158"/>
        <v>0</v>
      </c>
      <c r="R110" s="1735">
        <f t="shared" si="159"/>
        <v>0</v>
      </c>
      <c r="S110" s="1732">
        <f t="shared" si="160"/>
        <v>50</v>
      </c>
      <c r="T110" s="1955">
        <v>30.0</v>
      </c>
      <c r="U110" s="1958">
        <f>SUMIF('Заполняемость'!$C$8:$C1030,B110,'Заполняемость'!$L$8:$L1030)</f>
        <v>0</v>
      </c>
      <c r="V110" s="1959">
        <f t="shared" si="162"/>
        <v>0</v>
      </c>
      <c r="W110" s="1735">
        <f t="shared" si="153"/>
        <v>0</v>
      </c>
      <c r="X110" s="1732">
        <f t="shared" si="154"/>
        <v>50</v>
      </c>
      <c r="Y110" s="1955">
        <v>31.0</v>
      </c>
      <c r="Z110" s="1958">
        <v>24.0</v>
      </c>
      <c r="AA110" s="1959">
        <f t="shared" si="136"/>
        <v>0.7741935484</v>
      </c>
      <c r="AB110" s="1735">
        <f t="shared" si="145"/>
        <v>50</v>
      </c>
      <c r="AC110" s="1732">
        <f t="shared" si="163"/>
        <v>100</v>
      </c>
      <c r="AD110" s="1955">
        <v>30.0</v>
      </c>
      <c r="AE110" s="1956">
        <v>12.0</v>
      </c>
      <c r="AF110" s="1962">
        <f t="shared" si="137"/>
        <v>0.4</v>
      </c>
      <c r="AG110" s="1731">
        <f t="shared" si="161"/>
        <v>0</v>
      </c>
      <c r="AH110" s="1718"/>
      <c r="AI110" s="1714">
        <v>31.0</v>
      </c>
      <c r="AJ110" s="1961"/>
      <c r="AK110" s="1956">
        <v>30.0</v>
      </c>
      <c r="AL110" s="1744">
        <f t="shared" si="139"/>
        <v>0.9677419355</v>
      </c>
      <c r="AM110" s="1731">
        <f t="shared" si="148"/>
        <v>100</v>
      </c>
      <c r="AN110" s="1718">
        <f t="shared" ref="AN110:AN111" si="169">D110+AM110</f>
        <v>150</v>
      </c>
      <c r="AO110" s="1719">
        <v>30.0</v>
      </c>
      <c r="AP110" s="1720">
        <f>SUMIF('Заполняемость'!$C$8:$C1030,B110,'Заполняемость'!$Z$8:$Z1030)</f>
        <v>0</v>
      </c>
      <c r="AQ110" s="1949"/>
      <c r="AR110" s="1716">
        <f t="shared" si="140"/>
        <v>0</v>
      </c>
      <c r="AS110" s="1731">
        <f t="shared" si="149"/>
        <v>0</v>
      </c>
      <c r="AT110" s="1718"/>
      <c r="AU110" s="1724"/>
      <c r="AV110" s="1724"/>
      <c r="AW110" s="1724"/>
      <c r="AX110" s="1724"/>
      <c r="AY110" s="1724"/>
      <c r="AZ110" s="1724"/>
      <c r="BA110" s="1724"/>
      <c r="BB110" s="1724"/>
      <c r="BC110" s="1724"/>
      <c r="BD110" s="1724"/>
      <c r="BE110" s="1724"/>
      <c r="BF110" s="1724"/>
    </row>
    <row r="111" ht="15.75" hidden="1" customHeight="1">
      <c r="A111" s="1993" t="str">
        <f>'1. Справочник'!B97</f>
        <v>Светлана</v>
      </c>
      <c r="B111" s="1742" t="str">
        <f>'1. Справочник'!C97</f>
        <v>TGB195</v>
      </c>
      <c r="C111" s="147" t="s">
        <v>321</v>
      </c>
      <c r="D111" s="1725">
        <v>50.0</v>
      </c>
      <c r="E111" s="1697">
        <v>50.0</v>
      </c>
      <c r="F111" s="1951">
        <v>0.0</v>
      </c>
      <c r="G111" s="1952">
        <v>50.0</v>
      </c>
      <c r="H111" s="1953">
        <v>80.0</v>
      </c>
      <c r="I111" s="1954">
        <v>100.0</v>
      </c>
      <c r="J111" s="1955">
        <v>31.0</v>
      </c>
      <c r="K111" s="1956">
        <f>SUMIF('Заполняемость'!$C$8:$C1030,B111,'Заполняемость'!$I$8:$I1030)</f>
        <v>0</v>
      </c>
      <c r="L111" s="1957">
        <f t="shared" si="155"/>
        <v>0</v>
      </c>
      <c r="M111" s="1731">
        <f t="shared" si="156"/>
        <v>0</v>
      </c>
      <c r="N111" s="1732"/>
      <c r="O111" s="1955"/>
      <c r="P111" s="1958"/>
      <c r="Q111" s="1959"/>
      <c r="R111" s="1735"/>
      <c r="S111" s="1732"/>
      <c r="T111" s="1955"/>
      <c r="U111" s="1958"/>
      <c r="V111" s="1959"/>
      <c r="W111" s="1735"/>
      <c r="X111" s="1732"/>
      <c r="Y111" s="1955">
        <v>31.0</v>
      </c>
      <c r="Z111" s="1958">
        <v>24.0</v>
      </c>
      <c r="AA111" s="1959">
        <f t="shared" si="136"/>
        <v>0.7741935484</v>
      </c>
      <c r="AB111" s="1869">
        <f t="shared" si="145"/>
        <v>50</v>
      </c>
      <c r="AC111" s="1732">
        <f t="shared" si="163"/>
        <v>100</v>
      </c>
      <c r="AD111" s="1955">
        <v>30.0</v>
      </c>
      <c r="AE111" s="1956">
        <v>12.0</v>
      </c>
      <c r="AF111" s="1962">
        <f t="shared" si="137"/>
        <v>0.4</v>
      </c>
      <c r="AG111" s="1814">
        <f t="shared" si="161"/>
        <v>0</v>
      </c>
      <c r="AH111" s="1718"/>
      <c r="AI111" s="1714">
        <v>31.0</v>
      </c>
      <c r="AJ111" s="1961"/>
      <c r="AK111" s="1956">
        <v>31.0</v>
      </c>
      <c r="AL111" s="1744">
        <f t="shared" si="139"/>
        <v>1</v>
      </c>
      <c r="AM111" s="1731">
        <f t="shared" si="148"/>
        <v>100</v>
      </c>
      <c r="AN111" s="1718">
        <f t="shared" si="169"/>
        <v>150</v>
      </c>
      <c r="AO111" s="1719">
        <v>30.0</v>
      </c>
      <c r="AP111" s="1720">
        <f>SUMIF('Заполняемость'!$C$8:$C1030,B111,'Заполняемость'!$Z$8:$Z1030)</f>
        <v>0</v>
      </c>
      <c r="AQ111" s="1994">
        <v>30.0</v>
      </c>
      <c r="AR111" s="1716">
        <f t="shared" si="140"/>
        <v>1</v>
      </c>
      <c r="AS111" s="1731">
        <f t="shared" si="149"/>
        <v>100</v>
      </c>
      <c r="AT111" s="1718">
        <f>D111+AS111</f>
        <v>150</v>
      </c>
      <c r="AU111" s="1724"/>
      <c r="AV111" s="1724"/>
      <c r="AW111" s="1724"/>
      <c r="AX111" s="1724"/>
      <c r="AY111" s="1724"/>
      <c r="AZ111" s="1724"/>
      <c r="BA111" s="1724"/>
      <c r="BB111" s="1724"/>
      <c r="BC111" s="1724"/>
      <c r="BD111" s="1724"/>
      <c r="BE111" s="1724"/>
      <c r="BF111" s="1724"/>
    </row>
    <row r="112" ht="15.75" customHeight="1">
      <c r="A112" s="1995" t="s">
        <v>1665</v>
      </c>
      <c r="D112" s="1996"/>
      <c r="E112" s="1996"/>
      <c r="F112" s="1996"/>
      <c r="G112" s="1996"/>
      <c r="H112" s="1996"/>
      <c r="I112" s="1996"/>
      <c r="L112" s="1997"/>
      <c r="Q112" s="1997"/>
      <c r="V112" s="1997"/>
      <c r="Z112" s="1164"/>
      <c r="AA112" s="1997"/>
      <c r="AE112" s="1164"/>
      <c r="AF112" s="1997"/>
      <c r="AH112" s="1430"/>
      <c r="AJ112" s="1164"/>
      <c r="AK112" s="1164"/>
      <c r="AL112" s="1997"/>
      <c r="AN112" s="1998"/>
      <c r="AP112" s="1164"/>
      <c r="AQ112" s="1164"/>
      <c r="AR112" s="1997"/>
      <c r="AT112" s="1998"/>
      <c r="AU112" s="1999"/>
      <c r="AV112" s="1999"/>
      <c r="AW112" s="1999"/>
      <c r="AX112" s="1999"/>
      <c r="AY112" s="1999"/>
      <c r="AZ112" s="1999"/>
      <c r="BA112" s="1999"/>
      <c r="BB112" s="1999"/>
      <c r="BC112" s="1999"/>
      <c r="BD112" s="1999"/>
      <c r="BE112" s="1999"/>
      <c r="BF112" s="1999"/>
    </row>
    <row r="113" ht="15.75" customHeight="1">
      <c r="A113" s="1995" t="s">
        <v>1643</v>
      </c>
      <c r="B113" s="1770" t="str">
        <f>B13</f>
        <v>WS В 807</v>
      </c>
      <c r="D113" s="1996"/>
      <c r="E113" s="1996"/>
      <c r="F113" s="1996"/>
      <c r="G113" s="1996"/>
      <c r="H113" s="1996"/>
      <c r="I113" s="1996"/>
      <c r="L113" s="1997"/>
      <c r="Q113" s="1997"/>
      <c r="V113" s="1997"/>
      <c r="Z113" s="1164"/>
      <c r="AA113" s="1997"/>
      <c r="AE113" s="1164"/>
      <c r="AF113" s="1997"/>
      <c r="AH113" s="1430"/>
      <c r="AJ113" s="1164"/>
      <c r="AK113" s="1164"/>
      <c r="AL113" s="1997"/>
      <c r="AN113" s="1998"/>
      <c r="AP113" s="1164"/>
      <c r="AQ113" s="1164"/>
      <c r="AR113" s="1997"/>
      <c r="AT113" s="2000">
        <v>100.0</v>
      </c>
      <c r="AU113" s="1999"/>
      <c r="AV113" s="1999"/>
      <c r="AW113" s="1999"/>
      <c r="AX113" s="1999"/>
      <c r="AY113" s="1999"/>
      <c r="AZ113" s="1999"/>
      <c r="BA113" s="1999"/>
      <c r="BB113" s="1999"/>
      <c r="BC113" s="1999"/>
      <c r="BD113" s="1999"/>
      <c r="BE113" s="1999"/>
      <c r="BF113" s="1999"/>
    </row>
    <row r="114" ht="15.75" customHeight="1">
      <c r="A114" s="1995" t="s">
        <v>1643</v>
      </c>
      <c r="B114" s="547" t="str">
        <f>B26</f>
        <v>WH 176</v>
      </c>
      <c r="D114" s="1996"/>
      <c r="E114" s="1996"/>
      <c r="F114" s="1996"/>
      <c r="G114" s="1996"/>
      <c r="H114" s="1996"/>
      <c r="I114" s="1996"/>
      <c r="L114" s="1997"/>
      <c r="Q114" s="1997"/>
      <c r="V114" s="1997"/>
      <c r="Z114" s="1164"/>
      <c r="AA114" s="1997"/>
      <c r="AE114" s="1164"/>
      <c r="AF114" s="1997"/>
      <c r="AH114" s="1430"/>
      <c r="AJ114" s="1164"/>
      <c r="AK114" s="1164"/>
      <c r="AL114" s="1997"/>
      <c r="AN114" s="1998"/>
      <c r="AP114" s="1164"/>
      <c r="AQ114" s="1164"/>
      <c r="AR114" s="1997"/>
      <c r="AT114" s="2000">
        <v>100.0</v>
      </c>
      <c r="AU114" s="1999"/>
      <c r="AV114" s="1999"/>
      <c r="AW114" s="1999"/>
      <c r="AX114" s="1999"/>
      <c r="AY114" s="1999"/>
      <c r="AZ114" s="1999"/>
      <c r="BA114" s="1999"/>
      <c r="BB114" s="1999"/>
      <c r="BC114" s="1999"/>
      <c r="BD114" s="1999"/>
      <c r="BE114" s="1999"/>
      <c r="BF114" s="1999"/>
    </row>
    <row r="115" ht="15.75" customHeight="1">
      <c r="A115" s="1995" t="s">
        <v>1643</v>
      </c>
      <c r="B115" s="94" t="str">
        <f>B50</f>
        <v>CM 1327</v>
      </c>
      <c r="D115" s="1996"/>
      <c r="E115" s="1996"/>
      <c r="F115" s="1996"/>
      <c r="G115" s="1996"/>
      <c r="H115" s="1996"/>
      <c r="I115" s="1996"/>
      <c r="L115" s="1997"/>
      <c r="Q115" s="1997"/>
      <c r="V115" s="1997"/>
      <c r="Z115" s="1164"/>
      <c r="AA115" s="1997"/>
      <c r="AE115" s="1164"/>
      <c r="AF115" s="1997"/>
      <c r="AH115" s="1430"/>
      <c r="AJ115" s="1164"/>
      <c r="AK115" s="1164"/>
      <c r="AL115" s="1997"/>
      <c r="AN115" s="1998"/>
      <c r="AP115" s="1164"/>
      <c r="AQ115" s="1164"/>
      <c r="AR115" s="1997"/>
      <c r="AT115" s="2000">
        <v>100.0</v>
      </c>
      <c r="AU115" s="1999"/>
      <c r="AV115" s="1999"/>
      <c r="AW115" s="1999"/>
      <c r="AX115" s="1999"/>
      <c r="AY115" s="1999"/>
      <c r="AZ115" s="1999"/>
      <c r="BA115" s="1999"/>
      <c r="BB115" s="1999"/>
      <c r="BC115" s="1999"/>
      <c r="BD115" s="1999"/>
      <c r="BE115" s="1999"/>
      <c r="BF115" s="1999"/>
    </row>
    <row r="116" ht="15.75" customHeight="1">
      <c r="A116" s="1995"/>
      <c r="D116" s="1996"/>
      <c r="E116" s="1996"/>
      <c r="F116" s="1996"/>
      <c r="G116" s="1996"/>
      <c r="H116" s="1996"/>
      <c r="I116" s="1996"/>
      <c r="L116" s="1997"/>
      <c r="Q116" s="1997"/>
      <c r="V116" s="1997"/>
      <c r="Z116" s="1164"/>
      <c r="AA116" s="1997"/>
      <c r="AE116" s="1164"/>
      <c r="AF116" s="1997"/>
      <c r="AH116" s="1430"/>
      <c r="AJ116" s="1164"/>
      <c r="AK116" s="1164"/>
      <c r="AL116" s="1997"/>
      <c r="AN116" s="1998"/>
      <c r="AP116" s="1164"/>
      <c r="AQ116" s="1164"/>
      <c r="AR116" s="1997"/>
      <c r="AT116" s="1998"/>
      <c r="AU116" s="1999"/>
      <c r="AV116" s="1999"/>
      <c r="AW116" s="1999"/>
      <c r="AX116" s="1999"/>
      <c r="AY116" s="1999"/>
      <c r="AZ116" s="1999"/>
      <c r="BA116" s="1999"/>
      <c r="BB116" s="1999"/>
      <c r="BC116" s="1999"/>
      <c r="BD116" s="1999"/>
      <c r="BE116" s="1999"/>
      <c r="BF116" s="1999"/>
    </row>
    <row r="117" ht="15.75" customHeight="1">
      <c r="A117" s="1995"/>
      <c r="D117" s="1996"/>
      <c r="E117" s="1996"/>
      <c r="F117" s="1996"/>
      <c r="G117" s="1996"/>
      <c r="H117" s="1996"/>
      <c r="I117" s="1996"/>
      <c r="L117" s="1997"/>
      <c r="Q117" s="1997"/>
      <c r="V117" s="1997"/>
      <c r="Z117" s="1164"/>
      <c r="AA117" s="1997"/>
      <c r="AE117" s="1164"/>
      <c r="AF117" s="1997"/>
      <c r="AH117" s="1430"/>
      <c r="AJ117" s="1164"/>
      <c r="AK117" s="1164"/>
      <c r="AL117" s="1997"/>
      <c r="AN117" s="1998"/>
      <c r="AP117" s="1164"/>
      <c r="AQ117" s="1164"/>
      <c r="AR117" s="1997"/>
      <c r="AT117" s="1998"/>
      <c r="AU117" s="1999"/>
      <c r="AV117" s="1999"/>
      <c r="AW117" s="1999"/>
      <c r="AX117" s="1999"/>
      <c r="AY117" s="1999"/>
      <c r="AZ117" s="1999"/>
      <c r="BA117" s="1999"/>
      <c r="BB117" s="1999"/>
      <c r="BC117" s="1999"/>
      <c r="BD117" s="1999"/>
      <c r="BE117" s="1999"/>
      <c r="BF117" s="1999"/>
    </row>
    <row r="118" ht="15.75" customHeight="1">
      <c r="A118" s="1995"/>
      <c r="D118" s="1996"/>
      <c r="E118" s="1996"/>
      <c r="F118" s="1996"/>
      <c r="G118" s="1996"/>
      <c r="H118" s="1996"/>
      <c r="I118" s="1996"/>
      <c r="L118" s="1997"/>
      <c r="Q118" s="1997"/>
      <c r="V118" s="1997"/>
      <c r="Z118" s="1164"/>
      <c r="AA118" s="1997"/>
      <c r="AE118" s="1164"/>
      <c r="AF118" s="1997"/>
      <c r="AH118" s="1430"/>
      <c r="AJ118" s="1164"/>
      <c r="AK118" s="1164"/>
      <c r="AL118" s="1997"/>
      <c r="AN118" s="1998"/>
      <c r="AP118" s="1164"/>
      <c r="AQ118" s="1164"/>
      <c r="AR118" s="1997"/>
      <c r="AT118" s="1998"/>
      <c r="AU118" s="1999"/>
      <c r="AV118" s="1999"/>
      <c r="AW118" s="1999"/>
      <c r="AX118" s="1999"/>
      <c r="AY118" s="1999"/>
      <c r="AZ118" s="1999"/>
      <c r="BA118" s="1999"/>
      <c r="BB118" s="1999"/>
      <c r="BC118" s="1999"/>
      <c r="BD118" s="1999"/>
      <c r="BE118" s="1999"/>
      <c r="BF118" s="1999"/>
    </row>
    <row r="119" ht="15.75" customHeight="1">
      <c r="A119" s="1995"/>
      <c r="D119" s="1996"/>
      <c r="E119" s="1996"/>
      <c r="F119" s="1996"/>
      <c r="G119" s="1996"/>
      <c r="H119" s="1996"/>
      <c r="I119" s="1996"/>
      <c r="L119" s="1997"/>
      <c r="Q119" s="1997"/>
      <c r="V119" s="1997"/>
      <c r="Z119" s="1164"/>
      <c r="AA119" s="1997"/>
      <c r="AE119" s="1164"/>
      <c r="AF119" s="1997"/>
      <c r="AH119" s="1430"/>
      <c r="AJ119" s="1164"/>
      <c r="AK119" s="1164"/>
      <c r="AL119" s="1997"/>
      <c r="AN119" s="1998"/>
      <c r="AP119" s="1164"/>
      <c r="AQ119" s="1164"/>
      <c r="AR119" s="1997"/>
      <c r="AT119" s="1998"/>
      <c r="AU119" s="1999"/>
      <c r="AV119" s="1999"/>
      <c r="AW119" s="1999"/>
      <c r="AX119" s="1999"/>
      <c r="AY119" s="1999"/>
      <c r="AZ119" s="1999"/>
      <c r="BA119" s="1999"/>
      <c r="BB119" s="1999"/>
      <c r="BC119" s="1999"/>
      <c r="BD119" s="1999"/>
      <c r="BE119" s="1999"/>
      <c r="BF119" s="1999"/>
    </row>
    <row r="120" ht="15.75" customHeight="1">
      <c r="A120" s="2001"/>
      <c r="B120" s="478"/>
      <c r="D120" s="1996"/>
      <c r="E120" s="1996"/>
      <c r="F120" s="1996"/>
      <c r="G120" s="1996"/>
      <c r="H120" s="1996"/>
      <c r="I120" s="1996"/>
      <c r="L120" s="1997"/>
      <c r="Q120" s="1997"/>
      <c r="V120" s="1997"/>
      <c r="Z120" s="1164"/>
      <c r="AA120" s="1997"/>
      <c r="AE120" s="1164"/>
      <c r="AF120" s="1997"/>
      <c r="AH120" s="1430"/>
      <c r="AJ120" s="1164"/>
      <c r="AK120" s="1164"/>
      <c r="AL120" s="1997"/>
      <c r="AN120" s="1998"/>
      <c r="AP120" s="1164"/>
      <c r="AQ120" s="1164"/>
      <c r="AR120" s="1997"/>
      <c r="AT120" s="1998"/>
      <c r="AU120" s="1999"/>
      <c r="AV120" s="1999"/>
      <c r="AW120" s="1999"/>
      <c r="AX120" s="1999"/>
      <c r="AY120" s="1999"/>
      <c r="AZ120" s="1999"/>
      <c r="BA120" s="1999"/>
      <c r="BB120" s="1999"/>
      <c r="BC120" s="1999"/>
      <c r="BD120" s="1999"/>
      <c r="BE120" s="1999"/>
      <c r="BF120" s="1999"/>
    </row>
    <row r="121" ht="15.75" customHeight="1">
      <c r="A121" s="2001"/>
      <c r="B121" s="478"/>
      <c r="D121" s="1996"/>
      <c r="E121" s="1996"/>
      <c r="F121" s="1996"/>
      <c r="G121" s="1996"/>
      <c r="H121" s="1996"/>
      <c r="I121" s="1996"/>
      <c r="L121" s="1997"/>
      <c r="Q121" s="1997"/>
      <c r="V121" s="1997"/>
      <c r="Z121" s="1164"/>
      <c r="AA121" s="1997"/>
      <c r="AE121" s="1164"/>
      <c r="AF121" s="1997"/>
      <c r="AH121" s="1430"/>
      <c r="AJ121" s="1164"/>
      <c r="AK121" s="1164"/>
      <c r="AL121" s="1997"/>
      <c r="AN121" s="1998"/>
      <c r="AP121" s="1164"/>
      <c r="AQ121" s="1164"/>
      <c r="AR121" s="1997"/>
      <c r="AT121" s="1998"/>
      <c r="AU121" s="1999"/>
      <c r="AV121" s="1999"/>
      <c r="AW121" s="1999"/>
      <c r="AX121" s="1999"/>
      <c r="AY121" s="1999"/>
      <c r="AZ121" s="1999"/>
      <c r="BA121" s="1999"/>
      <c r="BB121" s="1999"/>
      <c r="BC121" s="1999"/>
      <c r="BD121" s="1999"/>
      <c r="BE121" s="1999"/>
      <c r="BF121" s="1999"/>
    </row>
    <row r="122" ht="15.75" customHeight="1">
      <c r="A122" s="2001"/>
      <c r="B122" s="478"/>
      <c r="D122" s="1996"/>
      <c r="E122" s="1996"/>
      <c r="F122" s="1996"/>
      <c r="G122" s="1996"/>
      <c r="H122" s="1996"/>
      <c r="I122" s="1996"/>
      <c r="L122" s="1997"/>
      <c r="Q122" s="1997"/>
      <c r="V122" s="1997"/>
      <c r="Z122" s="1164"/>
      <c r="AA122" s="1997"/>
      <c r="AE122" s="1164"/>
      <c r="AF122" s="1997"/>
      <c r="AH122" s="1430"/>
      <c r="AJ122" s="1164"/>
      <c r="AK122" s="1164"/>
      <c r="AL122" s="1997"/>
      <c r="AN122" s="1998"/>
      <c r="AP122" s="1164"/>
      <c r="AQ122" s="1164"/>
      <c r="AR122" s="1997"/>
      <c r="AT122" s="1998"/>
      <c r="AU122" s="1999"/>
      <c r="AV122" s="1999"/>
      <c r="AW122" s="1999"/>
      <c r="AX122" s="1999"/>
      <c r="AY122" s="1999"/>
      <c r="AZ122" s="1999"/>
      <c r="BA122" s="1999"/>
      <c r="BB122" s="1999"/>
      <c r="BC122" s="1999"/>
      <c r="BD122" s="1999"/>
      <c r="BE122" s="1999"/>
      <c r="BF122" s="1999"/>
    </row>
    <row r="123" ht="15.75" customHeight="1">
      <c r="A123" s="2001"/>
      <c r="B123" s="478"/>
      <c r="D123" s="1996"/>
      <c r="E123" s="1996"/>
      <c r="F123" s="1996"/>
      <c r="G123" s="1996"/>
      <c r="H123" s="1996"/>
      <c r="I123" s="1996"/>
      <c r="L123" s="1997"/>
      <c r="Q123" s="1997"/>
      <c r="V123" s="1997"/>
      <c r="Z123" s="1164"/>
      <c r="AA123" s="1997"/>
      <c r="AE123" s="1164"/>
      <c r="AF123" s="1997"/>
      <c r="AH123" s="1430"/>
      <c r="AJ123" s="1164"/>
      <c r="AK123" s="1164"/>
      <c r="AL123" s="1997"/>
      <c r="AN123" s="1998"/>
      <c r="AP123" s="1164"/>
      <c r="AQ123" s="1164"/>
      <c r="AR123" s="1997"/>
      <c r="AT123" s="1998"/>
      <c r="AU123" s="1999"/>
      <c r="AV123" s="1999"/>
      <c r="AW123" s="1999"/>
      <c r="AX123" s="1999"/>
      <c r="AY123" s="1999"/>
      <c r="AZ123" s="1999"/>
      <c r="BA123" s="1999"/>
      <c r="BB123" s="1999"/>
      <c r="BC123" s="1999"/>
      <c r="BD123" s="1999"/>
      <c r="BE123" s="1999"/>
      <c r="BF123" s="1999"/>
    </row>
    <row r="124" ht="15.75" customHeight="1">
      <c r="A124" s="2001"/>
      <c r="B124" s="478"/>
      <c r="D124" s="1996"/>
      <c r="E124" s="1996"/>
      <c r="F124" s="1996"/>
      <c r="G124" s="1996"/>
      <c r="H124" s="1996"/>
      <c r="I124" s="1996"/>
      <c r="L124" s="1997"/>
      <c r="Q124" s="1997"/>
      <c r="V124" s="1997"/>
      <c r="Z124" s="1164"/>
      <c r="AA124" s="1997"/>
      <c r="AE124" s="1164"/>
      <c r="AF124" s="1997"/>
      <c r="AH124" s="1430"/>
      <c r="AJ124" s="1164"/>
      <c r="AK124" s="1164"/>
      <c r="AL124" s="1997"/>
      <c r="AN124" s="1998"/>
      <c r="AP124" s="1164"/>
      <c r="AQ124" s="1164"/>
      <c r="AR124" s="1997"/>
      <c r="AT124" s="1998"/>
      <c r="AU124" s="1999"/>
      <c r="AV124" s="1999"/>
      <c r="AW124" s="1999"/>
      <c r="AX124" s="1999"/>
      <c r="AY124" s="1999"/>
      <c r="AZ124" s="1999"/>
      <c r="BA124" s="1999"/>
      <c r="BB124" s="1999"/>
      <c r="BC124" s="1999"/>
      <c r="BD124" s="1999"/>
      <c r="BE124" s="1999"/>
      <c r="BF124" s="1999"/>
    </row>
    <row r="125" ht="15.75" customHeight="1">
      <c r="A125" s="2001"/>
      <c r="B125" s="478"/>
      <c r="D125" s="1996"/>
      <c r="E125" s="1996"/>
      <c r="F125" s="1996"/>
      <c r="G125" s="1996"/>
      <c r="H125" s="1996"/>
      <c r="I125" s="1996"/>
      <c r="L125" s="1997"/>
      <c r="Q125" s="1997"/>
      <c r="V125" s="1997"/>
      <c r="Z125" s="1164"/>
      <c r="AA125" s="1997"/>
      <c r="AE125" s="1164"/>
      <c r="AF125" s="1997"/>
      <c r="AH125" s="1430"/>
      <c r="AJ125" s="1164"/>
      <c r="AK125" s="1164"/>
      <c r="AL125" s="1997"/>
      <c r="AN125" s="1998"/>
      <c r="AP125" s="1164"/>
      <c r="AQ125" s="1164"/>
      <c r="AR125" s="1997"/>
      <c r="AT125" s="1998"/>
      <c r="AU125" s="1999"/>
      <c r="AV125" s="1999"/>
      <c r="AW125" s="1999"/>
      <c r="AX125" s="1999"/>
      <c r="AY125" s="1999"/>
      <c r="AZ125" s="1999"/>
      <c r="BA125" s="1999"/>
      <c r="BB125" s="1999"/>
      <c r="BC125" s="1999"/>
      <c r="BD125" s="1999"/>
      <c r="BE125" s="1999"/>
      <c r="BF125" s="1999"/>
    </row>
    <row r="126" ht="15.75" customHeight="1">
      <c r="A126" s="2001"/>
      <c r="B126" s="478"/>
      <c r="D126" s="1996"/>
      <c r="E126" s="1996"/>
      <c r="F126" s="1996"/>
      <c r="G126" s="1996"/>
      <c r="H126" s="1996"/>
      <c r="I126" s="1996"/>
      <c r="L126" s="1997"/>
      <c r="Q126" s="1997"/>
      <c r="V126" s="1997"/>
      <c r="Z126" s="1164"/>
      <c r="AA126" s="1997"/>
      <c r="AE126" s="1164"/>
      <c r="AF126" s="1997"/>
      <c r="AH126" s="1430"/>
      <c r="AJ126" s="1164"/>
      <c r="AK126" s="1164"/>
      <c r="AL126" s="1997"/>
      <c r="AN126" s="1998"/>
      <c r="AP126" s="1164"/>
      <c r="AQ126" s="1164"/>
      <c r="AR126" s="1997"/>
      <c r="AT126" s="1998"/>
      <c r="AU126" s="1999"/>
      <c r="AV126" s="1999"/>
      <c r="AW126" s="1999"/>
      <c r="AX126" s="1999"/>
      <c r="AY126" s="1999"/>
      <c r="AZ126" s="1999"/>
      <c r="BA126" s="1999"/>
      <c r="BB126" s="1999"/>
      <c r="BC126" s="1999"/>
      <c r="BD126" s="1999"/>
      <c r="BE126" s="1999"/>
      <c r="BF126" s="1999"/>
    </row>
    <row r="127" ht="15.75" customHeight="1">
      <c r="A127" s="2001"/>
      <c r="B127" s="478"/>
      <c r="D127" s="1996"/>
      <c r="E127" s="1996"/>
      <c r="F127" s="1996"/>
      <c r="G127" s="1996"/>
      <c r="H127" s="1996"/>
      <c r="I127" s="1996"/>
      <c r="L127" s="1997"/>
      <c r="Q127" s="1997"/>
      <c r="V127" s="1997"/>
      <c r="Z127" s="1164"/>
      <c r="AA127" s="1997"/>
      <c r="AE127" s="1164"/>
      <c r="AF127" s="1997"/>
      <c r="AH127" s="1430"/>
      <c r="AJ127" s="1164"/>
      <c r="AK127" s="1164"/>
      <c r="AL127" s="1997"/>
      <c r="AN127" s="1998"/>
      <c r="AP127" s="1164"/>
      <c r="AQ127" s="1164"/>
      <c r="AR127" s="1997"/>
      <c r="AT127" s="1998"/>
      <c r="AU127" s="1999"/>
      <c r="AV127" s="1999"/>
      <c r="AW127" s="1999"/>
      <c r="AX127" s="1999"/>
      <c r="AY127" s="1999"/>
      <c r="AZ127" s="1999"/>
      <c r="BA127" s="1999"/>
      <c r="BB127" s="1999"/>
      <c r="BC127" s="1999"/>
      <c r="BD127" s="1999"/>
      <c r="BE127" s="1999"/>
      <c r="BF127" s="1999"/>
    </row>
    <row r="128" ht="15.75" customHeight="1">
      <c r="A128" s="2001"/>
      <c r="B128" s="478"/>
      <c r="D128" s="1996"/>
      <c r="E128" s="1996"/>
      <c r="F128" s="1996"/>
      <c r="G128" s="1996"/>
      <c r="H128" s="1996"/>
      <c r="I128" s="1996"/>
      <c r="L128" s="1997"/>
      <c r="Q128" s="1997"/>
      <c r="V128" s="1997"/>
      <c r="Z128" s="1164"/>
      <c r="AA128" s="1997"/>
      <c r="AE128" s="1164"/>
      <c r="AF128" s="1997"/>
      <c r="AH128" s="1430"/>
      <c r="AJ128" s="1164"/>
      <c r="AK128" s="1164"/>
      <c r="AL128" s="1997"/>
      <c r="AN128" s="1998"/>
      <c r="AP128" s="1164"/>
      <c r="AQ128" s="1164"/>
      <c r="AR128" s="1997"/>
      <c r="AT128" s="1998"/>
      <c r="AU128" s="1999"/>
      <c r="AV128" s="1999"/>
      <c r="AW128" s="1999"/>
      <c r="AX128" s="1999"/>
      <c r="AY128" s="1999"/>
      <c r="AZ128" s="1999"/>
      <c r="BA128" s="1999"/>
      <c r="BB128" s="1999"/>
      <c r="BC128" s="1999"/>
      <c r="BD128" s="1999"/>
      <c r="BE128" s="1999"/>
      <c r="BF128" s="1999"/>
    </row>
    <row r="129" ht="15.75" customHeight="1">
      <c r="A129" s="2001"/>
      <c r="B129" s="478"/>
      <c r="D129" s="1996"/>
      <c r="E129" s="1996"/>
      <c r="F129" s="1996"/>
      <c r="G129" s="1996"/>
      <c r="H129" s="1996"/>
      <c r="I129" s="1996"/>
      <c r="L129" s="1997"/>
      <c r="Q129" s="1997"/>
      <c r="V129" s="1997"/>
      <c r="Z129" s="1164"/>
      <c r="AA129" s="1997"/>
      <c r="AE129" s="1164"/>
      <c r="AF129" s="1997"/>
      <c r="AH129" s="1430"/>
      <c r="AJ129" s="1164"/>
      <c r="AK129" s="1164"/>
      <c r="AL129" s="1997"/>
      <c r="AN129" s="1998"/>
      <c r="AP129" s="1164"/>
      <c r="AQ129" s="1164"/>
      <c r="AR129" s="1997"/>
      <c r="AT129" s="1998"/>
      <c r="AU129" s="1999"/>
      <c r="AV129" s="1999"/>
      <c r="AW129" s="1999"/>
      <c r="AX129" s="1999"/>
      <c r="AY129" s="1999"/>
      <c r="AZ129" s="1999"/>
      <c r="BA129" s="1999"/>
      <c r="BB129" s="1999"/>
      <c r="BC129" s="1999"/>
      <c r="BD129" s="1999"/>
      <c r="BE129" s="1999"/>
      <c r="BF129" s="1999"/>
    </row>
    <row r="130" ht="15.75" customHeight="1">
      <c r="A130" s="2001"/>
      <c r="B130" s="478"/>
      <c r="D130" s="1996"/>
      <c r="E130" s="1996"/>
      <c r="F130" s="1996"/>
      <c r="G130" s="1996"/>
      <c r="H130" s="1996"/>
      <c r="I130" s="1996"/>
      <c r="L130" s="1997"/>
      <c r="Q130" s="1997"/>
      <c r="V130" s="1997"/>
      <c r="Z130" s="1164"/>
      <c r="AA130" s="1997"/>
      <c r="AE130" s="1164"/>
      <c r="AF130" s="1997"/>
      <c r="AH130" s="1430"/>
      <c r="AJ130" s="1164"/>
      <c r="AK130" s="1164"/>
      <c r="AL130" s="1997"/>
      <c r="AN130" s="1998"/>
      <c r="AP130" s="1164"/>
      <c r="AQ130" s="1164"/>
      <c r="AR130" s="1997"/>
      <c r="AT130" s="1998"/>
      <c r="AU130" s="1999"/>
      <c r="AV130" s="1999"/>
      <c r="AW130" s="1999"/>
      <c r="AX130" s="1999"/>
      <c r="AY130" s="1999"/>
      <c r="AZ130" s="1999"/>
      <c r="BA130" s="1999"/>
      <c r="BB130" s="1999"/>
      <c r="BC130" s="1999"/>
      <c r="BD130" s="1999"/>
      <c r="BE130" s="1999"/>
      <c r="BF130" s="1999"/>
    </row>
    <row r="131" ht="15.75" customHeight="1">
      <c r="A131" s="2001"/>
      <c r="B131" s="478"/>
      <c r="D131" s="1996"/>
      <c r="E131" s="1996"/>
      <c r="F131" s="1996"/>
      <c r="G131" s="1996"/>
      <c r="H131" s="1996"/>
      <c r="I131" s="1996"/>
      <c r="L131" s="1997"/>
      <c r="Q131" s="1997"/>
      <c r="V131" s="1997"/>
      <c r="Z131" s="1164"/>
      <c r="AA131" s="1997"/>
      <c r="AE131" s="1164"/>
      <c r="AF131" s="1997"/>
      <c r="AH131" s="1430"/>
      <c r="AJ131" s="1164"/>
      <c r="AK131" s="1164"/>
      <c r="AL131" s="1997"/>
      <c r="AN131" s="1998"/>
      <c r="AP131" s="1164"/>
      <c r="AQ131" s="1164"/>
      <c r="AR131" s="1997"/>
      <c r="AT131" s="1998"/>
      <c r="AU131" s="1999"/>
      <c r="AV131" s="1999"/>
      <c r="AW131" s="1999"/>
      <c r="AX131" s="1999"/>
      <c r="AY131" s="1999"/>
      <c r="AZ131" s="1999"/>
      <c r="BA131" s="1999"/>
      <c r="BB131" s="1999"/>
      <c r="BC131" s="1999"/>
      <c r="BD131" s="1999"/>
      <c r="BE131" s="1999"/>
      <c r="BF131" s="1999"/>
    </row>
    <row r="132" ht="15.75" customHeight="1">
      <c r="A132" s="2001"/>
      <c r="B132" s="478"/>
      <c r="D132" s="1996"/>
      <c r="E132" s="1996"/>
      <c r="F132" s="1996"/>
      <c r="G132" s="1996"/>
      <c r="H132" s="1996"/>
      <c r="I132" s="1996"/>
      <c r="L132" s="1997"/>
      <c r="Q132" s="1997"/>
      <c r="V132" s="1997"/>
      <c r="Z132" s="1164"/>
      <c r="AA132" s="1997"/>
      <c r="AE132" s="1164"/>
      <c r="AF132" s="1997"/>
      <c r="AH132" s="1430"/>
      <c r="AJ132" s="1164"/>
      <c r="AK132" s="1164"/>
      <c r="AL132" s="1997"/>
      <c r="AN132" s="1998"/>
      <c r="AP132" s="1164"/>
      <c r="AQ132" s="1164"/>
      <c r="AR132" s="1997"/>
      <c r="AT132" s="1998"/>
      <c r="AU132" s="1999"/>
      <c r="AV132" s="1999"/>
      <c r="AW132" s="1999"/>
      <c r="AX132" s="1999"/>
      <c r="AY132" s="1999"/>
      <c r="AZ132" s="1999"/>
      <c r="BA132" s="1999"/>
      <c r="BB132" s="1999"/>
      <c r="BC132" s="1999"/>
      <c r="BD132" s="1999"/>
      <c r="BE132" s="1999"/>
      <c r="BF132" s="1999"/>
    </row>
    <row r="133" ht="15.75" customHeight="1">
      <c r="A133" s="2001"/>
      <c r="B133" s="478"/>
      <c r="D133" s="1996"/>
      <c r="E133" s="1996"/>
      <c r="F133" s="1996"/>
      <c r="G133" s="1996"/>
      <c r="H133" s="1996"/>
      <c r="I133" s="1996"/>
      <c r="L133" s="1997"/>
      <c r="Q133" s="1997"/>
      <c r="V133" s="1997"/>
      <c r="Z133" s="1164"/>
      <c r="AA133" s="1997"/>
      <c r="AE133" s="1164"/>
      <c r="AF133" s="1997"/>
      <c r="AH133" s="1430"/>
      <c r="AJ133" s="1164"/>
      <c r="AK133" s="1164"/>
      <c r="AL133" s="1997"/>
      <c r="AN133" s="1998"/>
      <c r="AP133" s="1164"/>
      <c r="AQ133" s="1164"/>
      <c r="AR133" s="1997"/>
      <c r="AT133" s="1998"/>
      <c r="AU133" s="1999"/>
      <c r="AV133" s="1999"/>
      <c r="AW133" s="1999"/>
      <c r="AX133" s="1999"/>
      <c r="AY133" s="1999"/>
      <c r="AZ133" s="1999"/>
      <c r="BA133" s="1999"/>
      <c r="BB133" s="1999"/>
      <c r="BC133" s="1999"/>
      <c r="BD133" s="1999"/>
      <c r="BE133" s="1999"/>
      <c r="BF133" s="1999"/>
    </row>
    <row r="134" ht="15.75" customHeight="1">
      <c r="A134" s="2001"/>
      <c r="B134" s="478"/>
      <c r="D134" s="1996"/>
      <c r="E134" s="1996"/>
      <c r="F134" s="1996"/>
      <c r="G134" s="1996"/>
      <c r="H134" s="1996"/>
      <c r="I134" s="1996"/>
      <c r="L134" s="1997"/>
      <c r="Q134" s="1997"/>
      <c r="V134" s="1997"/>
      <c r="Z134" s="1164"/>
      <c r="AA134" s="1997"/>
      <c r="AE134" s="1164"/>
      <c r="AF134" s="1997"/>
      <c r="AH134" s="1430"/>
      <c r="AJ134" s="1164"/>
      <c r="AK134" s="1164"/>
      <c r="AL134" s="1997"/>
      <c r="AN134" s="1998"/>
      <c r="AP134" s="1164"/>
      <c r="AQ134" s="1164"/>
      <c r="AR134" s="1997"/>
      <c r="AT134" s="1998"/>
      <c r="AU134" s="1999"/>
      <c r="AV134" s="1999"/>
      <c r="AW134" s="1999"/>
      <c r="AX134" s="1999"/>
      <c r="AY134" s="1999"/>
      <c r="AZ134" s="1999"/>
      <c r="BA134" s="1999"/>
      <c r="BB134" s="1999"/>
      <c r="BC134" s="1999"/>
      <c r="BD134" s="1999"/>
      <c r="BE134" s="1999"/>
      <c r="BF134" s="1999"/>
    </row>
    <row r="135" ht="15.75" customHeight="1">
      <c r="A135" s="2001"/>
      <c r="B135" s="478"/>
      <c r="D135" s="1996"/>
      <c r="E135" s="1996"/>
      <c r="F135" s="1996"/>
      <c r="G135" s="1996"/>
      <c r="H135" s="1996"/>
      <c r="I135" s="1996"/>
      <c r="L135" s="1997"/>
      <c r="Q135" s="1997"/>
      <c r="V135" s="1997"/>
      <c r="Z135" s="1164"/>
      <c r="AA135" s="1997"/>
      <c r="AE135" s="1164"/>
      <c r="AF135" s="1997"/>
      <c r="AH135" s="1430"/>
      <c r="AJ135" s="1164"/>
      <c r="AK135" s="1164"/>
      <c r="AL135" s="1997"/>
      <c r="AN135" s="1998"/>
      <c r="AP135" s="1164"/>
      <c r="AQ135" s="1164"/>
      <c r="AR135" s="1997"/>
      <c r="AT135" s="1998"/>
      <c r="AU135" s="1999"/>
      <c r="AV135" s="1999"/>
      <c r="AW135" s="1999"/>
      <c r="AX135" s="1999"/>
      <c r="AY135" s="1999"/>
      <c r="AZ135" s="1999"/>
      <c r="BA135" s="1999"/>
      <c r="BB135" s="1999"/>
      <c r="BC135" s="1999"/>
      <c r="BD135" s="1999"/>
      <c r="BE135" s="1999"/>
      <c r="BF135" s="1999"/>
    </row>
    <row r="136" ht="15.75" customHeight="1">
      <c r="A136" s="2001"/>
      <c r="B136" s="478"/>
      <c r="D136" s="1996"/>
      <c r="E136" s="1996"/>
      <c r="F136" s="1996"/>
      <c r="G136" s="1996"/>
      <c r="H136" s="1996"/>
      <c r="I136" s="1996"/>
      <c r="L136" s="1997"/>
      <c r="Q136" s="1997"/>
      <c r="V136" s="1997"/>
      <c r="Z136" s="1164"/>
      <c r="AA136" s="1997"/>
      <c r="AE136" s="1164"/>
      <c r="AF136" s="1997"/>
      <c r="AH136" s="1430"/>
      <c r="AJ136" s="1164"/>
      <c r="AK136" s="1164"/>
      <c r="AL136" s="1997"/>
      <c r="AN136" s="1998"/>
      <c r="AP136" s="1164"/>
      <c r="AQ136" s="1164"/>
      <c r="AR136" s="1997"/>
      <c r="AT136" s="1998"/>
      <c r="AU136" s="1999"/>
      <c r="AV136" s="1999"/>
      <c r="AW136" s="1999"/>
      <c r="AX136" s="1999"/>
      <c r="AY136" s="1999"/>
      <c r="AZ136" s="1999"/>
      <c r="BA136" s="1999"/>
      <c r="BB136" s="1999"/>
      <c r="BC136" s="1999"/>
      <c r="BD136" s="1999"/>
      <c r="BE136" s="1999"/>
      <c r="BF136" s="1999"/>
    </row>
    <row r="137" ht="15.75" customHeight="1">
      <c r="A137" s="2001"/>
      <c r="B137" s="478"/>
      <c r="D137" s="1996"/>
      <c r="E137" s="1996"/>
      <c r="F137" s="1996"/>
      <c r="G137" s="1996"/>
      <c r="H137" s="1996"/>
      <c r="I137" s="1996"/>
      <c r="L137" s="1997"/>
      <c r="Q137" s="1997"/>
      <c r="V137" s="1997"/>
      <c r="Z137" s="1164"/>
      <c r="AA137" s="1997"/>
      <c r="AE137" s="1164"/>
      <c r="AF137" s="1997"/>
      <c r="AH137" s="1430"/>
      <c r="AJ137" s="1164"/>
      <c r="AK137" s="1164"/>
      <c r="AL137" s="1997"/>
      <c r="AN137" s="1998"/>
      <c r="AP137" s="1164"/>
      <c r="AQ137" s="1164"/>
      <c r="AR137" s="1997"/>
      <c r="AT137" s="1998"/>
      <c r="AU137" s="1999"/>
      <c r="AV137" s="1999"/>
      <c r="AW137" s="1999"/>
      <c r="AX137" s="1999"/>
      <c r="AY137" s="1999"/>
      <c r="AZ137" s="1999"/>
      <c r="BA137" s="1999"/>
      <c r="BB137" s="1999"/>
      <c r="BC137" s="1999"/>
      <c r="BD137" s="1999"/>
      <c r="BE137" s="1999"/>
      <c r="BF137" s="1999"/>
    </row>
    <row r="138" ht="15.75" customHeight="1">
      <c r="A138" s="2001"/>
      <c r="B138" s="478"/>
      <c r="D138" s="1996"/>
      <c r="E138" s="1996"/>
      <c r="F138" s="1996"/>
      <c r="G138" s="1996"/>
      <c r="H138" s="1996"/>
      <c r="I138" s="1996"/>
      <c r="L138" s="1997"/>
      <c r="Q138" s="1997"/>
      <c r="V138" s="1997"/>
      <c r="Z138" s="1164"/>
      <c r="AA138" s="1997"/>
      <c r="AE138" s="1164"/>
      <c r="AF138" s="1997"/>
      <c r="AH138" s="1430"/>
      <c r="AJ138" s="1164"/>
      <c r="AK138" s="1164"/>
      <c r="AL138" s="1997"/>
      <c r="AN138" s="1998"/>
      <c r="AP138" s="1164"/>
      <c r="AQ138" s="1164"/>
      <c r="AR138" s="1997"/>
      <c r="AT138" s="1998"/>
      <c r="AU138" s="1999"/>
      <c r="AV138" s="1999"/>
      <c r="AW138" s="1999"/>
      <c r="AX138" s="1999"/>
      <c r="AY138" s="1999"/>
      <c r="AZ138" s="1999"/>
      <c r="BA138" s="1999"/>
      <c r="BB138" s="1999"/>
      <c r="BC138" s="1999"/>
      <c r="BD138" s="1999"/>
      <c r="BE138" s="1999"/>
      <c r="BF138" s="1999"/>
    </row>
    <row r="139" ht="15.75" customHeight="1">
      <c r="A139" s="2001"/>
      <c r="B139" s="478"/>
      <c r="D139" s="1996"/>
      <c r="E139" s="1996"/>
      <c r="F139" s="1996"/>
      <c r="G139" s="1996"/>
      <c r="H139" s="1996"/>
      <c r="I139" s="1996"/>
      <c r="L139" s="1997"/>
      <c r="Q139" s="1997"/>
      <c r="V139" s="1997"/>
      <c r="Z139" s="1164"/>
      <c r="AA139" s="1997"/>
      <c r="AE139" s="1164"/>
      <c r="AF139" s="1997"/>
      <c r="AH139" s="1430"/>
      <c r="AJ139" s="1164"/>
      <c r="AK139" s="1164"/>
      <c r="AL139" s="1997"/>
      <c r="AN139" s="1998"/>
      <c r="AP139" s="1164"/>
      <c r="AQ139" s="1164"/>
      <c r="AR139" s="1997"/>
      <c r="AT139" s="1998"/>
      <c r="AU139" s="1999"/>
      <c r="AV139" s="1999"/>
      <c r="AW139" s="1999"/>
      <c r="AX139" s="1999"/>
      <c r="AY139" s="1999"/>
      <c r="AZ139" s="1999"/>
      <c r="BA139" s="1999"/>
      <c r="BB139" s="1999"/>
      <c r="BC139" s="1999"/>
      <c r="BD139" s="1999"/>
      <c r="BE139" s="1999"/>
      <c r="BF139" s="1999"/>
    </row>
    <row r="140" ht="15.75" customHeight="1">
      <c r="A140" s="2001"/>
      <c r="B140" s="478"/>
      <c r="D140" s="1996"/>
      <c r="E140" s="1996"/>
      <c r="F140" s="1996"/>
      <c r="G140" s="1996"/>
      <c r="H140" s="1996"/>
      <c r="I140" s="1996"/>
      <c r="L140" s="1997"/>
      <c r="Q140" s="1997"/>
      <c r="V140" s="1997"/>
      <c r="Z140" s="1164"/>
      <c r="AA140" s="1997"/>
      <c r="AE140" s="1164"/>
      <c r="AF140" s="1997"/>
      <c r="AH140" s="1430"/>
      <c r="AJ140" s="1164"/>
      <c r="AK140" s="1164"/>
      <c r="AL140" s="1997"/>
      <c r="AN140" s="1998"/>
      <c r="AP140" s="1164"/>
      <c r="AQ140" s="1164"/>
      <c r="AR140" s="1997"/>
      <c r="AT140" s="1998"/>
      <c r="AU140" s="1999"/>
      <c r="AV140" s="1999"/>
      <c r="AW140" s="1999"/>
      <c r="AX140" s="1999"/>
      <c r="AY140" s="1999"/>
      <c r="AZ140" s="1999"/>
      <c r="BA140" s="1999"/>
      <c r="BB140" s="1999"/>
      <c r="BC140" s="1999"/>
      <c r="BD140" s="1999"/>
      <c r="BE140" s="1999"/>
      <c r="BF140" s="1999"/>
    </row>
    <row r="141" ht="15.75" customHeight="1">
      <c r="A141" s="2001"/>
      <c r="B141" s="478"/>
      <c r="D141" s="1996"/>
      <c r="E141" s="1996"/>
      <c r="F141" s="1996"/>
      <c r="G141" s="1996"/>
      <c r="H141" s="1996"/>
      <c r="I141" s="1996"/>
      <c r="L141" s="1997"/>
      <c r="Q141" s="1997"/>
      <c r="V141" s="1997"/>
      <c r="Z141" s="1164"/>
      <c r="AA141" s="1997"/>
      <c r="AE141" s="1164"/>
      <c r="AF141" s="1997"/>
      <c r="AH141" s="1430"/>
      <c r="AJ141" s="1164"/>
      <c r="AK141" s="1164"/>
      <c r="AL141" s="1997"/>
      <c r="AN141" s="1998"/>
      <c r="AP141" s="1164"/>
      <c r="AQ141" s="1164"/>
      <c r="AR141" s="1997"/>
      <c r="AT141" s="1998"/>
      <c r="AU141" s="1999"/>
      <c r="AV141" s="1999"/>
      <c r="AW141" s="1999"/>
      <c r="AX141" s="1999"/>
      <c r="AY141" s="1999"/>
      <c r="AZ141" s="1999"/>
      <c r="BA141" s="1999"/>
      <c r="BB141" s="1999"/>
      <c r="BC141" s="1999"/>
      <c r="BD141" s="1999"/>
      <c r="BE141" s="1999"/>
      <c r="BF141" s="1999"/>
    </row>
    <row r="142" ht="15.75" customHeight="1">
      <c r="A142" s="2001"/>
      <c r="B142" s="478"/>
      <c r="D142" s="1996"/>
      <c r="E142" s="1996"/>
      <c r="F142" s="1996"/>
      <c r="G142" s="1996"/>
      <c r="H142" s="1996"/>
      <c r="I142" s="1996"/>
      <c r="L142" s="1997"/>
      <c r="Q142" s="1997"/>
      <c r="V142" s="1997"/>
      <c r="Z142" s="1164"/>
      <c r="AA142" s="1997"/>
      <c r="AE142" s="1164"/>
      <c r="AF142" s="1997"/>
      <c r="AH142" s="1430"/>
      <c r="AJ142" s="1164"/>
      <c r="AK142" s="1164"/>
      <c r="AL142" s="1997"/>
      <c r="AN142" s="1998"/>
      <c r="AP142" s="1164"/>
      <c r="AQ142" s="1164"/>
      <c r="AR142" s="1997"/>
      <c r="AT142" s="1998"/>
      <c r="AU142" s="1999"/>
      <c r="AV142" s="1999"/>
      <c r="AW142" s="1999"/>
      <c r="AX142" s="1999"/>
      <c r="AY142" s="1999"/>
      <c r="AZ142" s="1999"/>
      <c r="BA142" s="1999"/>
      <c r="BB142" s="1999"/>
      <c r="BC142" s="1999"/>
      <c r="BD142" s="1999"/>
      <c r="BE142" s="1999"/>
      <c r="BF142" s="1999"/>
    </row>
    <row r="143" ht="15.75" customHeight="1">
      <c r="A143" s="2001"/>
      <c r="B143" s="478"/>
      <c r="D143" s="1996"/>
      <c r="E143" s="1996"/>
      <c r="F143" s="1996"/>
      <c r="G143" s="1996"/>
      <c r="H143" s="1996"/>
      <c r="I143" s="1996"/>
      <c r="L143" s="1997"/>
      <c r="Q143" s="1997"/>
      <c r="V143" s="1997"/>
      <c r="Z143" s="1164"/>
      <c r="AA143" s="1997"/>
      <c r="AE143" s="1164"/>
      <c r="AF143" s="1997"/>
      <c r="AH143" s="1430"/>
      <c r="AJ143" s="1164"/>
      <c r="AK143" s="1164"/>
      <c r="AL143" s="1997"/>
      <c r="AN143" s="1998"/>
      <c r="AP143" s="1164"/>
      <c r="AQ143" s="1164"/>
      <c r="AR143" s="1997"/>
      <c r="AT143" s="1998"/>
      <c r="AU143" s="1999"/>
      <c r="AV143" s="1999"/>
      <c r="AW143" s="1999"/>
      <c r="AX143" s="1999"/>
      <c r="AY143" s="1999"/>
      <c r="AZ143" s="1999"/>
      <c r="BA143" s="1999"/>
      <c r="BB143" s="1999"/>
      <c r="BC143" s="1999"/>
      <c r="BD143" s="1999"/>
      <c r="BE143" s="1999"/>
      <c r="BF143" s="1999"/>
    </row>
    <row r="144" ht="15.75" customHeight="1">
      <c r="A144" s="2001"/>
      <c r="B144" s="478"/>
      <c r="D144" s="1996"/>
      <c r="E144" s="1996"/>
      <c r="F144" s="1996"/>
      <c r="G144" s="1996"/>
      <c r="H144" s="1996"/>
      <c r="I144" s="1996"/>
      <c r="L144" s="1997"/>
      <c r="Q144" s="1997"/>
      <c r="V144" s="1997"/>
      <c r="Z144" s="1164"/>
      <c r="AA144" s="1997"/>
      <c r="AE144" s="1164"/>
      <c r="AF144" s="1997"/>
      <c r="AH144" s="1430"/>
      <c r="AJ144" s="1164"/>
      <c r="AK144" s="1164"/>
      <c r="AL144" s="1997"/>
      <c r="AN144" s="1998"/>
      <c r="AP144" s="1164"/>
      <c r="AQ144" s="1164"/>
      <c r="AR144" s="1997"/>
      <c r="AT144" s="1998"/>
      <c r="AU144" s="1999"/>
      <c r="AV144" s="1999"/>
      <c r="AW144" s="1999"/>
      <c r="AX144" s="1999"/>
      <c r="AY144" s="1999"/>
      <c r="AZ144" s="1999"/>
      <c r="BA144" s="1999"/>
      <c r="BB144" s="1999"/>
      <c r="BC144" s="1999"/>
      <c r="BD144" s="1999"/>
      <c r="BE144" s="1999"/>
      <c r="BF144" s="1999"/>
    </row>
    <row r="145" ht="15.75" customHeight="1">
      <c r="A145" s="2001"/>
      <c r="B145" s="478"/>
      <c r="D145" s="1996"/>
      <c r="E145" s="1996"/>
      <c r="F145" s="1996"/>
      <c r="G145" s="1996"/>
      <c r="H145" s="1996"/>
      <c r="I145" s="1996"/>
      <c r="L145" s="1997"/>
      <c r="Q145" s="1997"/>
      <c r="V145" s="1997"/>
      <c r="Z145" s="1164"/>
      <c r="AA145" s="1997"/>
      <c r="AE145" s="1164"/>
      <c r="AF145" s="1997"/>
      <c r="AH145" s="1430"/>
      <c r="AJ145" s="1164"/>
      <c r="AK145" s="1164"/>
      <c r="AL145" s="1997"/>
      <c r="AN145" s="1998"/>
      <c r="AP145" s="1164"/>
      <c r="AQ145" s="1164"/>
      <c r="AR145" s="1997"/>
      <c r="AT145" s="1998"/>
      <c r="AU145" s="1999"/>
      <c r="AV145" s="1999"/>
      <c r="AW145" s="1999"/>
      <c r="AX145" s="1999"/>
      <c r="AY145" s="1999"/>
      <c r="AZ145" s="1999"/>
      <c r="BA145" s="1999"/>
      <c r="BB145" s="1999"/>
      <c r="BC145" s="1999"/>
      <c r="BD145" s="1999"/>
      <c r="BE145" s="1999"/>
      <c r="BF145" s="1999"/>
    </row>
    <row r="146" ht="15.75" customHeight="1">
      <c r="A146" s="2001"/>
      <c r="B146" s="478"/>
      <c r="D146" s="1996"/>
      <c r="E146" s="1996"/>
      <c r="F146" s="1996"/>
      <c r="G146" s="1996"/>
      <c r="H146" s="1996"/>
      <c r="I146" s="1996"/>
      <c r="L146" s="1997"/>
      <c r="Q146" s="1997"/>
      <c r="V146" s="1997"/>
      <c r="Z146" s="1164"/>
      <c r="AA146" s="1997"/>
      <c r="AE146" s="1164"/>
      <c r="AF146" s="1997"/>
      <c r="AH146" s="1430"/>
      <c r="AJ146" s="1164"/>
      <c r="AK146" s="1164"/>
      <c r="AL146" s="1997"/>
      <c r="AN146" s="1998"/>
      <c r="AP146" s="1164"/>
      <c r="AQ146" s="1164"/>
      <c r="AR146" s="1997"/>
      <c r="AT146" s="1998"/>
      <c r="AU146" s="1999"/>
      <c r="AV146" s="1999"/>
      <c r="AW146" s="1999"/>
      <c r="AX146" s="1999"/>
      <c r="AY146" s="1999"/>
      <c r="AZ146" s="1999"/>
      <c r="BA146" s="1999"/>
      <c r="BB146" s="1999"/>
      <c r="BC146" s="1999"/>
      <c r="BD146" s="1999"/>
      <c r="BE146" s="1999"/>
      <c r="BF146" s="1999"/>
    </row>
    <row r="147" ht="15.75" customHeight="1">
      <c r="A147" s="2001"/>
      <c r="B147" s="478"/>
      <c r="D147" s="1996"/>
      <c r="E147" s="1996"/>
      <c r="F147" s="1996"/>
      <c r="G147" s="1996"/>
      <c r="H147" s="1996"/>
      <c r="I147" s="1996"/>
      <c r="L147" s="1997"/>
      <c r="Q147" s="1997"/>
      <c r="V147" s="1997"/>
      <c r="Z147" s="1164"/>
      <c r="AA147" s="1997"/>
      <c r="AE147" s="1164"/>
      <c r="AF147" s="1997"/>
      <c r="AH147" s="1430"/>
      <c r="AJ147" s="1164"/>
      <c r="AK147" s="1164"/>
      <c r="AL147" s="1997"/>
      <c r="AN147" s="1998"/>
      <c r="AP147" s="1164"/>
      <c r="AQ147" s="1164"/>
      <c r="AR147" s="1997"/>
      <c r="AT147" s="1998"/>
      <c r="AU147" s="1999"/>
      <c r="AV147" s="1999"/>
      <c r="AW147" s="1999"/>
      <c r="AX147" s="1999"/>
      <c r="AY147" s="1999"/>
      <c r="AZ147" s="1999"/>
      <c r="BA147" s="1999"/>
      <c r="BB147" s="1999"/>
      <c r="BC147" s="1999"/>
      <c r="BD147" s="1999"/>
      <c r="BE147" s="1999"/>
      <c r="BF147" s="1999"/>
    </row>
    <row r="148" ht="15.75" customHeight="1">
      <c r="A148" s="2001"/>
      <c r="B148" s="478"/>
      <c r="D148" s="1996"/>
      <c r="E148" s="1996"/>
      <c r="F148" s="1996"/>
      <c r="G148" s="1996"/>
      <c r="H148" s="1996"/>
      <c r="I148" s="1996"/>
      <c r="L148" s="1997"/>
      <c r="Q148" s="1997"/>
      <c r="V148" s="1997"/>
      <c r="Z148" s="1164"/>
      <c r="AA148" s="1997"/>
      <c r="AE148" s="1164"/>
      <c r="AF148" s="1997"/>
      <c r="AH148" s="1430"/>
      <c r="AJ148" s="1164"/>
      <c r="AK148" s="1164"/>
      <c r="AL148" s="1997"/>
      <c r="AN148" s="1998"/>
      <c r="AP148" s="1164"/>
      <c r="AQ148" s="1164"/>
      <c r="AR148" s="1997"/>
      <c r="AT148" s="1998"/>
      <c r="AU148" s="1999"/>
      <c r="AV148" s="1999"/>
      <c r="AW148" s="1999"/>
      <c r="AX148" s="1999"/>
      <c r="AY148" s="1999"/>
      <c r="AZ148" s="1999"/>
      <c r="BA148" s="1999"/>
      <c r="BB148" s="1999"/>
      <c r="BC148" s="1999"/>
      <c r="BD148" s="1999"/>
      <c r="BE148" s="1999"/>
      <c r="BF148" s="1999"/>
    </row>
    <row r="149" ht="15.75" customHeight="1">
      <c r="A149" s="2001"/>
      <c r="B149" s="478"/>
      <c r="D149" s="1996"/>
      <c r="E149" s="1996"/>
      <c r="F149" s="1996"/>
      <c r="G149" s="1996"/>
      <c r="H149" s="1996"/>
      <c r="I149" s="1996"/>
      <c r="L149" s="1997"/>
      <c r="Q149" s="1997"/>
      <c r="V149" s="1997"/>
      <c r="Z149" s="1164"/>
      <c r="AA149" s="1997"/>
      <c r="AE149" s="1164"/>
      <c r="AF149" s="1997"/>
      <c r="AH149" s="1430"/>
      <c r="AJ149" s="1164"/>
      <c r="AK149" s="1164"/>
      <c r="AL149" s="1997"/>
      <c r="AN149" s="1998"/>
      <c r="AP149" s="1164"/>
      <c r="AQ149" s="1164"/>
      <c r="AR149" s="1997"/>
      <c r="AT149" s="1998"/>
      <c r="AU149" s="1999"/>
      <c r="AV149" s="1999"/>
      <c r="AW149" s="1999"/>
      <c r="AX149" s="1999"/>
      <c r="AY149" s="1999"/>
      <c r="AZ149" s="1999"/>
      <c r="BA149" s="1999"/>
      <c r="BB149" s="1999"/>
      <c r="BC149" s="1999"/>
      <c r="BD149" s="1999"/>
      <c r="BE149" s="1999"/>
      <c r="BF149" s="1999"/>
    </row>
    <row r="150" ht="15.75" customHeight="1">
      <c r="A150" s="2001"/>
      <c r="B150" s="478"/>
      <c r="D150" s="1996"/>
      <c r="E150" s="1996"/>
      <c r="F150" s="1996"/>
      <c r="G150" s="1996"/>
      <c r="H150" s="1996"/>
      <c r="I150" s="1996"/>
      <c r="L150" s="1997"/>
      <c r="Q150" s="1997"/>
      <c r="V150" s="1997"/>
      <c r="Z150" s="1164"/>
      <c r="AA150" s="1997"/>
      <c r="AE150" s="1164"/>
      <c r="AF150" s="1997"/>
      <c r="AH150" s="1430"/>
      <c r="AJ150" s="1164"/>
      <c r="AK150" s="1164"/>
      <c r="AL150" s="1997"/>
      <c r="AN150" s="1998"/>
      <c r="AP150" s="1164"/>
      <c r="AQ150" s="1164"/>
      <c r="AR150" s="1997"/>
      <c r="AT150" s="1998"/>
      <c r="AU150" s="1999"/>
      <c r="AV150" s="1999"/>
      <c r="AW150" s="1999"/>
      <c r="AX150" s="1999"/>
      <c r="AY150" s="1999"/>
      <c r="AZ150" s="1999"/>
      <c r="BA150" s="1999"/>
      <c r="BB150" s="1999"/>
      <c r="BC150" s="1999"/>
      <c r="BD150" s="1999"/>
      <c r="BE150" s="1999"/>
      <c r="BF150" s="1999"/>
    </row>
    <row r="151" ht="15.75" customHeight="1">
      <c r="A151" s="2001"/>
      <c r="B151" s="478"/>
      <c r="D151" s="1996"/>
      <c r="E151" s="1996"/>
      <c r="F151" s="1996"/>
      <c r="G151" s="1996"/>
      <c r="H151" s="1996"/>
      <c r="I151" s="1996"/>
      <c r="L151" s="1997"/>
      <c r="Q151" s="1997"/>
      <c r="V151" s="1997"/>
      <c r="Z151" s="1164"/>
      <c r="AA151" s="1997"/>
      <c r="AE151" s="1164"/>
      <c r="AF151" s="1997"/>
      <c r="AH151" s="1430"/>
      <c r="AJ151" s="1164"/>
      <c r="AK151" s="1164"/>
      <c r="AL151" s="1997"/>
      <c r="AN151" s="1998"/>
      <c r="AP151" s="1164"/>
      <c r="AQ151" s="1164"/>
      <c r="AR151" s="1997"/>
      <c r="AT151" s="1998"/>
      <c r="AU151" s="1999"/>
      <c r="AV151" s="1999"/>
      <c r="AW151" s="1999"/>
      <c r="AX151" s="1999"/>
      <c r="AY151" s="1999"/>
      <c r="AZ151" s="1999"/>
      <c r="BA151" s="1999"/>
      <c r="BB151" s="1999"/>
      <c r="BC151" s="1999"/>
      <c r="BD151" s="1999"/>
      <c r="BE151" s="1999"/>
      <c r="BF151" s="1999"/>
    </row>
    <row r="152" ht="15.75" customHeight="1">
      <c r="A152" s="2001"/>
      <c r="B152" s="478"/>
      <c r="D152" s="1996"/>
      <c r="E152" s="1996"/>
      <c r="F152" s="1996"/>
      <c r="G152" s="1996"/>
      <c r="H152" s="1996"/>
      <c r="I152" s="1996"/>
      <c r="L152" s="1997"/>
      <c r="Q152" s="1997"/>
      <c r="V152" s="1997"/>
      <c r="Z152" s="1164"/>
      <c r="AA152" s="1997"/>
      <c r="AE152" s="1164"/>
      <c r="AF152" s="1997"/>
      <c r="AH152" s="1430"/>
      <c r="AJ152" s="1164"/>
      <c r="AK152" s="1164"/>
      <c r="AL152" s="1997"/>
      <c r="AN152" s="1998"/>
      <c r="AP152" s="1164"/>
      <c r="AQ152" s="1164"/>
      <c r="AR152" s="1997"/>
      <c r="AT152" s="1998"/>
      <c r="AU152" s="1999"/>
      <c r="AV152" s="1999"/>
      <c r="AW152" s="1999"/>
      <c r="AX152" s="1999"/>
      <c r="AY152" s="1999"/>
      <c r="AZ152" s="1999"/>
      <c r="BA152" s="1999"/>
      <c r="BB152" s="1999"/>
      <c r="BC152" s="1999"/>
      <c r="BD152" s="1999"/>
      <c r="BE152" s="1999"/>
      <c r="BF152" s="1999"/>
    </row>
    <row r="153" ht="15.75" customHeight="1">
      <c r="A153" s="2001"/>
      <c r="B153" s="478"/>
      <c r="D153" s="1996"/>
      <c r="E153" s="1996"/>
      <c r="F153" s="1996"/>
      <c r="G153" s="1996"/>
      <c r="H153" s="1996"/>
      <c r="I153" s="1996"/>
      <c r="L153" s="1997"/>
      <c r="Q153" s="1997"/>
      <c r="V153" s="1997"/>
      <c r="Z153" s="1164"/>
      <c r="AA153" s="1997"/>
      <c r="AE153" s="1164"/>
      <c r="AF153" s="1997"/>
      <c r="AH153" s="1430"/>
      <c r="AJ153" s="1164"/>
      <c r="AK153" s="1164"/>
      <c r="AL153" s="1997"/>
      <c r="AN153" s="1998"/>
      <c r="AP153" s="1164"/>
      <c r="AQ153" s="1164"/>
      <c r="AR153" s="1997"/>
      <c r="AT153" s="1998"/>
      <c r="AU153" s="1999"/>
      <c r="AV153" s="1999"/>
      <c r="AW153" s="1999"/>
      <c r="AX153" s="1999"/>
      <c r="AY153" s="1999"/>
      <c r="AZ153" s="1999"/>
      <c r="BA153" s="1999"/>
      <c r="BB153" s="1999"/>
      <c r="BC153" s="1999"/>
      <c r="BD153" s="1999"/>
      <c r="BE153" s="1999"/>
      <c r="BF153" s="1999"/>
    </row>
    <row r="154" ht="15.75" customHeight="1">
      <c r="A154" s="2001"/>
      <c r="B154" s="478"/>
      <c r="D154" s="1996"/>
      <c r="E154" s="1996"/>
      <c r="F154" s="1996"/>
      <c r="G154" s="1996"/>
      <c r="H154" s="1996"/>
      <c r="I154" s="1996"/>
      <c r="L154" s="1997"/>
      <c r="Q154" s="1997"/>
      <c r="V154" s="1997"/>
      <c r="Z154" s="1164"/>
      <c r="AA154" s="1997"/>
      <c r="AE154" s="1164"/>
      <c r="AF154" s="1997"/>
      <c r="AH154" s="1430"/>
      <c r="AJ154" s="1164"/>
      <c r="AK154" s="1164"/>
      <c r="AL154" s="1997"/>
      <c r="AN154" s="1998"/>
      <c r="AP154" s="1164"/>
      <c r="AQ154" s="1164"/>
      <c r="AR154" s="1997"/>
      <c r="AT154" s="1998"/>
      <c r="AU154" s="1999"/>
      <c r="AV154" s="1999"/>
      <c r="AW154" s="1999"/>
      <c r="AX154" s="1999"/>
      <c r="AY154" s="1999"/>
      <c r="AZ154" s="1999"/>
      <c r="BA154" s="1999"/>
      <c r="BB154" s="1999"/>
      <c r="BC154" s="1999"/>
      <c r="BD154" s="1999"/>
      <c r="BE154" s="1999"/>
      <c r="BF154" s="1999"/>
    </row>
    <row r="155" ht="15.75" customHeight="1">
      <c r="A155" s="2001"/>
      <c r="B155" s="478"/>
      <c r="D155" s="1996"/>
      <c r="E155" s="1996"/>
      <c r="F155" s="1996"/>
      <c r="G155" s="1996"/>
      <c r="H155" s="1996"/>
      <c r="I155" s="1996"/>
      <c r="L155" s="1997"/>
      <c r="Q155" s="1997"/>
      <c r="V155" s="1997"/>
      <c r="Z155" s="1164"/>
      <c r="AA155" s="1997"/>
      <c r="AE155" s="1164"/>
      <c r="AF155" s="1997"/>
      <c r="AH155" s="1430"/>
      <c r="AJ155" s="1164"/>
      <c r="AK155" s="1164"/>
      <c r="AL155" s="1997"/>
      <c r="AN155" s="1998"/>
      <c r="AP155" s="1164"/>
      <c r="AQ155" s="1164"/>
      <c r="AR155" s="1997"/>
      <c r="AT155" s="1998"/>
      <c r="AU155" s="1999"/>
      <c r="AV155" s="1999"/>
      <c r="AW155" s="1999"/>
      <c r="AX155" s="1999"/>
      <c r="AY155" s="1999"/>
      <c r="AZ155" s="1999"/>
      <c r="BA155" s="1999"/>
      <c r="BB155" s="1999"/>
      <c r="BC155" s="1999"/>
      <c r="BD155" s="1999"/>
      <c r="BE155" s="1999"/>
      <c r="BF155" s="1999"/>
    </row>
    <row r="156" ht="15.75" customHeight="1">
      <c r="A156" s="2001"/>
      <c r="B156" s="478"/>
      <c r="D156" s="1996"/>
      <c r="E156" s="1996"/>
      <c r="F156" s="1996"/>
      <c r="G156" s="1996"/>
      <c r="H156" s="1996"/>
      <c r="I156" s="1996"/>
      <c r="L156" s="1997"/>
      <c r="Q156" s="1997"/>
      <c r="V156" s="1997"/>
      <c r="Z156" s="1164"/>
      <c r="AA156" s="1997"/>
      <c r="AE156" s="1164"/>
      <c r="AF156" s="1997"/>
      <c r="AH156" s="1430"/>
      <c r="AJ156" s="1164"/>
      <c r="AK156" s="1164"/>
      <c r="AL156" s="1997"/>
      <c r="AN156" s="1998"/>
      <c r="AP156" s="1164"/>
      <c r="AQ156" s="1164"/>
      <c r="AR156" s="1997"/>
      <c r="AT156" s="1998"/>
      <c r="AU156" s="1999"/>
      <c r="AV156" s="1999"/>
      <c r="AW156" s="1999"/>
      <c r="AX156" s="1999"/>
      <c r="AY156" s="1999"/>
      <c r="AZ156" s="1999"/>
      <c r="BA156" s="1999"/>
      <c r="BB156" s="1999"/>
      <c r="BC156" s="1999"/>
      <c r="BD156" s="1999"/>
      <c r="BE156" s="1999"/>
      <c r="BF156" s="1999"/>
    </row>
    <row r="157" ht="15.75" customHeight="1">
      <c r="A157" s="2001"/>
      <c r="B157" s="478"/>
      <c r="D157" s="1996"/>
      <c r="E157" s="1996"/>
      <c r="F157" s="1996"/>
      <c r="G157" s="1996"/>
      <c r="H157" s="1996"/>
      <c r="I157" s="1996"/>
      <c r="L157" s="1997"/>
      <c r="Q157" s="1997"/>
      <c r="V157" s="1997"/>
      <c r="Z157" s="1164"/>
      <c r="AA157" s="1997"/>
      <c r="AE157" s="1164"/>
      <c r="AF157" s="1997"/>
      <c r="AH157" s="1430"/>
      <c r="AJ157" s="1164"/>
      <c r="AK157" s="1164"/>
      <c r="AL157" s="1997"/>
      <c r="AN157" s="1998"/>
      <c r="AP157" s="1164"/>
      <c r="AQ157" s="1164"/>
      <c r="AR157" s="1997"/>
      <c r="AT157" s="1998"/>
      <c r="AU157" s="1999"/>
      <c r="AV157" s="1999"/>
      <c r="AW157" s="1999"/>
      <c r="AX157" s="1999"/>
      <c r="AY157" s="1999"/>
      <c r="AZ157" s="1999"/>
      <c r="BA157" s="1999"/>
      <c r="BB157" s="1999"/>
      <c r="BC157" s="1999"/>
      <c r="BD157" s="1999"/>
      <c r="BE157" s="1999"/>
      <c r="BF157" s="1999"/>
    </row>
    <row r="158" ht="15.75" customHeight="1">
      <c r="A158" s="2001"/>
      <c r="B158" s="478"/>
      <c r="D158" s="1996"/>
      <c r="E158" s="1996"/>
      <c r="F158" s="1996"/>
      <c r="G158" s="1996"/>
      <c r="H158" s="1996"/>
      <c r="I158" s="1996"/>
      <c r="L158" s="1997"/>
      <c r="Q158" s="1997"/>
      <c r="V158" s="1997"/>
      <c r="Z158" s="1164"/>
      <c r="AA158" s="1997"/>
      <c r="AE158" s="1164"/>
      <c r="AF158" s="1997"/>
      <c r="AH158" s="1430"/>
      <c r="AJ158" s="1164"/>
      <c r="AK158" s="1164"/>
      <c r="AL158" s="1997"/>
      <c r="AN158" s="1998"/>
      <c r="AP158" s="1164"/>
      <c r="AQ158" s="1164"/>
      <c r="AR158" s="1997"/>
      <c r="AT158" s="1998"/>
      <c r="AU158" s="1999"/>
      <c r="AV158" s="1999"/>
      <c r="AW158" s="1999"/>
      <c r="AX158" s="1999"/>
      <c r="AY158" s="1999"/>
      <c r="AZ158" s="1999"/>
      <c r="BA158" s="1999"/>
      <c r="BB158" s="1999"/>
      <c r="BC158" s="1999"/>
      <c r="BD158" s="1999"/>
      <c r="BE158" s="1999"/>
      <c r="BF158" s="1999"/>
    </row>
    <row r="159" ht="15.75" customHeight="1">
      <c r="A159" s="2001"/>
      <c r="B159" s="478"/>
      <c r="D159" s="1996"/>
      <c r="E159" s="1996"/>
      <c r="F159" s="1996"/>
      <c r="G159" s="1996"/>
      <c r="H159" s="1996"/>
      <c r="I159" s="1996"/>
      <c r="L159" s="1997"/>
      <c r="Q159" s="1997"/>
      <c r="V159" s="1997"/>
      <c r="Z159" s="1164"/>
      <c r="AA159" s="1997"/>
      <c r="AE159" s="1164"/>
      <c r="AF159" s="1997"/>
      <c r="AH159" s="1430"/>
      <c r="AJ159" s="1164"/>
      <c r="AK159" s="1164"/>
      <c r="AL159" s="1997"/>
      <c r="AN159" s="1998"/>
      <c r="AP159" s="1164"/>
      <c r="AQ159" s="1164"/>
      <c r="AR159" s="1997"/>
      <c r="AT159" s="1998"/>
      <c r="AU159" s="1999"/>
      <c r="AV159" s="1999"/>
      <c r="AW159" s="1999"/>
      <c r="AX159" s="1999"/>
      <c r="AY159" s="1999"/>
      <c r="AZ159" s="1999"/>
      <c r="BA159" s="1999"/>
      <c r="BB159" s="1999"/>
      <c r="BC159" s="1999"/>
      <c r="BD159" s="1999"/>
      <c r="BE159" s="1999"/>
      <c r="BF159" s="1999"/>
    </row>
    <row r="160" ht="15.75" customHeight="1">
      <c r="A160" s="2001"/>
      <c r="B160" s="478"/>
      <c r="D160" s="1996"/>
      <c r="E160" s="1996"/>
      <c r="F160" s="1996"/>
      <c r="G160" s="1996"/>
      <c r="H160" s="1996"/>
      <c r="I160" s="1996"/>
      <c r="L160" s="1997"/>
      <c r="Q160" s="1997"/>
      <c r="V160" s="1997"/>
      <c r="Z160" s="1164"/>
      <c r="AA160" s="1997"/>
      <c r="AE160" s="1164"/>
      <c r="AF160" s="1997"/>
      <c r="AH160" s="1430"/>
      <c r="AJ160" s="1164"/>
      <c r="AK160" s="1164"/>
      <c r="AL160" s="1997"/>
      <c r="AN160" s="1998"/>
      <c r="AP160" s="1164"/>
      <c r="AQ160" s="1164"/>
      <c r="AR160" s="1997"/>
      <c r="AT160" s="1998"/>
      <c r="AU160" s="1999"/>
      <c r="AV160" s="1999"/>
      <c r="AW160" s="1999"/>
      <c r="AX160" s="1999"/>
      <c r="AY160" s="1999"/>
      <c r="AZ160" s="1999"/>
      <c r="BA160" s="1999"/>
      <c r="BB160" s="1999"/>
      <c r="BC160" s="1999"/>
      <c r="BD160" s="1999"/>
      <c r="BE160" s="1999"/>
      <c r="BF160" s="1999"/>
    </row>
    <row r="161" ht="15.75" customHeight="1">
      <c r="A161" s="2001"/>
      <c r="B161" s="478"/>
      <c r="D161" s="1996"/>
      <c r="E161" s="1996"/>
      <c r="F161" s="1996"/>
      <c r="G161" s="1996"/>
      <c r="H161" s="1996"/>
      <c r="I161" s="1996"/>
      <c r="L161" s="1997"/>
      <c r="Q161" s="1997"/>
      <c r="V161" s="1997"/>
      <c r="Z161" s="1164"/>
      <c r="AA161" s="1997"/>
      <c r="AE161" s="1164"/>
      <c r="AF161" s="1997"/>
      <c r="AH161" s="1430"/>
      <c r="AJ161" s="1164"/>
      <c r="AK161" s="1164"/>
      <c r="AL161" s="1997"/>
      <c r="AN161" s="1998"/>
      <c r="AP161" s="1164"/>
      <c r="AQ161" s="1164"/>
      <c r="AR161" s="1997"/>
      <c r="AT161" s="1998"/>
      <c r="AU161" s="1999"/>
      <c r="AV161" s="1999"/>
      <c r="AW161" s="1999"/>
      <c r="AX161" s="1999"/>
      <c r="AY161" s="1999"/>
      <c r="AZ161" s="1999"/>
      <c r="BA161" s="1999"/>
      <c r="BB161" s="1999"/>
      <c r="BC161" s="1999"/>
      <c r="BD161" s="1999"/>
      <c r="BE161" s="1999"/>
      <c r="BF161" s="1999"/>
    </row>
    <row r="162" ht="15.75" customHeight="1">
      <c r="A162" s="2001"/>
      <c r="B162" s="478"/>
      <c r="D162" s="1996"/>
      <c r="E162" s="1996"/>
      <c r="F162" s="1996"/>
      <c r="G162" s="1996"/>
      <c r="H162" s="1996"/>
      <c r="I162" s="1996"/>
      <c r="L162" s="1997"/>
      <c r="Q162" s="1997"/>
      <c r="V162" s="1997"/>
      <c r="Z162" s="1164"/>
      <c r="AA162" s="1997"/>
      <c r="AE162" s="1164"/>
      <c r="AF162" s="1997"/>
      <c r="AH162" s="1430"/>
      <c r="AJ162" s="1164"/>
      <c r="AK162" s="1164"/>
      <c r="AL162" s="1997"/>
      <c r="AN162" s="1998"/>
      <c r="AP162" s="1164"/>
      <c r="AQ162" s="1164"/>
      <c r="AR162" s="1997"/>
      <c r="AT162" s="1998"/>
      <c r="AU162" s="1999"/>
      <c r="AV162" s="1999"/>
      <c r="AW162" s="1999"/>
      <c r="AX162" s="1999"/>
      <c r="AY162" s="1999"/>
      <c r="AZ162" s="1999"/>
      <c r="BA162" s="1999"/>
      <c r="BB162" s="1999"/>
      <c r="BC162" s="1999"/>
      <c r="BD162" s="1999"/>
      <c r="BE162" s="1999"/>
      <c r="BF162" s="1999"/>
    </row>
    <row r="163" ht="15.75" customHeight="1">
      <c r="A163" s="2001"/>
      <c r="B163" s="478"/>
      <c r="D163" s="1996"/>
      <c r="E163" s="1996"/>
      <c r="F163" s="1996"/>
      <c r="G163" s="1996"/>
      <c r="H163" s="1996"/>
      <c r="I163" s="1996"/>
      <c r="L163" s="1997"/>
      <c r="Q163" s="1997"/>
      <c r="V163" s="1997"/>
      <c r="Z163" s="1164"/>
      <c r="AA163" s="1997"/>
      <c r="AE163" s="1164"/>
      <c r="AF163" s="1997"/>
      <c r="AH163" s="1430"/>
      <c r="AJ163" s="1164"/>
      <c r="AK163" s="1164"/>
      <c r="AL163" s="1997"/>
      <c r="AN163" s="1998"/>
      <c r="AP163" s="1164"/>
      <c r="AQ163" s="1164"/>
      <c r="AR163" s="1997"/>
      <c r="AT163" s="1998"/>
      <c r="AU163" s="1999"/>
      <c r="AV163" s="1999"/>
      <c r="AW163" s="1999"/>
      <c r="AX163" s="1999"/>
      <c r="AY163" s="1999"/>
      <c r="AZ163" s="1999"/>
      <c r="BA163" s="1999"/>
      <c r="BB163" s="1999"/>
      <c r="BC163" s="1999"/>
      <c r="BD163" s="1999"/>
      <c r="BE163" s="1999"/>
      <c r="BF163" s="1999"/>
    </row>
    <row r="164" ht="15.75" customHeight="1">
      <c r="A164" s="2001"/>
      <c r="B164" s="478"/>
      <c r="D164" s="1996"/>
      <c r="E164" s="1996"/>
      <c r="F164" s="1996"/>
      <c r="G164" s="1996"/>
      <c r="H164" s="1996"/>
      <c r="I164" s="1996"/>
      <c r="L164" s="1997"/>
      <c r="Q164" s="1997"/>
      <c r="V164" s="1997"/>
      <c r="Z164" s="1164"/>
      <c r="AA164" s="1997"/>
      <c r="AE164" s="1164"/>
      <c r="AF164" s="1997"/>
      <c r="AH164" s="1430"/>
      <c r="AJ164" s="1164"/>
      <c r="AK164" s="1164"/>
      <c r="AL164" s="1997"/>
      <c r="AN164" s="1998"/>
      <c r="AP164" s="1164"/>
      <c r="AQ164" s="1164"/>
      <c r="AR164" s="1997"/>
      <c r="AT164" s="1998"/>
      <c r="AU164" s="1999"/>
      <c r="AV164" s="1999"/>
      <c r="AW164" s="1999"/>
      <c r="AX164" s="1999"/>
      <c r="AY164" s="1999"/>
      <c r="AZ164" s="1999"/>
      <c r="BA164" s="1999"/>
      <c r="BB164" s="1999"/>
      <c r="BC164" s="1999"/>
      <c r="BD164" s="1999"/>
      <c r="BE164" s="1999"/>
      <c r="BF164" s="1999"/>
    </row>
    <row r="165" ht="15.75" customHeight="1">
      <c r="A165" s="2001"/>
      <c r="B165" s="478"/>
      <c r="D165" s="1996"/>
      <c r="E165" s="1996"/>
      <c r="F165" s="1996"/>
      <c r="G165" s="1996"/>
      <c r="H165" s="1996"/>
      <c r="I165" s="1996"/>
      <c r="L165" s="1997"/>
      <c r="Q165" s="1997"/>
      <c r="V165" s="1997"/>
      <c r="Z165" s="1164"/>
      <c r="AA165" s="1997"/>
      <c r="AE165" s="1164"/>
      <c r="AF165" s="1997"/>
      <c r="AH165" s="1430"/>
      <c r="AJ165" s="1164"/>
      <c r="AK165" s="1164"/>
      <c r="AL165" s="1997"/>
      <c r="AN165" s="1998"/>
      <c r="AP165" s="1164"/>
      <c r="AQ165" s="1164"/>
      <c r="AR165" s="1997"/>
      <c r="AT165" s="1998"/>
      <c r="AU165" s="1999"/>
      <c r="AV165" s="1999"/>
      <c r="AW165" s="1999"/>
      <c r="AX165" s="1999"/>
      <c r="AY165" s="1999"/>
      <c r="AZ165" s="1999"/>
      <c r="BA165" s="1999"/>
      <c r="BB165" s="1999"/>
      <c r="BC165" s="1999"/>
      <c r="BD165" s="1999"/>
      <c r="BE165" s="1999"/>
      <c r="BF165" s="1999"/>
    </row>
    <row r="166" ht="15.75" customHeight="1">
      <c r="A166" s="2001"/>
      <c r="B166" s="478"/>
      <c r="D166" s="1996"/>
      <c r="E166" s="1996"/>
      <c r="F166" s="1996"/>
      <c r="G166" s="1996"/>
      <c r="H166" s="1996"/>
      <c r="I166" s="1996"/>
      <c r="L166" s="1997"/>
      <c r="Q166" s="1997"/>
      <c r="V166" s="1997"/>
      <c r="Z166" s="1164"/>
      <c r="AA166" s="1997"/>
      <c r="AE166" s="1164"/>
      <c r="AF166" s="1997"/>
      <c r="AH166" s="1430"/>
      <c r="AJ166" s="1164"/>
      <c r="AK166" s="1164"/>
      <c r="AL166" s="1997"/>
      <c r="AN166" s="1998"/>
      <c r="AP166" s="1164"/>
      <c r="AQ166" s="1164"/>
      <c r="AR166" s="1997"/>
      <c r="AT166" s="1998"/>
      <c r="AU166" s="1999"/>
      <c r="AV166" s="1999"/>
      <c r="AW166" s="1999"/>
      <c r="AX166" s="1999"/>
      <c r="AY166" s="1999"/>
      <c r="AZ166" s="1999"/>
      <c r="BA166" s="1999"/>
      <c r="BB166" s="1999"/>
      <c r="BC166" s="1999"/>
      <c r="BD166" s="1999"/>
      <c r="BE166" s="1999"/>
      <c r="BF166" s="1999"/>
    </row>
    <row r="167" ht="15.75" customHeight="1">
      <c r="A167" s="2001"/>
      <c r="B167" s="478"/>
      <c r="D167" s="1996"/>
      <c r="E167" s="1996"/>
      <c r="F167" s="1996"/>
      <c r="G167" s="1996"/>
      <c r="H167" s="1996"/>
      <c r="I167" s="1996"/>
      <c r="L167" s="1997"/>
      <c r="Q167" s="1997"/>
      <c r="V167" s="1997"/>
      <c r="Z167" s="1164"/>
      <c r="AA167" s="1997"/>
      <c r="AE167" s="1164"/>
      <c r="AF167" s="1997"/>
      <c r="AH167" s="1430"/>
      <c r="AJ167" s="1164"/>
      <c r="AK167" s="1164"/>
      <c r="AL167" s="1997"/>
      <c r="AN167" s="1998"/>
      <c r="AP167" s="1164"/>
      <c r="AQ167" s="1164"/>
      <c r="AR167" s="1997"/>
      <c r="AT167" s="1998"/>
      <c r="AU167" s="1999"/>
      <c r="AV167" s="1999"/>
      <c r="AW167" s="1999"/>
      <c r="AX167" s="1999"/>
      <c r="AY167" s="1999"/>
      <c r="AZ167" s="1999"/>
      <c r="BA167" s="1999"/>
      <c r="BB167" s="1999"/>
      <c r="BC167" s="1999"/>
      <c r="BD167" s="1999"/>
      <c r="BE167" s="1999"/>
      <c r="BF167" s="1999"/>
    </row>
    <row r="168" ht="15.75" customHeight="1">
      <c r="A168" s="2001"/>
      <c r="B168" s="478"/>
      <c r="D168" s="1996"/>
      <c r="E168" s="1996"/>
      <c r="F168" s="1996"/>
      <c r="G168" s="1996"/>
      <c r="H168" s="1996"/>
      <c r="I168" s="1996"/>
      <c r="L168" s="1997"/>
      <c r="Q168" s="1997"/>
      <c r="V168" s="1997"/>
      <c r="Z168" s="1164"/>
      <c r="AA168" s="1997"/>
      <c r="AE168" s="1164"/>
      <c r="AF168" s="1997"/>
      <c r="AH168" s="1430"/>
      <c r="AJ168" s="1164"/>
      <c r="AK168" s="1164"/>
      <c r="AL168" s="1997"/>
      <c r="AN168" s="1998"/>
      <c r="AP168" s="1164"/>
      <c r="AQ168" s="1164"/>
      <c r="AR168" s="1997"/>
      <c r="AT168" s="1998"/>
      <c r="AU168" s="1999"/>
      <c r="AV168" s="1999"/>
      <c r="AW168" s="1999"/>
      <c r="AX168" s="1999"/>
      <c r="AY168" s="1999"/>
      <c r="AZ168" s="1999"/>
      <c r="BA168" s="1999"/>
      <c r="BB168" s="1999"/>
      <c r="BC168" s="1999"/>
      <c r="BD168" s="1999"/>
      <c r="BE168" s="1999"/>
      <c r="BF168" s="1999"/>
    </row>
    <row r="169" ht="15.75" customHeight="1">
      <c r="A169" s="2001"/>
      <c r="B169" s="478"/>
      <c r="D169" s="1996"/>
      <c r="E169" s="1996"/>
      <c r="F169" s="1996"/>
      <c r="G169" s="1996"/>
      <c r="H169" s="1996"/>
      <c r="I169" s="1996"/>
      <c r="L169" s="1997"/>
      <c r="Q169" s="1997"/>
      <c r="V169" s="1997"/>
      <c r="Z169" s="1164"/>
      <c r="AA169" s="1997"/>
      <c r="AE169" s="1164"/>
      <c r="AF169" s="1997"/>
      <c r="AH169" s="1430"/>
      <c r="AJ169" s="1164"/>
      <c r="AK169" s="1164"/>
      <c r="AL169" s="1997"/>
      <c r="AN169" s="1998"/>
      <c r="AP169" s="1164"/>
      <c r="AQ169" s="1164"/>
      <c r="AR169" s="1997"/>
      <c r="AT169" s="1998"/>
      <c r="AU169" s="1999"/>
      <c r="AV169" s="1999"/>
      <c r="AW169" s="1999"/>
      <c r="AX169" s="1999"/>
      <c r="AY169" s="1999"/>
      <c r="AZ169" s="1999"/>
      <c r="BA169" s="1999"/>
      <c r="BB169" s="1999"/>
      <c r="BC169" s="1999"/>
      <c r="BD169" s="1999"/>
      <c r="BE169" s="1999"/>
      <c r="BF169" s="1999"/>
    </row>
    <row r="170" ht="15.75" customHeight="1">
      <c r="A170" s="2001"/>
      <c r="B170" s="478"/>
      <c r="D170" s="1996"/>
      <c r="E170" s="1996"/>
      <c r="F170" s="1996"/>
      <c r="G170" s="1996"/>
      <c r="H170" s="1996"/>
      <c r="I170" s="1996"/>
      <c r="L170" s="1997"/>
      <c r="Q170" s="1997"/>
      <c r="V170" s="1997"/>
      <c r="Z170" s="1164"/>
      <c r="AA170" s="1997"/>
      <c r="AE170" s="1164"/>
      <c r="AF170" s="1997"/>
      <c r="AH170" s="1430"/>
      <c r="AJ170" s="1164"/>
      <c r="AK170" s="1164"/>
      <c r="AL170" s="1997"/>
      <c r="AN170" s="1998"/>
      <c r="AP170" s="1164"/>
      <c r="AQ170" s="1164"/>
      <c r="AR170" s="1997"/>
      <c r="AT170" s="1998"/>
      <c r="AU170" s="1999"/>
      <c r="AV170" s="1999"/>
      <c r="AW170" s="1999"/>
      <c r="AX170" s="1999"/>
      <c r="AY170" s="1999"/>
      <c r="AZ170" s="1999"/>
      <c r="BA170" s="1999"/>
      <c r="BB170" s="1999"/>
      <c r="BC170" s="1999"/>
      <c r="BD170" s="1999"/>
      <c r="BE170" s="1999"/>
      <c r="BF170" s="1999"/>
    </row>
    <row r="171" ht="15.75" customHeight="1">
      <c r="A171" s="2001"/>
      <c r="B171" s="478"/>
      <c r="D171" s="1996"/>
      <c r="E171" s="1996"/>
      <c r="F171" s="1996"/>
      <c r="G171" s="1996"/>
      <c r="H171" s="1996"/>
      <c r="I171" s="1996"/>
      <c r="L171" s="1997"/>
      <c r="Q171" s="1997"/>
      <c r="V171" s="1997"/>
      <c r="Z171" s="1164"/>
      <c r="AA171" s="1997"/>
      <c r="AE171" s="1164"/>
      <c r="AF171" s="1997"/>
      <c r="AH171" s="1430"/>
      <c r="AJ171" s="1164"/>
      <c r="AK171" s="1164"/>
      <c r="AL171" s="1997"/>
      <c r="AN171" s="1998"/>
      <c r="AP171" s="1164"/>
      <c r="AQ171" s="1164"/>
      <c r="AR171" s="1997"/>
      <c r="AT171" s="1998"/>
      <c r="AU171" s="1999"/>
      <c r="AV171" s="1999"/>
      <c r="AW171" s="1999"/>
      <c r="AX171" s="1999"/>
      <c r="AY171" s="1999"/>
      <c r="AZ171" s="1999"/>
      <c r="BA171" s="1999"/>
      <c r="BB171" s="1999"/>
      <c r="BC171" s="1999"/>
      <c r="BD171" s="1999"/>
      <c r="BE171" s="1999"/>
      <c r="BF171" s="1999"/>
    </row>
    <row r="172" ht="15.75" customHeight="1">
      <c r="A172" s="2001"/>
      <c r="B172" s="478"/>
      <c r="D172" s="1996"/>
      <c r="E172" s="1996"/>
      <c r="F172" s="1996"/>
      <c r="G172" s="1996"/>
      <c r="H172" s="1996"/>
      <c r="I172" s="1996"/>
      <c r="L172" s="1997"/>
      <c r="Q172" s="1997"/>
      <c r="V172" s="1997"/>
      <c r="Z172" s="1164"/>
      <c r="AA172" s="1997"/>
      <c r="AE172" s="1164"/>
      <c r="AF172" s="1997"/>
      <c r="AH172" s="1430"/>
      <c r="AJ172" s="1164"/>
      <c r="AK172" s="1164"/>
      <c r="AL172" s="1997"/>
      <c r="AN172" s="1998"/>
      <c r="AP172" s="1164"/>
      <c r="AQ172" s="1164"/>
      <c r="AR172" s="1997"/>
      <c r="AT172" s="1998"/>
      <c r="AU172" s="1999"/>
      <c r="AV172" s="1999"/>
      <c r="AW172" s="1999"/>
      <c r="AX172" s="1999"/>
      <c r="AY172" s="1999"/>
      <c r="AZ172" s="1999"/>
      <c r="BA172" s="1999"/>
      <c r="BB172" s="1999"/>
      <c r="BC172" s="1999"/>
      <c r="BD172" s="1999"/>
      <c r="BE172" s="1999"/>
      <c r="BF172" s="1999"/>
    </row>
    <row r="173" ht="15.75" customHeight="1">
      <c r="A173" s="2001"/>
      <c r="B173" s="478"/>
      <c r="D173" s="1996"/>
      <c r="E173" s="1996"/>
      <c r="F173" s="1996"/>
      <c r="G173" s="1996"/>
      <c r="H173" s="1996"/>
      <c r="I173" s="1996"/>
      <c r="L173" s="1997"/>
      <c r="Q173" s="1997"/>
      <c r="V173" s="1997"/>
      <c r="Z173" s="1164"/>
      <c r="AA173" s="1997"/>
      <c r="AE173" s="1164"/>
      <c r="AF173" s="1997"/>
      <c r="AH173" s="1430"/>
      <c r="AJ173" s="1164"/>
      <c r="AK173" s="1164"/>
      <c r="AL173" s="1997"/>
      <c r="AN173" s="1998"/>
      <c r="AP173" s="1164"/>
      <c r="AQ173" s="1164"/>
      <c r="AR173" s="1997"/>
      <c r="AT173" s="1998"/>
      <c r="AU173" s="1999"/>
      <c r="AV173" s="1999"/>
      <c r="AW173" s="1999"/>
      <c r="AX173" s="1999"/>
      <c r="AY173" s="1999"/>
      <c r="AZ173" s="1999"/>
      <c r="BA173" s="1999"/>
      <c r="BB173" s="1999"/>
      <c r="BC173" s="1999"/>
      <c r="BD173" s="1999"/>
      <c r="BE173" s="1999"/>
      <c r="BF173" s="1999"/>
    </row>
    <row r="174" ht="15.75" customHeight="1">
      <c r="A174" s="2001"/>
      <c r="B174" s="478"/>
      <c r="D174" s="1996"/>
      <c r="E174" s="1996"/>
      <c r="F174" s="1996"/>
      <c r="G174" s="1996"/>
      <c r="H174" s="1996"/>
      <c r="I174" s="1996"/>
      <c r="L174" s="1997"/>
      <c r="Q174" s="1997"/>
      <c r="V174" s="1997"/>
      <c r="Z174" s="1164"/>
      <c r="AA174" s="1997"/>
      <c r="AE174" s="1164"/>
      <c r="AF174" s="1997"/>
      <c r="AH174" s="1430"/>
      <c r="AJ174" s="1164"/>
      <c r="AK174" s="1164"/>
      <c r="AL174" s="1997"/>
      <c r="AN174" s="1998"/>
      <c r="AP174" s="1164"/>
      <c r="AQ174" s="1164"/>
      <c r="AR174" s="1997"/>
      <c r="AT174" s="1998"/>
      <c r="AU174" s="1999"/>
      <c r="AV174" s="1999"/>
      <c r="AW174" s="1999"/>
      <c r="AX174" s="1999"/>
      <c r="AY174" s="1999"/>
      <c r="AZ174" s="1999"/>
      <c r="BA174" s="1999"/>
      <c r="BB174" s="1999"/>
      <c r="BC174" s="1999"/>
      <c r="BD174" s="1999"/>
      <c r="BE174" s="1999"/>
      <c r="BF174" s="1999"/>
    </row>
    <row r="175" ht="15.75" customHeight="1">
      <c r="A175" s="2001"/>
      <c r="B175" s="478"/>
      <c r="D175" s="1996"/>
      <c r="E175" s="1996"/>
      <c r="F175" s="1996"/>
      <c r="G175" s="1996"/>
      <c r="H175" s="1996"/>
      <c r="I175" s="1996"/>
      <c r="L175" s="1997"/>
      <c r="Q175" s="1997"/>
      <c r="V175" s="1997"/>
      <c r="Z175" s="1164"/>
      <c r="AA175" s="1997"/>
      <c r="AE175" s="1164"/>
      <c r="AF175" s="1997"/>
      <c r="AH175" s="1430"/>
      <c r="AJ175" s="1164"/>
      <c r="AK175" s="1164"/>
      <c r="AL175" s="1997"/>
      <c r="AN175" s="1998"/>
      <c r="AP175" s="1164"/>
      <c r="AQ175" s="1164"/>
      <c r="AR175" s="1997"/>
      <c r="AT175" s="1998"/>
      <c r="AU175" s="1999"/>
      <c r="AV175" s="1999"/>
      <c r="AW175" s="1999"/>
      <c r="AX175" s="1999"/>
      <c r="AY175" s="1999"/>
      <c r="AZ175" s="1999"/>
      <c r="BA175" s="1999"/>
      <c r="BB175" s="1999"/>
      <c r="BC175" s="1999"/>
      <c r="BD175" s="1999"/>
      <c r="BE175" s="1999"/>
      <c r="BF175" s="1999"/>
    </row>
    <row r="176" ht="15.75" customHeight="1">
      <c r="A176" s="2001"/>
      <c r="B176" s="478"/>
      <c r="D176" s="1996"/>
      <c r="E176" s="1996"/>
      <c r="F176" s="1996"/>
      <c r="G176" s="1996"/>
      <c r="H176" s="1996"/>
      <c r="I176" s="1996"/>
      <c r="L176" s="1997"/>
      <c r="Q176" s="1997"/>
      <c r="V176" s="1997"/>
      <c r="Z176" s="1164"/>
      <c r="AA176" s="1997"/>
      <c r="AE176" s="1164"/>
      <c r="AF176" s="1997"/>
      <c r="AH176" s="1430"/>
      <c r="AJ176" s="1164"/>
      <c r="AK176" s="1164"/>
      <c r="AL176" s="1997"/>
      <c r="AN176" s="1998"/>
      <c r="AP176" s="1164"/>
      <c r="AQ176" s="1164"/>
      <c r="AR176" s="1997"/>
      <c r="AT176" s="1998"/>
      <c r="AU176" s="1999"/>
      <c r="AV176" s="1999"/>
      <c r="AW176" s="1999"/>
      <c r="AX176" s="1999"/>
      <c r="AY176" s="1999"/>
      <c r="AZ176" s="1999"/>
      <c r="BA176" s="1999"/>
      <c r="BB176" s="1999"/>
      <c r="BC176" s="1999"/>
      <c r="BD176" s="1999"/>
      <c r="BE176" s="1999"/>
      <c r="BF176" s="1999"/>
    </row>
    <row r="177" ht="15.75" customHeight="1">
      <c r="A177" s="2001"/>
      <c r="B177" s="478"/>
      <c r="D177" s="1996"/>
      <c r="E177" s="1996"/>
      <c r="F177" s="1996"/>
      <c r="G177" s="1996"/>
      <c r="H177" s="1996"/>
      <c r="I177" s="1996"/>
      <c r="L177" s="1997"/>
      <c r="Q177" s="1997"/>
      <c r="V177" s="1997"/>
      <c r="Z177" s="1164"/>
      <c r="AA177" s="1997"/>
      <c r="AE177" s="1164"/>
      <c r="AF177" s="1997"/>
      <c r="AH177" s="1430"/>
      <c r="AJ177" s="1164"/>
      <c r="AK177" s="1164"/>
      <c r="AL177" s="1997"/>
      <c r="AN177" s="1998"/>
      <c r="AP177" s="1164"/>
      <c r="AQ177" s="1164"/>
      <c r="AR177" s="1997"/>
      <c r="AT177" s="1998"/>
      <c r="AU177" s="1999"/>
      <c r="AV177" s="1999"/>
      <c r="AW177" s="1999"/>
      <c r="AX177" s="1999"/>
      <c r="AY177" s="1999"/>
      <c r="AZ177" s="1999"/>
      <c r="BA177" s="1999"/>
      <c r="BB177" s="1999"/>
      <c r="BC177" s="1999"/>
      <c r="BD177" s="1999"/>
      <c r="BE177" s="1999"/>
      <c r="BF177" s="1999"/>
    </row>
    <row r="178" ht="15.75" customHeight="1">
      <c r="A178" s="2001"/>
      <c r="B178" s="478"/>
      <c r="D178" s="1996"/>
      <c r="E178" s="1996"/>
      <c r="F178" s="1996"/>
      <c r="G178" s="1996"/>
      <c r="H178" s="1996"/>
      <c r="I178" s="1996"/>
      <c r="L178" s="1997"/>
      <c r="Q178" s="1997"/>
      <c r="V178" s="1997"/>
      <c r="Z178" s="1164"/>
      <c r="AA178" s="1997"/>
      <c r="AE178" s="1164"/>
      <c r="AF178" s="1997"/>
      <c r="AH178" s="1430"/>
      <c r="AJ178" s="1164"/>
      <c r="AK178" s="1164"/>
      <c r="AL178" s="1997"/>
      <c r="AN178" s="1998"/>
      <c r="AP178" s="1164"/>
      <c r="AQ178" s="1164"/>
      <c r="AR178" s="1997"/>
      <c r="AT178" s="1998"/>
      <c r="AU178" s="1999"/>
      <c r="AV178" s="1999"/>
      <c r="AW178" s="1999"/>
      <c r="AX178" s="1999"/>
      <c r="AY178" s="1999"/>
      <c r="AZ178" s="1999"/>
      <c r="BA178" s="1999"/>
      <c r="BB178" s="1999"/>
      <c r="BC178" s="1999"/>
      <c r="BD178" s="1999"/>
      <c r="BE178" s="1999"/>
      <c r="BF178" s="1999"/>
    </row>
    <row r="179" ht="15.75" customHeight="1">
      <c r="A179" s="2001"/>
      <c r="B179" s="478"/>
      <c r="D179" s="1996"/>
      <c r="E179" s="1996"/>
      <c r="F179" s="1996"/>
      <c r="G179" s="1996"/>
      <c r="H179" s="1996"/>
      <c r="I179" s="1996"/>
      <c r="L179" s="1997"/>
      <c r="Q179" s="1997"/>
      <c r="V179" s="1997"/>
      <c r="Z179" s="1164"/>
      <c r="AA179" s="1997"/>
      <c r="AE179" s="1164"/>
      <c r="AF179" s="1997"/>
      <c r="AH179" s="1430"/>
      <c r="AJ179" s="1164"/>
      <c r="AK179" s="1164"/>
      <c r="AL179" s="1997"/>
      <c r="AN179" s="1998"/>
      <c r="AP179" s="1164"/>
      <c r="AQ179" s="1164"/>
      <c r="AR179" s="1997"/>
      <c r="AT179" s="1998"/>
      <c r="AU179" s="1999"/>
      <c r="AV179" s="1999"/>
      <c r="AW179" s="1999"/>
      <c r="AX179" s="1999"/>
      <c r="AY179" s="1999"/>
      <c r="AZ179" s="1999"/>
      <c r="BA179" s="1999"/>
      <c r="BB179" s="1999"/>
      <c r="BC179" s="1999"/>
      <c r="BD179" s="1999"/>
      <c r="BE179" s="1999"/>
      <c r="BF179" s="1999"/>
    </row>
    <row r="180" ht="15.75" customHeight="1">
      <c r="A180" s="2001"/>
      <c r="B180" s="478"/>
      <c r="D180" s="1996"/>
      <c r="E180" s="1996"/>
      <c r="F180" s="1996"/>
      <c r="G180" s="1996"/>
      <c r="H180" s="1996"/>
      <c r="I180" s="1996"/>
      <c r="L180" s="1997"/>
      <c r="Q180" s="1997"/>
      <c r="V180" s="1997"/>
      <c r="Z180" s="1164"/>
      <c r="AA180" s="1997"/>
      <c r="AE180" s="1164"/>
      <c r="AF180" s="1997"/>
      <c r="AH180" s="1430"/>
      <c r="AJ180" s="1164"/>
      <c r="AK180" s="1164"/>
      <c r="AL180" s="1997"/>
      <c r="AN180" s="1998"/>
      <c r="AP180" s="1164"/>
      <c r="AQ180" s="1164"/>
      <c r="AR180" s="1997"/>
      <c r="AT180" s="1998"/>
      <c r="AU180" s="1999"/>
      <c r="AV180" s="1999"/>
      <c r="AW180" s="1999"/>
      <c r="AX180" s="1999"/>
      <c r="AY180" s="1999"/>
      <c r="AZ180" s="1999"/>
      <c r="BA180" s="1999"/>
      <c r="BB180" s="1999"/>
      <c r="BC180" s="1999"/>
      <c r="BD180" s="1999"/>
      <c r="BE180" s="1999"/>
      <c r="BF180" s="1999"/>
    </row>
    <row r="181" ht="15.75" customHeight="1">
      <c r="A181" s="2001"/>
      <c r="B181" s="478"/>
      <c r="D181" s="1996"/>
      <c r="E181" s="1996"/>
      <c r="F181" s="1996"/>
      <c r="G181" s="1996"/>
      <c r="H181" s="1996"/>
      <c r="I181" s="1996"/>
      <c r="L181" s="1997"/>
      <c r="Q181" s="1997"/>
      <c r="V181" s="1997"/>
      <c r="Z181" s="1164"/>
      <c r="AA181" s="1997"/>
      <c r="AE181" s="1164"/>
      <c r="AF181" s="1997"/>
      <c r="AH181" s="1430"/>
      <c r="AJ181" s="1164"/>
      <c r="AK181" s="1164"/>
      <c r="AL181" s="1997"/>
      <c r="AN181" s="1998"/>
      <c r="AP181" s="1164"/>
      <c r="AQ181" s="1164"/>
      <c r="AR181" s="1997"/>
      <c r="AT181" s="1998"/>
      <c r="AU181" s="1999"/>
      <c r="AV181" s="1999"/>
      <c r="AW181" s="1999"/>
      <c r="AX181" s="1999"/>
      <c r="AY181" s="1999"/>
      <c r="AZ181" s="1999"/>
      <c r="BA181" s="1999"/>
      <c r="BB181" s="1999"/>
      <c r="BC181" s="1999"/>
      <c r="BD181" s="1999"/>
      <c r="BE181" s="1999"/>
      <c r="BF181" s="1999"/>
    </row>
    <row r="182" ht="15.75" customHeight="1">
      <c r="A182" s="2001"/>
      <c r="B182" s="478"/>
      <c r="D182" s="1996"/>
      <c r="E182" s="1996"/>
      <c r="F182" s="1996"/>
      <c r="G182" s="1996"/>
      <c r="H182" s="1996"/>
      <c r="I182" s="1996"/>
      <c r="L182" s="1997"/>
      <c r="Q182" s="1997"/>
      <c r="V182" s="1997"/>
      <c r="Z182" s="1164"/>
      <c r="AA182" s="1997"/>
      <c r="AE182" s="1164"/>
      <c r="AF182" s="1997"/>
      <c r="AH182" s="1430"/>
      <c r="AJ182" s="1164"/>
      <c r="AK182" s="1164"/>
      <c r="AL182" s="1997"/>
      <c r="AN182" s="1998"/>
      <c r="AP182" s="1164"/>
      <c r="AQ182" s="1164"/>
      <c r="AR182" s="1997"/>
      <c r="AT182" s="1998"/>
      <c r="AU182" s="1999"/>
      <c r="AV182" s="1999"/>
      <c r="AW182" s="1999"/>
      <c r="AX182" s="1999"/>
      <c r="AY182" s="1999"/>
      <c r="AZ182" s="1999"/>
      <c r="BA182" s="1999"/>
      <c r="BB182" s="1999"/>
      <c r="BC182" s="1999"/>
      <c r="BD182" s="1999"/>
      <c r="BE182" s="1999"/>
      <c r="BF182" s="1999"/>
    </row>
    <row r="183" ht="15.75" customHeight="1">
      <c r="A183" s="2001"/>
      <c r="B183" s="478"/>
      <c r="D183" s="1996"/>
      <c r="E183" s="1996"/>
      <c r="F183" s="1996"/>
      <c r="G183" s="1996"/>
      <c r="H183" s="1996"/>
      <c r="I183" s="1996"/>
      <c r="L183" s="1997"/>
      <c r="Q183" s="1997"/>
      <c r="V183" s="1997"/>
      <c r="Z183" s="1164"/>
      <c r="AA183" s="1997"/>
      <c r="AE183" s="1164"/>
      <c r="AF183" s="1997"/>
      <c r="AH183" s="1430"/>
      <c r="AJ183" s="1164"/>
      <c r="AK183" s="1164"/>
      <c r="AL183" s="1997"/>
      <c r="AN183" s="1998"/>
      <c r="AP183" s="1164"/>
      <c r="AQ183" s="1164"/>
      <c r="AR183" s="1997"/>
      <c r="AT183" s="1998"/>
      <c r="AU183" s="1999"/>
      <c r="AV183" s="1999"/>
      <c r="AW183" s="1999"/>
      <c r="AX183" s="1999"/>
      <c r="AY183" s="1999"/>
      <c r="AZ183" s="1999"/>
      <c r="BA183" s="1999"/>
      <c r="BB183" s="1999"/>
      <c r="BC183" s="1999"/>
      <c r="BD183" s="1999"/>
      <c r="BE183" s="1999"/>
      <c r="BF183" s="1999"/>
    </row>
    <row r="184" ht="15.75" customHeight="1">
      <c r="A184" s="2001"/>
      <c r="B184" s="478"/>
      <c r="D184" s="1996"/>
      <c r="E184" s="1996"/>
      <c r="F184" s="1996"/>
      <c r="G184" s="1996"/>
      <c r="H184" s="1996"/>
      <c r="I184" s="1996"/>
      <c r="L184" s="1997"/>
      <c r="Q184" s="1997"/>
      <c r="V184" s="1997"/>
      <c r="Z184" s="1164"/>
      <c r="AA184" s="1997"/>
      <c r="AE184" s="1164"/>
      <c r="AF184" s="1997"/>
      <c r="AH184" s="1430"/>
      <c r="AJ184" s="1164"/>
      <c r="AK184" s="1164"/>
      <c r="AL184" s="1997"/>
      <c r="AN184" s="1998"/>
      <c r="AP184" s="1164"/>
      <c r="AQ184" s="1164"/>
      <c r="AR184" s="1997"/>
      <c r="AT184" s="1998"/>
      <c r="AU184" s="1999"/>
      <c r="AV184" s="1999"/>
      <c r="AW184" s="1999"/>
      <c r="AX184" s="1999"/>
      <c r="AY184" s="1999"/>
      <c r="AZ184" s="1999"/>
      <c r="BA184" s="1999"/>
      <c r="BB184" s="1999"/>
      <c r="BC184" s="1999"/>
      <c r="BD184" s="1999"/>
      <c r="BE184" s="1999"/>
      <c r="BF184" s="1999"/>
    </row>
    <row r="185" ht="15.75" customHeight="1">
      <c r="A185" s="2001"/>
      <c r="B185" s="478"/>
      <c r="D185" s="1996"/>
      <c r="E185" s="1996"/>
      <c r="F185" s="1996"/>
      <c r="G185" s="1996"/>
      <c r="H185" s="1996"/>
      <c r="I185" s="1996"/>
      <c r="L185" s="1997"/>
      <c r="Q185" s="1997"/>
      <c r="V185" s="1997"/>
      <c r="Z185" s="1164"/>
      <c r="AA185" s="1997"/>
      <c r="AE185" s="1164"/>
      <c r="AF185" s="1997"/>
      <c r="AH185" s="1430"/>
      <c r="AJ185" s="1164"/>
      <c r="AK185" s="1164"/>
      <c r="AL185" s="1997"/>
      <c r="AN185" s="1998"/>
      <c r="AP185" s="1164"/>
      <c r="AQ185" s="1164"/>
      <c r="AR185" s="1997"/>
      <c r="AT185" s="1998"/>
      <c r="AU185" s="1999"/>
      <c r="AV185" s="1999"/>
      <c r="AW185" s="1999"/>
      <c r="AX185" s="1999"/>
      <c r="AY185" s="1999"/>
      <c r="AZ185" s="1999"/>
      <c r="BA185" s="1999"/>
      <c r="BB185" s="1999"/>
      <c r="BC185" s="1999"/>
      <c r="BD185" s="1999"/>
      <c r="BE185" s="1999"/>
      <c r="BF185" s="1999"/>
    </row>
    <row r="186" ht="15.75" customHeight="1">
      <c r="A186" s="2001"/>
      <c r="B186" s="478"/>
      <c r="D186" s="1996"/>
      <c r="E186" s="1996"/>
      <c r="F186" s="1996"/>
      <c r="G186" s="1996"/>
      <c r="H186" s="1996"/>
      <c r="I186" s="1996"/>
      <c r="L186" s="1997"/>
      <c r="Q186" s="1997"/>
      <c r="V186" s="1997"/>
      <c r="Z186" s="1164"/>
      <c r="AA186" s="1997"/>
      <c r="AE186" s="1164"/>
      <c r="AF186" s="1997"/>
      <c r="AH186" s="1430"/>
      <c r="AJ186" s="1164"/>
      <c r="AK186" s="1164"/>
      <c r="AL186" s="1997"/>
      <c r="AN186" s="1998"/>
      <c r="AP186" s="1164"/>
      <c r="AQ186" s="1164"/>
      <c r="AR186" s="1997"/>
      <c r="AT186" s="1998"/>
      <c r="AU186" s="1999"/>
      <c r="AV186" s="1999"/>
      <c r="AW186" s="1999"/>
      <c r="AX186" s="1999"/>
      <c r="AY186" s="1999"/>
      <c r="AZ186" s="1999"/>
      <c r="BA186" s="1999"/>
      <c r="BB186" s="1999"/>
      <c r="BC186" s="1999"/>
      <c r="BD186" s="1999"/>
      <c r="BE186" s="1999"/>
      <c r="BF186" s="1999"/>
    </row>
    <row r="187" ht="15.75" customHeight="1">
      <c r="A187" s="2001"/>
      <c r="B187" s="478"/>
      <c r="D187" s="1996"/>
      <c r="E187" s="1996"/>
      <c r="F187" s="1996"/>
      <c r="G187" s="1996"/>
      <c r="H187" s="1996"/>
      <c r="I187" s="1996"/>
      <c r="L187" s="1997"/>
      <c r="Q187" s="1997"/>
      <c r="V187" s="1997"/>
      <c r="Z187" s="1164"/>
      <c r="AA187" s="1997"/>
      <c r="AE187" s="1164"/>
      <c r="AF187" s="1997"/>
      <c r="AH187" s="1430"/>
      <c r="AJ187" s="1164"/>
      <c r="AK187" s="1164"/>
      <c r="AL187" s="1997"/>
      <c r="AN187" s="1998"/>
      <c r="AP187" s="1164"/>
      <c r="AQ187" s="1164"/>
      <c r="AR187" s="1997"/>
      <c r="AT187" s="1998"/>
      <c r="AU187" s="1999"/>
      <c r="AV187" s="1999"/>
      <c r="AW187" s="1999"/>
      <c r="AX187" s="1999"/>
      <c r="AY187" s="1999"/>
      <c r="AZ187" s="1999"/>
      <c r="BA187" s="1999"/>
      <c r="BB187" s="1999"/>
      <c r="BC187" s="1999"/>
      <c r="BD187" s="1999"/>
      <c r="BE187" s="1999"/>
      <c r="BF187" s="1999"/>
    </row>
    <row r="188" ht="15.75" customHeight="1">
      <c r="A188" s="2001"/>
      <c r="B188" s="478"/>
      <c r="D188" s="1996"/>
      <c r="E188" s="1996"/>
      <c r="F188" s="1996"/>
      <c r="G188" s="1996"/>
      <c r="H188" s="1996"/>
      <c r="I188" s="1996"/>
      <c r="L188" s="1997"/>
      <c r="Q188" s="1997"/>
      <c r="V188" s="1997"/>
      <c r="Z188" s="1164"/>
      <c r="AA188" s="1997"/>
      <c r="AE188" s="1164"/>
      <c r="AF188" s="1997"/>
      <c r="AH188" s="1430"/>
      <c r="AJ188" s="1164"/>
      <c r="AK188" s="1164"/>
      <c r="AL188" s="1997"/>
      <c r="AN188" s="1998"/>
      <c r="AP188" s="1164"/>
      <c r="AQ188" s="1164"/>
      <c r="AR188" s="1997"/>
      <c r="AT188" s="1998"/>
      <c r="AU188" s="1999"/>
      <c r="AV188" s="1999"/>
      <c r="AW188" s="1999"/>
      <c r="AX188" s="1999"/>
      <c r="AY188" s="1999"/>
      <c r="AZ188" s="1999"/>
      <c r="BA188" s="1999"/>
      <c r="BB188" s="1999"/>
      <c r="BC188" s="1999"/>
      <c r="BD188" s="1999"/>
      <c r="BE188" s="1999"/>
      <c r="BF188" s="1999"/>
    </row>
    <row r="189" ht="15.75" customHeight="1">
      <c r="A189" s="2001"/>
      <c r="B189" s="478"/>
      <c r="D189" s="1996"/>
      <c r="E189" s="1996"/>
      <c r="F189" s="1996"/>
      <c r="G189" s="1996"/>
      <c r="H189" s="1996"/>
      <c r="I189" s="1996"/>
      <c r="L189" s="1997"/>
      <c r="Q189" s="1997"/>
      <c r="V189" s="1997"/>
      <c r="Z189" s="1164"/>
      <c r="AA189" s="1997"/>
      <c r="AE189" s="1164"/>
      <c r="AF189" s="1997"/>
      <c r="AH189" s="1430"/>
      <c r="AJ189" s="1164"/>
      <c r="AK189" s="1164"/>
      <c r="AL189" s="1997"/>
      <c r="AN189" s="1998"/>
      <c r="AP189" s="1164"/>
      <c r="AQ189" s="1164"/>
      <c r="AR189" s="1997"/>
      <c r="AT189" s="1998"/>
      <c r="AU189" s="1999"/>
      <c r="AV189" s="1999"/>
      <c r="AW189" s="1999"/>
      <c r="AX189" s="1999"/>
      <c r="AY189" s="1999"/>
      <c r="AZ189" s="1999"/>
      <c r="BA189" s="1999"/>
      <c r="BB189" s="1999"/>
      <c r="BC189" s="1999"/>
      <c r="BD189" s="1999"/>
      <c r="BE189" s="1999"/>
      <c r="BF189" s="1999"/>
    </row>
    <row r="190" ht="15.75" customHeight="1">
      <c r="A190" s="2001"/>
      <c r="B190" s="478"/>
      <c r="D190" s="1996"/>
      <c r="E190" s="1996"/>
      <c r="F190" s="1996"/>
      <c r="G190" s="1996"/>
      <c r="H190" s="1996"/>
      <c r="I190" s="1996"/>
      <c r="L190" s="1997"/>
      <c r="Q190" s="1997"/>
      <c r="V190" s="1997"/>
      <c r="Z190" s="1164"/>
      <c r="AA190" s="1997"/>
      <c r="AE190" s="1164"/>
      <c r="AF190" s="1997"/>
      <c r="AH190" s="1430"/>
      <c r="AJ190" s="1164"/>
      <c r="AK190" s="1164"/>
      <c r="AL190" s="1997"/>
      <c r="AN190" s="1998"/>
      <c r="AP190" s="1164"/>
      <c r="AQ190" s="1164"/>
      <c r="AR190" s="1997"/>
      <c r="AT190" s="1998"/>
      <c r="AU190" s="1999"/>
      <c r="AV190" s="1999"/>
      <c r="AW190" s="1999"/>
      <c r="AX190" s="1999"/>
      <c r="AY190" s="1999"/>
      <c r="AZ190" s="1999"/>
      <c r="BA190" s="1999"/>
      <c r="BB190" s="1999"/>
      <c r="BC190" s="1999"/>
      <c r="BD190" s="1999"/>
      <c r="BE190" s="1999"/>
      <c r="BF190" s="1999"/>
    </row>
    <row r="191" ht="15.75" customHeight="1">
      <c r="A191" s="2001"/>
      <c r="B191" s="478"/>
      <c r="D191" s="1996"/>
      <c r="E191" s="1996"/>
      <c r="F191" s="1996"/>
      <c r="G191" s="1996"/>
      <c r="H191" s="1996"/>
      <c r="I191" s="1996"/>
      <c r="L191" s="1997"/>
      <c r="Q191" s="1997"/>
      <c r="V191" s="1997"/>
      <c r="Z191" s="1164"/>
      <c r="AA191" s="1997"/>
      <c r="AE191" s="1164"/>
      <c r="AF191" s="1997"/>
      <c r="AH191" s="1430"/>
      <c r="AJ191" s="1164"/>
      <c r="AK191" s="1164"/>
      <c r="AL191" s="1997"/>
      <c r="AN191" s="1998"/>
      <c r="AP191" s="1164"/>
      <c r="AQ191" s="1164"/>
      <c r="AR191" s="1997"/>
      <c r="AT191" s="1998"/>
      <c r="AU191" s="1999"/>
      <c r="AV191" s="1999"/>
      <c r="AW191" s="1999"/>
      <c r="AX191" s="1999"/>
      <c r="AY191" s="1999"/>
      <c r="AZ191" s="1999"/>
      <c r="BA191" s="1999"/>
      <c r="BB191" s="1999"/>
      <c r="BC191" s="1999"/>
      <c r="BD191" s="1999"/>
      <c r="BE191" s="1999"/>
      <c r="BF191" s="1999"/>
    </row>
    <row r="192" ht="15.75" customHeight="1">
      <c r="A192" s="2001"/>
      <c r="B192" s="478"/>
      <c r="D192" s="1996"/>
      <c r="E192" s="1996"/>
      <c r="F192" s="1996"/>
      <c r="G192" s="1996"/>
      <c r="H192" s="1996"/>
      <c r="I192" s="1996"/>
      <c r="L192" s="1997"/>
      <c r="Q192" s="1997"/>
      <c r="V192" s="1997"/>
      <c r="Z192" s="1164"/>
      <c r="AA192" s="1997"/>
      <c r="AE192" s="1164"/>
      <c r="AF192" s="1997"/>
      <c r="AH192" s="1430"/>
      <c r="AJ192" s="1164"/>
      <c r="AK192" s="1164"/>
      <c r="AL192" s="1997"/>
      <c r="AN192" s="1998"/>
      <c r="AP192" s="1164"/>
      <c r="AQ192" s="1164"/>
      <c r="AR192" s="1997"/>
      <c r="AT192" s="1998"/>
      <c r="AU192" s="1999"/>
      <c r="AV192" s="1999"/>
      <c r="AW192" s="1999"/>
      <c r="AX192" s="1999"/>
      <c r="AY192" s="1999"/>
      <c r="AZ192" s="1999"/>
      <c r="BA192" s="1999"/>
      <c r="BB192" s="1999"/>
      <c r="BC192" s="1999"/>
      <c r="BD192" s="1999"/>
      <c r="BE192" s="1999"/>
      <c r="BF192" s="1999"/>
    </row>
    <row r="193" ht="15.75" customHeight="1">
      <c r="A193" s="2001"/>
      <c r="B193" s="478"/>
      <c r="D193" s="1996"/>
      <c r="E193" s="1996"/>
      <c r="F193" s="1996"/>
      <c r="G193" s="1996"/>
      <c r="H193" s="1996"/>
      <c r="I193" s="1996"/>
      <c r="L193" s="1997"/>
      <c r="Q193" s="1997"/>
      <c r="V193" s="1997"/>
      <c r="Z193" s="1164"/>
      <c r="AA193" s="1997"/>
      <c r="AE193" s="1164"/>
      <c r="AF193" s="1997"/>
      <c r="AH193" s="1430"/>
      <c r="AJ193" s="1164"/>
      <c r="AK193" s="1164"/>
      <c r="AL193" s="1997"/>
      <c r="AN193" s="1998"/>
      <c r="AP193" s="1164"/>
      <c r="AQ193" s="1164"/>
      <c r="AR193" s="1997"/>
      <c r="AT193" s="1998"/>
      <c r="AU193" s="1999"/>
      <c r="AV193" s="1999"/>
      <c r="AW193" s="1999"/>
      <c r="AX193" s="1999"/>
      <c r="AY193" s="1999"/>
      <c r="AZ193" s="1999"/>
      <c r="BA193" s="1999"/>
      <c r="BB193" s="1999"/>
      <c r="BC193" s="1999"/>
      <c r="BD193" s="1999"/>
      <c r="BE193" s="1999"/>
      <c r="BF193" s="1999"/>
    </row>
    <row r="194" ht="15.75" customHeight="1">
      <c r="A194" s="2001"/>
      <c r="B194" s="478"/>
      <c r="D194" s="1996"/>
      <c r="E194" s="1996"/>
      <c r="F194" s="1996"/>
      <c r="G194" s="1996"/>
      <c r="H194" s="1996"/>
      <c r="I194" s="1996"/>
      <c r="L194" s="1997"/>
      <c r="Q194" s="1997"/>
      <c r="V194" s="1997"/>
      <c r="Z194" s="1164"/>
      <c r="AA194" s="1997"/>
      <c r="AE194" s="1164"/>
      <c r="AF194" s="1997"/>
      <c r="AH194" s="1430"/>
      <c r="AJ194" s="1164"/>
      <c r="AK194" s="1164"/>
      <c r="AL194" s="1997"/>
      <c r="AN194" s="1998"/>
      <c r="AP194" s="1164"/>
      <c r="AQ194" s="1164"/>
      <c r="AR194" s="1997"/>
      <c r="AT194" s="1998"/>
      <c r="AU194" s="1999"/>
      <c r="AV194" s="1999"/>
      <c r="AW194" s="1999"/>
      <c r="AX194" s="1999"/>
      <c r="AY194" s="1999"/>
      <c r="AZ194" s="1999"/>
      <c r="BA194" s="1999"/>
      <c r="BB194" s="1999"/>
      <c r="BC194" s="1999"/>
      <c r="BD194" s="1999"/>
      <c r="BE194" s="1999"/>
      <c r="BF194" s="1999"/>
    </row>
    <row r="195" ht="15.75" customHeight="1">
      <c r="A195" s="2001"/>
      <c r="B195" s="478"/>
      <c r="D195" s="1996"/>
      <c r="E195" s="1996"/>
      <c r="F195" s="1996"/>
      <c r="G195" s="1996"/>
      <c r="H195" s="1996"/>
      <c r="I195" s="1996"/>
      <c r="L195" s="1997"/>
      <c r="Q195" s="1997"/>
      <c r="V195" s="1997"/>
      <c r="Z195" s="1164"/>
      <c r="AA195" s="1997"/>
      <c r="AE195" s="1164"/>
      <c r="AF195" s="1997"/>
      <c r="AH195" s="1430"/>
      <c r="AJ195" s="1164"/>
      <c r="AK195" s="1164"/>
      <c r="AL195" s="1997"/>
      <c r="AN195" s="1998"/>
      <c r="AP195" s="1164"/>
      <c r="AQ195" s="1164"/>
      <c r="AR195" s="1997"/>
      <c r="AT195" s="1998"/>
      <c r="AU195" s="1999"/>
      <c r="AV195" s="1999"/>
      <c r="AW195" s="1999"/>
      <c r="AX195" s="1999"/>
      <c r="AY195" s="1999"/>
      <c r="AZ195" s="1999"/>
      <c r="BA195" s="1999"/>
      <c r="BB195" s="1999"/>
      <c r="BC195" s="1999"/>
      <c r="BD195" s="1999"/>
      <c r="BE195" s="1999"/>
      <c r="BF195" s="1999"/>
    </row>
    <row r="196" ht="15.75" customHeight="1">
      <c r="A196" s="2001"/>
      <c r="B196" s="478"/>
      <c r="D196" s="1996"/>
      <c r="E196" s="1996"/>
      <c r="F196" s="1996"/>
      <c r="G196" s="1996"/>
      <c r="H196" s="1996"/>
      <c r="I196" s="1996"/>
      <c r="L196" s="1997"/>
      <c r="Q196" s="1997"/>
      <c r="V196" s="1997"/>
      <c r="Z196" s="1164"/>
      <c r="AA196" s="1997"/>
      <c r="AE196" s="1164"/>
      <c r="AF196" s="1997"/>
      <c r="AH196" s="1430"/>
      <c r="AJ196" s="1164"/>
      <c r="AK196" s="1164"/>
      <c r="AL196" s="1997"/>
      <c r="AN196" s="1998"/>
      <c r="AP196" s="1164"/>
      <c r="AQ196" s="1164"/>
      <c r="AR196" s="1997"/>
      <c r="AT196" s="1998"/>
      <c r="AU196" s="1999"/>
      <c r="AV196" s="1999"/>
      <c r="AW196" s="1999"/>
      <c r="AX196" s="1999"/>
      <c r="AY196" s="1999"/>
      <c r="AZ196" s="1999"/>
      <c r="BA196" s="1999"/>
      <c r="BB196" s="1999"/>
      <c r="BC196" s="1999"/>
      <c r="BD196" s="1999"/>
      <c r="BE196" s="1999"/>
      <c r="BF196" s="1999"/>
    </row>
    <row r="197" ht="15.75" customHeight="1">
      <c r="A197" s="2001"/>
      <c r="B197" s="478"/>
      <c r="D197" s="1996"/>
      <c r="E197" s="1996"/>
      <c r="F197" s="1996"/>
      <c r="G197" s="1996"/>
      <c r="H197" s="1996"/>
      <c r="I197" s="1996"/>
      <c r="L197" s="1997"/>
      <c r="Q197" s="1997"/>
      <c r="V197" s="1997"/>
      <c r="Z197" s="1164"/>
      <c r="AA197" s="1997"/>
      <c r="AE197" s="1164"/>
      <c r="AF197" s="1997"/>
      <c r="AH197" s="1430"/>
      <c r="AJ197" s="1164"/>
      <c r="AK197" s="1164"/>
      <c r="AL197" s="1997"/>
      <c r="AN197" s="1998"/>
      <c r="AP197" s="1164"/>
      <c r="AQ197" s="1164"/>
      <c r="AR197" s="1997"/>
      <c r="AT197" s="1998"/>
      <c r="AU197" s="1999"/>
      <c r="AV197" s="1999"/>
      <c r="AW197" s="1999"/>
      <c r="AX197" s="1999"/>
      <c r="AY197" s="1999"/>
      <c r="AZ197" s="1999"/>
      <c r="BA197" s="1999"/>
      <c r="BB197" s="1999"/>
      <c r="BC197" s="1999"/>
      <c r="BD197" s="1999"/>
      <c r="BE197" s="1999"/>
      <c r="BF197" s="1999"/>
    </row>
    <row r="198" ht="15.75" customHeight="1">
      <c r="A198" s="2001"/>
      <c r="B198" s="478"/>
      <c r="D198" s="1996"/>
      <c r="E198" s="1996"/>
      <c r="F198" s="1996"/>
      <c r="G198" s="1996"/>
      <c r="H198" s="1996"/>
      <c r="I198" s="1996"/>
      <c r="L198" s="1997"/>
      <c r="Q198" s="1997"/>
      <c r="V198" s="1997"/>
      <c r="Z198" s="1164"/>
      <c r="AA198" s="1997"/>
      <c r="AE198" s="1164"/>
      <c r="AF198" s="1997"/>
      <c r="AH198" s="1430"/>
      <c r="AJ198" s="1164"/>
      <c r="AK198" s="1164"/>
      <c r="AL198" s="1997"/>
      <c r="AN198" s="1998"/>
      <c r="AP198" s="1164"/>
      <c r="AQ198" s="1164"/>
      <c r="AR198" s="1997"/>
      <c r="AT198" s="1998"/>
      <c r="AU198" s="1999"/>
      <c r="AV198" s="1999"/>
      <c r="AW198" s="1999"/>
      <c r="AX198" s="1999"/>
      <c r="AY198" s="1999"/>
      <c r="AZ198" s="1999"/>
      <c r="BA198" s="1999"/>
      <c r="BB198" s="1999"/>
      <c r="BC198" s="1999"/>
      <c r="BD198" s="1999"/>
      <c r="BE198" s="1999"/>
      <c r="BF198" s="1999"/>
    </row>
    <row r="199" ht="15.75" customHeight="1">
      <c r="A199" s="2001"/>
      <c r="B199" s="478"/>
      <c r="D199" s="1996"/>
      <c r="E199" s="1996"/>
      <c r="F199" s="1996"/>
      <c r="G199" s="1996"/>
      <c r="H199" s="1996"/>
      <c r="I199" s="1996"/>
      <c r="L199" s="1997"/>
      <c r="Q199" s="1997"/>
      <c r="V199" s="1997"/>
      <c r="Z199" s="1164"/>
      <c r="AA199" s="1997"/>
      <c r="AE199" s="1164"/>
      <c r="AF199" s="1997"/>
      <c r="AH199" s="1430"/>
      <c r="AJ199" s="1164"/>
      <c r="AK199" s="1164"/>
      <c r="AL199" s="1997"/>
      <c r="AN199" s="1998"/>
      <c r="AP199" s="1164"/>
      <c r="AQ199" s="1164"/>
      <c r="AR199" s="1997"/>
      <c r="AT199" s="1998"/>
      <c r="AU199" s="1999"/>
      <c r="AV199" s="1999"/>
      <c r="AW199" s="1999"/>
      <c r="AX199" s="1999"/>
      <c r="AY199" s="1999"/>
      <c r="AZ199" s="1999"/>
      <c r="BA199" s="1999"/>
      <c r="BB199" s="1999"/>
      <c r="BC199" s="1999"/>
      <c r="BD199" s="1999"/>
      <c r="BE199" s="1999"/>
      <c r="BF199" s="1999"/>
    </row>
    <row r="200" ht="15.75" customHeight="1">
      <c r="A200" s="2001"/>
      <c r="B200" s="478"/>
      <c r="D200" s="1996"/>
      <c r="E200" s="1996"/>
      <c r="F200" s="1996"/>
      <c r="G200" s="1996"/>
      <c r="H200" s="1996"/>
      <c r="I200" s="1996"/>
      <c r="L200" s="1997"/>
      <c r="Q200" s="1997"/>
      <c r="V200" s="1997"/>
      <c r="Z200" s="1164"/>
      <c r="AA200" s="1997"/>
      <c r="AE200" s="1164"/>
      <c r="AF200" s="1997"/>
      <c r="AH200" s="1430"/>
      <c r="AJ200" s="1164"/>
      <c r="AK200" s="1164"/>
      <c r="AL200" s="1997"/>
      <c r="AN200" s="1998"/>
      <c r="AP200" s="1164"/>
      <c r="AQ200" s="1164"/>
      <c r="AR200" s="1997"/>
      <c r="AT200" s="1998"/>
      <c r="AU200" s="1999"/>
      <c r="AV200" s="1999"/>
      <c r="AW200" s="1999"/>
      <c r="AX200" s="1999"/>
      <c r="AY200" s="1999"/>
      <c r="AZ200" s="1999"/>
      <c r="BA200" s="1999"/>
      <c r="BB200" s="1999"/>
      <c r="BC200" s="1999"/>
      <c r="BD200" s="1999"/>
      <c r="BE200" s="1999"/>
      <c r="BF200" s="1999"/>
    </row>
    <row r="201" ht="15.75" customHeight="1">
      <c r="A201" s="2001"/>
      <c r="B201" s="478"/>
      <c r="D201" s="1996"/>
      <c r="E201" s="1996"/>
      <c r="F201" s="1996"/>
      <c r="G201" s="1996"/>
      <c r="H201" s="1996"/>
      <c r="I201" s="1996"/>
      <c r="L201" s="1997"/>
      <c r="Q201" s="1997"/>
      <c r="V201" s="1997"/>
      <c r="Z201" s="1164"/>
      <c r="AA201" s="1997"/>
      <c r="AE201" s="1164"/>
      <c r="AF201" s="1997"/>
      <c r="AH201" s="1430"/>
      <c r="AJ201" s="1164"/>
      <c r="AK201" s="1164"/>
      <c r="AL201" s="1997"/>
      <c r="AN201" s="1998"/>
      <c r="AP201" s="1164"/>
      <c r="AQ201" s="1164"/>
      <c r="AR201" s="1997"/>
      <c r="AT201" s="1998"/>
      <c r="AU201" s="1999"/>
      <c r="AV201" s="1999"/>
      <c r="AW201" s="1999"/>
      <c r="AX201" s="1999"/>
      <c r="AY201" s="1999"/>
      <c r="AZ201" s="1999"/>
      <c r="BA201" s="1999"/>
      <c r="BB201" s="1999"/>
      <c r="BC201" s="1999"/>
      <c r="BD201" s="1999"/>
      <c r="BE201" s="1999"/>
      <c r="BF201" s="1999"/>
    </row>
    <row r="202" ht="15.75" customHeight="1">
      <c r="A202" s="2001"/>
      <c r="B202" s="478"/>
      <c r="D202" s="1996"/>
      <c r="E202" s="1996"/>
      <c r="F202" s="1996"/>
      <c r="G202" s="1996"/>
      <c r="H202" s="1996"/>
      <c r="I202" s="1996"/>
      <c r="L202" s="1997"/>
      <c r="Q202" s="1997"/>
      <c r="V202" s="1997"/>
      <c r="Z202" s="1164"/>
      <c r="AA202" s="1997"/>
      <c r="AE202" s="1164"/>
      <c r="AF202" s="1997"/>
      <c r="AH202" s="1430"/>
      <c r="AJ202" s="1164"/>
      <c r="AK202" s="1164"/>
      <c r="AL202" s="1997"/>
      <c r="AN202" s="1998"/>
      <c r="AP202" s="1164"/>
      <c r="AQ202" s="1164"/>
      <c r="AR202" s="1997"/>
      <c r="AT202" s="1998"/>
      <c r="AU202" s="1999"/>
      <c r="AV202" s="1999"/>
      <c r="AW202" s="1999"/>
      <c r="AX202" s="1999"/>
      <c r="AY202" s="1999"/>
      <c r="AZ202" s="1999"/>
      <c r="BA202" s="1999"/>
      <c r="BB202" s="1999"/>
      <c r="BC202" s="1999"/>
      <c r="BD202" s="1999"/>
      <c r="BE202" s="1999"/>
      <c r="BF202" s="1999"/>
    </row>
    <row r="203" ht="15.75" customHeight="1">
      <c r="A203" s="2001"/>
      <c r="B203" s="478"/>
      <c r="D203" s="1996"/>
      <c r="E203" s="1996"/>
      <c r="F203" s="1996"/>
      <c r="G203" s="1996"/>
      <c r="H203" s="1996"/>
      <c r="I203" s="1996"/>
      <c r="L203" s="1997"/>
      <c r="Q203" s="1997"/>
      <c r="V203" s="1997"/>
      <c r="Z203" s="1164"/>
      <c r="AA203" s="1997"/>
      <c r="AE203" s="1164"/>
      <c r="AF203" s="1997"/>
      <c r="AH203" s="1430"/>
      <c r="AJ203" s="1164"/>
      <c r="AK203" s="1164"/>
      <c r="AL203" s="1997"/>
      <c r="AN203" s="1998"/>
      <c r="AP203" s="1164"/>
      <c r="AQ203" s="1164"/>
      <c r="AR203" s="1997"/>
      <c r="AT203" s="1998"/>
      <c r="AU203" s="1999"/>
      <c r="AV203" s="1999"/>
      <c r="AW203" s="1999"/>
      <c r="AX203" s="1999"/>
      <c r="AY203" s="1999"/>
      <c r="AZ203" s="1999"/>
      <c r="BA203" s="1999"/>
      <c r="BB203" s="1999"/>
      <c r="BC203" s="1999"/>
      <c r="BD203" s="1999"/>
      <c r="BE203" s="1999"/>
      <c r="BF203" s="1999"/>
    </row>
    <row r="204" ht="15.75" customHeight="1">
      <c r="A204" s="2001"/>
      <c r="B204" s="478"/>
      <c r="D204" s="1996"/>
      <c r="E204" s="1996"/>
      <c r="F204" s="1996"/>
      <c r="G204" s="1996"/>
      <c r="H204" s="1996"/>
      <c r="I204" s="1996"/>
      <c r="L204" s="1997"/>
      <c r="Q204" s="1997"/>
      <c r="V204" s="1997"/>
      <c r="Z204" s="1164"/>
      <c r="AA204" s="1997"/>
      <c r="AE204" s="1164"/>
      <c r="AF204" s="1997"/>
      <c r="AH204" s="1430"/>
      <c r="AJ204" s="1164"/>
      <c r="AK204" s="1164"/>
      <c r="AL204" s="1997"/>
      <c r="AN204" s="1998"/>
      <c r="AP204" s="1164"/>
      <c r="AQ204" s="1164"/>
      <c r="AR204" s="1997"/>
      <c r="AT204" s="1998"/>
      <c r="AU204" s="1999"/>
      <c r="AV204" s="1999"/>
      <c r="AW204" s="1999"/>
      <c r="AX204" s="1999"/>
      <c r="AY204" s="1999"/>
      <c r="AZ204" s="1999"/>
      <c r="BA204" s="1999"/>
      <c r="BB204" s="1999"/>
      <c r="BC204" s="1999"/>
      <c r="BD204" s="1999"/>
      <c r="BE204" s="1999"/>
      <c r="BF204" s="1999"/>
    </row>
    <row r="205" ht="15.75" customHeight="1">
      <c r="A205" s="2001"/>
      <c r="B205" s="478"/>
      <c r="D205" s="1996"/>
      <c r="E205" s="1996"/>
      <c r="F205" s="1996"/>
      <c r="G205" s="1996"/>
      <c r="H205" s="1996"/>
      <c r="I205" s="1996"/>
      <c r="L205" s="1997"/>
      <c r="Q205" s="1997"/>
      <c r="V205" s="1997"/>
      <c r="Z205" s="1164"/>
      <c r="AA205" s="1997"/>
      <c r="AE205" s="1164"/>
      <c r="AF205" s="1997"/>
      <c r="AH205" s="1430"/>
      <c r="AJ205" s="1164"/>
      <c r="AK205" s="1164"/>
      <c r="AL205" s="1997"/>
      <c r="AN205" s="1998"/>
      <c r="AP205" s="1164"/>
      <c r="AQ205" s="1164"/>
      <c r="AR205" s="1997"/>
      <c r="AT205" s="1998"/>
      <c r="AU205" s="1999"/>
      <c r="AV205" s="1999"/>
      <c r="AW205" s="1999"/>
      <c r="AX205" s="1999"/>
      <c r="AY205" s="1999"/>
      <c r="AZ205" s="1999"/>
      <c r="BA205" s="1999"/>
      <c r="BB205" s="1999"/>
      <c r="BC205" s="1999"/>
      <c r="BD205" s="1999"/>
      <c r="BE205" s="1999"/>
      <c r="BF205" s="1999"/>
    </row>
    <row r="206" ht="15.75" customHeight="1">
      <c r="A206" s="2001"/>
      <c r="B206" s="478"/>
      <c r="D206" s="1996"/>
      <c r="E206" s="1996"/>
      <c r="F206" s="1996"/>
      <c r="G206" s="1996"/>
      <c r="H206" s="1996"/>
      <c r="I206" s="1996"/>
      <c r="L206" s="1997"/>
      <c r="Q206" s="1997"/>
      <c r="V206" s="1997"/>
      <c r="Z206" s="1164"/>
      <c r="AA206" s="1997"/>
      <c r="AE206" s="1164"/>
      <c r="AF206" s="1997"/>
      <c r="AH206" s="1430"/>
      <c r="AJ206" s="1164"/>
      <c r="AK206" s="1164"/>
      <c r="AL206" s="1997"/>
      <c r="AN206" s="1998"/>
      <c r="AP206" s="1164"/>
      <c r="AQ206" s="1164"/>
      <c r="AR206" s="1997"/>
      <c r="AT206" s="1998"/>
      <c r="AU206" s="1999"/>
      <c r="AV206" s="1999"/>
      <c r="AW206" s="1999"/>
      <c r="AX206" s="1999"/>
      <c r="AY206" s="1999"/>
      <c r="AZ206" s="1999"/>
      <c r="BA206" s="1999"/>
      <c r="BB206" s="1999"/>
      <c r="BC206" s="1999"/>
      <c r="BD206" s="1999"/>
      <c r="BE206" s="1999"/>
      <c r="BF206" s="1999"/>
    </row>
    <row r="207" ht="15.75" customHeight="1">
      <c r="A207" s="2001"/>
      <c r="B207" s="478"/>
      <c r="D207" s="1996"/>
      <c r="E207" s="1996"/>
      <c r="F207" s="1996"/>
      <c r="G207" s="1996"/>
      <c r="H207" s="1996"/>
      <c r="I207" s="1996"/>
      <c r="L207" s="1997"/>
      <c r="Q207" s="1997"/>
      <c r="V207" s="1997"/>
      <c r="Z207" s="1164"/>
      <c r="AA207" s="1997"/>
      <c r="AE207" s="1164"/>
      <c r="AF207" s="1997"/>
      <c r="AH207" s="1430"/>
      <c r="AJ207" s="1164"/>
      <c r="AK207" s="1164"/>
      <c r="AL207" s="1997"/>
      <c r="AN207" s="1998"/>
      <c r="AP207" s="1164"/>
      <c r="AQ207" s="1164"/>
      <c r="AR207" s="1997"/>
      <c r="AT207" s="1998"/>
      <c r="AU207" s="1999"/>
      <c r="AV207" s="1999"/>
      <c r="AW207" s="1999"/>
      <c r="AX207" s="1999"/>
      <c r="AY207" s="1999"/>
      <c r="AZ207" s="1999"/>
      <c r="BA207" s="1999"/>
      <c r="BB207" s="1999"/>
      <c r="BC207" s="1999"/>
      <c r="BD207" s="1999"/>
      <c r="BE207" s="1999"/>
      <c r="BF207" s="1999"/>
    </row>
    <row r="208" ht="15.75" customHeight="1">
      <c r="A208" s="2001"/>
      <c r="B208" s="478"/>
      <c r="D208" s="1996"/>
      <c r="E208" s="1996"/>
      <c r="F208" s="1996"/>
      <c r="G208" s="1996"/>
      <c r="H208" s="1996"/>
      <c r="I208" s="1996"/>
      <c r="L208" s="1997"/>
      <c r="Q208" s="1997"/>
      <c r="V208" s="1997"/>
      <c r="Z208" s="1164"/>
      <c r="AA208" s="1997"/>
      <c r="AE208" s="1164"/>
      <c r="AF208" s="1997"/>
      <c r="AH208" s="1430"/>
      <c r="AJ208" s="1164"/>
      <c r="AK208" s="1164"/>
      <c r="AL208" s="1997"/>
      <c r="AN208" s="1998"/>
      <c r="AP208" s="1164"/>
      <c r="AQ208" s="1164"/>
      <c r="AR208" s="1997"/>
      <c r="AT208" s="1998"/>
      <c r="AU208" s="1999"/>
      <c r="AV208" s="1999"/>
      <c r="AW208" s="1999"/>
      <c r="AX208" s="1999"/>
      <c r="AY208" s="1999"/>
      <c r="AZ208" s="1999"/>
      <c r="BA208" s="1999"/>
      <c r="BB208" s="1999"/>
      <c r="BC208" s="1999"/>
      <c r="BD208" s="1999"/>
      <c r="BE208" s="1999"/>
      <c r="BF208" s="1999"/>
    </row>
    <row r="209" ht="15.75" customHeight="1">
      <c r="A209" s="2001"/>
      <c r="B209" s="478"/>
      <c r="D209" s="1996"/>
      <c r="E209" s="1996"/>
      <c r="F209" s="1996"/>
      <c r="G209" s="1996"/>
      <c r="H209" s="1996"/>
      <c r="I209" s="1996"/>
      <c r="L209" s="1997"/>
      <c r="Q209" s="1997"/>
      <c r="V209" s="1997"/>
      <c r="Z209" s="1164"/>
      <c r="AA209" s="1997"/>
      <c r="AE209" s="1164"/>
      <c r="AF209" s="1997"/>
      <c r="AH209" s="1430"/>
      <c r="AJ209" s="1164"/>
      <c r="AK209" s="1164"/>
      <c r="AL209" s="1997"/>
      <c r="AN209" s="1998"/>
      <c r="AP209" s="1164"/>
      <c r="AQ209" s="1164"/>
      <c r="AR209" s="1997"/>
      <c r="AT209" s="1998"/>
      <c r="AU209" s="1999"/>
      <c r="AV209" s="1999"/>
      <c r="AW209" s="1999"/>
      <c r="AX209" s="1999"/>
      <c r="AY209" s="1999"/>
      <c r="AZ209" s="1999"/>
      <c r="BA209" s="1999"/>
      <c r="BB209" s="1999"/>
      <c r="BC209" s="1999"/>
      <c r="BD209" s="1999"/>
      <c r="BE209" s="1999"/>
      <c r="BF209" s="1999"/>
    </row>
    <row r="210" ht="15.75" customHeight="1">
      <c r="A210" s="2001"/>
      <c r="B210" s="478"/>
      <c r="D210" s="1996"/>
      <c r="E210" s="1996"/>
      <c r="F210" s="1996"/>
      <c r="G210" s="1996"/>
      <c r="H210" s="1996"/>
      <c r="I210" s="1996"/>
      <c r="L210" s="1997"/>
      <c r="Q210" s="1997"/>
      <c r="V210" s="1997"/>
      <c r="Z210" s="1164"/>
      <c r="AA210" s="1997"/>
      <c r="AE210" s="1164"/>
      <c r="AF210" s="1997"/>
      <c r="AH210" s="1430"/>
      <c r="AJ210" s="1164"/>
      <c r="AK210" s="1164"/>
      <c r="AL210" s="1997"/>
      <c r="AN210" s="1998"/>
      <c r="AP210" s="1164"/>
      <c r="AQ210" s="1164"/>
      <c r="AR210" s="1997"/>
      <c r="AT210" s="1998"/>
      <c r="AU210" s="1999"/>
      <c r="AV210" s="1999"/>
      <c r="AW210" s="1999"/>
      <c r="AX210" s="1999"/>
      <c r="AY210" s="1999"/>
      <c r="AZ210" s="1999"/>
      <c r="BA210" s="1999"/>
      <c r="BB210" s="1999"/>
      <c r="BC210" s="1999"/>
      <c r="BD210" s="1999"/>
      <c r="BE210" s="1999"/>
      <c r="BF210" s="1999"/>
    </row>
    <row r="211" ht="15.75" customHeight="1">
      <c r="A211" s="2001"/>
      <c r="B211" s="478"/>
      <c r="D211" s="1996"/>
      <c r="E211" s="1996"/>
      <c r="F211" s="1996"/>
      <c r="G211" s="1996"/>
      <c r="H211" s="1996"/>
      <c r="I211" s="1996"/>
      <c r="L211" s="1997"/>
      <c r="Q211" s="1997"/>
      <c r="V211" s="1997"/>
      <c r="Z211" s="1164"/>
      <c r="AA211" s="1997"/>
      <c r="AE211" s="1164"/>
      <c r="AF211" s="1997"/>
      <c r="AH211" s="1430"/>
      <c r="AJ211" s="1164"/>
      <c r="AK211" s="1164"/>
      <c r="AL211" s="1997"/>
      <c r="AN211" s="1998"/>
      <c r="AP211" s="1164"/>
      <c r="AQ211" s="1164"/>
      <c r="AR211" s="1997"/>
      <c r="AT211" s="1998"/>
      <c r="AU211" s="1999"/>
      <c r="AV211" s="1999"/>
      <c r="AW211" s="1999"/>
      <c r="AX211" s="1999"/>
      <c r="AY211" s="1999"/>
      <c r="AZ211" s="1999"/>
      <c r="BA211" s="1999"/>
      <c r="BB211" s="1999"/>
      <c r="BC211" s="1999"/>
      <c r="BD211" s="1999"/>
      <c r="BE211" s="1999"/>
      <c r="BF211" s="1999"/>
    </row>
    <row r="212" ht="15.75" customHeight="1">
      <c r="A212" s="2001"/>
      <c r="B212" s="478"/>
      <c r="D212" s="1996"/>
      <c r="E212" s="1996"/>
      <c r="F212" s="1996"/>
      <c r="G212" s="1996"/>
      <c r="H212" s="1996"/>
      <c r="I212" s="1996"/>
      <c r="L212" s="1997"/>
      <c r="Q212" s="1997"/>
      <c r="V212" s="1997"/>
      <c r="Z212" s="1164"/>
      <c r="AA212" s="1997"/>
      <c r="AE212" s="1164"/>
      <c r="AF212" s="1997"/>
      <c r="AH212" s="1430"/>
      <c r="AJ212" s="1164"/>
      <c r="AK212" s="1164"/>
      <c r="AL212" s="1997"/>
      <c r="AN212" s="1998"/>
      <c r="AP212" s="1164"/>
      <c r="AQ212" s="1164"/>
      <c r="AR212" s="1997"/>
      <c r="AT212" s="1998"/>
      <c r="AU212" s="1999"/>
      <c r="AV212" s="1999"/>
      <c r="AW212" s="1999"/>
      <c r="AX212" s="1999"/>
      <c r="AY212" s="1999"/>
      <c r="AZ212" s="1999"/>
      <c r="BA212" s="1999"/>
      <c r="BB212" s="1999"/>
      <c r="BC212" s="1999"/>
      <c r="BD212" s="1999"/>
      <c r="BE212" s="1999"/>
      <c r="BF212" s="1999"/>
    </row>
    <row r="213" ht="15.75" customHeight="1">
      <c r="A213" s="2001"/>
      <c r="B213" s="478"/>
      <c r="D213" s="1996"/>
      <c r="E213" s="1996"/>
      <c r="F213" s="1996"/>
      <c r="G213" s="1996"/>
      <c r="H213" s="1996"/>
      <c r="I213" s="1996"/>
      <c r="L213" s="1997"/>
      <c r="Q213" s="1997"/>
      <c r="V213" s="1997"/>
      <c r="Z213" s="1164"/>
      <c r="AA213" s="1997"/>
      <c r="AE213" s="1164"/>
      <c r="AF213" s="1997"/>
      <c r="AH213" s="1430"/>
      <c r="AJ213" s="1164"/>
      <c r="AK213" s="1164"/>
      <c r="AL213" s="1997"/>
      <c r="AN213" s="1998"/>
      <c r="AP213" s="1164"/>
      <c r="AQ213" s="1164"/>
      <c r="AR213" s="1997"/>
      <c r="AT213" s="1998"/>
      <c r="AU213" s="1999"/>
      <c r="AV213" s="1999"/>
      <c r="AW213" s="1999"/>
      <c r="AX213" s="1999"/>
      <c r="AY213" s="1999"/>
      <c r="AZ213" s="1999"/>
      <c r="BA213" s="1999"/>
      <c r="BB213" s="1999"/>
      <c r="BC213" s="1999"/>
      <c r="BD213" s="1999"/>
      <c r="BE213" s="1999"/>
      <c r="BF213" s="1999"/>
    </row>
    <row r="214" ht="15.75" customHeight="1">
      <c r="A214" s="2001"/>
      <c r="B214" s="478"/>
      <c r="D214" s="1996"/>
      <c r="E214" s="1996"/>
      <c r="F214" s="1996"/>
      <c r="G214" s="1996"/>
      <c r="H214" s="1996"/>
      <c r="I214" s="1996"/>
      <c r="L214" s="1997"/>
      <c r="Q214" s="1997"/>
      <c r="V214" s="1997"/>
      <c r="Z214" s="1164"/>
      <c r="AA214" s="1997"/>
      <c r="AE214" s="1164"/>
      <c r="AF214" s="1997"/>
      <c r="AH214" s="1430"/>
      <c r="AJ214" s="1164"/>
      <c r="AK214" s="1164"/>
      <c r="AL214" s="1997"/>
      <c r="AN214" s="1998"/>
      <c r="AP214" s="1164"/>
      <c r="AQ214" s="1164"/>
      <c r="AR214" s="1997"/>
      <c r="AT214" s="1998"/>
      <c r="AU214" s="1999"/>
      <c r="AV214" s="1999"/>
      <c r="AW214" s="1999"/>
      <c r="AX214" s="1999"/>
      <c r="AY214" s="1999"/>
      <c r="AZ214" s="1999"/>
      <c r="BA214" s="1999"/>
      <c r="BB214" s="1999"/>
      <c r="BC214" s="1999"/>
      <c r="BD214" s="1999"/>
      <c r="BE214" s="1999"/>
      <c r="BF214" s="1999"/>
    </row>
    <row r="215" ht="15.75" customHeight="1">
      <c r="A215" s="2001"/>
      <c r="B215" s="478"/>
      <c r="D215" s="1996"/>
      <c r="E215" s="1996"/>
      <c r="F215" s="1996"/>
      <c r="G215" s="1996"/>
      <c r="H215" s="1996"/>
      <c r="I215" s="1996"/>
      <c r="L215" s="1997"/>
      <c r="Q215" s="1997"/>
      <c r="V215" s="1997"/>
      <c r="Z215" s="1164"/>
      <c r="AA215" s="1997"/>
      <c r="AE215" s="1164"/>
      <c r="AF215" s="1997"/>
      <c r="AH215" s="1430"/>
      <c r="AJ215" s="1164"/>
      <c r="AK215" s="1164"/>
      <c r="AL215" s="1997"/>
      <c r="AN215" s="1998"/>
      <c r="AP215" s="1164"/>
      <c r="AQ215" s="1164"/>
      <c r="AR215" s="1997"/>
      <c r="AT215" s="1998"/>
      <c r="AU215" s="1999"/>
      <c r="AV215" s="1999"/>
      <c r="AW215" s="1999"/>
      <c r="AX215" s="1999"/>
      <c r="AY215" s="1999"/>
      <c r="AZ215" s="1999"/>
      <c r="BA215" s="1999"/>
      <c r="BB215" s="1999"/>
      <c r="BC215" s="1999"/>
      <c r="BD215" s="1999"/>
      <c r="BE215" s="1999"/>
      <c r="BF215" s="1999"/>
    </row>
    <row r="216" ht="15.75" customHeight="1">
      <c r="A216" s="2001"/>
      <c r="B216" s="478"/>
      <c r="D216" s="1996"/>
      <c r="E216" s="1996"/>
      <c r="F216" s="1996"/>
      <c r="G216" s="1996"/>
      <c r="H216" s="1996"/>
      <c r="I216" s="1996"/>
      <c r="L216" s="1997"/>
      <c r="Q216" s="1997"/>
      <c r="V216" s="1997"/>
      <c r="Z216" s="1164"/>
      <c r="AA216" s="1997"/>
      <c r="AE216" s="1164"/>
      <c r="AF216" s="1997"/>
      <c r="AH216" s="1430"/>
      <c r="AJ216" s="1164"/>
      <c r="AK216" s="1164"/>
      <c r="AL216" s="1997"/>
      <c r="AN216" s="1998"/>
      <c r="AP216" s="1164"/>
      <c r="AQ216" s="1164"/>
      <c r="AR216" s="1997"/>
      <c r="AT216" s="1998"/>
      <c r="AU216" s="1999"/>
      <c r="AV216" s="1999"/>
      <c r="AW216" s="1999"/>
      <c r="AX216" s="1999"/>
      <c r="AY216" s="1999"/>
      <c r="AZ216" s="1999"/>
      <c r="BA216" s="1999"/>
      <c r="BB216" s="1999"/>
      <c r="BC216" s="1999"/>
      <c r="BD216" s="1999"/>
      <c r="BE216" s="1999"/>
      <c r="BF216" s="1999"/>
    </row>
    <row r="217" ht="15.75" customHeight="1">
      <c r="A217" s="2001"/>
      <c r="B217" s="478"/>
      <c r="D217" s="1996"/>
      <c r="E217" s="1996"/>
      <c r="F217" s="1996"/>
      <c r="G217" s="1996"/>
      <c r="H217" s="1996"/>
      <c r="I217" s="1996"/>
      <c r="L217" s="1997"/>
      <c r="Q217" s="1997"/>
      <c r="V217" s="1997"/>
      <c r="Z217" s="1164"/>
      <c r="AA217" s="1997"/>
      <c r="AE217" s="1164"/>
      <c r="AF217" s="1997"/>
      <c r="AH217" s="1430"/>
      <c r="AJ217" s="1164"/>
      <c r="AK217" s="1164"/>
      <c r="AL217" s="1997"/>
      <c r="AN217" s="1998"/>
      <c r="AP217" s="1164"/>
      <c r="AQ217" s="1164"/>
      <c r="AR217" s="1997"/>
      <c r="AT217" s="1998"/>
      <c r="AU217" s="1999"/>
      <c r="AV217" s="1999"/>
      <c r="AW217" s="1999"/>
      <c r="AX217" s="1999"/>
      <c r="AY217" s="1999"/>
      <c r="AZ217" s="1999"/>
      <c r="BA217" s="1999"/>
      <c r="BB217" s="1999"/>
      <c r="BC217" s="1999"/>
      <c r="BD217" s="1999"/>
      <c r="BE217" s="1999"/>
      <c r="BF217" s="1999"/>
    </row>
    <row r="218" ht="15.75" customHeight="1">
      <c r="A218" s="2001"/>
      <c r="B218" s="478"/>
      <c r="D218" s="1996"/>
      <c r="E218" s="1996"/>
      <c r="F218" s="1996"/>
      <c r="G218" s="1996"/>
      <c r="H218" s="1996"/>
      <c r="I218" s="1996"/>
      <c r="L218" s="1997"/>
      <c r="Q218" s="1997"/>
      <c r="V218" s="1997"/>
      <c r="Z218" s="1164"/>
      <c r="AA218" s="1997"/>
      <c r="AE218" s="1164"/>
      <c r="AF218" s="1997"/>
      <c r="AH218" s="1430"/>
      <c r="AJ218" s="1164"/>
      <c r="AK218" s="1164"/>
      <c r="AL218" s="1997"/>
      <c r="AN218" s="1998"/>
      <c r="AP218" s="1164"/>
      <c r="AQ218" s="1164"/>
      <c r="AR218" s="1997"/>
      <c r="AT218" s="1998"/>
      <c r="AU218" s="1999"/>
      <c r="AV218" s="1999"/>
      <c r="AW218" s="1999"/>
      <c r="AX218" s="1999"/>
      <c r="AY218" s="1999"/>
      <c r="AZ218" s="1999"/>
      <c r="BA218" s="1999"/>
      <c r="BB218" s="1999"/>
      <c r="BC218" s="1999"/>
      <c r="BD218" s="1999"/>
      <c r="BE218" s="1999"/>
      <c r="BF218" s="1999"/>
    </row>
    <row r="219" ht="15.75" customHeight="1">
      <c r="A219" s="2001"/>
      <c r="B219" s="478"/>
      <c r="D219" s="1996"/>
      <c r="E219" s="1996"/>
      <c r="F219" s="1996"/>
      <c r="G219" s="1996"/>
      <c r="H219" s="1996"/>
      <c r="I219" s="1996"/>
      <c r="L219" s="1997"/>
      <c r="Q219" s="1997"/>
      <c r="V219" s="1997"/>
      <c r="Z219" s="1164"/>
      <c r="AA219" s="1997"/>
      <c r="AE219" s="1164"/>
      <c r="AF219" s="1997"/>
      <c r="AH219" s="1430"/>
      <c r="AJ219" s="1164"/>
      <c r="AK219" s="1164"/>
      <c r="AL219" s="1997"/>
      <c r="AN219" s="1998"/>
      <c r="AP219" s="1164"/>
      <c r="AQ219" s="1164"/>
      <c r="AR219" s="1997"/>
      <c r="AT219" s="1998"/>
      <c r="AU219" s="1999"/>
      <c r="AV219" s="1999"/>
      <c r="AW219" s="1999"/>
      <c r="AX219" s="1999"/>
      <c r="AY219" s="1999"/>
      <c r="AZ219" s="1999"/>
      <c r="BA219" s="1999"/>
      <c r="BB219" s="1999"/>
      <c r="BC219" s="1999"/>
      <c r="BD219" s="1999"/>
      <c r="BE219" s="1999"/>
      <c r="BF219" s="1999"/>
    </row>
    <row r="220" ht="15.75" customHeight="1">
      <c r="A220" s="2001"/>
      <c r="B220" s="478"/>
      <c r="D220" s="1996"/>
      <c r="E220" s="1996"/>
      <c r="F220" s="1996"/>
      <c r="G220" s="1996"/>
      <c r="H220" s="1996"/>
      <c r="I220" s="1996"/>
      <c r="L220" s="1997"/>
      <c r="Q220" s="1997"/>
      <c r="V220" s="1997"/>
      <c r="Z220" s="1164"/>
      <c r="AA220" s="1997"/>
      <c r="AE220" s="1164"/>
      <c r="AF220" s="1997"/>
      <c r="AH220" s="1430"/>
      <c r="AJ220" s="1164"/>
      <c r="AK220" s="1164"/>
      <c r="AL220" s="1997"/>
      <c r="AN220" s="1998"/>
      <c r="AP220" s="1164"/>
      <c r="AQ220" s="1164"/>
      <c r="AR220" s="1997"/>
      <c r="AT220" s="1998"/>
      <c r="AU220" s="1999"/>
      <c r="AV220" s="1999"/>
      <c r="AW220" s="1999"/>
      <c r="AX220" s="1999"/>
      <c r="AY220" s="1999"/>
      <c r="AZ220" s="1999"/>
      <c r="BA220" s="1999"/>
      <c r="BB220" s="1999"/>
      <c r="BC220" s="1999"/>
      <c r="BD220" s="1999"/>
      <c r="BE220" s="1999"/>
      <c r="BF220" s="1999"/>
    </row>
    <row r="221" ht="15.75" customHeight="1">
      <c r="A221" s="2001"/>
      <c r="B221" s="478"/>
      <c r="D221" s="1996"/>
      <c r="E221" s="1996"/>
      <c r="F221" s="1996"/>
      <c r="G221" s="1996"/>
      <c r="H221" s="1996"/>
      <c r="I221" s="1996"/>
      <c r="L221" s="1997"/>
      <c r="Q221" s="1997"/>
      <c r="V221" s="1997"/>
      <c r="Z221" s="1164"/>
      <c r="AA221" s="1997"/>
      <c r="AE221" s="1164"/>
      <c r="AF221" s="1997"/>
      <c r="AH221" s="1430"/>
      <c r="AJ221" s="1164"/>
      <c r="AK221" s="1164"/>
      <c r="AL221" s="1997"/>
      <c r="AN221" s="1998"/>
      <c r="AP221" s="1164"/>
      <c r="AQ221" s="1164"/>
      <c r="AR221" s="1997"/>
      <c r="AT221" s="1998"/>
      <c r="AU221" s="1999"/>
      <c r="AV221" s="1999"/>
      <c r="AW221" s="1999"/>
      <c r="AX221" s="1999"/>
      <c r="AY221" s="1999"/>
      <c r="AZ221" s="1999"/>
      <c r="BA221" s="1999"/>
      <c r="BB221" s="1999"/>
      <c r="BC221" s="1999"/>
      <c r="BD221" s="1999"/>
      <c r="BE221" s="1999"/>
      <c r="BF221" s="1999"/>
    </row>
    <row r="222" ht="15.75" customHeight="1">
      <c r="A222" s="2001"/>
      <c r="B222" s="478"/>
      <c r="D222" s="1996"/>
      <c r="E222" s="1996"/>
      <c r="F222" s="1996"/>
      <c r="G222" s="1996"/>
      <c r="H222" s="1996"/>
      <c r="I222" s="1996"/>
      <c r="L222" s="1997"/>
      <c r="Q222" s="1997"/>
      <c r="V222" s="1997"/>
      <c r="Z222" s="1164"/>
      <c r="AA222" s="1997"/>
      <c r="AE222" s="1164"/>
      <c r="AF222" s="1997"/>
      <c r="AH222" s="1430"/>
      <c r="AJ222" s="1164"/>
      <c r="AK222" s="1164"/>
      <c r="AL222" s="1997"/>
      <c r="AN222" s="1998"/>
      <c r="AP222" s="1164"/>
      <c r="AQ222" s="1164"/>
      <c r="AR222" s="1997"/>
      <c r="AT222" s="1998"/>
      <c r="AU222" s="1999"/>
      <c r="AV222" s="1999"/>
      <c r="AW222" s="1999"/>
      <c r="AX222" s="1999"/>
      <c r="AY222" s="1999"/>
      <c r="AZ222" s="1999"/>
      <c r="BA222" s="1999"/>
      <c r="BB222" s="1999"/>
      <c r="BC222" s="1999"/>
      <c r="BD222" s="1999"/>
      <c r="BE222" s="1999"/>
      <c r="BF222" s="1999"/>
    </row>
    <row r="223" ht="15.75" customHeight="1">
      <c r="A223" s="2001"/>
      <c r="B223" s="478"/>
      <c r="D223" s="1996"/>
      <c r="E223" s="1996"/>
      <c r="F223" s="1996"/>
      <c r="G223" s="1996"/>
      <c r="H223" s="1996"/>
      <c r="I223" s="1996"/>
      <c r="L223" s="1997"/>
      <c r="Q223" s="1997"/>
      <c r="V223" s="1997"/>
      <c r="Z223" s="1164"/>
      <c r="AA223" s="1997"/>
      <c r="AE223" s="1164"/>
      <c r="AF223" s="1997"/>
      <c r="AH223" s="1430"/>
      <c r="AJ223" s="1164"/>
      <c r="AK223" s="1164"/>
      <c r="AL223" s="1997"/>
      <c r="AN223" s="1998"/>
      <c r="AP223" s="1164"/>
      <c r="AQ223" s="1164"/>
      <c r="AR223" s="1997"/>
      <c r="AT223" s="1998"/>
      <c r="AU223" s="1999"/>
      <c r="AV223" s="1999"/>
      <c r="AW223" s="1999"/>
      <c r="AX223" s="1999"/>
      <c r="AY223" s="1999"/>
      <c r="AZ223" s="1999"/>
      <c r="BA223" s="1999"/>
      <c r="BB223" s="1999"/>
      <c r="BC223" s="1999"/>
      <c r="BD223" s="1999"/>
      <c r="BE223" s="1999"/>
      <c r="BF223" s="1999"/>
    </row>
    <row r="224" ht="15.75" customHeight="1">
      <c r="A224" s="2001"/>
      <c r="B224" s="478"/>
      <c r="D224" s="1996"/>
      <c r="E224" s="1996"/>
      <c r="F224" s="1996"/>
      <c r="G224" s="1996"/>
      <c r="H224" s="1996"/>
      <c r="I224" s="1996"/>
      <c r="L224" s="1997"/>
      <c r="Q224" s="1997"/>
      <c r="V224" s="1997"/>
      <c r="Z224" s="1164"/>
      <c r="AA224" s="1997"/>
      <c r="AE224" s="1164"/>
      <c r="AF224" s="1997"/>
      <c r="AH224" s="1430"/>
      <c r="AJ224" s="1164"/>
      <c r="AK224" s="1164"/>
      <c r="AL224" s="1997"/>
      <c r="AN224" s="1998"/>
      <c r="AP224" s="1164"/>
      <c r="AQ224" s="1164"/>
      <c r="AR224" s="1997"/>
      <c r="AT224" s="1998"/>
      <c r="AU224" s="1999"/>
      <c r="AV224" s="1999"/>
      <c r="AW224" s="1999"/>
      <c r="AX224" s="1999"/>
      <c r="AY224" s="1999"/>
      <c r="AZ224" s="1999"/>
      <c r="BA224" s="1999"/>
      <c r="BB224" s="1999"/>
      <c r="BC224" s="1999"/>
      <c r="BD224" s="1999"/>
      <c r="BE224" s="1999"/>
      <c r="BF224" s="1999"/>
    </row>
    <row r="225" ht="15.75" customHeight="1">
      <c r="A225" s="2001"/>
      <c r="B225" s="478"/>
      <c r="D225" s="1996"/>
      <c r="E225" s="1996"/>
      <c r="F225" s="1996"/>
      <c r="G225" s="1996"/>
      <c r="H225" s="1996"/>
      <c r="I225" s="1996"/>
      <c r="L225" s="1997"/>
      <c r="Q225" s="1997"/>
      <c r="V225" s="1997"/>
      <c r="Z225" s="1164"/>
      <c r="AA225" s="1997"/>
      <c r="AE225" s="1164"/>
      <c r="AF225" s="1997"/>
      <c r="AH225" s="1430"/>
      <c r="AJ225" s="1164"/>
      <c r="AK225" s="1164"/>
      <c r="AL225" s="1997"/>
      <c r="AN225" s="1998"/>
      <c r="AP225" s="1164"/>
      <c r="AQ225" s="1164"/>
      <c r="AR225" s="1997"/>
      <c r="AT225" s="1998"/>
      <c r="AU225" s="1999"/>
      <c r="AV225" s="1999"/>
      <c r="AW225" s="1999"/>
      <c r="AX225" s="1999"/>
      <c r="AY225" s="1999"/>
      <c r="AZ225" s="1999"/>
      <c r="BA225" s="1999"/>
      <c r="BB225" s="1999"/>
      <c r="BC225" s="1999"/>
      <c r="BD225" s="1999"/>
      <c r="BE225" s="1999"/>
      <c r="BF225" s="1999"/>
    </row>
    <row r="226" ht="15.75" customHeight="1">
      <c r="A226" s="2001"/>
      <c r="B226" s="478"/>
      <c r="D226" s="1996"/>
      <c r="E226" s="1996"/>
      <c r="F226" s="1996"/>
      <c r="G226" s="1996"/>
      <c r="H226" s="1996"/>
      <c r="I226" s="1996"/>
      <c r="L226" s="1997"/>
      <c r="Q226" s="1997"/>
      <c r="V226" s="1997"/>
      <c r="Z226" s="1164"/>
      <c r="AA226" s="1997"/>
      <c r="AE226" s="1164"/>
      <c r="AF226" s="1997"/>
      <c r="AH226" s="1430"/>
      <c r="AJ226" s="1164"/>
      <c r="AK226" s="1164"/>
      <c r="AL226" s="1997"/>
      <c r="AN226" s="1998"/>
      <c r="AP226" s="1164"/>
      <c r="AQ226" s="1164"/>
      <c r="AR226" s="1997"/>
      <c r="AT226" s="1998"/>
      <c r="AU226" s="1999"/>
      <c r="AV226" s="1999"/>
      <c r="AW226" s="1999"/>
      <c r="AX226" s="1999"/>
      <c r="AY226" s="1999"/>
      <c r="AZ226" s="1999"/>
      <c r="BA226" s="1999"/>
      <c r="BB226" s="1999"/>
      <c r="BC226" s="1999"/>
      <c r="BD226" s="1999"/>
      <c r="BE226" s="1999"/>
      <c r="BF226" s="1999"/>
    </row>
    <row r="227" ht="15.75" customHeight="1">
      <c r="A227" s="2001"/>
      <c r="B227" s="478"/>
      <c r="D227" s="1996"/>
      <c r="E227" s="1996"/>
      <c r="F227" s="1996"/>
      <c r="G227" s="1996"/>
      <c r="H227" s="1996"/>
      <c r="I227" s="1996"/>
      <c r="L227" s="1997"/>
      <c r="Q227" s="1997"/>
      <c r="V227" s="1997"/>
      <c r="Z227" s="1164"/>
      <c r="AA227" s="1997"/>
      <c r="AE227" s="1164"/>
      <c r="AF227" s="1997"/>
      <c r="AH227" s="1430"/>
      <c r="AJ227" s="1164"/>
      <c r="AK227" s="1164"/>
      <c r="AL227" s="1997"/>
      <c r="AN227" s="1998"/>
      <c r="AP227" s="1164"/>
      <c r="AQ227" s="1164"/>
      <c r="AR227" s="1997"/>
      <c r="AT227" s="1998"/>
      <c r="AU227" s="1999"/>
      <c r="AV227" s="1999"/>
      <c r="AW227" s="1999"/>
      <c r="AX227" s="1999"/>
      <c r="AY227" s="1999"/>
      <c r="AZ227" s="1999"/>
      <c r="BA227" s="1999"/>
      <c r="BB227" s="1999"/>
      <c r="BC227" s="1999"/>
      <c r="BD227" s="1999"/>
      <c r="BE227" s="1999"/>
      <c r="BF227" s="1999"/>
    </row>
    <row r="228" ht="15.75" customHeight="1">
      <c r="A228" s="2001"/>
      <c r="B228" s="478"/>
      <c r="D228" s="1996"/>
      <c r="E228" s="1996"/>
      <c r="F228" s="1996"/>
      <c r="G228" s="1996"/>
      <c r="H228" s="1996"/>
      <c r="I228" s="1996"/>
      <c r="L228" s="1997"/>
      <c r="Q228" s="1997"/>
      <c r="V228" s="1997"/>
      <c r="Z228" s="1164"/>
      <c r="AA228" s="1997"/>
      <c r="AE228" s="1164"/>
      <c r="AF228" s="1997"/>
      <c r="AH228" s="1430"/>
      <c r="AJ228" s="1164"/>
      <c r="AK228" s="1164"/>
      <c r="AL228" s="1997"/>
      <c r="AN228" s="1998"/>
      <c r="AP228" s="1164"/>
      <c r="AQ228" s="1164"/>
      <c r="AR228" s="1997"/>
      <c r="AT228" s="1998"/>
      <c r="AU228" s="1999"/>
      <c r="AV228" s="1999"/>
      <c r="AW228" s="1999"/>
      <c r="AX228" s="1999"/>
      <c r="AY228" s="1999"/>
      <c r="AZ228" s="1999"/>
      <c r="BA228" s="1999"/>
      <c r="BB228" s="1999"/>
      <c r="BC228" s="1999"/>
      <c r="BD228" s="1999"/>
      <c r="BE228" s="1999"/>
      <c r="BF228" s="1999"/>
    </row>
    <row r="229" ht="15.75" customHeight="1">
      <c r="A229" s="2001"/>
      <c r="B229" s="478"/>
      <c r="D229" s="1996"/>
      <c r="E229" s="1996"/>
      <c r="F229" s="1996"/>
      <c r="G229" s="1996"/>
      <c r="H229" s="1996"/>
      <c r="I229" s="1996"/>
      <c r="L229" s="1997"/>
      <c r="Q229" s="1997"/>
      <c r="V229" s="1997"/>
      <c r="Z229" s="1164"/>
      <c r="AA229" s="1997"/>
      <c r="AE229" s="1164"/>
      <c r="AF229" s="1997"/>
      <c r="AH229" s="1430"/>
      <c r="AJ229" s="1164"/>
      <c r="AK229" s="1164"/>
      <c r="AL229" s="1997"/>
      <c r="AN229" s="1998"/>
      <c r="AP229" s="1164"/>
      <c r="AQ229" s="1164"/>
      <c r="AR229" s="1997"/>
      <c r="AT229" s="1998"/>
      <c r="AU229" s="1999"/>
      <c r="AV229" s="1999"/>
      <c r="AW229" s="1999"/>
      <c r="AX229" s="1999"/>
      <c r="AY229" s="1999"/>
      <c r="AZ229" s="1999"/>
      <c r="BA229" s="1999"/>
      <c r="BB229" s="1999"/>
      <c r="BC229" s="1999"/>
      <c r="BD229" s="1999"/>
      <c r="BE229" s="1999"/>
      <c r="BF229" s="1999"/>
    </row>
    <row r="230" ht="15.75" customHeight="1">
      <c r="A230" s="2001"/>
      <c r="B230" s="478"/>
      <c r="D230" s="1996"/>
      <c r="E230" s="1996"/>
      <c r="F230" s="1996"/>
      <c r="G230" s="1996"/>
      <c r="H230" s="1996"/>
      <c r="I230" s="1996"/>
      <c r="L230" s="1997"/>
      <c r="Q230" s="1997"/>
      <c r="V230" s="1997"/>
      <c r="Z230" s="1164"/>
      <c r="AA230" s="1997"/>
      <c r="AE230" s="1164"/>
      <c r="AF230" s="1997"/>
      <c r="AH230" s="1430"/>
      <c r="AJ230" s="1164"/>
      <c r="AK230" s="1164"/>
      <c r="AL230" s="1997"/>
      <c r="AN230" s="1998"/>
      <c r="AP230" s="1164"/>
      <c r="AQ230" s="1164"/>
      <c r="AR230" s="1997"/>
      <c r="AT230" s="1998"/>
      <c r="AU230" s="1999"/>
      <c r="AV230" s="1999"/>
      <c r="AW230" s="1999"/>
      <c r="AX230" s="1999"/>
      <c r="AY230" s="1999"/>
      <c r="AZ230" s="1999"/>
      <c r="BA230" s="1999"/>
      <c r="BB230" s="1999"/>
      <c r="BC230" s="1999"/>
      <c r="BD230" s="1999"/>
      <c r="BE230" s="1999"/>
      <c r="BF230" s="1999"/>
    </row>
    <row r="231" ht="15.75" customHeight="1">
      <c r="A231" s="2001"/>
      <c r="B231" s="478"/>
      <c r="D231" s="1996"/>
      <c r="E231" s="1996"/>
      <c r="F231" s="1996"/>
      <c r="G231" s="1996"/>
      <c r="H231" s="1996"/>
      <c r="I231" s="1996"/>
      <c r="L231" s="1997"/>
      <c r="Q231" s="1997"/>
      <c r="V231" s="1997"/>
      <c r="Z231" s="1164"/>
      <c r="AA231" s="1997"/>
      <c r="AE231" s="1164"/>
      <c r="AF231" s="1997"/>
      <c r="AH231" s="1430"/>
      <c r="AJ231" s="1164"/>
      <c r="AK231" s="1164"/>
      <c r="AL231" s="1997"/>
      <c r="AN231" s="1998"/>
      <c r="AP231" s="1164"/>
      <c r="AQ231" s="1164"/>
      <c r="AR231" s="1997"/>
      <c r="AT231" s="1998"/>
      <c r="AU231" s="1999"/>
      <c r="AV231" s="1999"/>
      <c r="AW231" s="1999"/>
      <c r="AX231" s="1999"/>
      <c r="AY231" s="1999"/>
      <c r="AZ231" s="1999"/>
      <c r="BA231" s="1999"/>
      <c r="BB231" s="1999"/>
      <c r="BC231" s="1999"/>
      <c r="BD231" s="1999"/>
      <c r="BE231" s="1999"/>
      <c r="BF231" s="1999"/>
    </row>
    <row r="232" ht="15.75" customHeight="1">
      <c r="A232" s="2001"/>
      <c r="B232" s="478"/>
      <c r="D232" s="1996"/>
      <c r="E232" s="1996"/>
      <c r="F232" s="1996"/>
      <c r="G232" s="1996"/>
      <c r="H232" s="1996"/>
      <c r="I232" s="1996"/>
      <c r="L232" s="1997"/>
      <c r="Q232" s="1997"/>
      <c r="V232" s="1997"/>
      <c r="Z232" s="1164"/>
      <c r="AA232" s="1997"/>
      <c r="AE232" s="1164"/>
      <c r="AF232" s="1997"/>
      <c r="AH232" s="1430"/>
      <c r="AJ232" s="1164"/>
      <c r="AK232" s="1164"/>
      <c r="AL232" s="1997"/>
      <c r="AN232" s="1998"/>
      <c r="AP232" s="1164"/>
      <c r="AQ232" s="1164"/>
      <c r="AR232" s="1997"/>
      <c r="AT232" s="1998"/>
      <c r="AU232" s="1999"/>
      <c r="AV232" s="1999"/>
      <c r="AW232" s="1999"/>
      <c r="AX232" s="1999"/>
      <c r="AY232" s="1999"/>
      <c r="AZ232" s="1999"/>
      <c r="BA232" s="1999"/>
      <c r="BB232" s="1999"/>
      <c r="BC232" s="1999"/>
      <c r="BD232" s="1999"/>
      <c r="BE232" s="1999"/>
      <c r="BF232" s="1999"/>
    </row>
    <row r="233" ht="15.75" customHeight="1">
      <c r="A233" s="2001"/>
      <c r="B233" s="478"/>
      <c r="D233" s="1996"/>
      <c r="E233" s="1996"/>
      <c r="F233" s="1996"/>
      <c r="G233" s="1996"/>
      <c r="H233" s="1996"/>
      <c r="I233" s="1996"/>
      <c r="L233" s="1997"/>
      <c r="Q233" s="1997"/>
      <c r="V233" s="1997"/>
      <c r="Z233" s="1164"/>
      <c r="AA233" s="1997"/>
      <c r="AE233" s="1164"/>
      <c r="AF233" s="1997"/>
      <c r="AH233" s="1430"/>
      <c r="AJ233" s="1164"/>
      <c r="AK233" s="1164"/>
      <c r="AL233" s="1997"/>
      <c r="AN233" s="1998"/>
      <c r="AP233" s="1164"/>
      <c r="AQ233" s="1164"/>
      <c r="AR233" s="1997"/>
      <c r="AT233" s="1998"/>
      <c r="AU233" s="1999"/>
      <c r="AV233" s="1999"/>
      <c r="AW233" s="1999"/>
      <c r="AX233" s="1999"/>
      <c r="AY233" s="1999"/>
      <c r="AZ233" s="1999"/>
      <c r="BA233" s="1999"/>
      <c r="BB233" s="1999"/>
      <c r="BC233" s="1999"/>
      <c r="BD233" s="1999"/>
      <c r="BE233" s="1999"/>
      <c r="BF233" s="1999"/>
    </row>
    <row r="234" ht="15.75" customHeight="1">
      <c r="A234" s="2001"/>
      <c r="B234" s="478"/>
      <c r="D234" s="1996"/>
      <c r="E234" s="1996"/>
      <c r="F234" s="1996"/>
      <c r="G234" s="1996"/>
      <c r="H234" s="1996"/>
      <c r="I234" s="1996"/>
      <c r="L234" s="1997"/>
      <c r="Q234" s="1997"/>
      <c r="V234" s="1997"/>
      <c r="Z234" s="1164"/>
      <c r="AA234" s="1997"/>
      <c r="AE234" s="1164"/>
      <c r="AF234" s="1997"/>
      <c r="AH234" s="1430"/>
      <c r="AJ234" s="1164"/>
      <c r="AK234" s="1164"/>
      <c r="AL234" s="1997"/>
      <c r="AN234" s="1998"/>
      <c r="AP234" s="1164"/>
      <c r="AQ234" s="1164"/>
      <c r="AR234" s="1997"/>
      <c r="AT234" s="1998"/>
      <c r="AU234" s="1999"/>
      <c r="AV234" s="1999"/>
      <c r="AW234" s="1999"/>
      <c r="AX234" s="1999"/>
      <c r="AY234" s="1999"/>
      <c r="AZ234" s="1999"/>
      <c r="BA234" s="1999"/>
      <c r="BB234" s="1999"/>
      <c r="BC234" s="1999"/>
      <c r="BD234" s="1999"/>
      <c r="BE234" s="1999"/>
      <c r="BF234" s="1999"/>
    </row>
    <row r="235" ht="15.75" customHeight="1">
      <c r="A235" s="2001"/>
      <c r="B235" s="478"/>
      <c r="D235" s="1996"/>
      <c r="E235" s="1996"/>
      <c r="F235" s="1996"/>
      <c r="G235" s="1996"/>
      <c r="H235" s="1996"/>
      <c r="I235" s="1996"/>
      <c r="L235" s="1997"/>
      <c r="Q235" s="1997"/>
      <c r="V235" s="1997"/>
      <c r="Z235" s="1164"/>
      <c r="AA235" s="1997"/>
      <c r="AE235" s="1164"/>
      <c r="AF235" s="1997"/>
      <c r="AH235" s="1430"/>
      <c r="AJ235" s="1164"/>
      <c r="AK235" s="1164"/>
      <c r="AL235" s="1997"/>
      <c r="AN235" s="1998"/>
      <c r="AP235" s="1164"/>
      <c r="AQ235" s="1164"/>
      <c r="AR235" s="1997"/>
      <c r="AT235" s="1998"/>
      <c r="AU235" s="1999"/>
      <c r="AV235" s="1999"/>
      <c r="AW235" s="1999"/>
      <c r="AX235" s="1999"/>
      <c r="AY235" s="1999"/>
      <c r="AZ235" s="1999"/>
      <c r="BA235" s="1999"/>
      <c r="BB235" s="1999"/>
      <c r="BC235" s="1999"/>
      <c r="BD235" s="1999"/>
      <c r="BE235" s="1999"/>
      <c r="BF235" s="1999"/>
    </row>
    <row r="236" ht="15.75" customHeight="1">
      <c r="A236" s="2001"/>
      <c r="B236" s="478"/>
      <c r="D236" s="1996"/>
      <c r="E236" s="1996"/>
      <c r="F236" s="1996"/>
      <c r="G236" s="1996"/>
      <c r="H236" s="1996"/>
      <c r="I236" s="1996"/>
      <c r="L236" s="1997"/>
      <c r="Q236" s="1997"/>
      <c r="V236" s="1997"/>
      <c r="Z236" s="1164"/>
      <c r="AA236" s="1997"/>
      <c r="AE236" s="1164"/>
      <c r="AF236" s="1997"/>
      <c r="AH236" s="1430"/>
      <c r="AJ236" s="1164"/>
      <c r="AK236" s="1164"/>
      <c r="AL236" s="1997"/>
      <c r="AN236" s="1998"/>
      <c r="AP236" s="1164"/>
      <c r="AQ236" s="1164"/>
      <c r="AR236" s="1997"/>
      <c r="AT236" s="1998"/>
      <c r="AU236" s="1999"/>
      <c r="AV236" s="1999"/>
      <c r="AW236" s="1999"/>
      <c r="AX236" s="1999"/>
      <c r="AY236" s="1999"/>
      <c r="AZ236" s="1999"/>
      <c r="BA236" s="1999"/>
      <c r="BB236" s="1999"/>
      <c r="BC236" s="1999"/>
      <c r="BD236" s="1999"/>
      <c r="BE236" s="1999"/>
      <c r="BF236" s="1999"/>
    </row>
    <row r="237" ht="15.75" customHeight="1">
      <c r="A237" s="2001"/>
      <c r="B237" s="478"/>
      <c r="D237" s="1996"/>
      <c r="E237" s="1996"/>
      <c r="F237" s="1996"/>
      <c r="G237" s="1996"/>
      <c r="H237" s="1996"/>
      <c r="I237" s="1996"/>
      <c r="L237" s="1997"/>
      <c r="Q237" s="1997"/>
      <c r="V237" s="1997"/>
      <c r="Z237" s="1164"/>
      <c r="AA237" s="1997"/>
      <c r="AE237" s="1164"/>
      <c r="AF237" s="1997"/>
      <c r="AH237" s="1430"/>
      <c r="AJ237" s="1164"/>
      <c r="AK237" s="1164"/>
      <c r="AL237" s="1997"/>
      <c r="AN237" s="1998"/>
      <c r="AP237" s="1164"/>
      <c r="AQ237" s="1164"/>
      <c r="AR237" s="1997"/>
      <c r="AT237" s="1998"/>
      <c r="AU237" s="1999"/>
      <c r="AV237" s="1999"/>
      <c r="AW237" s="1999"/>
      <c r="AX237" s="1999"/>
      <c r="AY237" s="1999"/>
      <c r="AZ237" s="1999"/>
      <c r="BA237" s="1999"/>
      <c r="BB237" s="1999"/>
      <c r="BC237" s="1999"/>
      <c r="BD237" s="1999"/>
      <c r="BE237" s="1999"/>
      <c r="BF237" s="1999"/>
    </row>
    <row r="238" ht="15.75" customHeight="1">
      <c r="A238" s="2001"/>
      <c r="B238" s="478"/>
      <c r="D238" s="1996"/>
      <c r="E238" s="1996"/>
      <c r="F238" s="1996"/>
      <c r="G238" s="1996"/>
      <c r="H238" s="1996"/>
      <c r="I238" s="1996"/>
      <c r="L238" s="1997"/>
      <c r="Q238" s="1997"/>
      <c r="V238" s="1997"/>
      <c r="Z238" s="1164"/>
      <c r="AA238" s="1997"/>
      <c r="AE238" s="1164"/>
      <c r="AF238" s="1997"/>
      <c r="AH238" s="1430"/>
      <c r="AJ238" s="1164"/>
      <c r="AK238" s="1164"/>
      <c r="AL238" s="1997"/>
      <c r="AN238" s="1998"/>
      <c r="AP238" s="1164"/>
      <c r="AQ238" s="1164"/>
      <c r="AR238" s="1997"/>
      <c r="AT238" s="1998"/>
      <c r="AU238" s="1999"/>
      <c r="AV238" s="1999"/>
      <c r="AW238" s="1999"/>
      <c r="AX238" s="1999"/>
      <c r="AY238" s="1999"/>
      <c r="AZ238" s="1999"/>
      <c r="BA238" s="1999"/>
      <c r="BB238" s="1999"/>
      <c r="BC238" s="1999"/>
      <c r="BD238" s="1999"/>
      <c r="BE238" s="1999"/>
      <c r="BF238" s="1999"/>
    </row>
    <row r="239" ht="15.75" customHeight="1">
      <c r="A239" s="2001"/>
      <c r="B239" s="478"/>
      <c r="D239" s="1996"/>
      <c r="E239" s="1996"/>
      <c r="F239" s="1996"/>
      <c r="G239" s="1996"/>
      <c r="H239" s="1996"/>
      <c r="I239" s="1996"/>
      <c r="L239" s="1997"/>
      <c r="Q239" s="1997"/>
      <c r="V239" s="1997"/>
      <c r="Z239" s="1164"/>
      <c r="AA239" s="1997"/>
      <c r="AE239" s="1164"/>
      <c r="AF239" s="1997"/>
      <c r="AH239" s="1430"/>
      <c r="AJ239" s="1164"/>
      <c r="AK239" s="1164"/>
      <c r="AL239" s="1997"/>
      <c r="AN239" s="1998"/>
      <c r="AP239" s="1164"/>
      <c r="AQ239" s="1164"/>
      <c r="AR239" s="1997"/>
      <c r="AT239" s="1998"/>
      <c r="AU239" s="1999"/>
      <c r="AV239" s="1999"/>
      <c r="AW239" s="1999"/>
      <c r="AX239" s="1999"/>
      <c r="AY239" s="1999"/>
      <c r="AZ239" s="1999"/>
      <c r="BA239" s="1999"/>
      <c r="BB239" s="1999"/>
      <c r="BC239" s="1999"/>
      <c r="BD239" s="1999"/>
      <c r="BE239" s="1999"/>
      <c r="BF239" s="1999"/>
    </row>
    <row r="240" ht="15.75" customHeight="1">
      <c r="A240" s="2001"/>
      <c r="B240" s="478"/>
      <c r="D240" s="1996"/>
      <c r="E240" s="1996"/>
      <c r="F240" s="1996"/>
      <c r="G240" s="1996"/>
      <c r="H240" s="1996"/>
      <c r="I240" s="1996"/>
      <c r="L240" s="1997"/>
      <c r="Q240" s="1997"/>
      <c r="V240" s="1997"/>
      <c r="Z240" s="1164"/>
      <c r="AA240" s="1997"/>
      <c r="AE240" s="1164"/>
      <c r="AF240" s="1997"/>
      <c r="AH240" s="1430"/>
      <c r="AJ240" s="1164"/>
      <c r="AK240" s="1164"/>
      <c r="AL240" s="1997"/>
      <c r="AN240" s="1998"/>
      <c r="AP240" s="1164"/>
      <c r="AQ240" s="1164"/>
      <c r="AR240" s="1997"/>
      <c r="AT240" s="1998"/>
      <c r="AU240" s="1999"/>
      <c r="AV240" s="1999"/>
      <c r="AW240" s="1999"/>
      <c r="AX240" s="1999"/>
      <c r="AY240" s="1999"/>
      <c r="AZ240" s="1999"/>
      <c r="BA240" s="1999"/>
      <c r="BB240" s="1999"/>
      <c r="BC240" s="1999"/>
      <c r="BD240" s="1999"/>
      <c r="BE240" s="1999"/>
      <c r="BF240" s="1999"/>
    </row>
    <row r="241" ht="15.75" customHeight="1">
      <c r="A241" s="2001"/>
      <c r="B241" s="478"/>
      <c r="D241" s="1996"/>
      <c r="E241" s="1996"/>
      <c r="F241" s="1996"/>
      <c r="G241" s="1996"/>
      <c r="H241" s="1996"/>
      <c r="I241" s="1996"/>
      <c r="L241" s="1997"/>
      <c r="Q241" s="1997"/>
      <c r="V241" s="1997"/>
      <c r="Z241" s="1164"/>
      <c r="AA241" s="1997"/>
      <c r="AE241" s="1164"/>
      <c r="AF241" s="1997"/>
      <c r="AH241" s="1430"/>
      <c r="AJ241" s="1164"/>
      <c r="AK241" s="1164"/>
      <c r="AL241" s="1997"/>
      <c r="AN241" s="1998"/>
      <c r="AP241" s="1164"/>
      <c r="AQ241" s="1164"/>
      <c r="AR241" s="1997"/>
      <c r="AT241" s="1998"/>
      <c r="AU241" s="1999"/>
      <c r="AV241" s="1999"/>
      <c r="AW241" s="1999"/>
      <c r="AX241" s="1999"/>
      <c r="AY241" s="1999"/>
      <c r="AZ241" s="1999"/>
      <c r="BA241" s="1999"/>
      <c r="BB241" s="1999"/>
      <c r="BC241" s="1999"/>
      <c r="BD241" s="1999"/>
      <c r="BE241" s="1999"/>
      <c r="BF241" s="1999"/>
    </row>
    <row r="242" ht="15.75" customHeight="1">
      <c r="A242" s="2001"/>
      <c r="B242" s="478"/>
      <c r="D242" s="1996"/>
      <c r="E242" s="1996"/>
      <c r="F242" s="1996"/>
      <c r="G242" s="1996"/>
      <c r="H242" s="1996"/>
      <c r="I242" s="1996"/>
      <c r="L242" s="1997"/>
      <c r="Q242" s="1997"/>
      <c r="V242" s="1997"/>
      <c r="Z242" s="1164"/>
      <c r="AA242" s="1997"/>
      <c r="AE242" s="1164"/>
      <c r="AF242" s="1997"/>
      <c r="AH242" s="1430"/>
      <c r="AJ242" s="1164"/>
      <c r="AK242" s="1164"/>
      <c r="AL242" s="1997"/>
      <c r="AN242" s="1998"/>
      <c r="AP242" s="1164"/>
      <c r="AQ242" s="1164"/>
      <c r="AR242" s="1997"/>
      <c r="AT242" s="1998"/>
      <c r="AU242" s="1999"/>
      <c r="AV242" s="1999"/>
      <c r="AW242" s="1999"/>
      <c r="AX242" s="1999"/>
      <c r="AY242" s="1999"/>
      <c r="AZ242" s="1999"/>
      <c r="BA242" s="1999"/>
      <c r="BB242" s="1999"/>
      <c r="BC242" s="1999"/>
      <c r="BD242" s="1999"/>
      <c r="BE242" s="1999"/>
      <c r="BF242" s="1999"/>
    </row>
    <row r="243" ht="15.75" customHeight="1">
      <c r="A243" s="2001"/>
      <c r="B243" s="478"/>
      <c r="D243" s="1996"/>
      <c r="E243" s="1996"/>
      <c r="F243" s="1996"/>
      <c r="G243" s="1996"/>
      <c r="H243" s="1996"/>
      <c r="I243" s="1996"/>
      <c r="L243" s="1997"/>
      <c r="Q243" s="1997"/>
      <c r="V243" s="1997"/>
      <c r="Z243" s="1164"/>
      <c r="AA243" s="1997"/>
      <c r="AE243" s="1164"/>
      <c r="AF243" s="1997"/>
      <c r="AH243" s="1430"/>
      <c r="AJ243" s="1164"/>
      <c r="AK243" s="1164"/>
      <c r="AL243" s="1997"/>
      <c r="AN243" s="1998"/>
      <c r="AP243" s="1164"/>
      <c r="AQ243" s="1164"/>
      <c r="AR243" s="1997"/>
      <c r="AT243" s="1998"/>
      <c r="AU243" s="1999"/>
      <c r="AV243" s="1999"/>
      <c r="AW243" s="1999"/>
      <c r="AX243" s="1999"/>
      <c r="AY243" s="1999"/>
      <c r="AZ243" s="1999"/>
      <c r="BA243" s="1999"/>
      <c r="BB243" s="1999"/>
      <c r="BC243" s="1999"/>
      <c r="BD243" s="1999"/>
      <c r="BE243" s="1999"/>
      <c r="BF243" s="1999"/>
    </row>
    <row r="244" ht="15.75" customHeight="1">
      <c r="A244" s="2001"/>
      <c r="B244" s="478"/>
      <c r="D244" s="1996"/>
      <c r="E244" s="1996"/>
      <c r="F244" s="1996"/>
      <c r="G244" s="1996"/>
      <c r="H244" s="1996"/>
      <c r="I244" s="1996"/>
      <c r="L244" s="1997"/>
      <c r="Q244" s="1997"/>
      <c r="V244" s="1997"/>
      <c r="Z244" s="1164"/>
      <c r="AA244" s="1997"/>
      <c r="AE244" s="1164"/>
      <c r="AF244" s="1997"/>
      <c r="AH244" s="1430"/>
      <c r="AJ244" s="1164"/>
      <c r="AK244" s="1164"/>
      <c r="AL244" s="1997"/>
      <c r="AN244" s="1998"/>
      <c r="AP244" s="1164"/>
      <c r="AQ244" s="1164"/>
      <c r="AR244" s="1997"/>
      <c r="AT244" s="1998"/>
      <c r="AU244" s="1999"/>
      <c r="AV244" s="1999"/>
      <c r="AW244" s="1999"/>
      <c r="AX244" s="1999"/>
      <c r="AY244" s="1999"/>
      <c r="AZ244" s="1999"/>
      <c r="BA244" s="1999"/>
      <c r="BB244" s="1999"/>
      <c r="BC244" s="1999"/>
      <c r="BD244" s="1999"/>
      <c r="BE244" s="1999"/>
      <c r="BF244" s="1999"/>
    </row>
    <row r="245" ht="15.75" customHeight="1">
      <c r="A245" s="2001"/>
      <c r="B245" s="478"/>
      <c r="D245" s="1996"/>
      <c r="E245" s="1996"/>
      <c r="F245" s="1996"/>
      <c r="G245" s="1996"/>
      <c r="H245" s="1996"/>
      <c r="I245" s="1996"/>
      <c r="L245" s="1997"/>
      <c r="Q245" s="1997"/>
      <c r="V245" s="1997"/>
      <c r="Z245" s="1164"/>
      <c r="AA245" s="1997"/>
      <c r="AE245" s="1164"/>
      <c r="AF245" s="1997"/>
      <c r="AH245" s="1430"/>
      <c r="AJ245" s="1164"/>
      <c r="AK245" s="1164"/>
      <c r="AL245" s="1997"/>
      <c r="AN245" s="1998"/>
      <c r="AP245" s="1164"/>
      <c r="AQ245" s="1164"/>
      <c r="AR245" s="1997"/>
      <c r="AT245" s="1998"/>
      <c r="AU245" s="1999"/>
      <c r="AV245" s="1999"/>
      <c r="AW245" s="1999"/>
      <c r="AX245" s="1999"/>
      <c r="AY245" s="1999"/>
      <c r="AZ245" s="1999"/>
      <c r="BA245" s="1999"/>
      <c r="BB245" s="1999"/>
      <c r="BC245" s="1999"/>
      <c r="BD245" s="1999"/>
      <c r="BE245" s="1999"/>
      <c r="BF245" s="1999"/>
    </row>
    <row r="246" ht="15.75" customHeight="1">
      <c r="A246" s="2001"/>
      <c r="B246" s="478"/>
      <c r="D246" s="1996"/>
      <c r="E246" s="1996"/>
      <c r="F246" s="1996"/>
      <c r="G246" s="1996"/>
      <c r="H246" s="1996"/>
      <c r="I246" s="1996"/>
      <c r="L246" s="1997"/>
      <c r="Q246" s="1997"/>
      <c r="V246" s="1997"/>
      <c r="Z246" s="1164"/>
      <c r="AA246" s="1997"/>
      <c r="AE246" s="1164"/>
      <c r="AF246" s="1997"/>
      <c r="AH246" s="1430"/>
      <c r="AJ246" s="1164"/>
      <c r="AK246" s="1164"/>
      <c r="AL246" s="1997"/>
      <c r="AN246" s="1998"/>
      <c r="AP246" s="1164"/>
      <c r="AQ246" s="1164"/>
      <c r="AR246" s="1997"/>
      <c r="AT246" s="1998"/>
      <c r="AU246" s="1999"/>
      <c r="AV246" s="1999"/>
      <c r="AW246" s="1999"/>
      <c r="AX246" s="1999"/>
      <c r="AY246" s="1999"/>
      <c r="AZ246" s="1999"/>
      <c r="BA246" s="1999"/>
      <c r="BB246" s="1999"/>
      <c r="BC246" s="1999"/>
      <c r="BD246" s="1999"/>
      <c r="BE246" s="1999"/>
      <c r="BF246" s="1999"/>
    </row>
    <row r="247" ht="15.75" customHeight="1">
      <c r="A247" s="2001"/>
      <c r="B247" s="478"/>
      <c r="D247" s="1996"/>
      <c r="E247" s="1996"/>
      <c r="F247" s="1996"/>
      <c r="G247" s="1996"/>
      <c r="H247" s="1996"/>
      <c r="I247" s="1996"/>
      <c r="L247" s="1997"/>
      <c r="Q247" s="1997"/>
      <c r="V247" s="1997"/>
      <c r="Z247" s="1164"/>
      <c r="AA247" s="1997"/>
      <c r="AE247" s="1164"/>
      <c r="AF247" s="1997"/>
      <c r="AH247" s="1430"/>
      <c r="AJ247" s="1164"/>
      <c r="AK247" s="1164"/>
      <c r="AL247" s="1997"/>
      <c r="AN247" s="1998"/>
      <c r="AP247" s="1164"/>
      <c r="AQ247" s="1164"/>
      <c r="AR247" s="1997"/>
      <c r="AT247" s="1998"/>
      <c r="AU247" s="1999"/>
      <c r="AV247" s="1999"/>
      <c r="AW247" s="1999"/>
      <c r="AX247" s="1999"/>
      <c r="AY247" s="1999"/>
      <c r="AZ247" s="1999"/>
      <c r="BA247" s="1999"/>
      <c r="BB247" s="1999"/>
      <c r="BC247" s="1999"/>
      <c r="BD247" s="1999"/>
      <c r="BE247" s="1999"/>
      <c r="BF247" s="1999"/>
    </row>
    <row r="248" ht="15.75" customHeight="1">
      <c r="A248" s="2001"/>
      <c r="B248" s="478"/>
      <c r="D248" s="1996"/>
      <c r="E248" s="1996"/>
      <c r="F248" s="1996"/>
      <c r="G248" s="1996"/>
      <c r="H248" s="1996"/>
      <c r="I248" s="1996"/>
      <c r="L248" s="1997"/>
      <c r="Q248" s="1997"/>
      <c r="V248" s="1997"/>
      <c r="Z248" s="1164"/>
      <c r="AA248" s="1997"/>
      <c r="AE248" s="1164"/>
      <c r="AF248" s="1997"/>
      <c r="AH248" s="1430"/>
      <c r="AJ248" s="1164"/>
      <c r="AK248" s="1164"/>
      <c r="AL248" s="1997"/>
      <c r="AN248" s="1998"/>
      <c r="AP248" s="1164"/>
      <c r="AQ248" s="1164"/>
      <c r="AR248" s="1997"/>
      <c r="AT248" s="1998"/>
      <c r="AU248" s="1999"/>
      <c r="AV248" s="1999"/>
      <c r="AW248" s="1999"/>
      <c r="AX248" s="1999"/>
      <c r="AY248" s="1999"/>
      <c r="AZ248" s="1999"/>
      <c r="BA248" s="1999"/>
      <c r="BB248" s="1999"/>
      <c r="BC248" s="1999"/>
      <c r="BD248" s="1999"/>
      <c r="BE248" s="1999"/>
      <c r="BF248" s="1999"/>
    </row>
    <row r="249" ht="15.75" customHeight="1">
      <c r="A249" s="2001"/>
      <c r="B249" s="478"/>
      <c r="D249" s="1996"/>
      <c r="E249" s="1996"/>
      <c r="F249" s="1996"/>
      <c r="G249" s="1996"/>
      <c r="H249" s="1996"/>
      <c r="I249" s="1996"/>
      <c r="L249" s="1997"/>
      <c r="Q249" s="1997"/>
      <c r="V249" s="1997"/>
      <c r="Z249" s="1164"/>
      <c r="AA249" s="1997"/>
      <c r="AE249" s="1164"/>
      <c r="AF249" s="1997"/>
      <c r="AH249" s="1430"/>
      <c r="AJ249" s="1164"/>
      <c r="AK249" s="1164"/>
      <c r="AL249" s="1997"/>
      <c r="AN249" s="1998"/>
      <c r="AP249" s="1164"/>
      <c r="AQ249" s="1164"/>
      <c r="AR249" s="1997"/>
      <c r="AT249" s="1998"/>
      <c r="AU249" s="1999"/>
      <c r="AV249" s="1999"/>
      <c r="AW249" s="1999"/>
      <c r="AX249" s="1999"/>
      <c r="AY249" s="1999"/>
      <c r="AZ249" s="1999"/>
      <c r="BA249" s="1999"/>
      <c r="BB249" s="1999"/>
      <c r="BC249" s="1999"/>
      <c r="BD249" s="1999"/>
      <c r="BE249" s="1999"/>
      <c r="BF249" s="1999"/>
    </row>
    <row r="250" ht="15.75" customHeight="1">
      <c r="A250" s="2001"/>
      <c r="B250" s="478"/>
      <c r="D250" s="1996"/>
      <c r="E250" s="1996"/>
      <c r="F250" s="1996"/>
      <c r="G250" s="1996"/>
      <c r="H250" s="1996"/>
      <c r="I250" s="1996"/>
      <c r="L250" s="1997"/>
      <c r="Q250" s="1997"/>
      <c r="V250" s="1997"/>
      <c r="Z250" s="1164"/>
      <c r="AA250" s="1997"/>
      <c r="AE250" s="1164"/>
      <c r="AF250" s="1997"/>
      <c r="AH250" s="1430"/>
      <c r="AJ250" s="1164"/>
      <c r="AK250" s="1164"/>
      <c r="AL250" s="1997"/>
      <c r="AN250" s="1998"/>
      <c r="AP250" s="1164"/>
      <c r="AQ250" s="1164"/>
      <c r="AR250" s="1997"/>
      <c r="AT250" s="1998"/>
      <c r="AU250" s="1999"/>
      <c r="AV250" s="1999"/>
      <c r="AW250" s="1999"/>
      <c r="AX250" s="1999"/>
      <c r="AY250" s="1999"/>
      <c r="AZ250" s="1999"/>
      <c r="BA250" s="1999"/>
      <c r="BB250" s="1999"/>
      <c r="BC250" s="1999"/>
      <c r="BD250" s="1999"/>
      <c r="BE250" s="1999"/>
      <c r="BF250" s="1999"/>
    </row>
    <row r="251" ht="15.75" customHeight="1">
      <c r="A251" s="2001"/>
      <c r="B251" s="478"/>
      <c r="D251" s="1996"/>
      <c r="E251" s="1996"/>
      <c r="F251" s="1996"/>
      <c r="G251" s="1996"/>
      <c r="H251" s="1996"/>
      <c r="I251" s="1996"/>
      <c r="L251" s="1997"/>
      <c r="Q251" s="1997"/>
      <c r="V251" s="1997"/>
      <c r="Z251" s="1164"/>
      <c r="AA251" s="1997"/>
      <c r="AE251" s="1164"/>
      <c r="AF251" s="1997"/>
      <c r="AH251" s="1430"/>
      <c r="AJ251" s="1164"/>
      <c r="AK251" s="1164"/>
      <c r="AL251" s="1997"/>
      <c r="AN251" s="1998"/>
      <c r="AP251" s="1164"/>
      <c r="AQ251" s="1164"/>
      <c r="AR251" s="1997"/>
      <c r="AT251" s="1998"/>
      <c r="AU251" s="1999"/>
      <c r="AV251" s="1999"/>
      <c r="AW251" s="1999"/>
      <c r="AX251" s="1999"/>
      <c r="AY251" s="1999"/>
      <c r="AZ251" s="1999"/>
      <c r="BA251" s="1999"/>
      <c r="BB251" s="1999"/>
      <c r="BC251" s="1999"/>
      <c r="BD251" s="1999"/>
      <c r="BE251" s="1999"/>
      <c r="BF251" s="1999"/>
    </row>
    <row r="252" ht="15.75" customHeight="1">
      <c r="A252" s="2001"/>
      <c r="B252" s="478"/>
      <c r="D252" s="1996"/>
      <c r="E252" s="1996"/>
      <c r="F252" s="1996"/>
      <c r="G252" s="1996"/>
      <c r="H252" s="1996"/>
      <c r="I252" s="1996"/>
      <c r="L252" s="1997"/>
      <c r="Q252" s="1997"/>
      <c r="V252" s="1997"/>
      <c r="Z252" s="1164"/>
      <c r="AA252" s="1997"/>
      <c r="AE252" s="1164"/>
      <c r="AF252" s="1997"/>
      <c r="AH252" s="1430"/>
      <c r="AJ252" s="1164"/>
      <c r="AK252" s="1164"/>
      <c r="AL252" s="1997"/>
      <c r="AN252" s="1998"/>
      <c r="AP252" s="1164"/>
      <c r="AQ252" s="1164"/>
      <c r="AR252" s="1997"/>
      <c r="AT252" s="1998"/>
      <c r="AU252" s="1999"/>
      <c r="AV252" s="1999"/>
      <c r="AW252" s="1999"/>
      <c r="AX252" s="1999"/>
      <c r="AY252" s="1999"/>
      <c r="AZ252" s="1999"/>
      <c r="BA252" s="1999"/>
      <c r="BB252" s="1999"/>
      <c r="BC252" s="1999"/>
      <c r="BD252" s="1999"/>
      <c r="BE252" s="1999"/>
      <c r="BF252" s="1999"/>
    </row>
    <row r="253" ht="15.75" customHeight="1">
      <c r="A253" s="2001"/>
      <c r="B253" s="478"/>
      <c r="D253" s="1996"/>
      <c r="E253" s="1996"/>
      <c r="F253" s="1996"/>
      <c r="G253" s="1996"/>
      <c r="H253" s="1996"/>
      <c r="I253" s="1996"/>
      <c r="L253" s="1997"/>
      <c r="Q253" s="1997"/>
      <c r="V253" s="1997"/>
      <c r="Z253" s="1164"/>
      <c r="AA253" s="1997"/>
      <c r="AE253" s="1164"/>
      <c r="AF253" s="1997"/>
      <c r="AH253" s="1430"/>
      <c r="AJ253" s="1164"/>
      <c r="AK253" s="1164"/>
      <c r="AL253" s="1997"/>
      <c r="AN253" s="1998"/>
      <c r="AP253" s="1164"/>
      <c r="AQ253" s="1164"/>
      <c r="AR253" s="1997"/>
      <c r="AT253" s="1998"/>
      <c r="AU253" s="1999"/>
      <c r="AV253" s="1999"/>
      <c r="AW253" s="1999"/>
      <c r="AX253" s="1999"/>
      <c r="AY253" s="1999"/>
      <c r="AZ253" s="1999"/>
      <c r="BA253" s="1999"/>
      <c r="BB253" s="1999"/>
      <c r="BC253" s="1999"/>
      <c r="BD253" s="1999"/>
      <c r="BE253" s="1999"/>
      <c r="BF253" s="1999"/>
    </row>
    <row r="254" ht="15.75" customHeight="1">
      <c r="A254" s="2001"/>
      <c r="B254" s="478"/>
      <c r="D254" s="1996"/>
      <c r="E254" s="1996"/>
      <c r="F254" s="1996"/>
      <c r="G254" s="1996"/>
      <c r="H254" s="1996"/>
      <c r="I254" s="1996"/>
      <c r="L254" s="1997"/>
      <c r="Q254" s="1997"/>
      <c r="V254" s="1997"/>
      <c r="Z254" s="1164"/>
      <c r="AA254" s="1997"/>
      <c r="AE254" s="1164"/>
      <c r="AF254" s="1997"/>
      <c r="AH254" s="1430"/>
      <c r="AJ254" s="1164"/>
      <c r="AK254" s="1164"/>
      <c r="AL254" s="1997"/>
      <c r="AN254" s="1998"/>
      <c r="AP254" s="1164"/>
      <c r="AQ254" s="1164"/>
      <c r="AR254" s="1997"/>
      <c r="AT254" s="1998"/>
      <c r="AU254" s="1999"/>
      <c r="AV254" s="1999"/>
      <c r="AW254" s="1999"/>
      <c r="AX254" s="1999"/>
      <c r="AY254" s="1999"/>
      <c r="AZ254" s="1999"/>
      <c r="BA254" s="1999"/>
      <c r="BB254" s="1999"/>
      <c r="BC254" s="1999"/>
      <c r="BD254" s="1999"/>
      <c r="BE254" s="1999"/>
      <c r="BF254" s="1999"/>
    </row>
    <row r="255" ht="15.75" customHeight="1">
      <c r="A255" s="2001"/>
      <c r="B255" s="478"/>
      <c r="D255" s="1996"/>
      <c r="E255" s="1996"/>
      <c r="F255" s="1996"/>
      <c r="G255" s="1996"/>
      <c r="H255" s="1996"/>
      <c r="I255" s="1996"/>
      <c r="L255" s="1997"/>
      <c r="Q255" s="1997"/>
      <c r="V255" s="1997"/>
      <c r="Z255" s="1164"/>
      <c r="AA255" s="1997"/>
      <c r="AE255" s="1164"/>
      <c r="AF255" s="1997"/>
      <c r="AH255" s="1430"/>
      <c r="AJ255" s="1164"/>
      <c r="AK255" s="1164"/>
      <c r="AL255" s="1997"/>
      <c r="AN255" s="1998"/>
      <c r="AP255" s="1164"/>
      <c r="AQ255" s="1164"/>
      <c r="AR255" s="1997"/>
      <c r="AT255" s="1998"/>
      <c r="AU255" s="1999"/>
      <c r="AV255" s="1999"/>
      <c r="AW255" s="1999"/>
      <c r="AX255" s="1999"/>
      <c r="AY255" s="1999"/>
      <c r="AZ255" s="1999"/>
      <c r="BA255" s="1999"/>
      <c r="BB255" s="1999"/>
      <c r="BC255" s="1999"/>
      <c r="BD255" s="1999"/>
      <c r="BE255" s="1999"/>
      <c r="BF255" s="1999"/>
    </row>
    <row r="256" ht="15.75" customHeight="1">
      <c r="A256" s="2001"/>
      <c r="B256" s="478"/>
      <c r="D256" s="1996"/>
      <c r="E256" s="1996"/>
      <c r="F256" s="1996"/>
      <c r="G256" s="1996"/>
      <c r="H256" s="1996"/>
      <c r="I256" s="1996"/>
      <c r="L256" s="1997"/>
      <c r="Q256" s="1997"/>
      <c r="V256" s="1997"/>
      <c r="Z256" s="1164"/>
      <c r="AA256" s="1997"/>
      <c r="AE256" s="1164"/>
      <c r="AF256" s="1997"/>
      <c r="AH256" s="1430"/>
      <c r="AJ256" s="1164"/>
      <c r="AK256" s="1164"/>
      <c r="AL256" s="1997"/>
      <c r="AN256" s="1998"/>
      <c r="AP256" s="1164"/>
      <c r="AQ256" s="1164"/>
      <c r="AR256" s="1997"/>
      <c r="AT256" s="1998"/>
      <c r="AU256" s="1999"/>
      <c r="AV256" s="1999"/>
      <c r="AW256" s="1999"/>
      <c r="AX256" s="1999"/>
      <c r="AY256" s="1999"/>
      <c r="AZ256" s="1999"/>
      <c r="BA256" s="1999"/>
      <c r="BB256" s="1999"/>
      <c r="BC256" s="1999"/>
      <c r="BD256" s="1999"/>
      <c r="BE256" s="1999"/>
      <c r="BF256" s="1999"/>
    </row>
    <row r="257" ht="15.75" customHeight="1">
      <c r="A257" s="2001"/>
      <c r="B257" s="478"/>
      <c r="D257" s="1996"/>
      <c r="E257" s="1996"/>
      <c r="F257" s="1996"/>
      <c r="G257" s="1996"/>
      <c r="H257" s="1996"/>
      <c r="I257" s="1996"/>
      <c r="L257" s="1997"/>
      <c r="Q257" s="1997"/>
      <c r="V257" s="1997"/>
      <c r="Z257" s="1164"/>
      <c r="AA257" s="1997"/>
      <c r="AE257" s="1164"/>
      <c r="AF257" s="1997"/>
      <c r="AH257" s="1430"/>
      <c r="AJ257" s="1164"/>
      <c r="AK257" s="1164"/>
      <c r="AL257" s="1997"/>
      <c r="AN257" s="1998"/>
      <c r="AP257" s="1164"/>
      <c r="AQ257" s="1164"/>
      <c r="AR257" s="1997"/>
      <c r="AT257" s="1998"/>
      <c r="AU257" s="1999"/>
      <c r="AV257" s="1999"/>
      <c r="AW257" s="1999"/>
      <c r="AX257" s="1999"/>
      <c r="AY257" s="1999"/>
      <c r="AZ257" s="1999"/>
      <c r="BA257" s="1999"/>
      <c r="BB257" s="1999"/>
      <c r="BC257" s="1999"/>
      <c r="BD257" s="1999"/>
      <c r="BE257" s="1999"/>
      <c r="BF257" s="1999"/>
    </row>
    <row r="258" ht="15.75" customHeight="1">
      <c r="A258" s="2001"/>
      <c r="B258" s="478"/>
      <c r="D258" s="1996"/>
      <c r="E258" s="1996"/>
      <c r="F258" s="1996"/>
      <c r="G258" s="1996"/>
      <c r="H258" s="1996"/>
      <c r="I258" s="1996"/>
      <c r="L258" s="1997"/>
      <c r="Q258" s="1997"/>
      <c r="V258" s="1997"/>
      <c r="Z258" s="1164"/>
      <c r="AA258" s="1997"/>
      <c r="AE258" s="1164"/>
      <c r="AF258" s="1997"/>
      <c r="AH258" s="1430"/>
      <c r="AJ258" s="1164"/>
      <c r="AK258" s="1164"/>
      <c r="AL258" s="1997"/>
      <c r="AN258" s="1998"/>
      <c r="AP258" s="1164"/>
      <c r="AQ258" s="1164"/>
      <c r="AR258" s="1997"/>
      <c r="AT258" s="1998"/>
      <c r="AU258" s="1999"/>
      <c r="AV258" s="1999"/>
      <c r="AW258" s="1999"/>
      <c r="AX258" s="1999"/>
      <c r="AY258" s="1999"/>
      <c r="AZ258" s="1999"/>
      <c r="BA258" s="1999"/>
      <c r="BB258" s="1999"/>
      <c r="BC258" s="1999"/>
      <c r="BD258" s="1999"/>
      <c r="BE258" s="1999"/>
      <c r="BF258" s="1999"/>
    </row>
    <row r="259" ht="15.75" customHeight="1">
      <c r="A259" s="2001"/>
      <c r="B259" s="478"/>
      <c r="D259" s="1996"/>
      <c r="E259" s="1996"/>
      <c r="F259" s="1996"/>
      <c r="G259" s="1996"/>
      <c r="H259" s="1996"/>
      <c r="I259" s="1996"/>
      <c r="L259" s="1997"/>
      <c r="Q259" s="1997"/>
      <c r="V259" s="1997"/>
      <c r="Z259" s="1164"/>
      <c r="AA259" s="1997"/>
      <c r="AE259" s="1164"/>
      <c r="AF259" s="1997"/>
      <c r="AH259" s="1430"/>
      <c r="AJ259" s="1164"/>
      <c r="AK259" s="1164"/>
      <c r="AL259" s="1997"/>
      <c r="AN259" s="1998"/>
      <c r="AP259" s="1164"/>
      <c r="AQ259" s="1164"/>
      <c r="AR259" s="1997"/>
      <c r="AT259" s="1998"/>
      <c r="AU259" s="1999"/>
      <c r="AV259" s="1999"/>
      <c r="AW259" s="1999"/>
      <c r="AX259" s="1999"/>
      <c r="AY259" s="1999"/>
      <c r="AZ259" s="1999"/>
      <c r="BA259" s="1999"/>
      <c r="BB259" s="1999"/>
      <c r="BC259" s="1999"/>
      <c r="BD259" s="1999"/>
      <c r="BE259" s="1999"/>
      <c r="BF259" s="1999"/>
    </row>
    <row r="260" ht="15.75" customHeight="1">
      <c r="A260" s="2001"/>
      <c r="B260" s="478"/>
      <c r="D260" s="1996"/>
      <c r="E260" s="1996"/>
      <c r="F260" s="1996"/>
      <c r="G260" s="1996"/>
      <c r="H260" s="1996"/>
      <c r="I260" s="1996"/>
      <c r="L260" s="1997"/>
      <c r="Q260" s="1997"/>
      <c r="V260" s="1997"/>
      <c r="Z260" s="1164"/>
      <c r="AA260" s="1997"/>
      <c r="AE260" s="1164"/>
      <c r="AF260" s="1997"/>
      <c r="AH260" s="1430"/>
      <c r="AJ260" s="1164"/>
      <c r="AK260" s="1164"/>
      <c r="AL260" s="1997"/>
      <c r="AN260" s="1998"/>
      <c r="AP260" s="1164"/>
      <c r="AQ260" s="1164"/>
      <c r="AR260" s="1997"/>
      <c r="AT260" s="1998"/>
      <c r="AU260" s="1999"/>
      <c r="AV260" s="1999"/>
      <c r="AW260" s="1999"/>
      <c r="AX260" s="1999"/>
      <c r="AY260" s="1999"/>
      <c r="AZ260" s="1999"/>
      <c r="BA260" s="1999"/>
      <c r="BB260" s="1999"/>
      <c r="BC260" s="1999"/>
      <c r="BD260" s="1999"/>
      <c r="BE260" s="1999"/>
      <c r="BF260" s="1999"/>
    </row>
    <row r="261" ht="15.75" customHeight="1">
      <c r="A261" s="2001"/>
      <c r="B261" s="478"/>
      <c r="D261" s="1996"/>
      <c r="E261" s="1996"/>
      <c r="F261" s="1996"/>
      <c r="G261" s="1996"/>
      <c r="H261" s="1996"/>
      <c r="I261" s="1996"/>
      <c r="L261" s="1997"/>
      <c r="Q261" s="1997"/>
      <c r="V261" s="1997"/>
      <c r="Z261" s="1164"/>
      <c r="AA261" s="1997"/>
      <c r="AE261" s="1164"/>
      <c r="AF261" s="1997"/>
      <c r="AH261" s="1430"/>
      <c r="AJ261" s="1164"/>
      <c r="AK261" s="1164"/>
      <c r="AL261" s="1997"/>
      <c r="AN261" s="1998"/>
      <c r="AP261" s="1164"/>
      <c r="AQ261" s="1164"/>
      <c r="AR261" s="1997"/>
      <c r="AT261" s="1998"/>
      <c r="AU261" s="1999"/>
      <c r="AV261" s="1999"/>
      <c r="AW261" s="1999"/>
      <c r="AX261" s="1999"/>
      <c r="AY261" s="1999"/>
      <c r="AZ261" s="1999"/>
      <c r="BA261" s="1999"/>
      <c r="BB261" s="1999"/>
      <c r="BC261" s="1999"/>
      <c r="BD261" s="1999"/>
      <c r="BE261" s="1999"/>
      <c r="BF261" s="1999"/>
    </row>
    <row r="262" ht="15.75" customHeight="1">
      <c r="A262" s="2001"/>
      <c r="B262" s="478"/>
      <c r="D262" s="1996"/>
      <c r="E262" s="1996"/>
      <c r="F262" s="1996"/>
      <c r="G262" s="1996"/>
      <c r="H262" s="1996"/>
      <c r="I262" s="1996"/>
      <c r="L262" s="1997"/>
      <c r="Q262" s="1997"/>
      <c r="V262" s="1997"/>
      <c r="Z262" s="1164"/>
      <c r="AA262" s="1997"/>
      <c r="AE262" s="1164"/>
      <c r="AF262" s="1997"/>
      <c r="AH262" s="1430"/>
      <c r="AJ262" s="1164"/>
      <c r="AK262" s="1164"/>
      <c r="AL262" s="1997"/>
      <c r="AN262" s="1998"/>
      <c r="AP262" s="1164"/>
      <c r="AQ262" s="1164"/>
      <c r="AR262" s="1997"/>
      <c r="AT262" s="1998"/>
      <c r="AU262" s="1999"/>
      <c r="AV262" s="1999"/>
      <c r="AW262" s="1999"/>
      <c r="AX262" s="1999"/>
      <c r="AY262" s="1999"/>
      <c r="AZ262" s="1999"/>
      <c r="BA262" s="1999"/>
      <c r="BB262" s="1999"/>
      <c r="BC262" s="1999"/>
      <c r="BD262" s="1999"/>
      <c r="BE262" s="1999"/>
      <c r="BF262" s="1999"/>
    </row>
    <row r="263" ht="15.75" customHeight="1">
      <c r="A263" s="2001"/>
      <c r="B263" s="478"/>
      <c r="D263" s="1996"/>
      <c r="E263" s="1996"/>
      <c r="F263" s="1996"/>
      <c r="G263" s="1996"/>
      <c r="H263" s="1996"/>
      <c r="I263" s="1996"/>
      <c r="L263" s="1997"/>
      <c r="Q263" s="1997"/>
      <c r="V263" s="1997"/>
      <c r="Z263" s="1164"/>
      <c r="AA263" s="1997"/>
      <c r="AE263" s="1164"/>
      <c r="AF263" s="1997"/>
      <c r="AH263" s="1430"/>
      <c r="AJ263" s="1164"/>
      <c r="AK263" s="1164"/>
      <c r="AL263" s="1997"/>
      <c r="AN263" s="1998"/>
      <c r="AP263" s="1164"/>
      <c r="AQ263" s="1164"/>
      <c r="AR263" s="1997"/>
      <c r="AT263" s="1998"/>
      <c r="AU263" s="1999"/>
      <c r="AV263" s="1999"/>
      <c r="AW263" s="1999"/>
      <c r="AX263" s="1999"/>
      <c r="AY263" s="1999"/>
      <c r="AZ263" s="1999"/>
      <c r="BA263" s="1999"/>
      <c r="BB263" s="1999"/>
      <c r="BC263" s="1999"/>
      <c r="BD263" s="1999"/>
      <c r="BE263" s="1999"/>
      <c r="BF263" s="1999"/>
    </row>
    <row r="264" ht="15.75" customHeight="1">
      <c r="A264" s="2001"/>
      <c r="B264" s="478"/>
      <c r="D264" s="1996"/>
      <c r="E264" s="1996"/>
      <c r="F264" s="1996"/>
      <c r="G264" s="1996"/>
      <c r="H264" s="1996"/>
      <c r="I264" s="1996"/>
      <c r="L264" s="1997"/>
      <c r="Q264" s="1997"/>
      <c r="V264" s="1997"/>
      <c r="Z264" s="1164"/>
      <c r="AA264" s="1997"/>
      <c r="AE264" s="1164"/>
      <c r="AF264" s="1997"/>
      <c r="AH264" s="1430"/>
      <c r="AJ264" s="1164"/>
      <c r="AK264" s="1164"/>
      <c r="AL264" s="1997"/>
      <c r="AN264" s="1998"/>
      <c r="AP264" s="1164"/>
      <c r="AQ264" s="1164"/>
      <c r="AR264" s="1997"/>
      <c r="AT264" s="1998"/>
      <c r="AU264" s="1999"/>
      <c r="AV264" s="1999"/>
      <c r="AW264" s="1999"/>
      <c r="AX264" s="1999"/>
      <c r="AY264" s="1999"/>
      <c r="AZ264" s="1999"/>
      <c r="BA264" s="1999"/>
      <c r="BB264" s="1999"/>
      <c r="BC264" s="1999"/>
      <c r="BD264" s="1999"/>
      <c r="BE264" s="1999"/>
      <c r="BF264" s="1999"/>
    </row>
    <row r="265" ht="15.75" customHeight="1">
      <c r="A265" s="2001"/>
      <c r="B265" s="478"/>
      <c r="D265" s="1996"/>
      <c r="E265" s="1996"/>
      <c r="F265" s="1996"/>
      <c r="G265" s="1996"/>
      <c r="H265" s="1996"/>
      <c r="I265" s="1996"/>
      <c r="L265" s="1997"/>
      <c r="Q265" s="1997"/>
      <c r="V265" s="1997"/>
      <c r="Z265" s="1164"/>
      <c r="AA265" s="1997"/>
      <c r="AE265" s="1164"/>
      <c r="AF265" s="1997"/>
      <c r="AH265" s="1430"/>
      <c r="AJ265" s="1164"/>
      <c r="AK265" s="1164"/>
      <c r="AL265" s="1997"/>
      <c r="AN265" s="1998"/>
      <c r="AP265" s="1164"/>
      <c r="AQ265" s="1164"/>
      <c r="AR265" s="1997"/>
      <c r="AT265" s="1998"/>
      <c r="AU265" s="1999"/>
      <c r="AV265" s="1999"/>
      <c r="AW265" s="1999"/>
      <c r="AX265" s="1999"/>
      <c r="AY265" s="1999"/>
      <c r="AZ265" s="1999"/>
      <c r="BA265" s="1999"/>
      <c r="BB265" s="1999"/>
      <c r="BC265" s="1999"/>
      <c r="BD265" s="1999"/>
      <c r="BE265" s="1999"/>
      <c r="BF265" s="1999"/>
    </row>
    <row r="266" ht="15.75" customHeight="1">
      <c r="A266" s="2001"/>
      <c r="B266" s="478"/>
      <c r="D266" s="1996"/>
      <c r="E266" s="1996"/>
      <c r="F266" s="1996"/>
      <c r="G266" s="1996"/>
      <c r="H266" s="1996"/>
      <c r="I266" s="1996"/>
      <c r="L266" s="1997"/>
      <c r="Q266" s="1997"/>
      <c r="V266" s="1997"/>
      <c r="Z266" s="1164"/>
      <c r="AA266" s="1997"/>
      <c r="AE266" s="1164"/>
      <c r="AF266" s="1997"/>
      <c r="AH266" s="1430"/>
      <c r="AJ266" s="1164"/>
      <c r="AK266" s="1164"/>
      <c r="AL266" s="1997"/>
      <c r="AN266" s="1998"/>
      <c r="AP266" s="1164"/>
      <c r="AQ266" s="1164"/>
      <c r="AR266" s="1997"/>
      <c r="AT266" s="1998"/>
      <c r="AU266" s="1999"/>
      <c r="AV266" s="1999"/>
      <c r="AW266" s="1999"/>
      <c r="AX266" s="1999"/>
      <c r="AY266" s="1999"/>
      <c r="AZ266" s="1999"/>
      <c r="BA266" s="1999"/>
      <c r="BB266" s="1999"/>
      <c r="BC266" s="1999"/>
      <c r="BD266" s="1999"/>
      <c r="BE266" s="1999"/>
      <c r="BF266" s="1999"/>
    </row>
    <row r="267" ht="15.75" customHeight="1">
      <c r="A267" s="2001"/>
      <c r="B267" s="478"/>
      <c r="D267" s="1996"/>
      <c r="E267" s="1996"/>
      <c r="F267" s="1996"/>
      <c r="G267" s="1996"/>
      <c r="H267" s="1996"/>
      <c r="I267" s="1996"/>
      <c r="L267" s="1997"/>
      <c r="Q267" s="1997"/>
      <c r="V267" s="1997"/>
      <c r="Z267" s="1164"/>
      <c r="AA267" s="1997"/>
      <c r="AE267" s="1164"/>
      <c r="AF267" s="1997"/>
      <c r="AH267" s="1430"/>
      <c r="AJ267" s="1164"/>
      <c r="AK267" s="1164"/>
      <c r="AL267" s="1997"/>
      <c r="AN267" s="1998"/>
      <c r="AP267" s="1164"/>
      <c r="AQ267" s="1164"/>
      <c r="AR267" s="1997"/>
      <c r="AT267" s="1998"/>
      <c r="AU267" s="1999"/>
      <c r="AV267" s="1999"/>
      <c r="AW267" s="1999"/>
      <c r="AX267" s="1999"/>
      <c r="AY267" s="1999"/>
      <c r="AZ267" s="1999"/>
      <c r="BA267" s="1999"/>
      <c r="BB267" s="1999"/>
      <c r="BC267" s="1999"/>
      <c r="BD267" s="1999"/>
      <c r="BE267" s="1999"/>
      <c r="BF267" s="1999"/>
    </row>
    <row r="268" ht="15.75" customHeight="1">
      <c r="A268" s="2001"/>
      <c r="B268" s="478"/>
      <c r="D268" s="1996"/>
      <c r="E268" s="1996"/>
      <c r="F268" s="1996"/>
      <c r="G268" s="1996"/>
      <c r="H268" s="1996"/>
      <c r="I268" s="1996"/>
      <c r="L268" s="1997"/>
      <c r="Q268" s="1997"/>
      <c r="V268" s="1997"/>
      <c r="Z268" s="1164"/>
      <c r="AA268" s="1997"/>
      <c r="AE268" s="1164"/>
      <c r="AF268" s="1997"/>
      <c r="AH268" s="1430"/>
      <c r="AJ268" s="1164"/>
      <c r="AK268" s="1164"/>
      <c r="AL268" s="1997"/>
      <c r="AN268" s="1998"/>
      <c r="AP268" s="1164"/>
      <c r="AQ268" s="1164"/>
      <c r="AR268" s="1997"/>
      <c r="AT268" s="1998"/>
      <c r="AU268" s="1999"/>
      <c r="AV268" s="1999"/>
      <c r="AW268" s="1999"/>
      <c r="AX268" s="1999"/>
      <c r="AY268" s="1999"/>
      <c r="AZ268" s="1999"/>
      <c r="BA268" s="1999"/>
      <c r="BB268" s="1999"/>
      <c r="BC268" s="1999"/>
      <c r="BD268" s="1999"/>
      <c r="BE268" s="1999"/>
      <c r="BF268" s="1999"/>
    </row>
    <row r="269" ht="15.75" customHeight="1">
      <c r="A269" s="2001"/>
      <c r="B269" s="478"/>
      <c r="D269" s="1996"/>
      <c r="E269" s="1996"/>
      <c r="F269" s="1996"/>
      <c r="G269" s="1996"/>
      <c r="H269" s="1996"/>
      <c r="I269" s="1996"/>
      <c r="L269" s="1997"/>
      <c r="Q269" s="1997"/>
      <c r="V269" s="1997"/>
      <c r="Z269" s="1164"/>
      <c r="AA269" s="1997"/>
      <c r="AE269" s="1164"/>
      <c r="AF269" s="1997"/>
      <c r="AH269" s="1430"/>
      <c r="AJ269" s="1164"/>
      <c r="AK269" s="1164"/>
      <c r="AL269" s="1997"/>
      <c r="AN269" s="1998"/>
      <c r="AP269" s="1164"/>
      <c r="AQ269" s="1164"/>
      <c r="AR269" s="1997"/>
      <c r="AT269" s="1998"/>
      <c r="AU269" s="1999"/>
      <c r="AV269" s="1999"/>
      <c r="AW269" s="1999"/>
      <c r="AX269" s="1999"/>
      <c r="AY269" s="1999"/>
      <c r="AZ269" s="1999"/>
      <c r="BA269" s="1999"/>
      <c r="BB269" s="1999"/>
      <c r="BC269" s="1999"/>
      <c r="BD269" s="1999"/>
      <c r="BE269" s="1999"/>
      <c r="BF269" s="1999"/>
    </row>
    <row r="270" ht="15.75" customHeight="1">
      <c r="A270" s="2001"/>
      <c r="B270" s="478"/>
      <c r="D270" s="1996"/>
      <c r="E270" s="1996"/>
      <c r="F270" s="1996"/>
      <c r="G270" s="1996"/>
      <c r="H270" s="1996"/>
      <c r="I270" s="1996"/>
      <c r="L270" s="1997"/>
      <c r="Q270" s="1997"/>
      <c r="V270" s="1997"/>
      <c r="Z270" s="1164"/>
      <c r="AA270" s="1997"/>
      <c r="AE270" s="1164"/>
      <c r="AF270" s="1997"/>
      <c r="AH270" s="1430"/>
      <c r="AJ270" s="1164"/>
      <c r="AK270" s="1164"/>
      <c r="AL270" s="1997"/>
      <c r="AN270" s="1998"/>
      <c r="AP270" s="1164"/>
      <c r="AQ270" s="1164"/>
      <c r="AR270" s="1997"/>
      <c r="AT270" s="1998"/>
      <c r="AU270" s="1999"/>
      <c r="AV270" s="1999"/>
      <c r="AW270" s="1999"/>
      <c r="AX270" s="1999"/>
      <c r="AY270" s="1999"/>
      <c r="AZ270" s="1999"/>
      <c r="BA270" s="1999"/>
      <c r="BB270" s="1999"/>
      <c r="BC270" s="1999"/>
      <c r="BD270" s="1999"/>
      <c r="BE270" s="1999"/>
      <c r="BF270" s="1999"/>
    </row>
    <row r="271" ht="15.75" customHeight="1">
      <c r="A271" s="2001"/>
      <c r="B271" s="478"/>
      <c r="D271" s="1996"/>
      <c r="E271" s="1996"/>
      <c r="F271" s="1996"/>
      <c r="G271" s="1996"/>
      <c r="H271" s="1996"/>
      <c r="I271" s="1996"/>
      <c r="L271" s="1997"/>
      <c r="Q271" s="1997"/>
      <c r="V271" s="1997"/>
      <c r="Z271" s="1164"/>
      <c r="AA271" s="1997"/>
      <c r="AE271" s="1164"/>
      <c r="AF271" s="1997"/>
      <c r="AH271" s="1430"/>
      <c r="AJ271" s="1164"/>
      <c r="AK271" s="1164"/>
      <c r="AL271" s="1997"/>
      <c r="AN271" s="1998"/>
      <c r="AP271" s="1164"/>
      <c r="AQ271" s="1164"/>
      <c r="AR271" s="1997"/>
      <c r="AT271" s="1998"/>
      <c r="AU271" s="1999"/>
      <c r="AV271" s="1999"/>
      <c r="AW271" s="1999"/>
      <c r="AX271" s="1999"/>
      <c r="AY271" s="1999"/>
      <c r="AZ271" s="1999"/>
      <c r="BA271" s="1999"/>
      <c r="BB271" s="1999"/>
      <c r="BC271" s="1999"/>
      <c r="BD271" s="1999"/>
      <c r="BE271" s="1999"/>
      <c r="BF271" s="1999"/>
    </row>
    <row r="272" ht="15.75" customHeight="1">
      <c r="A272" s="2001"/>
      <c r="B272" s="478"/>
      <c r="D272" s="1996"/>
      <c r="E272" s="1996"/>
      <c r="F272" s="1996"/>
      <c r="G272" s="1996"/>
      <c r="H272" s="1996"/>
      <c r="I272" s="1996"/>
      <c r="L272" s="1997"/>
      <c r="Q272" s="1997"/>
      <c r="V272" s="1997"/>
      <c r="Z272" s="1164"/>
      <c r="AA272" s="1997"/>
      <c r="AE272" s="1164"/>
      <c r="AF272" s="1997"/>
      <c r="AH272" s="1430"/>
      <c r="AJ272" s="1164"/>
      <c r="AK272" s="1164"/>
      <c r="AL272" s="1997"/>
      <c r="AN272" s="1998"/>
      <c r="AP272" s="1164"/>
      <c r="AQ272" s="1164"/>
      <c r="AR272" s="1997"/>
      <c r="AT272" s="1998"/>
      <c r="AU272" s="1999"/>
      <c r="AV272" s="1999"/>
      <c r="AW272" s="1999"/>
      <c r="AX272" s="1999"/>
      <c r="AY272" s="1999"/>
      <c r="AZ272" s="1999"/>
      <c r="BA272" s="1999"/>
      <c r="BB272" s="1999"/>
      <c r="BC272" s="1999"/>
      <c r="BD272" s="1999"/>
      <c r="BE272" s="1999"/>
      <c r="BF272" s="1999"/>
    </row>
    <row r="273" ht="15.75" customHeight="1">
      <c r="A273" s="2001"/>
      <c r="B273" s="478"/>
      <c r="D273" s="1996"/>
      <c r="E273" s="1996"/>
      <c r="F273" s="1996"/>
      <c r="G273" s="1996"/>
      <c r="H273" s="1996"/>
      <c r="I273" s="1996"/>
      <c r="L273" s="1997"/>
      <c r="Q273" s="1997"/>
      <c r="V273" s="1997"/>
      <c r="Z273" s="1164"/>
      <c r="AA273" s="1997"/>
      <c r="AE273" s="1164"/>
      <c r="AF273" s="1997"/>
      <c r="AH273" s="1430"/>
      <c r="AJ273" s="1164"/>
      <c r="AK273" s="1164"/>
      <c r="AL273" s="1997"/>
      <c r="AN273" s="1998"/>
      <c r="AP273" s="1164"/>
      <c r="AQ273" s="1164"/>
      <c r="AR273" s="1997"/>
      <c r="AT273" s="1998"/>
      <c r="AU273" s="1999"/>
      <c r="AV273" s="1999"/>
      <c r="AW273" s="1999"/>
      <c r="AX273" s="1999"/>
      <c r="AY273" s="1999"/>
      <c r="AZ273" s="1999"/>
      <c r="BA273" s="1999"/>
      <c r="BB273" s="1999"/>
      <c r="BC273" s="1999"/>
      <c r="BD273" s="1999"/>
      <c r="BE273" s="1999"/>
      <c r="BF273" s="1999"/>
    </row>
    <row r="274" ht="15.75" customHeight="1">
      <c r="A274" s="2001"/>
      <c r="B274" s="478"/>
      <c r="D274" s="1996"/>
      <c r="E274" s="1996"/>
      <c r="F274" s="1996"/>
      <c r="G274" s="1996"/>
      <c r="H274" s="1996"/>
      <c r="I274" s="1996"/>
      <c r="L274" s="1997"/>
      <c r="Q274" s="1997"/>
      <c r="V274" s="1997"/>
      <c r="Z274" s="1164"/>
      <c r="AA274" s="1997"/>
      <c r="AE274" s="1164"/>
      <c r="AF274" s="1997"/>
      <c r="AH274" s="1430"/>
      <c r="AJ274" s="1164"/>
      <c r="AK274" s="1164"/>
      <c r="AL274" s="1997"/>
      <c r="AN274" s="1998"/>
      <c r="AP274" s="1164"/>
      <c r="AQ274" s="1164"/>
      <c r="AR274" s="1997"/>
      <c r="AT274" s="1998"/>
      <c r="AU274" s="1999"/>
      <c r="AV274" s="1999"/>
      <c r="AW274" s="1999"/>
      <c r="AX274" s="1999"/>
      <c r="AY274" s="1999"/>
      <c r="AZ274" s="1999"/>
      <c r="BA274" s="1999"/>
      <c r="BB274" s="1999"/>
      <c r="BC274" s="1999"/>
      <c r="BD274" s="1999"/>
      <c r="BE274" s="1999"/>
      <c r="BF274" s="1999"/>
    </row>
    <row r="275" ht="15.75" customHeight="1">
      <c r="A275" s="2001"/>
      <c r="B275" s="478"/>
      <c r="D275" s="1996"/>
      <c r="E275" s="1996"/>
      <c r="F275" s="1996"/>
      <c r="G275" s="1996"/>
      <c r="H275" s="1996"/>
      <c r="I275" s="1996"/>
      <c r="L275" s="1997"/>
      <c r="Q275" s="1997"/>
      <c r="V275" s="1997"/>
      <c r="Z275" s="1164"/>
      <c r="AA275" s="1997"/>
      <c r="AE275" s="1164"/>
      <c r="AF275" s="1997"/>
      <c r="AH275" s="1430"/>
      <c r="AJ275" s="1164"/>
      <c r="AK275" s="1164"/>
      <c r="AL275" s="1997"/>
      <c r="AN275" s="1998"/>
      <c r="AP275" s="1164"/>
      <c r="AQ275" s="1164"/>
      <c r="AR275" s="1997"/>
      <c r="AT275" s="1998"/>
      <c r="AU275" s="1999"/>
      <c r="AV275" s="1999"/>
      <c r="AW275" s="1999"/>
      <c r="AX275" s="1999"/>
      <c r="AY275" s="1999"/>
      <c r="AZ275" s="1999"/>
      <c r="BA275" s="1999"/>
      <c r="BB275" s="1999"/>
      <c r="BC275" s="1999"/>
      <c r="BD275" s="1999"/>
      <c r="BE275" s="1999"/>
      <c r="BF275" s="1999"/>
    </row>
    <row r="276" ht="15.75" customHeight="1">
      <c r="A276" s="2001"/>
      <c r="B276" s="478"/>
      <c r="D276" s="1996"/>
      <c r="E276" s="1996"/>
      <c r="F276" s="1996"/>
      <c r="G276" s="1996"/>
      <c r="H276" s="1996"/>
      <c r="I276" s="1996"/>
      <c r="L276" s="1997"/>
      <c r="Q276" s="1997"/>
      <c r="V276" s="1997"/>
      <c r="Z276" s="1164"/>
      <c r="AA276" s="1997"/>
      <c r="AE276" s="1164"/>
      <c r="AF276" s="1997"/>
      <c r="AH276" s="1430"/>
      <c r="AJ276" s="1164"/>
      <c r="AK276" s="1164"/>
      <c r="AL276" s="1997"/>
      <c r="AN276" s="1998"/>
      <c r="AP276" s="1164"/>
      <c r="AQ276" s="1164"/>
      <c r="AR276" s="1997"/>
      <c r="AT276" s="1998"/>
      <c r="AU276" s="1999"/>
      <c r="AV276" s="1999"/>
      <c r="AW276" s="1999"/>
      <c r="AX276" s="1999"/>
      <c r="AY276" s="1999"/>
      <c r="AZ276" s="1999"/>
      <c r="BA276" s="1999"/>
      <c r="BB276" s="1999"/>
      <c r="BC276" s="1999"/>
      <c r="BD276" s="1999"/>
      <c r="BE276" s="1999"/>
      <c r="BF276" s="1999"/>
    </row>
    <row r="277" ht="15.75" customHeight="1">
      <c r="A277" s="2001"/>
      <c r="B277" s="478"/>
      <c r="D277" s="1996"/>
      <c r="E277" s="1996"/>
      <c r="F277" s="1996"/>
      <c r="G277" s="1996"/>
      <c r="H277" s="1996"/>
      <c r="I277" s="1996"/>
      <c r="L277" s="1997"/>
      <c r="Q277" s="1997"/>
      <c r="V277" s="1997"/>
      <c r="Z277" s="1164"/>
      <c r="AA277" s="1997"/>
      <c r="AE277" s="1164"/>
      <c r="AF277" s="1997"/>
      <c r="AH277" s="1430"/>
      <c r="AJ277" s="1164"/>
      <c r="AK277" s="1164"/>
      <c r="AL277" s="1997"/>
      <c r="AN277" s="1998"/>
      <c r="AP277" s="1164"/>
      <c r="AQ277" s="1164"/>
      <c r="AR277" s="1997"/>
      <c r="AT277" s="1998"/>
      <c r="AU277" s="1999"/>
      <c r="AV277" s="1999"/>
      <c r="AW277" s="1999"/>
      <c r="AX277" s="1999"/>
      <c r="AY277" s="1999"/>
      <c r="AZ277" s="1999"/>
      <c r="BA277" s="1999"/>
      <c r="BB277" s="1999"/>
      <c r="BC277" s="1999"/>
      <c r="BD277" s="1999"/>
      <c r="BE277" s="1999"/>
      <c r="BF277" s="1999"/>
    </row>
    <row r="278" ht="15.75" customHeight="1">
      <c r="A278" s="2001"/>
      <c r="B278" s="478"/>
      <c r="D278" s="1996"/>
      <c r="E278" s="1996"/>
      <c r="F278" s="1996"/>
      <c r="G278" s="1996"/>
      <c r="H278" s="1996"/>
      <c r="I278" s="1996"/>
      <c r="L278" s="1997"/>
      <c r="Q278" s="1997"/>
      <c r="V278" s="1997"/>
      <c r="Z278" s="1164"/>
      <c r="AA278" s="1997"/>
      <c r="AE278" s="1164"/>
      <c r="AF278" s="1997"/>
      <c r="AH278" s="1430"/>
      <c r="AJ278" s="1164"/>
      <c r="AK278" s="1164"/>
      <c r="AL278" s="1997"/>
      <c r="AN278" s="1998"/>
      <c r="AP278" s="1164"/>
      <c r="AQ278" s="1164"/>
      <c r="AR278" s="1997"/>
      <c r="AT278" s="1998"/>
      <c r="AU278" s="1999"/>
      <c r="AV278" s="1999"/>
      <c r="AW278" s="1999"/>
      <c r="AX278" s="1999"/>
      <c r="AY278" s="1999"/>
      <c r="AZ278" s="1999"/>
      <c r="BA278" s="1999"/>
      <c r="BB278" s="1999"/>
      <c r="BC278" s="1999"/>
      <c r="BD278" s="1999"/>
      <c r="BE278" s="1999"/>
      <c r="BF278" s="1999"/>
    </row>
    <row r="279" ht="15.75" customHeight="1">
      <c r="A279" s="2001"/>
      <c r="B279" s="478"/>
      <c r="D279" s="1996"/>
      <c r="E279" s="1996"/>
      <c r="F279" s="1996"/>
      <c r="G279" s="1996"/>
      <c r="H279" s="1996"/>
      <c r="I279" s="1996"/>
      <c r="L279" s="1997"/>
      <c r="Q279" s="1997"/>
      <c r="V279" s="1997"/>
      <c r="Z279" s="1164"/>
      <c r="AA279" s="1997"/>
      <c r="AE279" s="1164"/>
      <c r="AF279" s="1997"/>
      <c r="AH279" s="1430"/>
      <c r="AJ279" s="1164"/>
      <c r="AK279" s="1164"/>
      <c r="AL279" s="1997"/>
      <c r="AN279" s="1998"/>
      <c r="AP279" s="1164"/>
      <c r="AQ279" s="1164"/>
      <c r="AR279" s="1997"/>
      <c r="AT279" s="1998"/>
      <c r="AU279" s="1999"/>
      <c r="AV279" s="1999"/>
      <c r="AW279" s="1999"/>
      <c r="AX279" s="1999"/>
      <c r="AY279" s="1999"/>
      <c r="AZ279" s="1999"/>
      <c r="BA279" s="1999"/>
      <c r="BB279" s="1999"/>
      <c r="BC279" s="1999"/>
      <c r="BD279" s="1999"/>
      <c r="BE279" s="1999"/>
      <c r="BF279" s="1999"/>
    </row>
    <row r="280" ht="15.75" customHeight="1">
      <c r="A280" s="2001"/>
      <c r="B280" s="478"/>
      <c r="D280" s="1996"/>
      <c r="E280" s="1996"/>
      <c r="F280" s="1996"/>
      <c r="G280" s="1996"/>
      <c r="H280" s="1996"/>
      <c r="I280" s="1996"/>
      <c r="L280" s="1997"/>
      <c r="Q280" s="1997"/>
      <c r="V280" s="1997"/>
      <c r="Z280" s="1164"/>
      <c r="AA280" s="1997"/>
      <c r="AE280" s="1164"/>
      <c r="AF280" s="1997"/>
      <c r="AH280" s="1430"/>
      <c r="AJ280" s="1164"/>
      <c r="AK280" s="1164"/>
      <c r="AL280" s="1997"/>
      <c r="AN280" s="1998"/>
      <c r="AP280" s="1164"/>
      <c r="AQ280" s="1164"/>
      <c r="AR280" s="1997"/>
      <c r="AT280" s="1998"/>
      <c r="AU280" s="1999"/>
      <c r="AV280" s="1999"/>
      <c r="AW280" s="1999"/>
      <c r="AX280" s="1999"/>
      <c r="AY280" s="1999"/>
      <c r="AZ280" s="1999"/>
      <c r="BA280" s="1999"/>
      <c r="BB280" s="1999"/>
      <c r="BC280" s="1999"/>
      <c r="BD280" s="1999"/>
      <c r="BE280" s="1999"/>
      <c r="BF280" s="1999"/>
    </row>
    <row r="281" ht="15.75" customHeight="1">
      <c r="A281" s="2001"/>
      <c r="B281" s="478"/>
      <c r="D281" s="1996"/>
      <c r="E281" s="1996"/>
      <c r="F281" s="1996"/>
      <c r="G281" s="1996"/>
      <c r="H281" s="1996"/>
      <c r="I281" s="1996"/>
      <c r="L281" s="1997"/>
      <c r="Q281" s="1997"/>
      <c r="V281" s="1997"/>
      <c r="Z281" s="1164"/>
      <c r="AA281" s="1997"/>
      <c r="AE281" s="1164"/>
      <c r="AF281" s="1997"/>
      <c r="AH281" s="1430"/>
      <c r="AJ281" s="1164"/>
      <c r="AK281" s="1164"/>
      <c r="AL281" s="1997"/>
      <c r="AN281" s="1998"/>
      <c r="AP281" s="1164"/>
      <c r="AQ281" s="1164"/>
      <c r="AR281" s="1997"/>
      <c r="AT281" s="1998"/>
      <c r="AU281" s="1999"/>
      <c r="AV281" s="1999"/>
      <c r="AW281" s="1999"/>
      <c r="AX281" s="1999"/>
      <c r="AY281" s="1999"/>
      <c r="AZ281" s="1999"/>
      <c r="BA281" s="1999"/>
      <c r="BB281" s="1999"/>
      <c r="BC281" s="1999"/>
      <c r="BD281" s="1999"/>
      <c r="BE281" s="1999"/>
      <c r="BF281" s="1999"/>
    </row>
    <row r="282" ht="15.75" customHeight="1">
      <c r="A282" s="2001"/>
      <c r="B282" s="478"/>
      <c r="D282" s="1996"/>
      <c r="E282" s="1996"/>
      <c r="F282" s="1996"/>
      <c r="G282" s="1996"/>
      <c r="H282" s="1996"/>
      <c r="I282" s="1996"/>
      <c r="L282" s="1997"/>
      <c r="Q282" s="1997"/>
      <c r="V282" s="1997"/>
      <c r="Z282" s="1164"/>
      <c r="AA282" s="1997"/>
      <c r="AE282" s="1164"/>
      <c r="AF282" s="1997"/>
      <c r="AH282" s="1430"/>
      <c r="AJ282" s="1164"/>
      <c r="AK282" s="1164"/>
      <c r="AL282" s="1997"/>
      <c r="AN282" s="1998"/>
      <c r="AP282" s="1164"/>
      <c r="AQ282" s="1164"/>
      <c r="AR282" s="1997"/>
      <c r="AT282" s="1998"/>
      <c r="AU282" s="1999"/>
      <c r="AV282" s="1999"/>
      <c r="AW282" s="1999"/>
      <c r="AX282" s="1999"/>
      <c r="AY282" s="1999"/>
      <c r="AZ282" s="1999"/>
      <c r="BA282" s="1999"/>
      <c r="BB282" s="1999"/>
      <c r="BC282" s="1999"/>
      <c r="BD282" s="1999"/>
      <c r="BE282" s="1999"/>
      <c r="BF282" s="1999"/>
    </row>
    <row r="283" ht="15.75" customHeight="1">
      <c r="A283" s="2001"/>
      <c r="B283" s="478"/>
      <c r="D283" s="1996"/>
      <c r="E283" s="1996"/>
      <c r="F283" s="1996"/>
      <c r="G283" s="1996"/>
      <c r="H283" s="1996"/>
      <c r="I283" s="1996"/>
      <c r="L283" s="1997"/>
      <c r="Q283" s="1997"/>
      <c r="V283" s="1997"/>
      <c r="Z283" s="1164"/>
      <c r="AA283" s="1997"/>
      <c r="AE283" s="1164"/>
      <c r="AF283" s="1997"/>
      <c r="AH283" s="1430"/>
      <c r="AJ283" s="1164"/>
      <c r="AK283" s="1164"/>
      <c r="AL283" s="1997"/>
      <c r="AN283" s="1998"/>
      <c r="AP283" s="1164"/>
      <c r="AQ283" s="1164"/>
      <c r="AR283" s="1997"/>
      <c r="AT283" s="1998"/>
      <c r="AU283" s="1999"/>
      <c r="AV283" s="1999"/>
      <c r="AW283" s="1999"/>
      <c r="AX283" s="1999"/>
      <c r="AY283" s="1999"/>
      <c r="AZ283" s="1999"/>
      <c r="BA283" s="1999"/>
      <c r="BB283" s="1999"/>
      <c r="BC283" s="1999"/>
      <c r="BD283" s="1999"/>
      <c r="BE283" s="1999"/>
      <c r="BF283" s="1999"/>
    </row>
    <row r="284" ht="15.75" customHeight="1">
      <c r="A284" s="2001"/>
      <c r="B284" s="478"/>
      <c r="D284" s="1996"/>
      <c r="E284" s="1996"/>
      <c r="F284" s="1996"/>
      <c r="G284" s="1996"/>
      <c r="H284" s="1996"/>
      <c r="I284" s="1996"/>
      <c r="L284" s="1997"/>
      <c r="Q284" s="1997"/>
      <c r="V284" s="1997"/>
      <c r="Z284" s="1164"/>
      <c r="AA284" s="1997"/>
      <c r="AE284" s="1164"/>
      <c r="AF284" s="1997"/>
      <c r="AH284" s="1430"/>
      <c r="AJ284" s="1164"/>
      <c r="AK284" s="1164"/>
      <c r="AL284" s="1997"/>
      <c r="AN284" s="1998"/>
      <c r="AP284" s="1164"/>
      <c r="AQ284" s="1164"/>
      <c r="AR284" s="1997"/>
      <c r="AT284" s="1998"/>
      <c r="AU284" s="1999"/>
      <c r="AV284" s="1999"/>
      <c r="AW284" s="1999"/>
      <c r="AX284" s="1999"/>
      <c r="AY284" s="1999"/>
      <c r="AZ284" s="1999"/>
      <c r="BA284" s="1999"/>
      <c r="BB284" s="1999"/>
      <c r="BC284" s="1999"/>
      <c r="BD284" s="1999"/>
      <c r="BE284" s="1999"/>
      <c r="BF284" s="1999"/>
    </row>
    <row r="285" ht="15.75" customHeight="1">
      <c r="A285" s="2001"/>
      <c r="B285" s="478"/>
      <c r="D285" s="1996"/>
      <c r="E285" s="1996"/>
      <c r="F285" s="1996"/>
      <c r="G285" s="1996"/>
      <c r="H285" s="1996"/>
      <c r="I285" s="1996"/>
      <c r="L285" s="1997"/>
      <c r="Q285" s="1997"/>
      <c r="V285" s="1997"/>
      <c r="Z285" s="1164"/>
      <c r="AA285" s="1997"/>
      <c r="AE285" s="1164"/>
      <c r="AF285" s="1997"/>
      <c r="AH285" s="1430"/>
      <c r="AJ285" s="1164"/>
      <c r="AK285" s="1164"/>
      <c r="AL285" s="1997"/>
      <c r="AN285" s="1998"/>
      <c r="AP285" s="1164"/>
      <c r="AQ285" s="1164"/>
      <c r="AR285" s="1997"/>
      <c r="AT285" s="1998"/>
      <c r="AU285" s="1999"/>
      <c r="AV285" s="1999"/>
      <c r="AW285" s="1999"/>
      <c r="AX285" s="1999"/>
      <c r="AY285" s="1999"/>
      <c r="AZ285" s="1999"/>
      <c r="BA285" s="1999"/>
      <c r="BB285" s="1999"/>
      <c r="BC285" s="1999"/>
      <c r="BD285" s="1999"/>
      <c r="BE285" s="1999"/>
      <c r="BF285" s="1999"/>
    </row>
    <row r="286" ht="15.75" customHeight="1">
      <c r="A286" s="2001"/>
      <c r="B286" s="478"/>
      <c r="D286" s="1996"/>
      <c r="E286" s="1996"/>
      <c r="F286" s="1996"/>
      <c r="G286" s="1996"/>
      <c r="H286" s="1996"/>
      <c r="I286" s="1996"/>
      <c r="L286" s="1997"/>
      <c r="Q286" s="1997"/>
      <c r="V286" s="1997"/>
      <c r="Z286" s="1164"/>
      <c r="AA286" s="1997"/>
      <c r="AE286" s="1164"/>
      <c r="AF286" s="1997"/>
      <c r="AH286" s="1430"/>
      <c r="AJ286" s="1164"/>
      <c r="AK286" s="1164"/>
      <c r="AL286" s="1997"/>
      <c r="AN286" s="1998"/>
      <c r="AP286" s="1164"/>
      <c r="AQ286" s="1164"/>
      <c r="AR286" s="1997"/>
      <c r="AT286" s="1998"/>
      <c r="AU286" s="1999"/>
      <c r="AV286" s="1999"/>
      <c r="AW286" s="1999"/>
      <c r="AX286" s="1999"/>
      <c r="AY286" s="1999"/>
      <c r="AZ286" s="1999"/>
      <c r="BA286" s="1999"/>
      <c r="BB286" s="1999"/>
      <c r="BC286" s="1999"/>
      <c r="BD286" s="1999"/>
      <c r="BE286" s="1999"/>
      <c r="BF286" s="1999"/>
    </row>
    <row r="287" ht="15.75" customHeight="1">
      <c r="A287" s="2001"/>
      <c r="B287" s="478"/>
      <c r="D287" s="1996"/>
      <c r="E287" s="1996"/>
      <c r="F287" s="1996"/>
      <c r="G287" s="1996"/>
      <c r="H287" s="1996"/>
      <c r="I287" s="1996"/>
      <c r="L287" s="1997"/>
      <c r="Q287" s="1997"/>
      <c r="V287" s="1997"/>
      <c r="Z287" s="1164"/>
      <c r="AA287" s="1997"/>
      <c r="AE287" s="1164"/>
      <c r="AF287" s="1997"/>
      <c r="AH287" s="1430"/>
      <c r="AJ287" s="1164"/>
      <c r="AK287" s="1164"/>
      <c r="AL287" s="1997"/>
      <c r="AN287" s="1998"/>
      <c r="AP287" s="1164"/>
      <c r="AQ287" s="1164"/>
      <c r="AR287" s="1997"/>
      <c r="AT287" s="1998"/>
      <c r="AU287" s="1999"/>
      <c r="AV287" s="1999"/>
      <c r="AW287" s="1999"/>
      <c r="AX287" s="1999"/>
      <c r="AY287" s="1999"/>
      <c r="AZ287" s="1999"/>
      <c r="BA287" s="1999"/>
      <c r="BB287" s="1999"/>
      <c r="BC287" s="1999"/>
      <c r="BD287" s="1999"/>
      <c r="BE287" s="1999"/>
      <c r="BF287" s="1999"/>
    </row>
    <row r="288" ht="15.75" customHeight="1">
      <c r="A288" s="2001"/>
      <c r="B288" s="478"/>
      <c r="D288" s="1996"/>
      <c r="E288" s="1996"/>
      <c r="F288" s="1996"/>
      <c r="G288" s="1996"/>
      <c r="H288" s="1996"/>
      <c r="I288" s="1996"/>
      <c r="L288" s="1997"/>
      <c r="Q288" s="1997"/>
      <c r="V288" s="1997"/>
      <c r="Z288" s="1164"/>
      <c r="AA288" s="1997"/>
      <c r="AE288" s="1164"/>
      <c r="AF288" s="1997"/>
      <c r="AH288" s="1430"/>
      <c r="AJ288" s="1164"/>
      <c r="AK288" s="1164"/>
      <c r="AL288" s="1997"/>
      <c r="AN288" s="1998"/>
      <c r="AP288" s="1164"/>
      <c r="AQ288" s="1164"/>
      <c r="AR288" s="1997"/>
      <c r="AT288" s="1998"/>
      <c r="AU288" s="1999"/>
      <c r="AV288" s="1999"/>
      <c r="AW288" s="1999"/>
      <c r="AX288" s="1999"/>
      <c r="AY288" s="1999"/>
      <c r="AZ288" s="1999"/>
      <c r="BA288" s="1999"/>
      <c r="BB288" s="1999"/>
      <c r="BC288" s="1999"/>
      <c r="BD288" s="1999"/>
      <c r="BE288" s="1999"/>
      <c r="BF288" s="1999"/>
    </row>
    <row r="289" ht="15.75" customHeight="1">
      <c r="A289" s="2001"/>
      <c r="B289" s="478"/>
      <c r="D289" s="1996"/>
      <c r="E289" s="1996"/>
      <c r="F289" s="1996"/>
      <c r="G289" s="1996"/>
      <c r="H289" s="1996"/>
      <c r="I289" s="1996"/>
      <c r="L289" s="1997"/>
      <c r="Q289" s="1997"/>
      <c r="V289" s="1997"/>
      <c r="Z289" s="1164"/>
      <c r="AA289" s="1997"/>
      <c r="AE289" s="1164"/>
      <c r="AF289" s="1997"/>
      <c r="AH289" s="1430"/>
      <c r="AJ289" s="1164"/>
      <c r="AK289" s="1164"/>
      <c r="AL289" s="1997"/>
      <c r="AN289" s="1998"/>
      <c r="AP289" s="1164"/>
      <c r="AQ289" s="1164"/>
      <c r="AR289" s="1997"/>
      <c r="AT289" s="1998"/>
      <c r="AU289" s="1999"/>
      <c r="AV289" s="1999"/>
      <c r="AW289" s="1999"/>
      <c r="AX289" s="1999"/>
      <c r="AY289" s="1999"/>
      <c r="AZ289" s="1999"/>
      <c r="BA289" s="1999"/>
      <c r="BB289" s="1999"/>
      <c r="BC289" s="1999"/>
      <c r="BD289" s="1999"/>
      <c r="BE289" s="1999"/>
      <c r="BF289" s="1999"/>
    </row>
    <row r="290" ht="15.75" customHeight="1">
      <c r="A290" s="2001"/>
      <c r="B290" s="478"/>
      <c r="D290" s="1996"/>
      <c r="E290" s="1996"/>
      <c r="F290" s="1996"/>
      <c r="G290" s="1996"/>
      <c r="H290" s="1996"/>
      <c r="I290" s="1996"/>
      <c r="L290" s="1997"/>
      <c r="Q290" s="1997"/>
      <c r="V290" s="1997"/>
      <c r="Z290" s="1164"/>
      <c r="AA290" s="1997"/>
      <c r="AE290" s="1164"/>
      <c r="AF290" s="1997"/>
      <c r="AH290" s="1430"/>
      <c r="AJ290" s="1164"/>
      <c r="AK290" s="1164"/>
      <c r="AL290" s="1997"/>
      <c r="AN290" s="1998"/>
      <c r="AP290" s="1164"/>
      <c r="AQ290" s="1164"/>
      <c r="AR290" s="1997"/>
      <c r="AT290" s="1998"/>
      <c r="AU290" s="1999"/>
      <c r="AV290" s="1999"/>
      <c r="AW290" s="1999"/>
      <c r="AX290" s="1999"/>
      <c r="AY290" s="1999"/>
      <c r="AZ290" s="1999"/>
      <c r="BA290" s="1999"/>
      <c r="BB290" s="1999"/>
      <c r="BC290" s="1999"/>
      <c r="BD290" s="1999"/>
      <c r="BE290" s="1999"/>
      <c r="BF290" s="1999"/>
    </row>
    <row r="291" ht="15.75" customHeight="1">
      <c r="A291" s="2001"/>
      <c r="B291" s="478"/>
      <c r="D291" s="1996"/>
      <c r="E291" s="1996"/>
      <c r="F291" s="1996"/>
      <c r="G291" s="1996"/>
      <c r="H291" s="1996"/>
      <c r="I291" s="1996"/>
      <c r="L291" s="1997"/>
      <c r="Q291" s="1997"/>
      <c r="V291" s="1997"/>
      <c r="Z291" s="1164"/>
      <c r="AA291" s="1997"/>
      <c r="AE291" s="1164"/>
      <c r="AF291" s="1997"/>
      <c r="AH291" s="1430"/>
      <c r="AJ291" s="1164"/>
      <c r="AK291" s="1164"/>
      <c r="AL291" s="1997"/>
      <c r="AN291" s="1998"/>
      <c r="AP291" s="1164"/>
      <c r="AQ291" s="1164"/>
      <c r="AR291" s="1997"/>
      <c r="AT291" s="1998"/>
      <c r="AU291" s="1999"/>
      <c r="AV291" s="1999"/>
      <c r="AW291" s="1999"/>
      <c r="AX291" s="1999"/>
      <c r="AY291" s="1999"/>
      <c r="AZ291" s="1999"/>
      <c r="BA291" s="1999"/>
      <c r="BB291" s="1999"/>
      <c r="BC291" s="1999"/>
      <c r="BD291" s="1999"/>
      <c r="BE291" s="1999"/>
      <c r="BF291" s="1999"/>
    </row>
    <row r="292" ht="15.75" customHeight="1">
      <c r="A292" s="2001"/>
      <c r="B292" s="478"/>
      <c r="D292" s="1996"/>
      <c r="E292" s="1996"/>
      <c r="F292" s="1996"/>
      <c r="G292" s="1996"/>
      <c r="H292" s="1996"/>
      <c r="I292" s="1996"/>
      <c r="L292" s="1997"/>
      <c r="Q292" s="1997"/>
      <c r="V292" s="1997"/>
      <c r="Z292" s="1164"/>
      <c r="AA292" s="1997"/>
      <c r="AE292" s="1164"/>
      <c r="AF292" s="1997"/>
      <c r="AH292" s="1430"/>
      <c r="AJ292" s="1164"/>
      <c r="AK292" s="1164"/>
      <c r="AL292" s="1997"/>
      <c r="AN292" s="1998"/>
      <c r="AP292" s="1164"/>
      <c r="AQ292" s="1164"/>
      <c r="AR292" s="1997"/>
      <c r="AT292" s="1998"/>
      <c r="AU292" s="1999"/>
      <c r="AV292" s="1999"/>
      <c r="AW292" s="1999"/>
      <c r="AX292" s="1999"/>
      <c r="AY292" s="1999"/>
      <c r="AZ292" s="1999"/>
      <c r="BA292" s="1999"/>
      <c r="BB292" s="1999"/>
      <c r="BC292" s="1999"/>
      <c r="BD292" s="1999"/>
      <c r="BE292" s="1999"/>
      <c r="BF292" s="1999"/>
    </row>
    <row r="293" ht="15.75" customHeight="1">
      <c r="A293" s="2001"/>
      <c r="B293" s="478"/>
      <c r="D293" s="1996"/>
      <c r="E293" s="1996"/>
      <c r="F293" s="1996"/>
      <c r="G293" s="1996"/>
      <c r="H293" s="1996"/>
      <c r="I293" s="1996"/>
      <c r="L293" s="1997"/>
      <c r="Q293" s="1997"/>
      <c r="V293" s="1997"/>
      <c r="Z293" s="1164"/>
      <c r="AA293" s="1997"/>
      <c r="AE293" s="1164"/>
      <c r="AF293" s="1997"/>
      <c r="AH293" s="1430"/>
      <c r="AJ293" s="1164"/>
      <c r="AK293" s="1164"/>
      <c r="AL293" s="1997"/>
      <c r="AN293" s="1998"/>
      <c r="AP293" s="1164"/>
      <c r="AQ293" s="1164"/>
      <c r="AR293" s="1997"/>
      <c r="AT293" s="1998"/>
      <c r="AU293" s="1999"/>
      <c r="AV293" s="1999"/>
      <c r="AW293" s="1999"/>
      <c r="AX293" s="1999"/>
      <c r="AY293" s="1999"/>
      <c r="AZ293" s="1999"/>
      <c r="BA293" s="1999"/>
      <c r="BB293" s="1999"/>
      <c r="BC293" s="1999"/>
      <c r="BD293" s="1999"/>
      <c r="BE293" s="1999"/>
      <c r="BF293" s="1999"/>
    </row>
    <row r="294" ht="15.75" customHeight="1">
      <c r="A294" s="2001"/>
      <c r="B294" s="478"/>
      <c r="D294" s="1996"/>
      <c r="E294" s="1996"/>
      <c r="F294" s="1996"/>
      <c r="G294" s="1996"/>
      <c r="H294" s="1996"/>
      <c r="I294" s="1996"/>
      <c r="L294" s="1997"/>
      <c r="Q294" s="1997"/>
      <c r="V294" s="1997"/>
      <c r="Z294" s="1164"/>
      <c r="AA294" s="1997"/>
      <c r="AE294" s="1164"/>
      <c r="AF294" s="1997"/>
      <c r="AH294" s="1430"/>
      <c r="AJ294" s="1164"/>
      <c r="AK294" s="1164"/>
      <c r="AL294" s="1997"/>
      <c r="AN294" s="1998"/>
      <c r="AP294" s="1164"/>
      <c r="AQ294" s="1164"/>
      <c r="AR294" s="1997"/>
      <c r="AT294" s="1998"/>
      <c r="AU294" s="1999"/>
      <c r="AV294" s="1999"/>
      <c r="AW294" s="1999"/>
      <c r="AX294" s="1999"/>
      <c r="AY294" s="1999"/>
      <c r="AZ294" s="1999"/>
      <c r="BA294" s="1999"/>
      <c r="BB294" s="1999"/>
      <c r="BC294" s="1999"/>
      <c r="BD294" s="1999"/>
      <c r="BE294" s="1999"/>
      <c r="BF294" s="1999"/>
    </row>
    <row r="295" ht="15.75" customHeight="1">
      <c r="A295" s="2001"/>
      <c r="B295" s="478"/>
      <c r="D295" s="1996"/>
      <c r="E295" s="1996"/>
      <c r="F295" s="1996"/>
      <c r="G295" s="1996"/>
      <c r="H295" s="1996"/>
      <c r="I295" s="1996"/>
      <c r="L295" s="1997"/>
      <c r="Q295" s="1997"/>
      <c r="V295" s="1997"/>
      <c r="Z295" s="1164"/>
      <c r="AA295" s="1997"/>
      <c r="AE295" s="1164"/>
      <c r="AF295" s="1997"/>
      <c r="AH295" s="1430"/>
      <c r="AJ295" s="1164"/>
      <c r="AK295" s="1164"/>
      <c r="AL295" s="1997"/>
      <c r="AN295" s="1998"/>
      <c r="AP295" s="1164"/>
      <c r="AQ295" s="1164"/>
      <c r="AR295" s="1997"/>
      <c r="AT295" s="1998"/>
      <c r="AU295" s="1999"/>
      <c r="AV295" s="1999"/>
      <c r="AW295" s="1999"/>
      <c r="AX295" s="1999"/>
      <c r="AY295" s="1999"/>
      <c r="AZ295" s="1999"/>
      <c r="BA295" s="1999"/>
      <c r="BB295" s="1999"/>
      <c r="BC295" s="1999"/>
      <c r="BD295" s="1999"/>
      <c r="BE295" s="1999"/>
      <c r="BF295" s="1999"/>
    </row>
    <row r="296" ht="15.75" customHeight="1">
      <c r="A296" s="2001"/>
      <c r="B296" s="478"/>
      <c r="D296" s="1996"/>
      <c r="E296" s="1996"/>
      <c r="F296" s="1996"/>
      <c r="G296" s="1996"/>
      <c r="H296" s="1996"/>
      <c r="I296" s="1996"/>
      <c r="L296" s="1997"/>
      <c r="Q296" s="1997"/>
      <c r="V296" s="1997"/>
      <c r="Z296" s="1164"/>
      <c r="AA296" s="1997"/>
      <c r="AE296" s="1164"/>
      <c r="AF296" s="1997"/>
      <c r="AH296" s="1430"/>
      <c r="AJ296" s="1164"/>
      <c r="AK296" s="1164"/>
      <c r="AL296" s="1997"/>
      <c r="AN296" s="1998"/>
      <c r="AP296" s="1164"/>
      <c r="AQ296" s="1164"/>
      <c r="AR296" s="1997"/>
      <c r="AT296" s="1998"/>
      <c r="AU296" s="1999"/>
      <c r="AV296" s="1999"/>
      <c r="AW296" s="1999"/>
      <c r="AX296" s="1999"/>
      <c r="AY296" s="1999"/>
      <c r="AZ296" s="1999"/>
      <c r="BA296" s="1999"/>
      <c r="BB296" s="1999"/>
      <c r="BC296" s="1999"/>
      <c r="BD296" s="1999"/>
      <c r="BE296" s="1999"/>
      <c r="BF296" s="1999"/>
    </row>
    <row r="297" ht="15.75" customHeight="1">
      <c r="A297" s="2001"/>
      <c r="B297" s="478"/>
      <c r="D297" s="1996"/>
      <c r="E297" s="1996"/>
      <c r="F297" s="1996"/>
      <c r="G297" s="1996"/>
      <c r="H297" s="1996"/>
      <c r="I297" s="1996"/>
      <c r="L297" s="1997"/>
      <c r="Q297" s="1997"/>
      <c r="V297" s="1997"/>
      <c r="Z297" s="1164"/>
      <c r="AA297" s="1997"/>
      <c r="AE297" s="1164"/>
      <c r="AF297" s="1997"/>
      <c r="AH297" s="1430"/>
      <c r="AJ297" s="1164"/>
      <c r="AK297" s="1164"/>
      <c r="AL297" s="1997"/>
      <c r="AN297" s="1998"/>
      <c r="AP297" s="1164"/>
      <c r="AQ297" s="1164"/>
      <c r="AR297" s="1997"/>
      <c r="AT297" s="1998"/>
      <c r="AU297" s="1999"/>
      <c r="AV297" s="1999"/>
      <c r="AW297" s="1999"/>
      <c r="AX297" s="1999"/>
      <c r="AY297" s="1999"/>
      <c r="AZ297" s="1999"/>
      <c r="BA297" s="1999"/>
      <c r="BB297" s="1999"/>
      <c r="BC297" s="1999"/>
      <c r="BD297" s="1999"/>
      <c r="BE297" s="1999"/>
      <c r="BF297" s="1999"/>
    </row>
    <row r="298" ht="15.75" customHeight="1">
      <c r="A298" s="2001"/>
      <c r="B298" s="478"/>
      <c r="D298" s="1996"/>
      <c r="E298" s="1996"/>
      <c r="F298" s="1996"/>
      <c r="G298" s="1996"/>
      <c r="H298" s="1996"/>
      <c r="I298" s="1996"/>
      <c r="L298" s="1997"/>
      <c r="Q298" s="1997"/>
      <c r="V298" s="1997"/>
      <c r="Z298" s="1164"/>
      <c r="AA298" s="1997"/>
      <c r="AE298" s="1164"/>
      <c r="AF298" s="1997"/>
      <c r="AH298" s="1430"/>
      <c r="AJ298" s="1164"/>
      <c r="AK298" s="1164"/>
      <c r="AL298" s="1997"/>
      <c r="AN298" s="1998"/>
      <c r="AP298" s="1164"/>
      <c r="AQ298" s="1164"/>
      <c r="AR298" s="1997"/>
      <c r="AT298" s="1998"/>
      <c r="AU298" s="1999"/>
      <c r="AV298" s="1999"/>
      <c r="AW298" s="1999"/>
      <c r="AX298" s="1999"/>
      <c r="AY298" s="1999"/>
      <c r="AZ298" s="1999"/>
      <c r="BA298" s="1999"/>
      <c r="BB298" s="1999"/>
      <c r="BC298" s="1999"/>
      <c r="BD298" s="1999"/>
      <c r="BE298" s="1999"/>
      <c r="BF298" s="1999"/>
    </row>
    <row r="299" ht="15.75" customHeight="1">
      <c r="A299" s="2001"/>
      <c r="B299" s="478"/>
      <c r="D299" s="1996"/>
      <c r="E299" s="1996"/>
      <c r="F299" s="1996"/>
      <c r="G299" s="1996"/>
      <c r="H299" s="1996"/>
      <c r="I299" s="1996"/>
      <c r="L299" s="1997"/>
      <c r="Q299" s="1997"/>
      <c r="V299" s="1997"/>
      <c r="Z299" s="1164"/>
      <c r="AA299" s="1997"/>
      <c r="AE299" s="1164"/>
      <c r="AF299" s="1997"/>
      <c r="AH299" s="1430"/>
      <c r="AJ299" s="1164"/>
      <c r="AK299" s="1164"/>
      <c r="AL299" s="1997"/>
      <c r="AN299" s="1998"/>
      <c r="AP299" s="1164"/>
      <c r="AQ299" s="1164"/>
      <c r="AR299" s="1997"/>
      <c r="AT299" s="1998"/>
      <c r="AU299" s="1999"/>
      <c r="AV299" s="1999"/>
      <c r="AW299" s="1999"/>
      <c r="AX299" s="1999"/>
      <c r="AY299" s="1999"/>
      <c r="AZ299" s="1999"/>
      <c r="BA299" s="1999"/>
      <c r="BB299" s="1999"/>
      <c r="BC299" s="1999"/>
      <c r="BD299" s="1999"/>
      <c r="BE299" s="1999"/>
      <c r="BF299" s="1999"/>
    </row>
    <row r="300" ht="15.75" customHeight="1">
      <c r="A300" s="2001"/>
      <c r="B300" s="478"/>
      <c r="D300" s="1996"/>
      <c r="E300" s="1996"/>
      <c r="F300" s="1996"/>
      <c r="G300" s="1996"/>
      <c r="H300" s="1996"/>
      <c r="I300" s="1996"/>
      <c r="L300" s="1997"/>
      <c r="Q300" s="1997"/>
      <c r="V300" s="1997"/>
      <c r="Z300" s="1164"/>
      <c r="AA300" s="1997"/>
      <c r="AE300" s="1164"/>
      <c r="AF300" s="1997"/>
      <c r="AH300" s="1430"/>
      <c r="AJ300" s="1164"/>
      <c r="AK300" s="1164"/>
      <c r="AL300" s="1997"/>
      <c r="AN300" s="1998"/>
      <c r="AP300" s="1164"/>
      <c r="AQ300" s="1164"/>
      <c r="AR300" s="1997"/>
      <c r="AT300" s="1998"/>
      <c r="AU300" s="1999"/>
      <c r="AV300" s="1999"/>
      <c r="AW300" s="1999"/>
      <c r="AX300" s="1999"/>
      <c r="AY300" s="1999"/>
      <c r="AZ300" s="1999"/>
      <c r="BA300" s="1999"/>
      <c r="BB300" s="1999"/>
      <c r="BC300" s="1999"/>
      <c r="BD300" s="1999"/>
      <c r="BE300" s="1999"/>
      <c r="BF300" s="1999"/>
    </row>
    <row r="301" ht="15.75" customHeight="1">
      <c r="A301" s="2001"/>
      <c r="B301" s="478"/>
      <c r="D301" s="1996"/>
      <c r="E301" s="1996"/>
      <c r="F301" s="1996"/>
      <c r="G301" s="1996"/>
      <c r="H301" s="1996"/>
      <c r="I301" s="1996"/>
      <c r="L301" s="1997"/>
      <c r="Q301" s="1997"/>
      <c r="V301" s="1997"/>
      <c r="Z301" s="1164"/>
      <c r="AA301" s="1997"/>
      <c r="AE301" s="1164"/>
      <c r="AF301" s="1997"/>
      <c r="AH301" s="1430"/>
      <c r="AJ301" s="1164"/>
      <c r="AK301" s="1164"/>
      <c r="AL301" s="1997"/>
      <c r="AN301" s="1998"/>
      <c r="AP301" s="1164"/>
      <c r="AQ301" s="1164"/>
      <c r="AR301" s="1997"/>
      <c r="AT301" s="1998"/>
      <c r="AU301" s="1999"/>
      <c r="AV301" s="1999"/>
      <c r="AW301" s="1999"/>
      <c r="AX301" s="1999"/>
      <c r="AY301" s="1999"/>
      <c r="AZ301" s="1999"/>
      <c r="BA301" s="1999"/>
      <c r="BB301" s="1999"/>
      <c r="BC301" s="1999"/>
      <c r="BD301" s="1999"/>
      <c r="BE301" s="1999"/>
      <c r="BF301" s="1999"/>
    </row>
    <row r="302" ht="15.75" customHeight="1">
      <c r="A302" s="2001"/>
      <c r="B302" s="478"/>
      <c r="D302" s="1996"/>
      <c r="E302" s="1996"/>
      <c r="F302" s="1996"/>
      <c r="G302" s="1996"/>
      <c r="H302" s="1996"/>
      <c r="I302" s="1996"/>
      <c r="L302" s="1997"/>
      <c r="Q302" s="1997"/>
      <c r="V302" s="1997"/>
      <c r="Z302" s="1164"/>
      <c r="AA302" s="1997"/>
      <c r="AE302" s="1164"/>
      <c r="AF302" s="1997"/>
      <c r="AH302" s="1430"/>
      <c r="AJ302" s="1164"/>
      <c r="AK302" s="1164"/>
      <c r="AL302" s="1997"/>
      <c r="AN302" s="1998"/>
      <c r="AP302" s="1164"/>
      <c r="AQ302" s="1164"/>
      <c r="AR302" s="1997"/>
      <c r="AT302" s="1998"/>
      <c r="AU302" s="1999"/>
      <c r="AV302" s="1999"/>
      <c r="AW302" s="1999"/>
      <c r="AX302" s="1999"/>
      <c r="AY302" s="1999"/>
      <c r="AZ302" s="1999"/>
      <c r="BA302" s="1999"/>
      <c r="BB302" s="1999"/>
      <c r="BC302" s="1999"/>
      <c r="BD302" s="1999"/>
      <c r="BE302" s="1999"/>
      <c r="BF302" s="1999"/>
    </row>
    <row r="303" ht="15.75" customHeight="1">
      <c r="A303" s="2001"/>
      <c r="B303" s="478"/>
      <c r="D303" s="1996"/>
      <c r="E303" s="1996"/>
      <c r="F303" s="1996"/>
      <c r="G303" s="1996"/>
      <c r="H303" s="1996"/>
      <c r="I303" s="1996"/>
      <c r="L303" s="1997"/>
      <c r="Q303" s="1997"/>
      <c r="V303" s="1997"/>
      <c r="Z303" s="1164"/>
      <c r="AA303" s="1997"/>
      <c r="AE303" s="1164"/>
      <c r="AF303" s="1997"/>
      <c r="AH303" s="1430"/>
      <c r="AJ303" s="1164"/>
      <c r="AK303" s="1164"/>
      <c r="AL303" s="1997"/>
      <c r="AN303" s="1998"/>
      <c r="AP303" s="1164"/>
      <c r="AQ303" s="1164"/>
      <c r="AR303" s="1997"/>
      <c r="AT303" s="1998"/>
      <c r="AU303" s="1999"/>
      <c r="AV303" s="1999"/>
      <c r="AW303" s="1999"/>
      <c r="AX303" s="1999"/>
      <c r="AY303" s="1999"/>
      <c r="AZ303" s="1999"/>
      <c r="BA303" s="1999"/>
      <c r="BB303" s="1999"/>
      <c r="BC303" s="1999"/>
      <c r="BD303" s="1999"/>
      <c r="BE303" s="1999"/>
      <c r="BF303" s="1999"/>
    </row>
    <row r="304" ht="15.75" customHeight="1">
      <c r="A304" s="2001"/>
      <c r="B304" s="478"/>
      <c r="D304" s="1996"/>
      <c r="E304" s="1996"/>
      <c r="F304" s="1996"/>
      <c r="G304" s="1996"/>
      <c r="H304" s="1996"/>
      <c r="I304" s="1996"/>
      <c r="L304" s="1997"/>
      <c r="Q304" s="1997"/>
      <c r="V304" s="1997"/>
      <c r="Z304" s="1164"/>
      <c r="AA304" s="1997"/>
      <c r="AE304" s="1164"/>
      <c r="AF304" s="1997"/>
      <c r="AH304" s="1430"/>
      <c r="AJ304" s="1164"/>
      <c r="AK304" s="1164"/>
      <c r="AL304" s="1997"/>
      <c r="AN304" s="1998"/>
      <c r="AP304" s="1164"/>
      <c r="AQ304" s="1164"/>
      <c r="AR304" s="1997"/>
      <c r="AT304" s="1998"/>
      <c r="AU304" s="1999"/>
      <c r="AV304" s="1999"/>
      <c r="AW304" s="1999"/>
      <c r="AX304" s="1999"/>
      <c r="AY304" s="1999"/>
      <c r="AZ304" s="1999"/>
      <c r="BA304" s="1999"/>
      <c r="BB304" s="1999"/>
      <c r="BC304" s="1999"/>
      <c r="BD304" s="1999"/>
      <c r="BE304" s="1999"/>
      <c r="BF304" s="1999"/>
    </row>
    <row r="305" ht="15.75" customHeight="1">
      <c r="A305" s="2001"/>
      <c r="B305" s="478"/>
      <c r="D305" s="1996"/>
      <c r="E305" s="1996"/>
      <c r="F305" s="1996"/>
      <c r="G305" s="1996"/>
      <c r="H305" s="1996"/>
      <c r="I305" s="1996"/>
      <c r="L305" s="1997"/>
      <c r="Q305" s="1997"/>
      <c r="V305" s="1997"/>
      <c r="Z305" s="1164"/>
      <c r="AA305" s="1997"/>
      <c r="AE305" s="1164"/>
      <c r="AF305" s="1997"/>
      <c r="AH305" s="1430"/>
      <c r="AJ305" s="1164"/>
      <c r="AK305" s="1164"/>
      <c r="AL305" s="1997"/>
      <c r="AN305" s="1998"/>
      <c r="AP305" s="1164"/>
      <c r="AQ305" s="1164"/>
      <c r="AR305" s="1997"/>
      <c r="AT305" s="1998"/>
      <c r="AU305" s="1999"/>
      <c r="AV305" s="1999"/>
      <c r="AW305" s="1999"/>
      <c r="AX305" s="1999"/>
      <c r="AY305" s="1999"/>
      <c r="AZ305" s="1999"/>
      <c r="BA305" s="1999"/>
      <c r="BB305" s="1999"/>
      <c r="BC305" s="1999"/>
      <c r="BD305" s="1999"/>
      <c r="BE305" s="1999"/>
      <c r="BF305" s="1999"/>
    </row>
    <row r="306" ht="15.75" customHeight="1">
      <c r="A306" s="2001"/>
      <c r="B306" s="478"/>
      <c r="D306" s="1996"/>
      <c r="E306" s="1996"/>
      <c r="F306" s="1996"/>
      <c r="G306" s="1996"/>
      <c r="H306" s="1996"/>
      <c r="I306" s="1996"/>
      <c r="L306" s="1997"/>
      <c r="Q306" s="1997"/>
      <c r="V306" s="1997"/>
      <c r="Z306" s="1164"/>
      <c r="AA306" s="1997"/>
      <c r="AE306" s="1164"/>
      <c r="AF306" s="1997"/>
      <c r="AH306" s="1430"/>
      <c r="AJ306" s="1164"/>
      <c r="AK306" s="1164"/>
      <c r="AL306" s="1997"/>
      <c r="AN306" s="1998"/>
      <c r="AP306" s="1164"/>
      <c r="AQ306" s="1164"/>
      <c r="AR306" s="1997"/>
      <c r="AT306" s="1998"/>
      <c r="AU306" s="1999"/>
      <c r="AV306" s="1999"/>
      <c r="AW306" s="1999"/>
      <c r="AX306" s="1999"/>
      <c r="AY306" s="1999"/>
      <c r="AZ306" s="1999"/>
      <c r="BA306" s="1999"/>
      <c r="BB306" s="1999"/>
      <c r="BC306" s="1999"/>
      <c r="BD306" s="1999"/>
      <c r="BE306" s="1999"/>
      <c r="BF306" s="1999"/>
    </row>
    <row r="307" ht="15.75" customHeight="1">
      <c r="A307" s="2001"/>
      <c r="B307" s="478"/>
      <c r="D307" s="1996"/>
      <c r="E307" s="1996"/>
      <c r="F307" s="1996"/>
      <c r="G307" s="1996"/>
      <c r="H307" s="1996"/>
      <c r="I307" s="1996"/>
      <c r="L307" s="1997"/>
      <c r="Q307" s="1997"/>
      <c r="V307" s="1997"/>
      <c r="Z307" s="1164"/>
      <c r="AA307" s="1997"/>
      <c r="AE307" s="1164"/>
      <c r="AF307" s="1997"/>
      <c r="AH307" s="1430"/>
      <c r="AJ307" s="1164"/>
      <c r="AK307" s="1164"/>
      <c r="AL307" s="1997"/>
      <c r="AN307" s="1998"/>
      <c r="AP307" s="1164"/>
      <c r="AQ307" s="1164"/>
      <c r="AR307" s="1997"/>
      <c r="AT307" s="1998"/>
      <c r="AU307" s="1999"/>
      <c r="AV307" s="1999"/>
      <c r="AW307" s="1999"/>
      <c r="AX307" s="1999"/>
      <c r="AY307" s="1999"/>
      <c r="AZ307" s="1999"/>
      <c r="BA307" s="1999"/>
      <c r="BB307" s="1999"/>
      <c r="BC307" s="1999"/>
      <c r="BD307" s="1999"/>
      <c r="BE307" s="1999"/>
      <c r="BF307" s="1999"/>
    </row>
    <row r="308" ht="15.75" customHeight="1">
      <c r="A308" s="2001"/>
      <c r="B308" s="478"/>
      <c r="D308" s="1996"/>
      <c r="E308" s="1996"/>
      <c r="F308" s="1996"/>
      <c r="G308" s="1996"/>
      <c r="H308" s="1996"/>
      <c r="I308" s="1996"/>
      <c r="L308" s="1997"/>
      <c r="Q308" s="1997"/>
      <c r="V308" s="1997"/>
      <c r="Z308" s="1164"/>
      <c r="AA308" s="1997"/>
      <c r="AE308" s="1164"/>
      <c r="AF308" s="1997"/>
      <c r="AH308" s="1430"/>
      <c r="AJ308" s="1164"/>
      <c r="AK308" s="1164"/>
      <c r="AL308" s="1997"/>
      <c r="AN308" s="1998"/>
      <c r="AP308" s="1164"/>
      <c r="AQ308" s="1164"/>
      <c r="AR308" s="1997"/>
      <c r="AT308" s="1998"/>
      <c r="AU308" s="1999"/>
      <c r="AV308" s="1999"/>
      <c r="AW308" s="1999"/>
      <c r="AX308" s="1999"/>
      <c r="AY308" s="1999"/>
      <c r="AZ308" s="1999"/>
      <c r="BA308" s="1999"/>
      <c r="BB308" s="1999"/>
      <c r="BC308" s="1999"/>
      <c r="BD308" s="1999"/>
      <c r="BE308" s="1999"/>
      <c r="BF308" s="1999"/>
    </row>
    <row r="309" ht="15.75" customHeight="1">
      <c r="A309" s="2001"/>
      <c r="B309" s="478"/>
      <c r="D309" s="1996"/>
      <c r="E309" s="1996"/>
      <c r="F309" s="1996"/>
      <c r="G309" s="1996"/>
      <c r="H309" s="1996"/>
      <c r="I309" s="1996"/>
      <c r="L309" s="1997"/>
      <c r="Q309" s="1997"/>
      <c r="V309" s="1997"/>
      <c r="Z309" s="1164"/>
      <c r="AA309" s="1997"/>
      <c r="AE309" s="1164"/>
      <c r="AF309" s="1997"/>
      <c r="AH309" s="1430"/>
      <c r="AJ309" s="1164"/>
      <c r="AK309" s="1164"/>
      <c r="AL309" s="1997"/>
      <c r="AN309" s="1998"/>
      <c r="AP309" s="1164"/>
      <c r="AQ309" s="1164"/>
      <c r="AR309" s="1997"/>
      <c r="AT309" s="1998"/>
      <c r="AU309" s="1999"/>
      <c r="AV309" s="1999"/>
      <c r="AW309" s="1999"/>
      <c r="AX309" s="1999"/>
      <c r="AY309" s="1999"/>
      <c r="AZ309" s="1999"/>
      <c r="BA309" s="1999"/>
      <c r="BB309" s="1999"/>
      <c r="BC309" s="1999"/>
      <c r="BD309" s="1999"/>
      <c r="BE309" s="1999"/>
      <c r="BF309" s="1999"/>
    </row>
    <row r="310" ht="15.75" customHeight="1">
      <c r="A310" s="2001"/>
      <c r="B310" s="478"/>
      <c r="D310" s="1996"/>
      <c r="E310" s="1996"/>
      <c r="F310" s="1996"/>
      <c r="G310" s="1996"/>
      <c r="H310" s="1996"/>
      <c r="I310" s="1996"/>
      <c r="L310" s="1997"/>
      <c r="Q310" s="1997"/>
      <c r="V310" s="1997"/>
      <c r="Z310" s="1164"/>
      <c r="AA310" s="1997"/>
      <c r="AE310" s="1164"/>
      <c r="AF310" s="1997"/>
      <c r="AH310" s="1430"/>
      <c r="AJ310" s="1164"/>
      <c r="AK310" s="1164"/>
      <c r="AL310" s="1997"/>
      <c r="AN310" s="1998"/>
      <c r="AP310" s="1164"/>
      <c r="AQ310" s="1164"/>
      <c r="AR310" s="1997"/>
      <c r="AT310" s="1998"/>
      <c r="AU310" s="1999"/>
      <c r="AV310" s="1999"/>
      <c r="AW310" s="1999"/>
      <c r="AX310" s="1999"/>
      <c r="AY310" s="1999"/>
      <c r="AZ310" s="1999"/>
      <c r="BA310" s="1999"/>
      <c r="BB310" s="1999"/>
      <c r="BC310" s="1999"/>
      <c r="BD310" s="1999"/>
      <c r="BE310" s="1999"/>
      <c r="BF310" s="1999"/>
    </row>
    <row r="311" ht="15.75" customHeight="1">
      <c r="A311" s="2001"/>
      <c r="B311" s="478"/>
      <c r="D311" s="1996"/>
      <c r="E311" s="1996"/>
      <c r="F311" s="1996"/>
      <c r="G311" s="1996"/>
      <c r="H311" s="1996"/>
      <c r="I311" s="1996"/>
      <c r="L311" s="1997"/>
      <c r="Q311" s="1997"/>
      <c r="V311" s="1997"/>
      <c r="Z311" s="1164"/>
      <c r="AA311" s="1997"/>
      <c r="AE311" s="1164"/>
      <c r="AF311" s="1997"/>
      <c r="AH311" s="1430"/>
      <c r="AJ311" s="1164"/>
      <c r="AK311" s="1164"/>
      <c r="AL311" s="1997"/>
      <c r="AN311" s="1998"/>
      <c r="AP311" s="1164"/>
      <c r="AQ311" s="1164"/>
      <c r="AR311" s="1997"/>
      <c r="AT311" s="1998"/>
      <c r="AU311" s="1999"/>
      <c r="AV311" s="1999"/>
      <c r="AW311" s="1999"/>
      <c r="AX311" s="1999"/>
      <c r="AY311" s="1999"/>
      <c r="AZ311" s="1999"/>
      <c r="BA311" s="1999"/>
      <c r="BB311" s="1999"/>
      <c r="BC311" s="1999"/>
      <c r="BD311" s="1999"/>
      <c r="BE311" s="1999"/>
      <c r="BF311" s="1999"/>
    </row>
    <row r="312" ht="15.75" customHeight="1">
      <c r="A312" s="2001"/>
      <c r="B312" s="478"/>
      <c r="D312" s="1996"/>
      <c r="E312" s="1996"/>
      <c r="F312" s="1996"/>
      <c r="G312" s="1996"/>
      <c r="H312" s="1996"/>
      <c r="I312" s="1996"/>
      <c r="L312" s="1997"/>
      <c r="Q312" s="1997"/>
      <c r="V312" s="1997"/>
      <c r="Z312" s="1164"/>
      <c r="AA312" s="1997"/>
      <c r="AE312" s="1164"/>
      <c r="AF312" s="1997"/>
      <c r="AH312" s="1430"/>
      <c r="AJ312" s="1164"/>
      <c r="AK312" s="1164"/>
      <c r="AL312" s="1997"/>
      <c r="AN312" s="1998"/>
      <c r="AP312" s="1164"/>
      <c r="AQ312" s="1164"/>
      <c r="AR312" s="1997"/>
      <c r="AT312" s="1998"/>
      <c r="AU312" s="1999"/>
      <c r="AV312" s="1999"/>
      <c r="AW312" s="1999"/>
      <c r="AX312" s="1999"/>
      <c r="AY312" s="1999"/>
      <c r="AZ312" s="1999"/>
      <c r="BA312" s="1999"/>
      <c r="BB312" s="1999"/>
      <c r="BC312" s="1999"/>
      <c r="BD312" s="1999"/>
      <c r="BE312" s="1999"/>
      <c r="BF312" s="1999"/>
    </row>
    <row r="313" ht="15.75" customHeight="1">
      <c r="A313" s="2001"/>
      <c r="B313" s="478"/>
      <c r="D313" s="1996"/>
      <c r="E313" s="1996"/>
      <c r="F313" s="1996"/>
      <c r="G313" s="1996"/>
      <c r="H313" s="1996"/>
      <c r="I313" s="1996"/>
      <c r="L313" s="1997"/>
      <c r="Q313" s="1997"/>
      <c r="V313" s="1997"/>
      <c r="Z313" s="1164"/>
      <c r="AA313" s="1997"/>
      <c r="AE313" s="1164"/>
      <c r="AF313" s="1997"/>
      <c r="AH313" s="1430"/>
      <c r="AJ313" s="1164"/>
      <c r="AK313" s="1164"/>
      <c r="AL313" s="1997"/>
      <c r="AN313" s="1998"/>
      <c r="AP313" s="1164"/>
      <c r="AQ313" s="1164"/>
      <c r="AR313" s="1997"/>
      <c r="AT313" s="1998"/>
      <c r="AU313" s="1999"/>
      <c r="AV313" s="1999"/>
      <c r="AW313" s="1999"/>
      <c r="AX313" s="1999"/>
      <c r="AY313" s="1999"/>
      <c r="AZ313" s="1999"/>
      <c r="BA313" s="1999"/>
      <c r="BB313" s="1999"/>
      <c r="BC313" s="1999"/>
      <c r="BD313" s="1999"/>
      <c r="BE313" s="1999"/>
      <c r="BF313" s="1999"/>
    </row>
    <row r="314" ht="15.75" customHeight="1">
      <c r="A314" s="2001"/>
      <c r="B314" s="478"/>
      <c r="D314" s="1996"/>
      <c r="E314" s="1996"/>
      <c r="F314" s="1996"/>
      <c r="G314" s="1996"/>
      <c r="H314" s="1996"/>
      <c r="I314" s="1996"/>
      <c r="L314" s="1997"/>
      <c r="Q314" s="1997"/>
      <c r="V314" s="1997"/>
      <c r="Z314" s="1164"/>
      <c r="AA314" s="1997"/>
      <c r="AE314" s="1164"/>
      <c r="AF314" s="1997"/>
      <c r="AH314" s="1430"/>
      <c r="AJ314" s="1164"/>
      <c r="AK314" s="1164"/>
      <c r="AL314" s="1997"/>
      <c r="AN314" s="1998"/>
      <c r="AP314" s="1164"/>
      <c r="AQ314" s="1164"/>
      <c r="AR314" s="1997"/>
      <c r="AT314" s="1998"/>
      <c r="AU314" s="1999"/>
      <c r="AV314" s="1999"/>
      <c r="AW314" s="1999"/>
      <c r="AX314" s="1999"/>
      <c r="AY314" s="1999"/>
      <c r="AZ314" s="1999"/>
      <c r="BA314" s="1999"/>
      <c r="BB314" s="1999"/>
      <c r="BC314" s="1999"/>
      <c r="BD314" s="1999"/>
      <c r="BE314" s="1999"/>
      <c r="BF314" s="1999"/>
    </row>
    <row r="315" ht="15.75" customHeight="1">
      <c r="A315" s="2001"/>
      <c r="B315" s="478"/>
      <c r="D315" s="1996"/>
      <c r="E315" s="1996"/>
      <c r="F315" s="1996"/>
      <c r="G315" s="1996"/>
      <c r="H315" s="1996"/>
      <c r="I315" s="1996"/>
      <c r="L315" s="1997"/>
      <c r="Q315" s="1997"/>
      <c r="V315" s="1997"/>
      <c r="Z315" s="1164"/>
      <c r="AA315" s="1997"/>
      <c r="AE315" s="1164"/>
      <c r="AF315" s="1997"/>
      <c r="AH315" s="1430"/>
      <c r="AJ315" s="1164"/>
      <c r="AK315" s="1164"/>
      <c r="AL315" s="1997"/>
      <c r="AN315" s="1998"/>
      <c r="AP315" s="1164"/>
      <c r="AQ315" s="1164"/>
      <c r="AR315" s="1997"/>
      <c r="AT315" s="1998"/>
      <c r="AU315" s="1999"/>
      <c r="AV315" s="1999"/>
      <c r="AW315" s="1999"/>
      <c r="AX315" s="1999"/>
      <c r="AY315" s="1999"/>
      <c r="AZ315" s="1999"/>
      <c r="BA315" s="1999"/>
      <c r="BB315" s="1999"/>
      <c r="BC315" s="1999"/>
      <c r="BD315" s="1999"/>
      <c r="BE315" s="1999"/>
      <c r="BF315" s="1999"/>
    </row>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9">
    <mergeCell ref="D5:I5"/>
    <mergeCell ref="J5:N5"/>
    <mergeCell ref="O5:S5"/>
    <mergeCell ref="Y5:AB5"/>
    <mergeCell ref="D6:D7"/>
    <mergeCell ref="S6:S7"/>
    <mergeCell ref="AC6:AC7"/>
    <mergeCell ref="AD5:AG5"/>
    <mergeCell ref="AD6:AF6"/>
    <mergeCell ref="AG6:AG7"/>
    <mergeCell ref="AH6:AH7"/>
    <mergeCell ref="AI6:AL6"/>
    <mergeCell ref="AM6:AM7"/>
    <mergeCell ref="AN6:AN7"/>
    <mergeCell ref="F6:I6"/>
    <mergeCell ref="J6:L6"/>
    <mergeCell ref="M6:M7"/>
    <mergeCell ref="N6:N7"/>
    <mergeCell ref="O6:Q6"/>
    <mergeCell ref="R6:R7"/>
    <mergeCell ref="T5:X5"/>
    <mergeCell ref="T6:V6"/>
    <mergeCell ref="W6:W7"/>
    <mergeCell ref="X6:X7"/>
    <mergeCell ref="Y6:AA6"/>
    <mergeCell ref="AB6:AB7"/>
    <mergeCell ref="AO6:AR6"/>
    <mergeCell ref="AS6:AS7"/>
    <mergeCell ref="AT6:AT7"/>
  </mergeCells>
  <dataValidations>
    <dataValidation type="list" allowBlank="1" showErrorMessage="1" sqref="C9:C24 C26 C31:C38 C40:C111">
      <formula1>"70/30,80/20,Лето,90/10"</formula1>
    </dataValidation>
  </dataValidations>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Right="0"/>
  </sheetPr>
  <sheetViews>
    <sheetView workbookViewId="0"/>
  </sheetViews>
  <sheetFormatPr customHeight="1" defaultColWidth="12.63" defaultRowHeight="15.0" outlineLevelRow="1"/>
  <cols>
    <col customWidth="1" min="1" max="1" width="12.63"/>
    <col customWidth="1" min="2" max="5" width="10.38"/>
    <col customWidth="1" min="6" max="10" width="10.63"/>
  </cols>
  <sheetData>
    <row r="1" ht="15.75" hidden="1" customHeight="1" outlineLevel="1">
      <c r="A1" s="2002" t="s">
        <v>1666</v>
      </c>
    </row>
    <row r="2" ht="15.75" hidden="1" customHeight="1" outlineLevel="1">
      <c r="A2" s="2003" t="s">
        <v>1667</v>
      </c>
      <c r="F2" s="2004" t="s">
        <v>1668</v>
      </c>
    </row>
    <row r="3" ht="15.75" hidden="1" customHeight="1" outlineLevel="1">
      <c r="A3" s="2005" t="s">
        <v>303</v>
      </c>
      <c r="B3" s="2006" t="s">
        <v>312</v>
      </c>
      <c r="C3" s="2007" t="s">
        <v>313</v>
      </c>
      <c r="D3" s="2006" t="s">
        <v>314</v>
      </c>
      <c r="E3" s="2007" t="s">
        <v>315</v>
      </c>
      <c r="F3" s="2008" t="s">
        <v>312</v>
      </c>
      <c r="G3" s="2008" t="s">
        <v>313</v>
      </c>
      <c r="H3" s="2008" t="s">
        <v>314</v>
      </c>
      <c r="I3" s="2008" t="s">
        <v>1669</v>
      </c>
      <c r="J3" s="2008" t="s">
        <v>315</v>
      </c>
      <c r="K3" s="554"/>
      <c r="L3" s="554"/>
      <c r="M3" s="554"/>
    </row>
    <row r="4" ht="15.75" hidden="1" customHeight="1" outlineLevel="1">
      <c r="A4" s="2009" t="s">
        <v>24</v>
      </c>
      <c r="B4" s="2010" t="s">
        <v>327</v>
      </c>
      <c r="C4" s="2010">
        <v>6.011234992E9</v>
      </c>
      <c r="D4" s="2010" t="s">
        <v>328</v>
      </c>
      <c r="E4" s="2011">
        <v>4.22209727E8</v>
      </c>
      <c r="F4" s="2012"/>
      <c r="G4" s="2012">
        <v>163.52</v>
      </c>
      <c r="H4" s="2012"/>
      <c r="I4" s="2013"/>
      <c r="J4" s="2013"/>
      <c r="K4" s="554"/>
      <c r="L4" s="554"/>
      <c r="M4" s="554"/>
    </row>
    <row r="5" ht="15.75" hidden="1" customHeight="1" outlineLevel="1">
      <c r="A5" s="2014" t="s">
        <v>29</v>
      </c>
      <c r="B5" s="2015" t="s">
        <v>327</v>
      </c>
      <c r="C5" s="2015">
        <v>6.01109493E9</v>
      </c>
      <c r="D5" s="2015" t="s">
        <v>338</v>
      </c>
      <c r="E5" s="2015">
        <v>4.22589587E8</v>
      </c>
      <c r="F5" s="2016"/>
      <c r="G5" s="2016">
        <v>5.75</v>
      </c>
      <c r="H5" s="2016">
        <v>1.56</v>
      </c>
      <c r="I5" s="2016"/>
      <c r="J5" s="2016"/>
      <c r="K5" s="554"/>
      <c r="L5" s="554"/>
      <c r="M5" s="554"/>
    </row>
    <row r="6" ht="15.75" hidden="1" customHeight="1" outlineLevel="1">
      <c r="A6" s="2014" t="s">
        <v>32</v>
      </c>
      <c r="B6" s="2015" t="s">
        <v>327</v>
      </c>
      <c r="C6" s="2015">
        <v>6.0114696E9</v>
      </c>
      <c r="D6" s="2015" t="s">
        <v>345</v>
      </c>
      <c r="E6" s="2015">
        <v>4.22898373E8</v>
      </c>
      <c r="F6" s="2016"/>
      <c r="G6" s="2016">
        <v>13.26</v>
      </c>
      <c r="H6" s="2016">
        <v>23.48</v>
      </c>
      <c r="I6" s="2016"/>
      <c r="J6" s="2016"/>
      <c r="K6" s="554"/>
      <c r="L6" s="554"/>
      <c r="M6" s="554"/>
    </row>
    <row r="7" ht="15.75" hidden="1" customHeight="1" outlineLevel="1">
      <c r="A7" s="2017" t="s">
        <v>35</v>
      </c>
      <c r="B7" s="2015" t="s">
        <v>327</v>
      </c>
      <c r="C7" s="2018" t="s">
        <v>352</v>
      </c>
      <c r="D7" s="2015" t="s">
        <v>353</v>
      </c>
      <c r="E7" s="2015">
        <v>4.22454408E8</v>
      </c>
      <c r="F7" s="2016"/>
      <c r="G7" s="2019">
        <v>21.33</v>
      </c>
      <c r="H7" s="2016">
        <v>1.03</v>
      </c>
      <c r="I7" s="2016"/>
      <c r="J7" s="2016"/>
      <c r="K7" s="554"/>
      <c r="L7" s="554"/>
      <c r="M7" s="554"/>
    </row>
    <row r="8" ht="15.75" hidden="1" customHeight="1" outlineLevel="1">
      <c r="A8" s="2017" t="s">
        <v>37</v>
      </c>
      <c r="B8" s="2015" t="s">
        <v>327</v>
      </c>
      <c r="C8" s="2015"/>
      <c r="D8" s="2015"/>
      <c r="E8" s="2015"/>
      <c r="F8" s="2016"/>
      <c r="G8" s="2016"/>
      <c r="H8" s="2016"/>
      <c r="I8" s="2016"/>
      <c r="J8" s="2016"/>
      <c r="K8" s="554"/>
      <c r="L8" s="554"/>
      <c r="M8" s="554"/>
    </row>
    <row r="9" ht="15.75" hidden="1" customHeight="1" outlineLevel="1">
      <c r="A9" s="2014" t="s">
        <v>39</v>
      </c>
      <c r="B9" s="2015" t="s">
        <v>327</v>
      </c>
      <c r="C9" s="2015">
        <v>6.011366441E9</v>
      </c>
      <c r="D9" s="2015" t="s">
        <v>366</v>
      </c>
      <c r="E9" s="2015">
        <v>4.22609023E8</v>
      </c>
      <c r="F9" s="2016"/>
      <c r="G9" s="2016">
        <v>13.99</v>
      </c>
      <c r="H9" s="2016">
        <v>46.95</v>
      </c>
      <c r="I9" s="2016"/>
      <c r="J9" s="2016"/>
      <c r="K9" s="554"/>
      <c r="L9" s="554"/>
      <c r="M9" s="554"/>
    </row>
    <row r="10" ht="15.75" hidden="1" customHeight="1" outlineLevel="1">
      <c r="A10" s="2014" t="s">
        <v>41</v>
      </c>
      <c r="B10" s="2015" t="s">
        <v>327</v>
      </c>
      <c r="C10" s="2015">
        <v>6.011394071E9</v>
      </c>
      <c r="D10" s="2015" t="s">
        <v>375</v>
      </c>
      <c r="E10" s="2015">
        <v>4.22464178E8</v>
      </c>
      <c r="F10" s="2016"/>
      <c r="G10" s="2016">
        <v>10.46</v>
      </c>
      <c r="H10" s="2016">
        <v>1.56</v>
      </c>
      <c r="I10" s="2016"/>
      <c r="J10" s="2016"/>
      <c r="K10" s="554"/>
      <c r="L10" s="554"/>
      <c r="M10" s="554"/>
    </row>
    <row r="11" ht="15.75" hidden="1" customHeight="1" outlineLevel="1">
      <c r="A11" s="2014" t="s">
        <v>43</v>
      </c>
      <c r="B11" s="2015" t="s">
        <v>327</v>
      </c>
      <c r="C11" s="2015">
        <v>6.011095331E9</v>
      </c>
      <c r="D11" s="2015" t="s">
        <v>382</v>
      </c>
      <c r="E11" s="2015">
        <v>4.2237325E8</v>
      </c>
      <c r="F11" s="2016"/>
      <c r="G11" s="2016">
        <v>8.25</v>
      </c>
      <c r="H11" s="2016">
        <v>2.59</v>
      </c>
      <c r="I11" s="2016"/>
      <c r="J11" s="2016"/>
      <c r="K11" s="554"/>
      <c r="L11" s="554"/>
      <c r="M11" s="554"/>
    </row>
    <row r="12" ht="15.75" hidden="1" customHeight="1" outlineLevel="1">
      <c r="A12" s="2014" t="s">
        <v>45</v>
      </c>
      <c r="B12" s="2015" t="s">
        <v>327</v>
      </c>
      <c r="C12" s="2015">
        <v>6.0110922E9</v>
      </c>
      <c r="D12" s="2015" t="s">
        <v>388</v>
      </c>
      <c r="E12" s="2015">
        <v>4.22355072E8</v>
      </c>
      <c r="F12" s="2016"/>
      <c r="G12" s="2016">
        <v>8.54</v>
      </c>
      <c r="H12" s="2016">
        <v>1.56</v>
      </c>
      <c r="I12" s="2016"/>
      <c r="J12" s="2016"/>
      <c r="K12" s="554"/>
      <c r="L12" s="554"/>
      <c r="M12" s="554"/>
    </row>
    <row r="13" ht="15.75" hidden="1" customHeight="1" outlineLevel="1">
      <c r="A13" s="2014" t="s">
        <v>48</v>
      </c>
      <c r="B13" s="2020" t="s">
        <v>327</v>
      </c>
      <c r="C13" s="2015">
        <v>6.011093302E9</v>
      </c>
      <c r="D13" s="2015" t="s">
        <v>395</v>
      </c>
      <c r="E13" s="2015">
        <v>4.22681834E8</v>
      </c>
      <c r="F13" s="1249"/>
      <c r="G13" s="2016">
        <v>7.81</v>
      </c>
      <c r="H13" s="2016">
        <v>1.55</v>
      </c>
      <c r="I13" s="2016"/>
      <c r="J13" s="2016"/>
      <c r="K13" s="554"/>
      <c r="L13" s="554"/>
      <c r="M13" s="554"/>
    </row>
    <row r="14" ht="15.75" hidden="1" customHeight="1" outlineLevel="1">
      <c r="A14" s="2014" t="s">
        <v>50</v>
      </c>
      <c r="B14" s="2015" t="s">
        <v>327</v>
      </c>
      <c r="C14" s="2015">
        <v>6.011320361E9</v>
      </c>
      <c r="D14" s="2015" t="s">
        <v>401</v>
      </c>
      <c r="E14" s="2015">
        <v>4.22450253E8</v>
      </c>
      <c r="F14" s="2016"/>
      <c r="G14" s="2016"/>
      <c r="H14" s="2016">
        <v>29.35</v>
      </c>
      <c r="I14" s="2016"/>
      <c r="J14" s="2016"/>
      <c r="K14" s="554"/>
      <c r="L14" s="554"/>
      <c r="M14" s="554"/>
    </row>
    <row r="15" ht="15.75" hidden="1" customHeight="1" outlineLevel="1">
      <c r="A15" s="2014" t="s">
        <v>52</v>
      </c>
      <c r="B15" s="2020" t="s">
        <v>327</v>
      </c>
      <c r="C15" s="2015">
        <v>6.01118289E9</v>
      </c>
      <c r="D15" s="2015" t="s">
        <v>406</v>
      </c>
      <c r="E15" s="2015"/>
      <c r="F15" s="1249"/>
      <c r="G15" s="2016">
        <v>10.75</v>
      </c>
      <c r="H15" s="2016">
        <v>23.48</v>
      </c>
      <c r="I15" s="2016"/>
      <c r="J15" s="2016"/>
      <c r="K15" s="554"/>
      <c r="L15" s="554"/>
      <c r="M15" s="554"/>
    </row>
    <row r="16" ht="15.75" hidden="1" customHeight="1" outlineLevel="1">
      <c r="A16" s="2014" t="s">
        <v>54</v>
      </c>
      <c r="B16" s="2015" t="s">
        <v>327</v>
      </c>
      <c r="C16" s="2015">
        <v>6.011093692E9</v>
      </c>
      <c r="D16" s="2015" t="s">
        <v>412</v>
      </c>
      <c r="E16" s="2015">
        <v>4.22094809E8</v>
      </c>
      <c r="F16" s="2016"/>
      <c r="G16" s="2016">
        <v>19.83</v>
      </c>
      <c r="H16" s="2016">
        <v>3.11</v>
      </c>
      <c r="I16" s="2016"/>
      <c r="J16" s="2016"/>
      <c r="K16" s="554"/>
      <c r="L16" s="554"/>
      <c r="M16" s="554"/>
    </row>
    <row r="17" ht="15.75" hidden="1" customHeight="1" outlineLevel="1">
      <c r="A17" s="2017" t="s">
        <v>59</v>
      </c>
      <c r="B17" s="2015" t="s">
        <v>327</v>
      </c>
      <c r="C17" s="2015"/>
      <c r="D17" s="2015"/>
      <c r="E17" s="2015"/>
      <c r="F17" s="2016"/>
      <c r="G17" s="2016">
        <v>55.56</v>
      </c>
      <c r="H17" s="2016"/>
      <c r="I17" s="2016"/>
      <c r="J17" s="2016"/>
      <c r="K17" s="554"/>
      <c r="L17" s="554"/>
      <c r="M17" s="554"/>
    </row>
    <row r="18" ht="15.75" hidden="1" customHeight="1" outlineLevel="1">
      <c r="A18" s="2017" t="s">
        <v>62</v>
      </c>
      <c r="B18" s="2015" t="s">
        <v>327</v>
      </c>
      <c r="C18" s="2015">
        <v>6.01136445E9</v>
      </c>
      <c r="D18" s="2015" t="s">
        <v>434</v>
      </c>
      <c r="E18" s="2015">
        <v>4.22313986E8</v>
      </c>
      <c r="F18" s="2016"/>
      <c r="G18" s="2016">
        <v>13.85</v>
      </c>
      <c r="H18" s="2016">
        <v>0.59</v>
      </c>
      <c r="I18" s="2016"/>
      <c r="J18" s="2016"/>
      <c r="K18" s="554"/>
      <c r="L18" s="554"/>
      <c r="M18" s="554"/>
    </row>
    <row r="19" ht="15.75" hidden="1" customHeight="1" outlineLevel="1">
      <c r="A19" s="2017" t="s">
        <v>64</v>
      </c>
      <c r="B19" s="2015" t="s">
        <v>327</v>
      </c>
      <c r="C19" s="2015">
        <v>6.011507471E9</v>
      </c>
      <c r="D19" s="2015" t="s">
        <v>442</v>
      </c>
      <c r="E19" s="2015">
        <v>3.0746942E8</v>
      </c>
      <c r="F19" s="2016"/>
      <c r="G19" s="2016">
        <v>25.82</v>
      </c>
      <c r="H19" s="2016">
        <v>2.07</v>
      </c>
      <c r="I19" s="2016"/>
      <c r="J19" s="2016"/>
      <c r="K19" s="554"/>
      <c r="L19" s="554"/>
      <c r="M19" s="554"/>
    </row>
    <row r="20" ht="15.75" hidden="1" customHeight="1" outlineLevel="1">
      <c r="A20" s="2017" t="s">
        <v>1670</v>
      </c>
      <c r="B20" s="2015">
        <v>1.114390195E9</v>
      </c>
      <c r="C20" s="2015">
        <v>6.0108399311E10</v>
      </c>
      <c r="D20" s="2015" t="s">
        <v>522</v>
      </c>
      <c r="E20" s="2021">
        <v>9.1433115E7</v>
      </c>
      <c r="F20" s="2016"/>
      <c r="G20" s="2016"/>
      <c r="H20" s="2016"/>
      <c r="I20" s="2016"/>
      <c r="J20" s="2022"/>
      <c r="K20" s="554"/>
      <c r="L20" s="554"/>
      <c r="M20" s="554"/>
    </row>
    <row r="21" ht="15.75" hidden="1" customHeight="1" outlineLevel="1">
      <c r="A21" s="2017" t="s">
        <v>181</v>
      </c>
      <c r="B21" s="2015">
        <v>1.114390195E9</v>
      </c>
      <c r="C21" s="2015">
        <v>6.010839262E9</v>
      </c>
      <c r="D21" s="2015" t="s">
        <v>522</v>
      </c>
      <c r="E21" s="2023"/>
      <c r="F21" s="2016">
        <v>66.61</v>
      </c>
      <c r="G21" s="2016">
        <v>38.54</v>
      </c>
      <c r="H21" s="2016">
        <v>10.36</v>
      </c>
      <c r="I21" s="2016"/>
      <c r="J21" s="2023"/>
      <c r="K21" s="554"/>
      <c r="L21" s="554"/>
      <c r="M21" s="554"/>
    </row>
    <row r="22" ht="15.75" hidden="1" customHeight="1" outlineLevel="1">
      <c r="A22" s="2017" t="s">
        <v>183</v>
      </c>
      <c r="B22" s="2024" t="s">
        <v>528</v>
      </c>
      <c r="C22" s="2015">
        <v>6.011482811E9</v>
      </c>
      <c r="D22" s="2015" t="s">
        <v>529</v>
      </c>
      <c r="E22" s="2015">
        <v>4.22793459E8</v>
      </c>
      <c r="F22" s="2025"/>
      <c r="G22" s="2016"/>
      <c r="H22" s="2016"/>
      <c r="I22" s="2016"/>
      <c r="J22" s="2016"/>
      <c r="K22" s="554"/>
      <c r="L22" s="554"/>
      <c r="M22" s="554"/>
    </row>
    <row r="23" ht="15.75" hidden="1" customHeight="1" outlineLevel="1">
      <c r="A23" s="2017" t="s">
        <v>186</v>
      </c>
      <c r="B23" s="2024" t="s">
        <v>533</v>
      </c>
      <c r="C23" s="2015">
        <v>6.0114828E9</v>
      </c>
      <c r="D23" s="2015" t="s">
        <v>534</v>
      </c>
      <c r="E23" s="2015">
        <v>4.22524555E8</v>
      </c>
      <c r="F23" s="2025"/>
      <c r="G23" s="2016"/>
      <c r="H23" s="2016"/>
      <c r="I23" s="2016"/>
      <c r="J23" s="2016"/>
      <c r="K23" s="554"/>
      <c r="L23" s="554"/>
      <c r="M23" s="554"/>
    </row>
    <row r="24" ht="15.75" hidden="1" customHeight="1" outlineLevel="1">
      <c r="A24" s="2017" t="s">
        <v>188</v>
      </c>
      <c r="B24" s="2024" t="s">
        <v>537</v>
      </c>
      <c r="C24" s="2015">
        <v>6.011482991E9</v>
      </c>
      <c r="D24" s="2015" t="s">
        <v>538</v>
      </c>
      <c r="E24" s="2015">
        <v>4.22431356E8</v>
      </c>
      <c r="F24" s="2025"/>
      <c r="G24" s="2016"/>
      <c r="H24" s="2016"/>
      <c r="I24" s="2016"/>
      <c r="J24" s="2016"/>
      <c r="K24" s="554"/>
      <c r="L24" s="554"/>
      <c r="M24" s="554"/>
    </row>
    <row r="25" ht="15.75" hidden="1" customHeight="1" outlineLevel="1">
      <c r="A25" s="2014" t="s">
        <v>100</v>
      </c>
      <c r="B25" s="2015" t="s">
        <v>327</v>
      </c>
      <c r="C25" s="2015"/>
      <c r="D25" s="2015" t="s">
        <v>545</v>
      </c>
      <c r="E25" s="2015"/>
      <c r="F25" s="2016"/>
      <c r="G25" s="2016">
        <v>51.84</v>
      </c>
      <c r="H25" s="2016">
        <v>23.48</v>
      </c>
      <c r="I25" s="2016">
        <v>134.04</v>
      </c>
      <c r="J25" s="2016"/>
      <c r="K25" s="554"/>
      <c r="L25" s="554"/>
      <c r="M25" s="554"/>
    </row>
    <row r="26" ht="15.75" hidden="1" customHeight="1" outlineLevel="1">
      <c r="A26" s="2014" t="s">
        <v>104</v>
      </c>
      <c r="B26" s="2015" t="s">
        <v>327</v>
      </c>
      <c r="C26" s="2015"/>
      <c r="D26" s="2015" t="s">
        <v>550</v>
      </c>
      <c r="E26" s="2015"/>
      <c r="F26" s="2016"/>
      <c r="G26" s="2016">
        <v>85.63</v>
      </c>
      <c r="H26" s="2016">
        <v>46.95</v>
      </c>
      <c r="I26" s="2016">
        <v>174.61</v>
      </c>
      <c r="J26" s="2016"/>
      <c r="K26" s="554"/>
      <c r="L26" s="554"/>
      <c r="M26" s="554"/>
    </row>
    <row r="27" ht="15.75" hidden="1" customHeight="1" outlineLevel="1">
      <c r="A27" s="2014" t="s">
        <v>106</v>
      </c>
      <c r="B27" s="2015" t="s">
        <v>327</v>
      </c>
      <c r="C27" s="2015"/>
      <c r="D27" s="2015" t="s">
        <v>555</v>
      </c>
      <c r="E27" s="2015"/>
      <c r="F27" s="2016"/>
      <c r="G27" s="2016">
        <v>82.46</v>
      </c>
      <c r="H27" s="2016">
        <v>35.22</v>
      </c>
      <c r="I27" s="2016"/>
      <c r="J27" s="2016"/>
      <c r="K27" s="554"/>
      <c r="L27" s="554"/>
      <c r="M27" s="554"/>
    </row>
    <row r="28" ht="15.75" hidden="1" customHeight="1" outlineLevel="1">
      <c r="A28" s="2014" t="s">
        <v>108</v>
      </c>
      <c r="B28" s="2015" t="s">
        <v>327</v>
      </c>
      <c r="C28" s="2015"/>
      <c r="D28" s="2015" t="s">
        <v>560</v>
      </c>
      <c r="E28" s="2015"/>
      <c r="F28" s="2016"/>
      <c r="G28" s="2016">
        <v>80.22</v>
      </c>
      <c r="H28" s="2016">
        <v>4.66</v>
      </c>
      <c r="I28" s="2016">
        <v>97.49</v>
      </c>
      <c r="J28" s="2016"/>
      <c r="K28" s="554"/>
      <c r="L28" s="554"/>
      <c r="M28" s="554"/>
    </row>
    <row r="29" ht="15.75" hidden="1" customHeight="1" outlineLevel="1">
      <c r="A29" s="2014" t="s">
        <v>111</v>
      </c>
      <c r="B29" s="2015" t="s">
        <v>327</v>
      </c>
      <c r="C29" s="2015"/>
      <c r="D29" s="2015" t="s">
        <v>567</v>
      </c>
      <c r="E29" s="2015"/>
      <c r="F29" s="2016"/>
      <c r="G29" s="2016">
        <v>32.9</v>
      </c>
      <c r="H29" s="2016">
        <v>17.61</v>
      </c>
      <c r="I29" s="2016"/>
      <c r="J29" s="2016"/>
      <c r="K29" s="554"/>
      <c r="L29" s="554"/>
      <c r="M29" s="554"/>
    </row>
    <row r="30" ht="15.75" hidden="1" customHeight="1" outlineLevel="1">
      <c r="A30" s="2014" t="s">
        <v>113</v>
      </c>
      <c r="B30" s="2015" t="s">
        <v>327</v>
      </c>
      <c r="C30" s="2015"/>
      <c r="D30" s="2015" t="s">
        <v>574</v>
      </c>
      <c r="E30" s="2015"/>
      <c r="F30" s="2016"/>
      <c r="G30" s="2016">
        <v>90.19</v>
      </c>
      <c r="H30" s="2016">
        <v>58.69</v>
      </c>
      <c r="I30" s="2016">
        <v>84.63</v>
      </c>
      <c r="J30" s="2016"/>
      <c r="K30" s="554"/>
      <c r="L30" s="554"/>
      <c r="M30" s="554"/>
    </row>
    <row r="31" ht="15.75" hidden="1" customHeight="1" outlineLevel="1">
      <c r="A31" s="2014" t="s">
        <v>115</v>
      </c>
      <c r="B31" s="2015" t="s">
        <v>327</v>
      </c>
      <c r="C31" s="2015"/>
      <c r="D31" s="2015" t="s">
        <v>581</v>
      </c>
      <c r="E31" s="2015"/>
      <c r="F31" s="2016"/>
      <c r="G31" s="2016">
        <v>39.54</v>
      </c>
      <c r="H31" s="2016">
        <v>13.74</v>
      </c>
      <c r="I31" s="2016"/>
      <c r="J31" s="2016"/>
      <c r="K31" s="554"/>
      <c r="L31" s="554"/>
      <c r="M31" s="554"/>
    </row>
    <row r="32" ht="15.75" hidden="1" customHeight="1" outlineLevel="1">
      <c r="A32" s="2014" t="s">
        <v>117</v>
      </c>
      <c r="B32" s="2015" t="s">
        <v>327</v>
      </c>
      <c r="C32" s="2015"/>
      <c r="D32" s="2015"/>
      <c r="E32" s="2015"/>
      <c r="F32" s="2016"/>
      <c r="G32" s="2016">
        <v>87.71</v>
      </c>
      <c r="H32" s="2016">
        <v>58.7</v>
      </c>
      <c r="I32" s="2016"/>
      <c r="J32" s="2016"/>
      <c r="K32" s="554"/>
      <c r="L32" s="554"/>
      <c r="M32" s="554"/>
    </row>
    <row r="33" ht="15.75" hidden="1" customHeight="1" outlineLevel="1">
      <c r="A33" s="2014" t="s">
        <v>119</v>
      </c>
      <c r="B33" s="2015" t="s">
        <v>327</v>
      </c>
      <c r="C33" s="2015"/>
      <c r="D33" s="2015" t="s">
        <v>574</v>
      </c>
      <c r="E33" s="2015"/>
      <c r="F33" s="2016"/>
      <c r="G33" s="2016">
        <v>89.94</v>
      </c>
      <c r="H33" s="2016">
        <v>46.96</v>
      </c>
      <c r="I33" s="2016"/>
      <c r="J33" s="2016"/>
      <c r="K33" s="554"/>
      <c r="L33" s="554"/>
      <c r="M33" s="554"/>
    </row>
    <row r="34" ht="15.75" hidden="1" customHeight="1" outlineLevel="1">
      <c r="A34" s="2014" t="s">
        <v>596</v>
      </c>
      <c r="B34" s="2015" t="s">
        <v>327</v>
      </c>
      <c r="C34" s="2015"/>
      <c r="D34" s="2015"/>
      <c r="E34" s="2015"/>
      <c r="F34" s="2016"/>
      <c r="G34" s="2016"/>
      <c r="H34" s="2016"/>
      <c r="I34" s="2016">
        <v>134.04</v>
      </c>
      <c r="J34" s="2016"/>
      <c r="K34" s="554"/>
      <c r="L34" s="554"/>
      <c r="M34" s="554"/>
    </row>
    <row r="35" ht="15.75" hidden="1" customHeight="1" outlineLevel="1">
      <c r="A35" s="2014" t="s">
        <v>121</v>
      </c>
      <c r="B35" s="2015" t="s">
        <v>327</v>
      </c>
      <c r="C35" s="2015"/>
      <c r="D35" s="2015" t="s">
        <v>1671</v>
      </c>
      <c r="E35" s="2015"/>
      <c r="F35" s="2016"/>
      <c r="G35" s="2016">
        <v>48.85</v>
      </c>
      <c r="H35" s="2016">
        <v>170.21</v>
      </c>
      <c r="I35" s="2016"/>
      <c r="J35" s="2016"/>
      <c r="K35" s="554"/>
      <c r="L35" s="554"/>
      <c r="M35" s="554"/>
    </row>
    <row r="36" ht="15.75" hidden="1" customHeight="1" outlineLevel="1">
      <c r="A36" s="2014" t="s">
        <v>124</v>
      </c>
      <c r="B36" s="2015" t="s">
        <v>327</v>
      </c>
      <c r="C36" s="2015">
        <v>6.011026852E9</v>
      </c>
      <c r="D36" s="2015" t="s">
        <v>608</v>
      </c>
      <c r="E36" s="2015">
        <v>11604.0</v>
      </c>
      <c r="F36" s="2016"/>
      <c r="G36" s="2016">
        <v>58.56</v>
      </c>
      <c r="H36" s="2016">
        <v>3.11</v>
      </c>
      <c r="I36" s="2016"/>
      <c r="J36" s="2016"/>
      <c r="K36" s="554"/>
      <c r="L36" s="554"/>
      <c r="M36" s="554"/>
    </row>
    <row r="37" ht="15.75" hidden="1" customHeight="1" outlineLevel="1">
      <c r="A37" s="2017" t="s">
        <v>127</v>
      </c>
      <c r="B37" s="2015" t="s">
        <v>327</v>
      </c>
      <c r="C37" s="2015">
        <v>6.011026871E9</v>
      </c>
      <c r="D37" s="2015" t="s">
        <v>612</v>
      </c>
      <c r="E37" s="2015">
        <v>11606.0</v>
      </c>
      <c r="F37" s="2016"/>
      <c r="G37" s="2016">
        <v>43.21</v>
      </c>
      <c r="H37" s="2016">
        <v>3.1</v>
      </c>
      <c r="I37" s="2016"/>
      <c r="J37" s="2016"/>
      <c r="K37" s="554"/>
      <c r="L37" s="554"/>
      <c r="M37" s="554"/>
    </row>
    <row r="38" ht="15.75" hidden="1" customHeight="1" outlineLevel="1">
      <c r="A38" s="2017" t="s">
        <v>129</v>
      </c>
      <c r="B38" s="2015" t="s">
        <v>327</v>
      </c>
      <c r="C38" s="2015">
        <v>6.011025671E9</v>
      </c>
      <c r="D38" s="2015" t="s">
        <v>617</v>
      </c>
      <c r="E38" s="2015">
        <v>11931.0</v>
      </c>
      <c r="F38" s="2016"/>
      <c r="G38" s="2016">
        <v>39.85</v>
      </c>
      <c r="H38" s="2016">
        <v>2.59</v>
      </c>
      <c r="I38" s="2016"/>
      <c r="J38" s="2016"/>
      <c r="K38" s="554"/>
      <c r="L38" s="554"/>
      <c r="M38" s="554"/>
    </row>
    <row r="39" ht="15.75" hidden="1" customHeight="1" outlineLevel="1">
      <c r="A39" s="2017" t="s">
        <v>131</v>
      </c>
      <c r="B39" s="2015" t="s">
        <v>327</v>
      </c>
      <c r="C39" s="2015" t="s">
        <v>327</v>
      </c>
      <c r="D39" s="2015" t="s">
        <v>327</v>
      </c>
      <c r="E39" s="2015">
        <v>11304.0</v>
      </c>
      <c r="F39" s="2016"/>
      <c r="G39" s="2016" t="s">
        <v>327</v>
      </c>
      <c r="H39" s="2016" t="s">
        <v>327</v>
      </c>
      <c r="I39" s="2016"/>
      <c r="J39" s="2016"/>
      <c r="K39" s="554"/>
      <c r="L39" s="554"/>
      <c r="M39" s="554"/>
    </row>
    <row r="40" ht="15.75" hidden="1" customHeight="1" outlineLevel="1">
      <c r="A40" s="2017" t="s">
        <v>152</v>
      </c>
      <c r="B40" s="2015" t="s">
        <v>327</v>
      </c>
      <c r="C40" s="2015">
        <v>6.011359631E9</v>
      </c>
      <c r="D40" s="2015" t="s">
        <v>636</v>
      </c>
      <c r="E40" s="2015">
        <v>3.08003451E8</v>
      </c>
      <c r="F40" s="2016"/>
      <c r="G40" s="2016">
        <v>48.08</v>
      </c>
      <c r="H40" s="2016">
        <v>2.59</v>
      </c>
      <c r="I40" s="2016"/>
      <c r="J40" s="2016"/>
      <c r="K40" s="554"/>
      <c r="L40" s="554"/>
      <c r="M40" s="554"/>
    </row>
    <row r="41" ht="15.75" hidden="1" customHeight="1" outlineLevel="1">
      <c r="A41" s="2017" t="s">
        <v>154</v>
      </c>
      <c r="B41" s="2015" t="s">
        <v>327</v>
      </c>
      <c r="C41" s="2015">
        <v>6.01135965E9</v>
      </c>
      <c r="D41" s="2015" t="s">
        <v>642</v>
      </c>
      <c r="E41" s="2015">
        <v>3.08003321E8</v>
      </c>
      <c r="F41" s="2016"/>
      <c r="G41" s="2016">
        <v>82.22</v>
      </c>
      <c r="H41" s="2016">
        <v>6.21</v>
      </c>
      <c r="I41" s="2016"/>
      <c r="J41" s="2016"/>
      <c r="K41" s="554"/>
      <c r="L41" s="554"/>
      <c r="M41" s="554"/>
    </row>
    <row r="42" ht="15.75" hidden="1" customHeight="1" outlineLevel="1">
      <c r="A42" s="2017" t="s">
        <v>165</v>
      </c>
      <c r="B42" s="2015" t="s">
        <v>327</v>
      </c>
      <c r="C42" s="2018">
        <v>6.011471272E9</v>
      </c>
      <c r="D42" s="2018" t="s">
        <v>649</v>
      </c>
      <c r="E42" s="2018">
        <v>3.06940056E8</v>
      </c>
      <c r="F42" s="2016"/>
      <c r="G42" s="2019">
        <v>52.19</v>
      </c>
      <c r="H42" s="2019">
        <v>2.07</v>
      </c>
      <c r="I42" s="2019"/>
      <c r="J42" s="2019"/>
      <c r="K42" s="554"/>
      <c r="L42" s="554"/>
      <c r="M42" s="554"/>
    </row>
    <row r="43" ht="15.75" hidden="1" customHeight="1" outlineLevel="1">
      <c r="A43" s="2017" t="s">
        <v>169</v>
      </c>
      <c r="B43" s="2015" t="s">
        <v>327</v>
      </c>
      <c r="C43" s="2018">
        <v>6.01147128E9</v>
      </c>
      <c r="D43" s="2018" t="s">
        <v>654</v>
      </c>
      <c r="E43" s="2018">
        <v>3.06940085E8</v>
      </c>
      <c r="F43" s="2016"/>
      <c r="G43" s="2019">
        <v>40.97</v>
      </c>
      <c r="H43" s="2019">
        <v>1.78</v>
      </c>
      <c r="I43" s="2019"/>
      <c r="J43" s="2019"/>
      <c r="K43" s="554"/>
      <c r="L43" s="554"/>
      <c r="M43" s="554"/>
    </row>
    <row r="44" ht="15.75" hidden="1" customHeight="1" outlineLevel="1">
      <c r="A44" s="2017" t="s">
        <v>171</v>
      </c>
      <c r="B44" s="2024" t="s">
        <v>327</v>
      </c>
      <c r="C44" s="2015">
        <v>6.011442532E9</v>
      </c>
      <c r="D44" s="2015" t="s">
        <v>659</v>
      </c>
      <c r="E44" s="2015">
        <v>3.06316828E8</v>
      </c>
      <c r="F44" s="2025"/>
      <c r="G44" s="2016">
        <v>23.35</v>
      </c>
      <c r="H44" s="2016">
        <v>1.49</v>
      </c>
      <c r="I44" s="2016"/>
      <c r="J44" s="2016"/>
      <c r="K44" s="554"/>
      <c r="L44" s="554"/>
      <c r="M44" s="554"/>
    </row>
    <row r="45" ht="15.75" hidden="1" customHeight="1" outlineLevel="1">
      <c r="A45" s="2017" t="s">
        <v>173</v>
      </c>
      <c r="B45" s="2024" t="s">
        <v>327</v>
      </c>
      <c r="C45" s="2015">
        <v>6.011463851E9</v>
      </c>
      <c r="D45" s="2015" t="s">
        <v>666</v>
      </c>
      <c r="E45" s="2015">
        <v>3.06244928E8</v>
      </c>
      <c r="F45" s="2025"/>
      <c r="G45" s="2016"/>
      <c r="H45" s="2016"/>
      <c r="I45" s="2016"/>
      <c r="J45" s="2016"/>
      <c r="K45" s="554"/>
      <c r="L45" s="554"/>
      <c r="M45" s="554"/>
    </row>
    <row r="46" ht="15.75" hidden="1" customHeight="1" outlineLevel="1">
      <c r="A46" s="2017" t="s">
        <v>157</v>
      </c>
      <c r="B46" s="2024" t="s">
        <v>680</v>
      </c>
      <c r="C46" s="2015">
        <v>6.01135821E9</v>
      </c>
      <c r="D46" s="2015" t="s">
        <v>681</v>
      </c>
      <c r="E46" s="2015">
        <v>3.08312967E8</v>
      </c>
      <c r="F46" s="2025" t="s">
        <v>1672</v>
      </c>
      <c r="G46" s="2016"/>
      <c r="H46" s="2016">
        <v>4.14</v>
      </c>
      <c r="I46" s="2016"/>
      <c r="J46" s="2016"/>
      <c r="K46" s="554"/>
      <c r="L46" s="554"/>
      <c r="M46" s="554"/>
    </row>
    <row r="47" ht="15.75" hidden="1" customHeight="1" outlineLevel="1">
      <c r="A47" s="2017" t="s">
        <v>244</v>
      </c>
      <c r="B47" s="2024" t="s">
        <v>688</v>
      </c>
      <c r="C47" s="2015">
        <v>6.01135797E9</v>
      </c>
      <c r="D47" s="2015" t="s">
        <v>1673</v>
      </c>
      <c r="E47" s="2015">
        <v>3.08310377E8</v>
      </c>
      <c r="F47" s="2025" t="s">
        <v>1674</v>
      </c>
      <c r="G47" s="2016"/>
      <c r="H47" s="2016">
        <v>2.59</v>
      </c>
      <c r="I47" s="2016"/>
      <c r="J47" s="2016"/>
      <c r="K47" s="554"/>
      <c r="L47" s="554"/>
      <c r="M47" s="554"/>
    </row>
    <row r="48" ht="15.75" hidden="1" customHeight="1" outlineLevel="1">
      <c r="A48" s="2017" t="s">
        <v>246</v>
      </c>
      <c r="B48" s="2024" t="s">
        <v>693</v>
      </c>
      <c r="C48" s="2015">
        <v>6.011358161E9</v>
      </c>
      <c r="D48" s="2015" t="s">
        <v>1675</v>
      </c>
      <c r="E48" s="2015">
        <v>3.08310337E8</v>
      </c>
      <c r="F48" s="2025" t="s">
        <v>1676</v>
      </c>
      <c r="G48" s="2016"/>
      <c r="H48" s="2016">
        <v>1.04</v>
      </c>
      <c r="I48" s="2016"/>
      <c r="J48" s="2016"/>
      <c r="K48" s="554"/>
      <c r="L48" s="554"/>
      <c r="M48" s="554"/>
    </row>
    <row r="49" ht="15.75" hidden="1" customHeight="1" outlineLevel="1">
      <c r="A49" s="2017" t="s">
        <v>248</v>
      </c>
      <c r="B49" s="2024" t="s">
        <v>698</v>
      </c>
      <c r="C49" s="2015">
        <v>6.011355892E9</v>
      </c>
      <c r="D49" s="2015" t="s">
        <v>699</v>
      </c>
      <c r="E49" s="2015">
        <v>3.08310244E8</v>
      </c>
      <c r="F49" s="2025" t="s">
        <v>1677</v>
      </c>
      <c r="G49" s="2016">
        <v>12.23</v>
      </c>
      <c r="H49" s="2016">
        <v>11.91</v>
      </c>
      <c r="I49" s="2016"/>
      <c r="J49" s="2016"/>
      <c r="K49" s="554"/>
      <c r="L49" s="554"/>
      <c r="M49" s="554"/>
    </row>
    <row r="50" ht="15.75" hidden="1" customHeight="1" outlineLevel="1">
      <c r="A50" s="2017" t="s">
        <v>161</v>
      </c>
      <c r="B50" s="2024" t="s">
        <v>705</v>
      </c>
      <c r="C50" s="2015">
        <v>6.011357782E9</v>
      </c>
      <c r="D50" s="2015" t="s">
        <v>706</v>
      </c>
      <c r="E50" s="2015">
        <v>3.0844433E8</v>
      </c>
      <c r="F50" s="2025" t="s">
        <v>1678</v>
      </c>
      <c r="G50" s="2016">
        <v>12.96</v>
      </c>
      <c r="H50" s="2016">
        <v>46.96</v>
      </c>
      <c r="I50" s="2016"/>
      <c r="J50" s="2016"/>
      <c r="K50" s="554"/>
      <c r="L50" s="554"/>
      <c r="M50" s="554"/>
    </row>
    <row r="51" ht="15.75" hidden="1" customHeight="1" outlineLevel="1">
      <c r="A51" s="2017" t="s">
        <v>163</v>
      </c>
      <c r="B51" s="2024" t="s">
        <v>710</v>
      </c>
      <c r="C51" s="2015">
        <v>6.01130319E9</v>
      </c>
      <c r="D51" s="2015" t="s">
        <v>711</v>
      </c>
      <c r="E51" s="2015">
        <v>3.09152032E8</v>
      </c>
      <c r="F51" s="2025" t="s">
        <v>1679</v>
      </c>
      <c r="G51" s="2016">
        <v>13.99</v>
      </c>
      <c r="H51" s="2016">
        <v>5.87</v>
      </c>
      <c r="I51" s="2016"/>
      <c r="J51" s="2016"/>
      <c r="K51" s="554"/>
      <c r="L51" s="554"/>
      <c r="M51" s="554"/>
    </row>
    <row r="52" ht="15.75" hidden="1" customHeight="1" outlineLevel="1">
      <c r="A52" s="2017" t="s">
        <v>135</v>
      </c>
      <c r="B52" s="2024" t="s">
        <v>718</v>
      </c>
      <c r="C52" s="2015">
        <v>6.011209751E9</v>
      </c>
      <c r="D52" s="2015" t="s">
        <v>719</v>
      </c>
      <c r="E52" s="2015">
        <v>3.02824611E8</v>
      </c>
      <c r="F52" s="2025" t="s">
        <v>1680</v>
      </c>
      <c r="G52" s="2016">
        <v>32.93</v>
      </c>
      <c r="H52" s="2016">
        <v>64.57</v>
      </c>
      <c r="I52" s="2016"/>
      <c r="J52" s="2016"/>
      <c r="K52" s="554"/>
      <c r="L52" s="554"/>
      <c r="M52" s="554"/>
    </row>
    <row r="53" ht="15.75" hidden="1" customHeight="1" outlineLevel="1">
      <c r="A53" s="2017" t="s">
        <v>138</v>
      </c>
      <c r="B53" s="2020">
        <v>2.116817982E9</v>
      </c>
      <c r="C53" s="2015">
        <v>6.011542702E9</v>
      </c>
      <c r="D53" s="2015" t="s">
        <v>726</v>
      </c>
      <c r="E53" s="2015">
        <v>3.08217116E8</v>
      </c>
      <c r="F53" s="1249">
        <v>13.66</v>
      </c>
      <c r="G53" s="2016">
        <v>25.82</v>
      </c>
      <c r="H53" s="2016">
        <v>4.67</v>
      </c>
      <c r="I53" s="2016"/>
      <c r="J53" s="2016"/>
      <c r="K53" s="554"/>
      <c r="L53" s="554"/>
      <c r="M53" s="554"/>
    </row>
    <row r="54" ht="15.75" hidden="1" customHeight="1" outlineLevel="1">
      <c r="A54" s="2017" t="s">
        <v>140</v>
      </c>
      <c r="B54" s="2015" t="s">
        <v>327</v>
      </c>
      <c r="C54" s="2015">
        <v>0.0</v>
      </c>
      <c r="D54" s="2015">
        <v>0.0</v>
      </c>
      <c r="E54" s="2015">
        <v>4.22560058E8</v>
      </c>
      <c r="F54" s="2016"/>
      <c r="G54" s="2016">
        <v>96.62</v>
      </c>
      <c r="H54" s="2016"/>
      <c r="I54" s="2016"/>
      <c r="J54" s="2016"/>
      <c r="K54" s="554"/>
      <c r="L54" s="554"/>
      <c r="M54" s="554"/>
    </row>
    <row r="55" ht="15.75" hidden="1" customHeight="1" outlineLevel="1">
      <c r="A55" s="2017" t="s">
        <v>144</v>
      </c>
      <c r="B55" s="2020"/>
      <c r="C55" s="2015">
        <v>6.01156203E9</v>
      </c>
      <c r="D55" s="2015"/>
      <c r="E55" s="2015">
        <v>3.09317791E8</v>
      </c>
      <c r="F55" s="1249"/>
      <c r="G55" s="2016">
        <v>53.64</v>
      </c>
      <c r="H55" s="2016"/>
      <c r="I55" s="2016"/>
      <c r="J55" s="2016">
        <v>30.0</v>
      </c>
      <c r="K55" s="554"/>
      <c r="L55" s="554"/>
      <c r="M55" s="554"/>
    </row>
    <row r="56" ht="15.75" hidden="1" customHeight="1" outlineLevel="1">
      <c r="A56" s="2017" t="s">
        <v>191</v>
      </c>
      <c r="B56" s="2020">
        <v>2.117710931E9</v>
      </c>
      <c r="C56" s="2015">
        <v>6.011407402E9</v>
      </c>
      <c r="D56" s="2015" t="s">
        <v>748</v>
      </c>
      <c r="E56" s="2015">
        <v>3.07943576E8</v>
      </c>
      <c r="F56" s="1249"/>
      <c r="G56" s="2016"/>
      <c r="H56" s="2016"/>
      <c r="I56" s="2016"/>
      <c r="J56" s="2016"/>
      <c r="K56" s="554"/>
      <c r="L56" s="554"/>
      <c r="M56" s="554"/>
    </row>
    <row r="57" ht="15.75" hidden="1" customHeight="1" outlineLevel="1">
      <c r="A57" s="2026" t="s">
        <v>192</v>
      </c>
      <c r="B57" s="2015" t="s">
        <v>327</v>
      </c>
      <c r="C57" s="2015"/>
      <c r="D57" s="2015"/>
      <c r="E57" s="2015">
        <v>293602.0</v>
      </c>
      <c r="F57" s="2016"/>
      <c r="G57" s="2016"/>
      <c r="H57" s="2016"/>
      <c r="I57" s="2016"/>
      <c r="J57" s="2016"/>
      <c r="K57" s="554"/>
      <c r="L57" s="554"/>
      <c r="M57" s="554"/>
    </row>
    <row r="58" ht="15.75" hidden="1" customHeight="1" outlineLevel="1">
      <c r="A58" s="2026" t="s">
        <v>195</v>
      </c>
      <c r="B58" s="2015" t="s">
        <v>327</v>
      </c>
      <c r="C58" s="2015"/>
      <c r="D58" s="2015"/>
      <c r="E58" s="2015">
        <v>293621.0</v>
      </c>
      <c r="F58" s="2016"/>
      <c r="G58" s="2016"/>
      <c r="H58" s="2016"/>
      <c r="I58" s="2016"/>
      <c r="J58" s="2016"/>
      <c r="K58" s="554"/>
      <c r="L58" s="554"/>
      <c r="M58" s="554"/>
    </row>
    <row r="59" ht="15.75" hidden="1" customHeight="1" outlineLevel="1">
      <c r="A59" s="2027" t="s">
        <v>197</v>
      </c>
      <c r="B59" s="2015" t="s">
        <v>327</v>
      </c>
      <c r="C59" s="2015"/>
      <c r="D59" s="2015"/>
      <c r="E59" s="2015">
        <v>293934.0</v>
      </c>
      <c r="F59" s="2016"/>
      <c r="G59" s="2016"/>
      <c r="H59" s="2016"/>
      <c r="I59" s="2016"/>
      <c r="J59" s="2016"/>
      <c r="K59" s="554"/>
      <c r="L59" s="554"/>
      <c r="M59" s="554"/>
    </row>
    <row r="60" ht="15.75" hidden="1" customHeight="1" outlineLevel="1">
      <c r="A60" s="2027" t="s">
        <v>199</v>
      </c>
      <c r="B60" s="2015" t="s">
        <v>327</v>
      </c>
      <c r="C60" s="2015"/>
      <c r="D60" s="2015"/>
      <c r="E60" s="2015">
        <v>293954.0</v>
      </c>
      <c r="F60" s="2016"/>
      <c r="G60" s="2016"/>
      <c r="H60" s="2016"/>
      <c r="I60" s="2016"/>
      <c r="J60" s="2016"/>
      <c r="K60" s="554"/>
      <c r="L60" s="554"/>
      <c r="M60" s="554"/>
    </row>
    <row r="61" ht="15.75" hidden="1" customHeight="1" outlineLevel="1">
      <c r="A61" s="2027" t="s">
        <v>201</v>
      </c>
      <c r="B61" s="2015" t="s">
        <v>327</v>
      </c>
      <c r="C61" s="2015"/>
      <c r="D61" s="2015"/>
      <c r="E61" s="2015">
        <v>293782.0</v>
      </c>
      <c r="F61" s="2016"/>
      <c r="G61" s="2016"/>
      <c r="H61" s="2016"/>
      <c r="I61" s="2016"/>
      <c r="J61" s="2016"/>
      <c r="K61" s="554"/>
      <c r="L61" s="554"/>
      <c r="M61" s="554"/>
    </row>
    <row r="62" ht="15.75" hidden="1" customHeight="1" outlineLevel="1">
      <c r="A62" s="2027" t="s">
        <v>203</v>
      </c>
      <c r="B62" s="2015" t="s">
        <v>327</v>
      </c>
      <c r="C62" s="2015"/>
      <c r="D62" s="2015"/>
      <c r="E62" s="2015">
        <v>293910.0</v>
      </c>
      <c r="F62" s="2016"/>
      <c r="G62" s="2016"/>
      <c r="H62" s="2016"/>
      <c r="I62" s="2016"/>
      <c r="J62" s="2016"/>
      <c r="K62" s="554"/>
      <c r="L62" s="554"/>
      <c r="M62" s="554"/>
    </row>
    <row r="63" ht="15.75" hidden="1" customHeight="1" outlineLevel="1">
      <c r="A63" s="2028" t="s">
        <v>205</v>
      </c>
      <c r="B63" s="2015" t="s">
        <v>327</v>
      </c>
      <c r="C63" s="2015"/>
      <c r="D63" s="2015"/>
      <c r="E63" s="2015">
        <v>293403.0</v>
      </c>
      <c r="F63" s="2016"/>
      <c r="G63" s="2016"/>
      <c r="H63" s="2016"/>
      <c r="I63" s="2016"/>
      <c r="J63" s="2016"/>
      <c r="K63" s="554"/>
      <c r="L63" s="554"/>
      <c r="M63" s="554"/>
    </row>
    <row r="64" ht="15.75" hidden="1" customHeight="1" outlineLevel="1">
      <c r="A64" s="2027" t="s">
        <v>207</v>
      </c>
      <c r="B64" s="2020" t="s">
        <v>327</v>
      </c>
      <c r="C64" s="2015"/>
      <c r="D64" s="2015"/>
      <c r="E64" s="2015">
        <v>239937.0</v>
      </c>
      <c r="F64" s="1249"/>
      <c r="G64" s="2016"/>
      <c r="H64" s="2016"/>
      <c r="I64" s="2016"/>
      <c r="J64" s="2016"/>
      <c r="K64" s="554"/>
      <c r="L64" s="554"/>
      <c r="M64" s="554"/>
    </row>
    <row r="65" ht="15.75" hidden="1" customHeight="1" outlineLevel="1">
      <c r="A65" s="2027" t="s">
        <v>209</v>
      </c>
      <c r="B65" s="2015" t="s">
        <v>327</v>
      </c>
      <c r="C65" s="2015"/>
      <c r="D65" s="2015"/>
      <c r="E65" s="2015">
        <v>293802.0</v>
      </c>
      <c r="F65" s="2016"/>
      <c r="G65" s="2016"/>
      <c r="H65" s="2016"/>
      <c r="I65" s="2016"/>
      <c r="J65" s="2016"/>
      <c r="K65" s="554"/>
      <c r="L65" s="554"/>
      <c r="M65" s="554"/>
    </row>
    <row r="66" ht="15.75" hidden="1" customHeight="1" outlineLevel="1">
      <c r="A66" s="2027" t="s">
        <v>216</v>
      </c>
      <c r="B66" s="2015" t="s">
        <v>327</v>
      </c>
      <c r="C66" s="2015"/>
      <c r="D66" s="2015"/>
      <c r="E66" s="2015">
        <v>293888.0</v>
      </c>
      <c r="F66" s="2016"/>
      <c r="G66" s="2016"/>
      <c r="H66" s="2016"/>
      <c r="I66" s="2016"/>
      <c r="J66" s="2016"/>
      <c r="K66" s="554"/>
      <c r="L66" s="554"/>
      <c r="M66" s="554"/>
    </row>
    <row r="67" ht="15.75" hidden="1" customHeight="1" outlineLevel="1">
      <c r="A67" s="2027" t="s">
        <v>211</v>
      </c>
      <c r="B67" s="2015" t="s">
        <v>327</v>
      </c>
      <c r="C67" s="2015"/>
      <c r="D67" s="2015"/>
      <c r="E67" s="2015">
        <v>293922.0</v>
      </c>
      <c r="F67" s="2016"/>
      <c r="G67" s="2016"/>
      <c r="H67" s="2016"/>
      <c r="I67" s="2016"/>
      <c r="J67" s="2016"/>
      <c r="K67" s="554"/>
      <c r="L67" s="554"/>
      <c r="M67" s="554"/>
    </row>
    <row r="68" ht="15.75" hidden="1" customHeight="1" outlineLevel="1">
      <c r="A68" s="2027" t="s">
        <v>233</v>
      </c>
      <c r="B68" s="2015"/>
      <c r="C68" s="2015"/>
      <c r="D68" s="2015"/>
      <c r="E68" s="2015">
        <v>293923.0</v>
      </c>
      <c r="F68" s="2016"/>
      <c r="G68" s="2016"/>
      <c r="H68" s="2016"/>
      <c r="I68" s="2016"/>
      <c r="J68" s="2016"/>
      <c r="K68" s="554"/>
      <c r="L68" s="554"/>
      <c r="M68" s="554"/>
    </row>
    <row r="69" ht="15.75" hidden="1" customHeight="1" outlineLevel="1">
      <c r="A69" s="2027" t="s">
        <v>1681</v>
      </c>
      <c r="B69" s="2015" t="s">
        <v>327</v>
      </c>
      <c r="C69" s="2015"/>
      <c r="D69" s="2015"/>
      <c r="E69" s="2015">
        <v>293881.0</v>
      </c>
      <c r="F69" s="2016"/>
      <c r="G69" s="2016"/>
      <c r="H69" s="2016"/>
      <c r="I69" s="2016"/>
      <c r="J69" s="2016"/>
      <c r="K69" s="554"/>
      <c r="L69" s="554"/>
      <c r="M69" s="554"/>
    </row>
    <row r="70" ht="15.75" hidden="1" customHeight="1" outlineLevel="1">
      <c r="A70" s="2027" t="s">
        <v>214</v>
      </c>
      <c r="B70" s="2015" t="s">
        <v>327</v>
      </c>
      <c r="C70" s="2015"/>
      <c r="D70" s="2015"/>
      <c r="E70" s="2015">
        <v>293888.0</v>
      </c>
      <c r="F70" s="2016"/>
      <c r="G70" s="2016"/>
      <c r="H70" s="2016"/>
      <c r="I70" s="2016"/>
      <c r="J70" s="2016"/>
      <c r="K70" s="554"/>
      <c r="L70" s="554"/>
      <c r="M70" s="554"/>
    </row>
    <row r="71" ht="15.75" hidden="1" customHeight="1" outlineLevel="1">
      <c r="A71" s="2027" t="s">
        <v>218</v>
      </c>
      <c r="B71" s="2015" t="s">
        <v>327</v>
      </c>
      <c r="C71" s="2015"/>
      <c r="D71" s="2015"/>
      <c r="E71" s="2015">
        <v>293918.0</v>
      </c>
      <c r="F71" s="2016"/>
      <c r="G71" s="2016"/>
      <c r="H71" s="2016"/>
      <c r="I71" s="2016"/>
      <c r="J71" s="2016"/>
      <c r="K71" s="554"/>
      <c r="L71" s="554"/>
      <c r="M71" s="554"/>
    </row>
    <row r="72" ht="15.75" hidden="1" customHeight="1" outlineLevel="1">
      <c r="A72" s="2027" t="s">
        <v>220</v>
      </c>
      <c r="B72" s="2015" t="s">
        <v>327</v>
      </c>
      <c r="C72" s="2015"/>
      <c r="D72" s="2015"/>
      <c r="E72" s="2015">
        <v>293484.0</v>
      </c>
      <c r="F72" s="2016"/>
      <c r="G72" s="2016"/>
      <c r="H72" s="2016"/>
      <c r="I72" s="2016"/>
      <c r="J72" s="2016"/>
      <c r="K72" s="554"/>
      <c r="L72" s="554"/>
      <c r="M72" s="554"/>
    </row>
    <row r="73" ht="15.75" hidden="1" customHeight="1" outlineLevel="1">
      <c r="A73" s="2027" t="s">
        <v>226</v>
      </c>
      <c r="B73" s="2015"/>
      <c r="C73" s="2015"/>
      <c r="D73" s="2015"/>
      <c r="E73" s="2015"/>
      <c r="F73" s="2016"/>
      <c r="G73" s="2016"/>
      <c r="H73" s="2016"/>
      <c r="I73" s="2016"/>
      <c r="J73" s="2016"/>
      <c r="K73" s="554"/>
      <c r="L73" s="554"/>
      <c r="M73" s="554"/>
    </row>
    <row r="74" ht="15.75" hidden="1" customHeight="1" outlineLevel="1">
      <c r="A74" s="2027" t="s">
        <v>223</v>
      </c>
      <c r="B74" s="2015"/>
      <c r="C74" s="2015"/>
      <c r="D74" s="2015"/>
      <c r="E74" s="2015"/>
      <c r="F74" s="2016"/>
      <c r="G74" s="2016"/>
      <c r="H74" s="2016"/>
      <c r="I74" s="2016"/>
      <c r="J74" s="2016"/>
      <c r="K74" s="554"/>
      <c r="L74" s="554"/>
      <c r="M74" s="554"/>
    </row>
    <row r="75" ht="15.75" hidden="1" customHeight="1" outlineLevel="1">
      <c r="A75" s="2027" t="s">
        <v>227</v>
      </c>
      <c r="B75" s="2015"/>
      <c r="C75" s="2015"/>
      <c r="D75" s="2015"/>
      <c r="E75" s="2015"/>
      <c r="F75" s="2016"/>
      <c r="G75" s="2016"/>
      <c r="H75" s="2016"/>
      <c r="I75" s="2016"/>
      <c r="J75" s="2016"/>
      <c r="K75" s="554"/>
      <c r="L75" s="554"/>
      <c r="M75" s="554"/>
    </row>
    <row r="76" ht="15.75" hidden="1" customHeight="1" outlineLevel="1">
      <c r="A76" s="2027" t="s">
        <v>229</v>
      </c>
      <c r="B76" s="2015"/>
      <c r="C76" s="2015"/>
      <c r="D76" s="2015"/>
      <c r="E76" s="2015"/>
      <c r="F76" s="2016"/>
      <c r="G76" s="2016"/>
      <c r="H76" s="2016"/>
      <c r="I76" s="2016"/>
      <c r="J76" s="2016"/>
      <c r="K76" s="554"/>
      <c r="L76" s="554"/>
      <c r="M76" s="554"/>
    </row>
    <row r="77" ht="15.75" hidden="1" customHeight="1" outlineLevel="1">
      <c r="A77" s="2027" t="s">
        <v>231</v>
      </c>
      <c r="B77" s="2015"/>
      <c r="C77" s="2015"/>
      <c r="D77" s="2015"/>
      <c r="E77" s="2015"/>
      <c r="F77" s="2016"/>
      <c r="G77" s="2016"/>
      <c r="H77" s="2016"/>
      <c r="I77" s="2016"/>
      <c r="J77" s="2016"/>
      <c r="K77" s="554"/>
      <c r="L77" s="554"/>
      <c r="M77" s="554"/>
    </row>
    <row r="78" ht="15.75" hidden="1" customHeight="1" outlineLevel="1">
      <c r="A78" s="2027" t="s">
        <v>232</v>
      </c>
      <c r="B78" s="2015"/>
      <c r="C78" s="2015"/>
      <c r="D78" s="2015"/>
      <c r="E78" s="2015"/>
      <c r="F78" s="2016"/>
      <c r="G78" s="2016"/>
      <c r="H78" s="2016"/>
      <c r="I78" s="2016"/>
      <c r="J78" s="2016"/>
      <c r="K78" s="554"/>
      <c r="L78" s="554"/>
      <c r="M78" s="554"/>
    </row>
    <row r="79" ht="15.75" hidden="1" customHeight="1" outlineLevel="1">
      <c r="A79" s="2029" t="s">
        <v>250</v>
      </c>
      <c r="B79" s="2015">
        <v>2.116441487E9</v>
      </c>
      <c r="C79" s="2015">
        <v>6.11036178E9</v>
      </c>
      <c r="D79" s="2015" t="s">
        <v>843</v>
      </c>
      <c r="E79" s="2015">
        <v>4.22196093E8</v>
      </c>
      <c r="F79" s="2016">
        <v>72.3</v>
      </c>
      <c r="G79" s="2016">
        <v>32.55</v>
      </c>
      <c r="H79" s="2016">
        <v>2.96</v>
      </c>
      <c r="I79" s="2016"/>
      <c r="J79" s="2016"/>
      <c r="K79" s="554"/>
      <c r="L79" s="554"/>
      <c r="M79" s="554"/>
    </row>
    <row r="80" ht="15.75" hidden="1" customHeight="1" outlineLevel="1">
      <c r="A80" s="2029" t="s">
        <v>238</v>
      </c>
      <c r="B80" s="2015">
        <v>2.116441498E9</v>
      </c>
      <c r="C80" s="2015">
        <v>6.110363032E9</v>
      </c>
      <c r="D80" s="2015" t="s">
        <v>847</v>
      </c>
      <c r="E80" s="2015">
        <v>4.22410189E8</v>
      </c>
      <c r="F80" s="2016">
        <v>7.4</v>
      </c>
      <c r="G80" s="2016">
        <v>10.02</v>
      </c>
      <c r="H80" s="2016">
        <v>0.89</v>
      </c>
      <c r="I80" s="2016"/>
      <c r="J80" s="2016"/>
      <c r="K80" s="554"/>
      <c r="L80" s="554"/>
      <c r="M80" s="554"/>
    </row>
    <row r="81" ht="15.75" hidden="1" customHeight="1" outlineLevel="1">
      <c r="A81" s="2029" t="s">
        <v>252</v>
      </c>
      <c r="B81" s="2015">
        <v>2.116441502E9</v>
      </c>
      <c r="C81" s="2015">
        <v>6.110363122E9</v>
      </c>
      <c r="D81" s="2015" t="s">
        <v>850</v>
      </c>
      <c r="E81" s="2015">
        <v>4.22881705E8</v>
      </c>
      <c r="F81" s="2016">
        <v>67.18</v>
      </c>
      <c r="G81" s="2016">
        <v>76.18</v>
      </c>
      <c r="H81" s="2016">
        <v>1.19</v>
      </c>
      <c r="I81" s="2016"/>
      <c r="J81" s="2016"/>
      <c r="K81" s="554"/>
      <c r="L81" s="554"/>
      <c r="M81" s="554"/>
    </row>
    <row r="82" ht="15.75" hidden="1" customHeight="1" outlineLevel="1">
      <c r="A82" s="2029" t="s">
        <v>254</v>
      </c>
      <c r="B82" s="2015">
        <v>2.116441513E9</v>
      </c>
      <c r="C82" s="2015">
        <v>6.11036304E9</v>
      </c>
      <c r="D82" s="2015" t="s">
        <v>852</v>
      </c>
      <c r="E82" s="2015">
        <v>4.22740287E8</v>
      </c>
      <c r="F82" s="2016"/>
      <c r="G82" s="2016"/>
      <c r="H82" s="2016"/>
      <c r="I82" s="2016"/>
      <c r="J82" s="2016"/>
      <c r="K82" s="554"/>
      <c r="L82" s="554"/>
      <c r="M82" s="554"/>
    </row>
    <row r="83" ht="15.75" hidden="1" customHeight="1" outlineLevel="1">
      <c r="A83" s="2029" t="s">
        <v>256</v>
      </c>
      <c r="B83" s="2015">
        <v>2.116441524E9</v>
      </c>
      <c r="C83" s="2015">
        <v>6.1103631E9</v>
      </c>
      <c r="D83" s="2015" t="s">
        <v>854</v>
      </c>
      <c r="E83" s="2015">
        <v>4.22939148E8</v>
      </c>
      <c r="F83" s="2016"/>
      <c r="G83" s="2016"/>
      <c r="H83" s="2016"/>
      <c r="I83" s="2016"/>
      <c r="J83" s="2016"/>
      <c r="K83" s="554"/>
      <c r="L83" s="554"/>
      <c r="M83" s="554"/>
    </row>
    <row r="84" ht="15.75" hidden="1" customHeight="1" outlineLevel="1">
      <c r="A84" s="2029" t="s">
        <v>258</v>
      </c>
      <c r="B84" s="2015">
        <v>2.116441535E9</v>
      </c>
      <c r="C84" s="2015">
        <v>6.11036301E9</v>
      </c>
      <c r="D84" s="2015" t="s">
        <v>856</v>
      </c>
      <c r="E84" s="2015">
        <v>4.22474071E8</v>
      </c>
      <c r="F84" s="2016">
        <v>6.26</v>
      </c>
      <c r="G84" s="2016">
        <v>13.85</v>
      </c>
      <c r="H84" s="2016">
        <v>1.19</v>
      </c>
      <c r="I84" s="2016"/>
      <c r="J84" s="2016"/>
      <c r="K84" s="554"/>
      <c r="L84" s="554"/>
      <c r="M84" s="554"/>
    </row>
    <row r="85" ht="15.75" hidden="1" customHeight="1" outlineLevel="1">
      <c r="A85" s="2029" t="s">
        <v>260</v>
      </c>
      <c r="B85" s="2015">
        <v>2.116441546E9</v>
      </c>
      <c r="C85" s="2015">
        <v>6.110363081E9</v>
      </c>
      <c r="D85" s="2015" t="s">
        <v>859</v>
      </c>
      <c r="E85" s="2015">
        <v>4.22367309E8</v>
      </c>
      <c r="F85" s="2016"/>
      <c r="G85" s="2016"/>
      <c r="H85" s="2016"/>
      <c r="I85" s="2016"/>
      <c r="J85" s="2016"/>
      <c r="K85" s="554"/>
      <c r="L85" s="554"/>
      <c r="M85" s="554"/>
    </row>
    <row r="86" ht="15.75" hidden="1" customHeight="1" outlineLevel="1">
      <c r="A86" s="2029" t="s">
        <v>262</v>
      </c>
      <c r="B86" s="2015">
        <v>2.116441557E9</v>
      </c>
      <c r="C86" s="2015">
        <v>6.110363002E9</v>
      </c>
      <c r="D86" s="2015" t="s">
        <v>862</v>
      </c>
      <c r="E86" s="2015">
        <v>4.22660277E8</v>
      </c>
      <c r="F86" s="2016">
        <v>15.94</v>
      </c>
      <c r="G86" s="2016">
        <v>14.58</v>
      </c>
      <c r="H86" s="2016">
        <v>0.39</v>
      </c>
      <c r="I86" s="2016"/>
      <c r="J86" s="2016"/>
      <c r="K86" s="554"/>
      <c r="L86" s="554"/>
      <c r="M86" s="554"/>
    </row>
    <row r="87" ht="15.75" hidden="1" customHeight="1" outlineLevel="1">
      <c r="A87" s="2029" t="s">
        <v>240</v>
      </c>
      <c r="B87" s="2015">
        <v>2.116441568E9</v>
      </c>
      <c r="C87" s="2015">
        <v>6.11036298E9</v>
      </c>
      <c r="D87" s="2015" t="s">
        <v>864</v>
      </c>
      <c r="E87" s="2015">
        <v>4.22325794E8</v>
      </c>
      <c r="F87" s="2016">
        <v>1.14</v>
      </c>
      <c r="G87" s="2016">
        <v>6.19</v>
      </c>
      <c r="H87" s="2016">
        <v>0.3</v>
      </c>
      <c r="I87" s="2016"/>
      <c r="J87" s="2016"/>
      <c r="K87" s="554"/>
      <c r="L87" s="554"/>
      <c r="M87" s="554"/>
    </row>
    <row r="88" ht="15.75" hidden="1" customHeight="1" outlineLevel="1">
      <c r="A88" s="2029" t="s">
        <v>264</v>
      </c>
      <c r="B88" s="2015">
        <v>2.116441637E9</v>
      </c>
      <c r="C88" s="2030">
        <v>6.110362972E9</v>
      </c>
      <c r="D88" s="2015" t="s">
        <v>867</v>
      </c>
      <c r="E88" s="2030">
        <v>4.22444717E8</v>
      </c>
      <c r="F88" s="2016"/>
      <c r="G88" s="2031"/>
      <c r="H88" s="2016"/>
      <c r="I88" s="2031"/>
      <c r="J88" s="2031"/>
      <c r="K88" s="554"/>
      <c r="L88" s="554"/>
      <c r="M88" s="554"/>
    </row>
    <row r="89" ht="15.75" hidden="1" customHeight="1" outlineLevel="1">
      <c r="A89" s="2029" t="s">
        <v>266</v>
      </c>
      <c r="B89" s="2015">
        <v>2.116576549E9</v>
      </c>
      <c r="C89" s="2015">
        <v>6.110363021E9</v>
      </c>
      <c r="D89" s="2015" t="s">
        <v>870</v>
      </c>
      <c r="E89" s="2015">
        <v>4.22433459E8</v>
      </c>
      <c r="F89" s="2016">
        <v>0.0</v>
      </c>
      <c r="G89" s="2016">
        <v>4.42</v>
      </c>
      <c r="H89" s="2016">
        <v>0.3</v>
      </c>
      <c r="I89" s="2016"/>
      <c r="J89" s="2016"/>
      <c r="K89" s="554"/>
      <c r="L89" s="554"/>
      <c r="M89" s="554"/>
    </row>
    <row r="90" ht="15.75" hidden="1" customHeight="1" outlineLevel="1">
      <c r="A90" s="2029" t="s">
        <v>268</v>
      </c>
      <c r="B90" s="2015">
        <v>2.11657655E9</v>
      </c>
      <c r="C90" s="2015">
        <v>6.110362961E9</v>
      </c>
      <c r="D90" s="2015" t="s">
        <v>873</v>
      </c>
      <c r="E90" s="2015">
        <v>4.226691E8</v>
      </c>
      <c r="F90" s="2016"/>
      <c r="G90" s="2016"/>
      <c r="H90" s="2016"/>
      <c r="I90" s="2016"/>
      <c r="J90" s="2016"/>
      <c r="K90" s="554"/>
      <c r="L90" s="554"/>
      <c r="M90" s="554"/>
    </row>
    <row r="91" ht="15.75" hidden="1" customHeight="1" outlineLevel="1">
      <c r="A91" s="2029" t="s">
        <v>242</v>
      </c>
      <c r="B91" s="2015">
        <v>2.116576561E9</v>
      </c>
      <c r="C91" s="2015">
        <v>6.11036295E9</v>
      </c>
      <c r="D91" s="2015" t="s">
        <v>875</v>
      </c>
      <c r="E91" s="2015">
        <v>4.22752735E8</v>
      </c>
      <c r="F91" s="2016">
        <v>1.71</v>
      </c>
      <c r="G91" s="2016">
        <v>5.3</v>
      </c>
      <c r="H91" s="2016">
        <v>0.3</v>
      </c>
      <c r="I91" s="2016"/>
      <c r="J91" s="2016"/>
      <c r="K91" s="554"/>
      <c r="L91" s="554"/>
      <c r="M91" s="554"/>
    </row>
    <row r="92" ht="15.75" hidden="1" customHeight="1" outlineLevel="1">
      <c r="A92" s="2029" t="s">
        <v>270</v>
      </c>
      <c r="B92" s="2015">
        <v>2.116576572E9</v>
      </c>
      <c r="C92" s="2015">
        <v>6.110362942E9</v>
      </c>
      <c r="D92" s="2015" t="s">
        <v>878</v>
      </c>
      <c r="E92" s="2015">
        <v>4.22320003E8</v>
      </c>
      <c r="F92" s="2016">
        <v>2.28</v>
      </c>
      <c r="G92" s="2016">
        <v>4.57</v>
      </c>
      <c r="H92" s="2016">
        <v>0.59</v>
      </c>
      <c r="I92" s="2016"/>
      <c r="J92" s="2016"/>
      <c r="K92" s="554"/>
      <c r="L92" s="554"/>
      <c r="M92" s="554"/>
    </row>
    <row r="93" ht="15.75" hidden="1" customHeight="1" outlineLevel="1">
      <c r="A93" s="2029" t="s">
        <v>272</v>
      </c>
      <c r="B93" s="2015">
        <v>2.116576583E9</v>
      </c>
      <c r="C93" s="2015">
        <v>6.110362931E9</v>
      </c>
      <c r="D93" s="2015" t="s">
        <v>881</v>
      </c>
      <c r="E93" s="2015">
        <v>4.22281971E8</v>
      </c>
      <c r="F93" s="2016"/>
      <c r="G93" s="2016"/>
      <c r="H93" s="2016"/>
      <c r="I93" s="2016"/>
      <c r="J93" s="2016"/>
      <c r="K93" s="554"/>
      <c r="L93" s="554"/>
      <c r="M93" s="554"/>
    </row>
    <row r="94" ht="15.75" hidden="1" customHeight="1" outlineLevel="1">
      <c r="A94" s="2029" t="s">
        <v>274</v>
      </c>
      <c r="B94" s="2015">
        <v>2.116576594E9</v>
      </c>
      <c r="C94" s="2030">
        <v>6.11036313E9</v>
      </c>
      <c r="D94" s="2015" t="s">
        <v>884</v>
      </c>
      <c r="E94" s="2015">
        <v>4.22169558E8</v>
      </c>
      <c r="F94" s="2016"/>
      <c r="G94" s="2031"/>
      <c r="H94" s="2016"/>
      <c r="I94" s="2016"/>
      <c r="J94" s="2016"/>
      <c r="K94" s="554"/>
      <c r="L94" s="554"/>
      <c r="M94" s="554"/>
    </row>
    <row r="95" ht="15.75" hidden="1" customHeight="1" outlineLevel="1">
      <c r="A95" s="2029" t="s">
        <v>276</v>
      </c>
      <c r="B95" s="2015">
        <v>2.116576607E9</v>
      </c>
      <c r="C95" s="2015">
        <v>6.110363111E9</v>
      </c>
      <c r="D95" s="2015" t="s">
        <v>886</v>
      </c>
      <c r="E95" s="2015">
        <v>4.22196288E8</v>
      </c>
      <c r="F95" s="2032">
        <v>19.92</v>
      </c>
      <c r="G95" s="2032">
        <v>8.1</v>
      </c>
      <c r="H95" s="2032">
        <v>0.3</v>
      </c>
      <c r="I95" s="2016"/>
      <c r="J95" s="2016"/>
      <c r="K95" s="554"/>
      <c r="L95" s="554"/>
      <c r="M95" s="554"/>
    </row>
    <row r="96" ht="15.75" hidden="1" customHeight="1" outlineLevel="1">
      <c r="A96" s="2029" t="s">
        <v>278</v>
      </c>
      <c r="B96" s="2015">
        <v>2.116576618E9</v>
      </c>
      <c r="C96" s="2015">
        <v>6.110363092E9</v>
      </c>
      <c r="D96" s="2015" t="s">
        <v>888</v>
      </c>
      <c r="E96" s="2015">
        <v>4.22278289E8</v>
      </c>
      <c r="F96" s="2016"/>
      <c r="G96" s="2016"/>
      <c r="H96" s="2016"/>
      <c r="I96" s="2016"/>
      <c r="J96" s="2016"/>
      <c r="K96" s="554"/>
      <c r="L96" s="554"/>
      <c r="M96" s="554"/>
    </row>
    <row r="97" ht="15.75" hidden="1" customHeight="1" outlineLevel="1">
      <c r="A97" s="2029" t="s">
        <v>280</v>
      </c>
      <c r="B97" s="2015">
        <v>2.116576629E9</v>
      </c>
      <c r="C97" s="2030">
        <v>6.11036307E9</v>
      </c>
      <c r="D97" s="2015" t="s">
        <v>891</v>
      </c>
      <c r="E97" s="2015">
        <v>4.22929242E8</v>
      </c>
      <c r="F97" s="2016">
        <v>9.11</v>
      </c>
      <c r="G97" s="2031">
        <v>5.3</v>
      </c>
      <c r="H97" s="2016">
        <v>0.89</v>
      </c>
      <c r="I97" s="2016"/>
      <c r="J97" s="2016"/>
      <c r="K97" s="554"/>
      <c r="L97" s="554"/>
      <c r="M97" s="554"/>
    </row>
    <row r="98" ht="15.75" hidden="1" customHeight="1" outlineLevel="1">
      <c r="A98" s="2029" t="s">
        <v>283</v>
      </c>
      <c r="B98" s="2015">
        <v>2.11657663E9</v>
      </c>
      <c r="C98" s="2015">
        <v>6.110363062E9</v>
      </c>
      <c r="D98" s="2015" t="s">
        <v>893</v>
      </c>
      <c r="E98" s="2015">
        <v>4.22720411E8</v>
      </c>
      <c r="F98" s="2016"/>
      <c r="G98" s="2016"/>
      <c r="H98" s="2016"/>
      <c r="I98" s="2016"/>
      <c r="J98" s="2016"/>
      <c r="K98" s="554"/>
      <c r="L98" s="554"/>
      <c r="M98" s="554"/>
    </row>
    <row r="99" ht="15.75" hidden="1" customHeight="1" outlineLevel="1">
      <c r="A99" s="2029" t="s">
        <v>286</v>
      </c>
      <c r="B99" s="2020">
        <v>2.116576641E9</v>
      </c>
      <c r="C99" s="2020">
        <v>6.110362991E9</v>
      </c>
      <c r="D99" s="2020" t="s">
        <v>897</v>
      </c>
      <c r="E99" s="2020">
        <v>4.22920502E8</v>
      </c>
      <c r="F99" s="1249">
        <v>206.65</v>
      </c>
      <c r="G99" s="1249">
        <v>265.95</v>
      </c>
      <c r="H99" s="1249">
        <v>3.55</v>
      </c>
      <c r="I99" s="1249"/>
      <c r="J99" s="1249"/>
      <c r="K99" s="554"/>
      <c r="L99" s="554"/>
      <c r="M99" s="554"/>
    </row>
    <row r="100" ht="15.75" hidden="1" customHeight="1" outlineLevel="1">
      <c r="A100" s="2033" t="s">
        <v>235</v>
      </c>
      <c r="B100" s="2034"/>
      <c r="C100" s="2035"/>
      <c r="D100" s="2035"/>
      <c r="E100" s="2035"/>
      <c r="F100" s="2036"/>
      <c r="G100" s="2037"/>
      <c r="H100" s="2037"/>
      <c r="I100" s="2037"/>
      <c r="J100" s="2037"/>
      <c r="K100" s="554"/>
      <c r="L100" s="554"/>
      <c r="M100" s="554"/>
    </row>
    <row r="101" ht="15.75" hidden="1" customHeight="1" outlineLevel="1">
      <c r="A101" s="554" t="s">
        <v>1682</v>
      </c>
      <c r="B101" s="554"/>
      <c r="C101" s="2038"/>
      <c r="D101" s="554"/>
      <c r="E101" s="554"/>
      <c r="F101" s="554"/>
      <c r="G101" s="554"/>
      <c r="H101" s="554">
        <v>2.08</v>
      </c>
      <c r="I101" s="554"/>
      <c r="J101" s="554"/>
      <c r="K101" s="554"/>
      <c r="L101" s="554"/>
      <c r="M101" s="554"/>
    </row>
    <row r="102" ht="15.75" hidden="1" customHeight="1" outlineLevel="1">
      <c r="A102" s="2002" t="s">
        <v>1683</v>
      </c>
      <c r="C102" s="475"/>
    </row>
    <row r="103" ht="15.75" hidden="1" customHeight="1" outlineLevel="1">
      <c r="A103" s="2039" t="s">
        <v>1667</v>
      </c>
      <c r="B103" s="2040"/>
      <c r="C103" s="2040"/>
      <c r="D103" s="2040"/>
      <c r="E103" s="2041"/>
      <c r="F103" s="2042" t="s">
        <v>1668</v>
      </c>
      <c r="G103" s="2040"/>
      <c r="H103" s="2040"/>
      <c r="I103" s="2040"/>
      <c r="J103" s="2041"/>
    </row>
    <row r="104" ht="15.75" hidden="1" customHeight="1" outlineLevel="1">
      <c r="A104" s="2043" t="s">
        <v>303</v>
      </c>
      <c r="B104" s="2044" t="s">
        <v>312</v>
      </c>
      <c r="C104" s="2045" t="s">
        <v>313</v>
      </c>
      <c r="D104" s="2044" t="s">
        <v>314</v>
      </c>
      <c r="E104" s="2045" t="s">
        <v>315</v>
      </c>
      <c r="F104" s="2046" t="s">
        <v>312</v>
      </c>
      <c r="G104" s="2046" t="s">
        <v>313</v>
      </c>
      <c r="H104" s="2046" t="s">
        <v>314</v>
      </c>
      <c r="I104" s="2046" t="s">
        <v>1669</v>
      </c>
      <c r="J104" s="2046" t="s">
        <v>315</v>
      </c>
    </row>
    <row r="105" ht="15.75" hidden="1" customHeight="1" outlineLevel="1">
      <c r="A105" s="2047" t="s">
        <v>24</v>
      </c>
      <c r="B105" s="2048" t="s">
        <v>327</v>
      </c>
      <c r="C105" s="223">
        <v>6.011234992E9</v>
      </c>
      <c r="D105" s="224" t="s">
        <v>328</v>
      </c>
      <c r="E105" s="2049">
        <v>4.22209727E8</v>
      </c>
      <c r="F105" s="2050"/>
      <c r="G105" s="2050">
        <v>45.83</v>
      </c>
      <c r="H105" s="2050"/>
      <c r="I105" s="2050"/>
      <c r="J105" s="2050"/>
    </row>
    <row r="106" ht="15.75" hidden="1" customHeight="1" outlineLevel="1">
      <c r="A106" s="2047" t="s">
        <v>29</v>
      </c>
      <c r="B106" s="2048" t="s">
        <v>327</v>
      </c>
      <c r="C106" s="223">
        <v>6.01109493E9</v>
      </c>
      <c r="D106" s="224" t="s">
        <v>338</v>
      </c>
      <c r="E106" s="2049">
        <v>4.22589587E8</v>
      </c>
      <c r="F106" s="2050"/>
      <c r="G106" s="2050">
        <v>4.86</v>
      </c>
      <c r="H106" s="2050">
        <v>0.51</v>
      </c>
      <c r="I106" s="2050"/>
      <c r="J106" s="2050"/>
    </row>
    <row r="107" ht="15.75" hidden="1" customHeight="1" outlineLevel="1">
      <c r="A107" s="2047" t="s">
        <v>32</v>
      </c>
      <c r="B107" s="2048" t="s">
        <v>327</v>
      </c>
      <c r="C107" s="223">
        <v>6.0114696E9</v>
      </c>
      <c r="D107" s="224" t="s">
        <v>345</v>
      </c>
      <c r="E107" s="2049">
        <v>4.22898373E8</v>
      </c>
      <c r="F107" s="2050"/>
      <c r="G107" s="2050">
        <v>27.87</v>
      </c>
      <c r="H107" s="2050">
        <v>23.48</v>
      </c>
      <c r="I107" s="2050"/>
      <c r="J107" s="2050"/>
    </row>
    <row r="108" ht="15.75" hidden="1" customHeight="1" outlineLevel="1">
      <c r="A108" s="2051" t="s">
        <v>35</v>
      </c>
      <c r="B108" s="2048" t="s">
        <v>327</v>
      </c>
      <c r="C108" s="2052" t="s">
        <v>352</v>
      </c>
      <c r="D108" s="224" t="s">
        <v>353</v>
      </c>
      <c r="E108" s="2049">
        <v>4.22454408E8</v>
      </c>
      <c r="F108" s="2050"/>
      <c r="G108" s="2050">
        <v>20.2</v>
      </c>
      <c r="H108" s="2050">
        <v>1.56</v>
      </c>
      <c r="I108" s="2050"/>
      <c r="J108" s="2050"/>
    </row>
    <row r="109" ht="15.75" hidden="1" customHeight="1" outlineLevel="1">
      <c r="A109" s="2051" t="s">
        <v>37</v>
      </c>
      <c r="B109" s="2048" t="s">
        <v>327</v>
      </c>
      <c r="C109" s="223">
        <v>6.011554481E9</v>
      </c>
      <c r="D109" s="224" t="s">
        <v>359</v>
      </c>
      <c r="E109" s="2049">
        <v>4.22958722E8</v>
      </c>
      <c r="F109" s="2050"/>
      <c r="G109" s="2050">
        <v>3.54</v>
      </c>
      <c r="H109" s="2050"/>
      <c r="I109" s="2050"/>
      <c r="J109" s="2050"/>
    </row>
    <row r="110" ht="15.75" hidden="1" customHeight="1" outlineLevel="1">
      <c r="A110" s="2047" t="s">
        <v>39</v>
      </c>
      <c r="B110" s="2048" t="s">
        <v>327</v>
      </c>
      <c r="C110" s="223">
        <v>6.011366441E9</v>
      </c>
      <c r="D110" s="224" t="s">
        <v>366</v>
      </c>
      <c r="E110" s="2049">
        <v>4.22609023E8</v>
      </c>
      <c r="F110" s="2050"/>
      <c r="G110" s="2050">
        <v>14.14</v>
      </c>
      <c r="H110" s="2050">
        <v>41.09</v>
      </c>
      <c r="I110" s="2050"/>
      <c r="J110" s="2050"/>
    </row>
    <row r="111" ht="15.75" hidden="1" customHeight="1" outlineLevel="1">
      <c r="A111" s="2047" t="s">
        <v>41</v>
      </c>
      <c r="B111" s="2048" t="s">
        <v>327</v>
      </c>
      <c r="C111" s="223">
        <v>6.011394071E9</v>
      </c>
      <c r="D111" s="224" t="s">
        <v>375</v>
      </c>
      <c r="E111" s="2049">
        <v>4.22464178E8</v>
      </c>
      <c r="F111" s="2050"/>
      <c r="G111" s="2050">
        <v>6.33</v>
      </c>
      <c r="H111" s="2050">
        <v>1.55</v>
      </c>
      <c r="I111" s="2050"/>
      <c r="J111" s="2050"/>
    </row>
    <row r="112" ht="15.75" hidden="1" customHeight="1" outlineLevel="1">
      <c r="A112" s="2047" t="s">
        <v>43</v>
      </c>
      <c r="B112" s="2048" t="s">
        <v>327</v>
      </c>
      <c r="C112" s="223">
        <v>6.011095331E9</v>
      </c>
      <c r="D112" s="224" t="s">
        <v>382</v>
      </c>
      <c r="E112" s="2049">
        <v>4.2237325E8</v>
      </c>
      <c r="F112" s="2050"/>
      <c r="G112" s="2050">
        <v>5.3</v>
      </c>
      <c r="H112" s="2050">
        <v>1.04</v>
      </c>
      <c r="I112" s="2050"/>
      <c r="J112" s="2050"/>
    </row>
    <row r="113" ht="15.75" hidden="1" customHeight="1" outlineLevel="1">
      <c r="A113" s="2047" t="s">
        <v>45</v>
      </c>
      <c r="B113" s="2048" t="s">
        <v>327</v>
      </c>
      <c r="C113" s="223">
        <v>6.0110922E9</v>
      </c>
      <c r="D113" s="224" t="s">
        <v>388</v>
      </c>
      <c r="E113" s="2049">
        <v>4.22355072E8</v>
      </c>
      <c r="F113" s="2050"/>
      <c r="G113" s="2050">
        <v>3.09</v>
      </c>
      <c r="H113" s="2050">
        <v>1.03</v>
      </c>
      <c r="I113" s="2050"/>
      <c r="J113" s="2050"/>
    </row>
    <row r="114" ht="15.75" hidden="1" customHeight="1" outlineLevel="1">
      <c r="A114" s="2047" t="s">
        <v>48</v>
      </c>
      <c r="B114" s="2053" t="s">
        <v>327</v>
      </c>
      <c r="C114" s="223">
        <v>6.011093302E9</v>
      </c>
      <c r="D114" s="224" t="s">
        <v>395</v>
      </c>
      <c r="E114" s="2049">
        <v>4.22681834E8</v>
      </c>
      <c r="F114" s="2050"/>
      <c r="G114" s="2050">
        <v>3.68</v>
      </c>
      <c r="H114" s="2050">
        <v>0.52</v>
      </c>
      <c r="I114" s="2050"/>
      <c r="J114" s="2050"/>
    </row>
    <row r="115" ht="15.75" hidden="1" customHeight="1" outlineLevel="1">
      <c r="A115" s="2047" t="s">
        <v>50</v>
      </c>
      <c r="B115" s="2048" t="s">
        <v>327</v>
      </c>
      <c r="C115" s="223">
        <v>6.011320361E9</v>
      </c>
      <c r="D115" s="224" t="s">
        <v>401</v>
      </c>
      <c r="E115" s="2049">
        <v>4.22450253E8</v>
      </c>
      <c r="F115" s="2050"/>
      <c r="G115" s="2050">
        <v>6.22</v>
      </c>
      <c r="H115" s="2050">
        <v>64.56</v>
      </c>
      <c r="I115" s="2050"/>
      <c r="J115" s="2050"/>
    </row>
    <row r="116" ht="15.75" hidden="1" customHeight="1" outlineLevel="1">
      <c r="A116" s="2047" t="s">
        <v>52</v>
      </c>
      <c r="B116" s="2053" t="s">
        <v>327</v>
      </c>
      <c r="C116" s="223">
        <v>6.01118289E9</v>
      </c>
      <c r="D116" s="224" t="s">
        <v>406</v>
      </c>
      <c r="E116" s="2049"/>
      <c r="F116" s="2050"/>
      <c r="G116" s="2050">
        <v>5.89</v>
      </c>
      <c r="H116" s="2050">
        <v>23.48</v>
      </c>
      <c r="I116" s="2050"/>
      <c r="J116" s="2050"/>
    </row>
    <row r="117" ht="15.75" hidden="1" customHeight="1" outlineLevel="1">
      <c r="A117" s="2047" t="s">
        <v>54</v>
      </c>
      <c r="B117" s="2048" t="s">
        <v>327</v>
      </c>
      <c r="C117" s="223">
        <v>6.011093692E9</v>
      </c>
      <c r="D117" s="224" t="s">
        <v>412</v>
      </c>
      <c r="E117" s="2049">
        <v>4.22094809E8</v>
      </c>
      <c r="F117" s="2050"/>
      <c r="G117" s="2050">
        <v>30.68</v>
      </c>
      <c r="H117" s="2050">
        <v>2.59</v>
      </c>
      <c r="I117" s="2050"/>
      <c r="J117" s="2050"/>
    </row>
    <row r="118" ht="15.75" hidden="1" customHeight="1" outlineLevel="1">
      <c r="A118" s="2047" t="s">
        <v>56</v>
      </c>
      <c r="B118" s="2048" t="s">
        <v>327</v>
      </c>
      <c r="C118" s="223">
        <v>6.011093471E9</v>
      </c>
      <c r="D118" s="224" t="s">
        <v>419</v>
      </c>
      <c r="E118" s="2049">
        <v>4.22284141E8</v>
      </c>
      <c r="F118" s="2050"/>
      <c r="G118" s="2050"/>
      <c r="H118" s="2050">
        <v>1.03</v>
      </c>
      <c r="I118" s="2050"/>
      <c r="J118" s="2050"/>
    </row>
    <row r="119" ht="15.75" hidden="1" customHeight="1" outlineLevel="1">
      <c r="A119" s="2051" t="s">
        <v>59</v>
      </c>
      <c r="B119" s="2048" t="s">
        <v>327</v>
      </c>
      <c r="C119" s="2054"/>
      <c r="D119" s="2054"/>
      <c r="E119" s="2055"/>
      <c r="F119" s="2050"/>
      <c r="G119" s="2050"/>
      <c r="H119" s="2050"/>
      <c r="I119" s="2050"/>
      <c r="J119" s="2050"/>
    </row>
    <row r="120" ht="15.75" hidden="1" customHeight="1" outlineLevel="1">
      <c r="A120" s="2056" t="s">
        <v>62</v>
      </c>
      <c r="B120" s="2048" t="s">
        <v>327</v>
      </c>
      <c r="C120" s="223">
        <v>6.01136445E9</v>
      </c>
      <c r="D120" s="224" t="s">
        <v>434</v>
      </c>
      <c r="E120" s="2049">
        <v>4.22313986E8</v>
      </c>
      <c r="F120" s="2050"/>
      <c r="G120" s="2050">
        <v>24.51</v>
      </c>
      <c r="H120" s="2050">
        <v>0.89</v>
      </c>
      <c r="I120" s="2050"/>
      <c r="J120" s="2050"/>
    </row>
    <row r="121" ht="15.75" hidden="1" customHeight="1" outlineLevel="1">
      <c r="A121" s="2051" t="s">
        <v>64</v>
      </c>
      <c r="B121" s="2048" t="s">
        <v>327</v>
      </c>
      <c r="C121" s="223">
        <v>6.011507471E9</v>
      </c>
      <c r="D121" s="224" t="s">
        <v>442</v>
      </c>
      <c r="E121" s="2049">
        <v>3.0746942E8</v>
      </c>
      <c r="F121" s="2050"/>
      <c r="G121" s="2050"/>
      <c r="H121" s="2050"/>
      <c r="I121" s="2050"/>
      <c r="J121" s="2050"/>
    </row>
    <row r="122" ht="15.75" hidden="1" customHeight="1" outlineLevel="1">
      <c r="A122" s="2051" t="s">
        <v>67</v>
      </c>
      <c r="B122" s="2048"/>
      <c r="C122" s="223"/>
      <c r="D122" s="224"/>
      <c r="E122" s="2057"/>
      <c r="F122" s="2050"/>
      <c r="G122" s="2050"/>
      <c r="H122" s="2050"/>
      <c r="I122" s="2050"/>
      <c r="J122" s="2050"/>
    </row>
    <row r="123" ht="15.75" hidden="1" customHeight="1" outlineLevel="1">
      <c r="A123" s="2051" t="s">
        <v>181</v>
      </c>
      <c r="B123" s="2048">
        <v>1.114390195E9</v>
      </c>
      <c r="C123" s="223">
        <v>6.010839262E9</v>
      </c>
      <c r="D123" s="224" t="s">
        <v>522</v>
      </c>
      <c r="E123" s="2057">
        <v>9.1433115E7</v>
      </c>
      <c r="F123" s="2050">
        <v>22.2</v>
      </c>
      <c r="G123" s="2050">
        <v>7.95</v>
      </c>
      <c r="H123" s="2050">
        <v>3.11</v>
      </c>
      <c r="I123" s="2050"/>
      <c r="J123" s="2050"/>
    </row>
    <row r="124" ht="15.75" hidden="1" customHeight="1" outlineLevel="1">
      <c r="A124" s="2051" t="s">
        <v>183</v>
      </c>
      <c r="B124" s="2058" t="s">
        <v>528</v>
      </c>
      <c r="C124" s="223">
        <v>6.011482811E9</v>
      </c>
      <c r="D124" s="224" t="s">
        <v>529</v>
      </c>
      <c r="E124" s="2049">
        <v>4.22793459E8</v>
      </c>
      <c r="F124" s="2050"/>
      <c r="G124" s="2050"/>
      <c r="H124" s="2050"/>
      <c r="I124" s="2050"/>
      <c r="J124" s="2050"/>
    </row>
    <row r="125" ht="15.75" hidden="1" customHeight="1" outlineLevel="1">
      <c r="A125" s="2051" t="s">
        <v>186</v>
      </c>
      <c r="B125" s="2058" t="s">
        <v>533</v>
      </c>
      <c r="C125" s="223">
        <v>6.0114828E9</v>
      </c>
      <c r="D125" s="224" t="s">
        <v>534</v>
      </c>
      <c r="E125" s="2049">
        <v>4.22524555E8</v>
      </c>
      <c r="F125" s="2050"/>
      <c r="G125" s="2050"/>
      <c r="H125" s="2050"/>
      <c r="I125" s="2050"/>
      <c r="J125" s="2050"/>
    </row>
    <row r="126" ht="15.75" hidden="1" customHeight="1" outlineLevel="1">
      <c r="A126" s="2051" t="s">
        <v>188</v>
      </c>
      <c r="B126" s="2058" t="s">
        <v>537</v>
      </c>
      <c r="C126" s="223">
        <v>6.011482991E9</v>
      </c>
      <c r="D126" s="224" t="s">
        <v>538</v>
      </c>
      <c r="E126" s="2049">
        <v>4.22431356E8</v>
      </c>
      <c r="F126" s="2050"/>
      <c r="G126" s="2050"/>
      <c r="H126" s="2050"/>
      <c r="I126" s="2050"/>
      <c r="J126" s="2050"/>
    </row>
    <row r="127" ht="15.75" hidden="1" customHeight="1" outlineLevel="1">
      <c r="A127" s="2059" t="s">
        <v>100</v>
      </c>
      <c r="B127" s="2060" t="s">
        <v>327</v>
      </c>
      <c r="C127" s="2054"/>
      <c r="D127" s="224" t="s">
        <v>545</v>
      </c>
      <c r="E127" s="2061"/>
      <c r="F127" s="2050"/>
      <c r="G127" s="2050">
        <v>41.14</v>
      </c>
      <c r="H127" s="2050">
        <v>11.74</v>
      </c>
      <c r="I127" s="2050">
        <v>133.72</v>
      </c>
      <c r="J127" s="2050"/>
    </row>
    <row r="128" ht="15.75" hidden="1" customHeight="1" outlineLevel="1">
      <c r="A128" s="2059" t="s">
        <v>104</v>
      </c>
      <c r="B128" s="2060" t="s">
        <v>327</v>
      </c>
      <c r="C128" s="2054"/>
      <c r="D128" s="224" t="s">
        <v>550</v>
      </c>
      <c r="E128" s="2061"/>
      <c r="F128" s="2050"/>
      <c r="G128" s="2050">
        <v>18.0</v>
      </c>
      <c r="H128" s="2050">
        <v>5.87</v>
      </c>
      <c r="I128" s="2050">
        <v>174.25</v>
      </c>
      <c r="J128" s="2050"/>
    </row>
    <row r="129" ht="15.75" hidden="1" customHeight="1" outlineLevel="1">
      <c r="A129" s="2059" t="s">
        <v>106</v>
      </c>
      <c r="B129" s="2060" t="s">
        <v>327</v>
      </c>
      <c r="C129" s="2054"/>
      <c r="D129" s="224" t="s">
        <v>555</v>
      </c>
      <c r="E129" s="2061"/>
      <c r="F129" s="2050"/>
      <c r="G129" s="2050">
        <v>96.5</v>
      </c>
      <c r="H129" s="2050">
        <v>52.82</v>
      </c>
      <c r="I129" s="2050"/>
      <c r="J129" s="2050"/>
    </row>
    <row r="130" ht="15.75" hidden="1" customHeight="1" outlineLevel="1">
      <c r="A130" s="2059" t="s">
        <v>108</v>
      </c>
      <c r="B130" s="2060" t="s">
        <v>327</v>
      </c>
      <c r="C130" s="2054"/>
      <c r="D130" s="224" t="s">
        <v>560</v>
      </c>
      <c r="E130" s="2061"/>
      <c r="F130" s="2050"/>
      <c r="G130" s="2050">
        <v>33.83</v>
      </c>
      <c r="H130" s="2050"/>
      <c r="I130" s="2050">
        <v>97.27</v>
      </c>
      <c r="J130" s="2050"/>
    </row>
    <row r="131" ht="15.75" hidden="1" customHeight="1" outlineLevel="1">
      <c r="A131" s="2059" t="s">
        <v>111</v>
      </c>
      <c r="B131" s="2060" t="s">
        <v>327</v>
      </c>
      <c r="C131" s="2054"/>
      <c r="D131" s="224" t="s">
        <v>567</v>
      </c>
      <c r="E131" s="2061"/>
      <c r="F131" s="2050"/>
      <c r="G131" s="2050">
        <v>59.01</v>
      </c>
      <c r="H131" s="2050">
        <v>29.35</v>
      </c>
      <c r="I131" s="2050"/>
      <c r="J131" s="2050"/>
    </row>
    <row r="132" ht="15.75" hidden="1" customHeight="1" outlineLevel="1">
      <c r="A132" s="2059" t="s">
        <v>113</v>
      </c>
      <c r="B132" s="2060" t="s">
        <v>327</v>
      </c>
      <c r="C132" s="2054"/>
      <c r="D132" s="224" t="s">
        <v>574</v>
      </c>
      <c r="E132" s="2061"/>
      <c r="F132" s="2050"/>
      <c r="G132" s="2050">
        <v>29.16</v>
      </c>
      <c r="H132" s="2050">
        <v>35.22</v>
      </c>
      <c r="I132" s="2050">
        <v>113.46</v>
      </c>
      <c r="J132" s="2050"/>
    </row>
    <row r="133" ht="15.75" hidden="1" customHeight="1" outlineLevel="1">
      <c r="A133" s="2059" t="s">
        <v>115</v>
      </c>
      <c r="B133" s="2060" t="s">
        <v>327</v>
      </c>
      <c r="C133" s="2054"/>
      <c r="D133" s="224" t="s">
        <v>581</v>
      </c>
      <c r="E133" s="2061"/>
      <c r="F133" s="2050"/>
      <c r="G133" s="2050">
        <v>37.03</v>
      </c>
      <c r="H133" s="2050">
        <v>17.61</v>
      </c>
      <c r="I133" s="2050"/>
      <c r="J133" s="2050"/>
    </row>
    <row r="134" ht="15.75" hidden="1" customHeight="1" outlineLevel="1">
      <c r="A134" s="2059" t="s">
        <v>117</v>
      </c>
      <c r="B134" s="2060" t="s">
        <v>327</v>
      </c>
      <c r="C134" s="2054"/>
      <c r="D134" s="224" t="s">
        <v>1684</v>
      </c>
      <c r="E134" s="2061"/>
      <c r="F134" s="2050"/>
      <c r="G134" s="2050">
        <v>54.96</v>
      </c>
      <c r="H134" s="2050">
        <v>11.74</v>
      </c>
      <c r="I134" s="2050"/>
      <c r="J134" s="2050"/>
    </row>
    <row r="135" ht="15.75" hidden="1" customHeight="1" outlineLevel="1">
      <c r="A135" s="2062" t="s">
        <v>119</v>
      </c>
      <c r="B135" s="2060" t="s">
        <v>327</v>
      </c>
      <c r="C135" s="2054"/>
      <c r="D135" s="224" t="s">
        <v>574</v>
      </c>
      <c r="E135" s="2061"/>
      <c r="F135" s="2050"/>
      <c r="G135" s="2050">
        <v>74.25</v>
      </c>
      <c r="H135" s="2050">
        <v>29.34</v>
      </c>
      <c r="I135" s="2050"/>
      <c r="J135" s="2050"/>
    </row>
    <row r="136" ht="15.75" hidden="1" customHeight="1" outlineLevel="1">
      <c r="A136" s="2059" t="s">
        <v>596</v>
      </c>
      <c r="B136" s="2060" t="s">
        <v>327</v>
      </c>
      <c r="C136" s="2054"/>
      <c r="D136" s="224"/>
      <c r="E136" s="2061"/>
      <c r="F136" s="2050"/>
      <c r="G136" s="2050"/>
      <c r="H136" s="2050"/>
      <c r="I136" s="2050">
        <v>133.72</v>
      </c>
      <c r="J136" s="2050"/>
    </row>
    <row r="137" ht="15.75" hidden="1" customHeight="1" outlineLevel="1">
      <c r="A137" s="2059" t="s">
        <v>121</v>
      </c>
      <c r="B137" s="2060" t="s">
        <v>327</v>
      </c>
      <c r="C137" s="2054"/>
      <c r="D137" s="224" t="s">
        <v>1684</v>
      </c>
      <c r="E137" s="2061"/>
      <c r="F137" s="2063"/>
      <c r="G137" s="2063">
        <v>43.79</v>
      </c>
      <c r="H137" s="2063" t="s">
        <v>1685</v>
      </c>
      <c r="I137" s="2063"/>
      <c r="J137" s="2063"/>
    </row>
    <row r="138" ht="15.75" hidden="1" customHeight="1" outlineLevel="1">
      <c r="A138" s="2064" t="s">
        <v>124</v>
      </c>
      <c r="B138" s="2060" t="s">
        <v>327</v>
      </c>
      <c r="C138" s="223">
        <v>6.011026852E9</v>
      </c>
      <c r="D138" s="224" t="s">
        <v>608</v>
      </c>
      <c r="E138" s="2065">
        <v>11604.0</v>
      </c>
      <c r="F138" s="2050"/>
      <c r="G138" s="2050"/>
      <c r="H138" s="2050">
        <v>3.11</v>
      </c>
      <c r="I138" s="2050"/>
      <c r="J138" s="2050"/>
    </row>
    <row r="139" ht="15.75" hidden="1" customHeight="1" outlineLevel="1">
      <c r="A139" s="2066" t="s">
        <v>127</v>
      </c>
      <c r="B139" s="2060" t="s">
        <v>327</v>
      </c>
      <c r="C139" s="223">
        <v>6.011026871E9</v>
      </c>
      <c r="D139" s="224" t="s">
        <v>612</v>
      </c>
      <c r="E139" s="2065">
        <v>11606.0</v>
      </c>
      <c r="F139" s="2050"/>
      <c r="G139" s="2050"/>
      <c r="H139" s="2050">
        <v>2.08</v>
      </c>
      <c r="I139" s="2050"/>
      <c r="J139" s="2050"/>
    </row>
    <row r="140" ht="15.75" hidden="1" customHeight="1" outlineLevel="1">
      <c r="A140" s="2066" t="s">
        <v>129</v>
      </c>
      <c r="B140" s="2060" t="s">
        <v>327</v>
      </c>
      <c r="C140" s="223">
        <v>6.011025671E9</v>
      </c>
      <c r="D140" s="224" t="s">
        <v>617</v>
      </c>
      <c r="E140" s="2065">
        <v>11931.0</v>
      </c>
      <c r="F140" s="2050"/>
      <c r="G140" s="2050"/>
      <c r="H140" s="2050">
        <v>0.52</v>
      </c>
      <c r="I140" s="2050"/>
      <c r="J140" s="2050"/>
    </row>
    <row r="141" ht="15.75" hidden="1" customHeight="1" outlineLevel="1">
      <c r="A141" s="2066" t="s">
        <v>131</v>
      </c>
      <c r="B141" s="2048" t="s">
        <v>327</v>
      </c>
      <c r="C141" s="223" t="s">
        <v>327</v>
      </c>
      <c r="D141" s="224" t="s">
        <v>327</v>
      </c>
      <c r="E141" s="2049">
        <v>11304.0</v>
      </c>
      <c r="F141" s="2050"/>
      <c r="G141" s="2050"/>
      <c r="H141" s="2050"/>
      <c r="I141" s="2050"/>
      <c r="J141" s="2050"/>
    </row>
    <row r="142" ht="15.75" hidden="1" customHeight="1" outlineLevel="1">
      <c r="A142" s="2066" t="s">
        <v>133</v>
      </c>
      <c r="B142" s="2048"/>
      <c r="C142" s="223"/>
      <c r="D142" s="224"/>
      <c r="E142" s="2049">
        <v>11327.0</v>
      </c>
      <c r="F142" s="2050"/>
      <c r="G142" s="2050"/>
      <c r="H142" s="2050"/>
      <c r="I142" s="2050"/>
      <c r="J142" s="2050"/>
    </row>
    <row r="143" ht="15.75" hidden="1" customHeight="1" outlineLevel="1">
      <c r="A143" s="2066" t="s">
        <v>152</v>
      </c>
      <c r="B143" s="2048" t="s">
        <v>327</v>
      </c>
      <c r="C143" s="223">
        <v>6.011359631E9</v>
      </c>
      <c r="D143" s="224" t="s">
        <v>636</v>
      </c>
      <c r="E143" s="2049">
        <v>3.08003451E8</v>
      </c>
      <c r="F143" s="2050"/>
      <c r="G143" s="2050">
        <v>72.0</v>
      </c>
      <c r="H143" s="2050">
        <v>2.07</v>
      </c>
      <c r="I143" s="2050"/>
      <c r="J143" s="2050"/>
    </row>
    <row r="144" ht="15.75" hidden="1" customHeight="1" outlineLevel="1">
      <c r="A144" s="2066" t="s">
        <v>154</v>
      </c>
      <c r="B144" s="2048" t="s">
        <v>327</v>
      </c>
      <c r="C144" s="223">
        <v>6.01135965E9</v>
      </c>
      <c r="D144" s="224" t="s">
        <v>642</v>
      </c>
      <c r="E144" s="2049">
        <v>3.08003321E8</v>
      </c>
      <c r="F144" s="2050"/>
      <c r="G144" s="2050">
        <v>46.02</v>
      </c>
      <c r="H144" s="2050">
        <v>4.15</v>
      </c>
      <c r="I144" s="2050"/>
      <c r="J144" s="2050"/>
    </row>
    <row r="145" ht="15.75" hidden="1" customHeight="1" outlineLevel="1">
      <c r="A145" s="2066" t="s">
        <v>156</v>
      </c>
      <c r="B145" s="2048"/>
      <c r="C145" s="2052">
        <v>6.011606752E9</v>
      </c>
      <c r="D145" s="2067" t="s">
        <v>645</v>
      </c>
      <c r="E145" s="2068"/>
      <c r="F145" s="2050"/>
      <c r="G145" s="2050"/>
      <c r="H145" s="2050"/>
      <c r="I145" s="2050"/>
      <c r="J145" s="2050"/>
    </row>
    <row r="146" ht="15.75" hidden="1" customHeight="1" outlineLevel="1">
      <c r="A146" s="2066" t="s">
        <v>165</v>
      </c>
      <c r="B146" s="2048" t="s">
        <v>327</v>
      </c>
      <c r="C146" s="2052">
        <v>6.011471272E9</v>
      </c>
      <c r="D146" s="2067" t="s">
        <v>649</v>
      </c>
      <c r="E146" s="2068">
        <v>3.06940056E8</v>
      </c>
      <c r="F146" s="2050"/>
      <c r="G146" s="2050">
        <v>54.81</v>
      </c>
      <c r="H146" s="2050">
        <v>1.48</v>
      </c>
      <c r="I146" s="2050"/>
      <c r="J146" s="2050"/>
    </row>
    <row r="147" ht="15.75" hidden="1" customHeight="1" outlineLevel="1">
      <c r="A147" s="2066" t="s">
        <v>169</v>
      </c>
      <c r="B147" s="2048" t="s">
        <v>327</v>
      </c>
      <c r="C147" s="2052">
        <v>6.01147128E9</v>
      </c>
      <c r="D147" s="2067" t="s">
        <v>654</v>
      </c>
      <c r="E147" s="2068">
        <v>3.06940085E8</v>
      </c>
      <c r="F147" s="2050"/>
      <c r="G147" s="2050">
        <v>55.37</v>
      </c>
      <c r="H147" s="2050">
        <v>1.18</v>
      </c>
      <c r="I147" s="2050"/>
      <c r="J147" s="2050"/>
    </row>
    <row r="148" ht="15.75" hidden="1" customHeight="1" outlineLevel="1">
      <c r="A148" s="2066" t="s">
        <v>171</v>
      </c>
      <c r="B148" s="2058" t="s">
        <v>327</v>
      </c>
      <c r="C148" s="2069">
        <v>6.011442532E9</v>
      </c>
      <c r="D148" s="2069" t="s">
        <v>659</v>
      </c>
      <c r="E148" s="2070">
        <v>3.06316828E8</v>
      </c>
      <c r="F148" s="2050"/>
      <c r="G148" s="2050">
        <v>20.58</v>
      </c>
      <c r="H148" s="2050"/>
      <c r="I148" s="2050"/>
      <c r="J148" s="2050"/>
    </row>
    <row r="149" ht="15.75" hidden="1" customHeight="1" outlineLevel="1">
      <c r="A149" s="2066" t="s">
        <v>173</v>
      </c>
      <c r="B149" s="2058" t="s">
        <v>327</v>
      </c>
      <c r="C149" s="2069">
        <v>6.011463851E9</v>
      </c>
      <c r="D149" s="2069" t="s">
        <v>666</v>
      </c>
      <c r="E149" s="2070">
        <v>3.06244928E8</v>
      </c>
      <c r="F149" s="2050"/>
      <c r="G149" s="2050"/>
      <c r="H149" s="2050"/>
      <c r="I149" s="2050"/>
      <c r="J149" s="2050"/>
    </row>
    <row r="150" ht="15.75" hidden="1" customHeight="1" outlineLevel="1">
      <c r="A150" s="2066" t="s">
        <v>175</v>
      </c>
      <c r="B150" s="2058"/>
      <c r="C150" s="2071">
        <v>6.011588872E9</v>
      </c>
      <c r="D150" s="2071" t="s">
        <v>674</v>
      </c>
      <c r="E150" s="2049">
        <v>3.09007254E8</v>
      </c>
      <c r="F150" s="2050"/>
      <c r="G150" s="2050">
        <v>8.84</v>
      </c>
      <c r="H150" s="2050">
        <v>0.89</v>
      </c>
      <c r="I150" s="2050"/>
      <c r="J150" s="2050"/>
    </row>
    <row r="151" ht="15.75" hidden="1" customHeight="1" outlineLevel="1">
      <c r="A151" s="2066" t="s">
        <v>157</v>
      </c>
      <c r="B151" s="2058" t="s">
        <v>680</v>
      </c>
      <c r="C151" s="2071">
        <v>6.01135821E9</v>
      </c>
      <c r="D151" s="2071" t="s">
        <v>681</v>
      </c>
      <c r="E151" s="2049">
        <v>3.08312967E8</v>
      </c>
      <c r="F151" s="2050">
        <v>69.45</v>
      </c>
      <c r="G151" s="2050"/>
      <c r="H151" s="2050">
        <v>4.66</v>
      </c>
      <c r="I151" s="2050"/>
      <c r="J151" s="2050"/>
    </row>
    <row r="152" ht="15.75" hidden="1" customHeight="1" outlineLevel="1">
      <c r="A152" s="2066" t="s">
        <v>244</v>
      </c>
      <c r="B152" s="2058" t="s">
        <v>688</v>
      </c>
      <c r="C152" s="2071">
        <v>6.01135797E9</v>
      </c>
      <c r="D152" s="2071" t="s">
        <v>689</v>
      </c>
      <c r="E152" s="2049">
        <v>3.08310377E8</v>
      </c>
      <c r="F152" s="2050"/>
      <c r="G152" s="2050"/>
      <c r="H152" s="2050"/>
      <c r="I152" s="2050"/>
      <c r="J152" s="2050"/>
    </row>
    <row r="153" ht="15.75" hidden="1" customHeight="1" outlineLevel="1">
      <c r="A153" s="2066" t="s">
        <v>246</v>
      </c>
      <c r="B153" s="2058" t="s">
        <v>693</v>
      </c>
      <c r="C153" s="2071">
        <v>6.011358161E9</v>
      </c>
      <c r="D153" s="2071" t="s">
        <v>694</v>
      </c>
      <c r="E153" s="2049">
        <v>3.08310337E8</v>
      </c>
      <c r="F153" s="2050"/>
      <c r="G153" s="2050"/>
      <c r="H153" s="2050"/>
      <c r="I153" s="2050"/>
      <c r="J153" s="2050"/>
    </row>
    <row r="154" ht="15.75" hidden="1" customHeight="1" outlineLevel="1">
      <c r="A154" s="2066" t="s">
        <v>248</v>
      </c>
      <c r="B154" s="2058" t="s">
        <v>698</v>
      </c>
      <c r="C154" s="2071">
        <v>6.011355892E9</v>
      </c>
      <c r="D154" s="2071" t="s">
        <v>699</v>
      </c>
      <c r="E154" s="2049">
        <v>3.08310244E8</v>
      </c>
      <c r="F154" s="2050"/>
      <c r="G154" s="2050"/>
      <c r="H154" s="2050"/>
      <c r="I154" s="2050"/>
      <c r="J154" s="2050"/>
    </row>
    <row r="155" ht="15.75" hidden="1" customHeight="1" outlineLevel="1">
      <c r="A155" s="2066" t="s">
        <v>161</v>
      </c>
      <c r="B155" s="2072" t="s">
        <v>705</v>
      </c>
      <c r="C155" s="2071">
        <v>6.011357782E9</v>
      </c>
      <c r="D155" s="2071" t="s">
        <v>706</v>
      </c>
      <c r="E155" s="2073">
        <v>3.0844433E8</v>
      </c>
      <c r="F155" s="2050"/>
      <c r="G155" s="2050"/>
      <c r="H155" s="2074" t="s">
        <v>1686</v>
      </c>
      <c r="I155" s="2050"/>
      <c r="J155" s="2050"/>
    </row>
    <row r="156" ht="15.75" hidden="1" customHeight="1" outlineLevel="1">
      <c r="A156" s="2066" t="s">
        <v>163</v>
      </c>
      <c r="B156" s="2058" t="s">
        <v>710</v>
      </c>
      <c r="C156" s="223">
        <v>6.01130319E9</v>
      </c>
      <c r="D156" s="224" t="s">
        <v>711</v>
      </c>
      <c r="E156" s="2049">
        <v>3.09152032E8</v>
      </c>
      <c r="F156" s="2074" t="s">
        <v>1686</v>
      </c>
      <c r="G156" s="2074" t="s">
        <v>1686</v>
      </c>
      <c r="H156" s="2074" t="s">
        <v>1686</v>
      </c>
      <c r="I156" s="2050"/>
      <c r="J156" s="2050"/>
    </row>
    <row r="157" ht="15.75" hidden="1" customHeight="1" outlineLevel="1">
      <c r="A157" s="2066" t="s">
        <v>135</v>
      </c>
      <c r="B157" s="2058" t="s">
        <v>718</v>
      </c>
      <c r="C157" s="223">
        <v>6.011209751E9</v>
      </c>
      <c r="D157" s="224" t="s">
        <v>719</v>
      </c>
      <c r="E157" s="2049">
        <v>3.02824611E8</v>
      </c>
      <c r="F157" s="2050">
        <v>19.36</v>
      </c>
      <c r="G157" s="2050">
        <v>12.37</v>
      </c>
      <c r="H157" s="2050">
        <v>29.34</v>
      </c>
      <c r="I157" s="2050"/>
      <c r="J157" s="2050"/>
    </row>
    <row r="158" ht="15.75" hidden="1" customHeight="1" outlineLevel="1">
      <c r="A158" s="2066" t="s">
        <v>138</v>
      </c>
      <c r="B158" s="2075">
        <v>2.116817982E9</v>
      </c>
      <c r="C158" s="2076">
        <v>6.011542702E9</v>
      </c>
      <c r="D158" s="2076" t="s">
        <v>726</v>
      </c>
      <c r="E158" s="2073">
        <v>3.08217116E8</v>
      </c>
      <c r="F158" s="2050">
        <v>19.92</v>
      </c>
      <c r="G158" s="2050">
        <v>20.95</v>
      </c>
      <c r="H158" s="2050">
        <v>6.73</v>
      </c>
      <c r="I158" s="2050"/>
      <c r="J158" s="2050"/>
    </row>
    <row r="159" ht="15.75" hidden="1" customHeight="1" outlineLevel="1">
      <c r="A159" s="2066" t="s">
        <v>140</v>
      </c>
      <c r="B159" s="2048" t="s">
        <v>327</v>
      </c>
      <c r="C159" s="223">
        <v>0.0</v>
      </c>
      <c r="D159" s="224">
        <v>0.0</v>
      </c>
      <c r="E159" s="2049">
        <v>4.22560058E8</v>
      </c>
      <c r="F159" s="2050"/>
      <c r="G159" s="2050"/>
      <c r="H159" s="2050"/>
      <c r="I159" s="2050"/>
      <c r="J159" s="2050"/>
    </row>
    <row r="160" ht="15.75" hidden="1" customHeight="1" outlineLevel="1">
      <c r="A160" s="2066" t="s">
        <v>144</v>
      </c>
      <c r="B160" s="2077" t="s">
        <v>327</v>
      </c>
      <c r="C160" s="2071">
        <v>6.01156203E9</v>
      </c>
      <c r="D160" s="2071" t="s">
        <v>740</v>
      </c>
      <c r="E160" s="2065">
        <v>3.09317791E8</v>
      </c>
      <c r="F160" s="2050"/>
      <c r="G160" s="2050"/>
      <c r="H160" s="2050"/>
      <c r="I160" s="2050"/>
      <c r="J160" s="2050"/>
    </row>
    <row r="161" ht="15.75" hidden="1" customHeight="1" outlineLevel="1">
      <c r="A161" s="2066" t="s">
        <v>147</v>
      </c>
      <c r="B161" s="2077"/>
      <c r="C161" s="2071"/>
      <c r="D161" s="2071"/>
      <c r="E161" s="2065"/>
      <c r="F161" s="2050"/>
      <c r="G161" s="2050"/>
      <c r="H161" s="2050"/>
      <c r="I161" s="2050"/>
      <c r="J161" s="2050"/>
    </row>
    <row r="162" ht="15.75" hidden="1" customHeight="1" outlineLevel="1">
      <c r="A162" s="2066" t="s">
        <v>191</v>
      </c>
      <c r="B162" s="2077">
        <v>2.117710931E9</v>
      </c>
      <c r="C162" s="2071">
        <v>6.011407402E9</v>
      </c>
      <c r="D162" s="2071" t="s">
        <v>748</v>
      </c>
      <c r="E162" s="2065">
        <v>3.07943576E8</v>
      </c>
      <c r="F162" s="2078"/>
      <c r="G162" s="2078"/>
      <c r="H162" s="2078"/>
      <c r="I162" s="2050"/>
      <c r="J162" s="2050"/>
    </row>
    <row r="163" ht="15.75" hidden="1" customHeight="1" outlineLevel="1">
      <c r="A163" s="2079" t="s">
        <v>192</v>
      </c>
      <c r="B163" s="2080" t="s">
        <v>327</v>
      </c>
      <c r="C163" s="2080"/>
      <c r="D163" s="2080"/>
      <c r="E163" s="2073">
        <v>293602.0</v>
      </c>
      <c r="F163" s="2050"/>
      <c r="G163" s="2050"/>
      <c r="H163" s="2050"/>
      <c r="I163" s="2050"/>
      <c r="J163" s="2050"/>
    </row>
    <row r="164" ht="15.75" hidden="1" customHeight="1" outlineLevel="1">
      <c r="A164" s="2079" t="s">
        <v>195</v>
      </c>
      <c r="B164" s="2080" t="s">
        <v>327</v>
      </c>
      <c r="C164" s="2080"/>
      <c r="D164" s="2080"/>
      <c r="E164" s="2073">
        <v>293621.0</v>
      </c>
      <c r="F164" s="2050"/>
      <c r="G164" s="2050"/>
      <c r="H164" s="2050"/>
      <c r="I164" s="2050"/>
      <c r="J164" s="2050"/>
    </row>
    <row r="165" ht="15.75" hidden="1" customHeight="1" outlineLevel="1">
      <c r="A165" s="2081" t="s">
        <v>197</v>
      </c>
      <c r="B165" s="2080" t="s">
        <v>327</v>
      </c>
      <c r="C165" s="2080"/>
      <c r="D165" s="2080"/>
      <c r="E165" s="2073">
        <v>293934.0</v>
      </c>
      <c r="F165" s="2050"/>
      <c r="G165" s="2050"/>
      <c r="H165" s="2050"/>
      <c r="I165" s="2050"/>
      <c r="J165" s="2050"/>
    </row>
    <row r="166" ht="15.75" hidden="1" customHeight="1" outlineLevel="1">
      <c r="A166" s="2081" t="s">
        <v>199</v>
      </c>
      <c r="B166" s="2080" t="s">
        <v>327</v>
      </c>
      <c r="C166" s="2080"/>
      <c r="D166" s="2080"/>
      <c r="E166" s="2073">
        <v>293954.0</v>
      </c>
      <c r="F166" s="2050"/>
      <c r="G166" s="2050"/>
      <c r="H166" s="2050"/>
      <c r="I166" s="2050"/>
      <c r="J166" s="2050"/>
    </row>
    <row r="167" ht="15.75" hidden="1" customHeight="1" outlineLevel="1">
      <c r="A167" s="2081" t="s">
        <v>201</v>
      </c>
      <c r="B167" s="2080" t="s">
        <v>327</v>
      </c>
      <c r="C167" s="2080"/>
      <c r="D167" s="2080"/>
      <c r="E167" s="2073">
        <v>293782.0</v>
      </c>
      <c r="F167" s="2050"/>
      <c r="G167" s="2050"/>
      <c r="H167" s="2050"/>
      <c r="I167" s="2050"/>
      <c r="J167" s="2050"/>
    </row>
    <row r="168" ht="15.75" hidden="1" customHeight="1" outlineLevel="1">
      <c r="A168" s="2081" t="s">
        <v>203</v>
      </c>
      <c r="B168" s="2080" t="s">
        <v>327</v>
      </c>
      <c r="C168" s="2080"/>
      <c r="D168" s="2080"/>
      <c r="E168" s="2073">
        <v>293910.0</v>
      </c>
      <c r="F168" s="2050"/>
      <c r="G168" s="2050"/>
      <c r="H168" s="2050"/>
      <c r="I168" s="2050"/>
      <c r="J168" s="2050"/>
    </row>
    <row r="169" ht="15.75" hidden="1" customHeight="1" outlineLevel="1">
      <c r="A169" s="2082" t="s">
        <v>205</v>
      </c>
      <c r="B169" s="2080" t="s">
        <v>327</v>
      </c>
      <c r="C169" s="2080"/>
      <c r="D169" s="2080"/>
      <c r="E169" s="2073">
        <v>293403.0</v>
      </c>
      <c r="F169" s="2050"/>
      <c r="G169" s="2050"/>
      <c r="H169" s="2050"/>
      <c r="I169" s="2050"/>
      <c r="J169" s="2050"/>
    </row>
    <row r="170" ht="15.75" hidden="1" customHeight="1" outlineLevel="1">
      <c r="A170" s="2081" t="s">
        <v>207</v>
      </c>
      <c r="B170" s="2083" t="s">
        <v>327</v>
      </c>
      <c r="C170" s="2080"/>
      <c r="D170" s="2080"/>
      <c r="E170" s="2073">
        <v>239937.0</v>
      </c>
      <c r="F170" s="2050"/>
      <c r="G170" s="2050"/>
      <c r="H170" s="2050"/>
      <c r="I170" s="2050"/>
      <c r="J170" s="2050"/>
    </row>
    <row r="171" ht="15.75" hidden="1" customHeight="1" outlineLevel="1">
      <c r="A171" s="2081" t="s">
        <v>209</v>
      </c>
      <c r="B171" s="2080" t="s">
        <v>327</v>
      </c>
      <c r="C171" s="2080"/>
      <c r="D171" s="2080"/>
      <c r="E171" s="2073">
        <v>293802.0</v>
      </c>
      <c r="F171" s="2050"/>
      <c r="G171" s="2050"/>
      <c r="H171" s="2050"/>
      <c r="I171" s="2050"/>
      <c r="J171" s="2050"/>
    </row>
    <row r="172" ht="15.75" hidden="1" customHeight="1" outlineLevel="1">
      <c r="A172" s="2081" t="s">
        <v>216</v>
      </c>
      <c r="B172" s="2080" t="s">
        <v>327</v>
      </c>
      <c r="C172" s="2080"/>
      <c r="D172" s="2080"/>
      <c r="E172" s="2073">
        <v>293888.0</v>
      </c>
      <c r="F172" s="2050"/>
      <c r="G172" s="2050"/>
      <c r="H172" s="2050"/>
      <c r="I172" s="2050"/>
      <c r="J172" s="2050"/>
    </row>
    <row r="173" ht="15.75" hidden="1" customHeight="1" outlineLevel="1">
      <c r="A173" s="2081" t="s">
        <v>211</v>
      </c>
      <c r="B173" s="2080" t="s">
        <v>327</v>
      </c>
      <c r="C173" s="2080"/>
      <c r="D173" s="2080"/>
      <c r="E173" s="2073">
        <v>293922.0</v>
      </c>
      <c r="F173" s="2050"/>
      <c r="G173" s="2050"/>
      <c r="H173" s="2050"/>
      <c r="I173" s="2050"/>
      <c r="J173" s="2050"/>
    </row>
    <row r="174" ht="15.75" hidden="1" customHeight="1" outlineLevel="1">
      <c r="A174" s="2081" t="s">
        <v>233</v>
      </c>
      <c r="B174" s="2080"/>
      <c r="C174" s="2080"/>
      <c r="D174" s="2080"/>
      <c r="E174" s="2073">
        <v>293923.0</v>
      </c>
      <c r="F174" s="2050"/>
      <c r="G174" s="2050"/>
      <c r="H174" s="2050"/>
      <c r="I174" s="2050"/>
      <c r="J174" s="2050"/>
    </row>
    <row r="175" ht="15.75" hidden="1" customHeight="1" outlineLevel="1">
      <c r="A175" s="2081"/>
      <c r="B175" s="2080" t="s">
        <v>327</v>
      </c>
      <c r="C175" s="2080"/>
      <c r="D175" s="2080"/>
      <c r="E175" s="2073">
        <v>293881.0</v>
      </c>
      <c r="F175" s="2050"/>
      <c r="G175" s="2050"/>
      <c r="H175" s="2050"/>
      <c r="I175" s="2050"/>
      <c r="J175" s="2050"/>
    </row>
    <row r="176" ht="15.75" hidden="1" customHeight="1" outlineLevel="1">
      <c r="A176" s="2081" t="s">
        <v>214</v>
      </c>
      <c r="B176" s="2080" t="s">
        <v>327</v>
      </c>
      <c r="C176" s="2080"/>
      <c r="D176" s="2080"/>
      <c r="E176" s="2073">
        <v>293888.0</v>
      </c>
      <c r="F176" s="2050"/>
      <c r="G176" s="2050"/>
      <c r="H176" s="2050"/>
      <c r="I176" s="2050"/>
      <c r="J176" s="2050"/>
    </row>
    <row r="177" ht="15.75" hidden="1" customHeight="1" outlineLevel="1">
      <c r="A177" s="2081" t="s">
        <v>218</v>
      </c>
      <c r="B177" s="2080" t="s">
        <v>327</v>
      </c>
      <c r="C177" s="2080"/>
      <c r="D177" s="2080"/>
      <c r="E177" s="2073">
        <v>293918.0</v>
      </c>
      <c r="F177" s="2050"/>
      <c r="G177" s="2050"/>
      <c r="H177" s="2050"/>
      <c r="I177" s="2050"/>
      <c r="J177" s="2050"/>
    </row>
    <row r="178" ht="15.75" hidden="1" customHeight="1" outlineLevel="1">
      <c r="A178" s="2081" t="s">
        <v>220</v>
      </c>
      <c r="B178" s="2080" t="s">
        <v>327</v>
      </c>
      <c r="C178" s="2080"/>
      <c r="D178" s="2080"/>
      <c r="E178" s="2073">
        <v>293484.0</v>
      </c>
      <c r="F178" s="2050"/>
      <c r="G178" s="2050"/>
      <c r="H178" s="2050"/>
      <c r="I178" s="2050"/>
      <c r="J178" s="2050"/>
    </row>
    <row r="179" ht="15.75" hidden="1" customHeight="1" outlineLevel="1">
      <c r="A179" s="2084" t="s">
        <v>226</v>
      </c>
      <c r="B179" s="2080"/>
      <c r="C179" s="2080"/>
      <c r="D179" s="2080"/>
      <c r="E179" s="2073"/>
      <c r="F179" s="2050"/>
      <c r="G179" s="2050"/>
      <c r="H179" s="2050"/>
      <c r="I179" s="2050"/>
      <c r="J179" s="2050"/>
    </row>
    <row r="180" ht="15.75" hidden="1" customHeight="1" outlineLevel="1">
      <c r="A180" s="2084" t="s">
        <v>223</v>
      </c>
      <c r="B180" s="2080"/>
      <c r="C180" s="2080"/>
      <c r="D180" s="2080"/>
      <c r="E180" s="2073"/>
      <c r="F180" s="2050"/>
      <c r="G180" s="2050"/>
      <c r="H180" s="2050"/>
      <c r="I180" s="2050"/>
      <c r="J180" s="2050"/>
    </row>
    <row r="181" ht="15.75" hidden="1" customHeight="1" outlineLevel="1">
      <c r="A181" s="2084" t="s">
        <v>227</v>
      </c>
      <c r="B181" s="2080"/>
      <c r="C181" s="2080"/>
      <c r="D181" s="2080"/>
      <c r="E181" s="2073"/>
      <c r="F181" s="2050"/>
      <c r="G181" s="2050"/>
      <c r="H181" s="2050"/>
      <c r="I181" s="2050"/>
      <c r="J181" s="2050"/>
    </row>
    <row r="182" ht="15.75" hidden="1" customHeight="1" outlineLevel="1">
      <c r="A182" s="2084" t="s">
        <v>229</v>
      </c>
      <c r="B182" s="2080"/>
      <c r="C182" s="2080"/>
      <c r="D182" s="2080"/>
      <c r="E182" s="2073"/>
      <c r="F182" s="2050"/>
      <c r="G182" s="2050"/>
      <c r="H182" s="2050"/>
      <c r="I182" s="2050"/>
      <c r="J182" s="2050"/>
    </row>
    <row r="183" ht="15.75" hidden="1" customHeight="1" outlineLevel="1">
      <c r="A183" s="2084" t="s">
        <v>231</v>
      </c>
      <c r="B183" s="2080"/>
      <c r="C183" s="2080"/>
      <c r="D183" s="2080"/>
      <c r="E183" s="2073"/>
      <c r="F183" s="2050"/>
      <c r="G183" s="2050"/>
      <c r="H183" s="2050"/>
      <c r="I183" s="2050"/>
      <c r="J183" s="2050"/>
    </row>
    <row r="184" ht="15.75" hidden="1" customHeight="1" outlineLevel="1">
      <c r="A184" s="2084" t="s">
        <v>232</v>
      </c>
      <c r="B184" s="2080"/>
      <c r="C184" s="2080"/>
      <c r="D184" s="2080"/>
      <c r="E184" s="2073"/>
      <c r="F184" s="2050"/>
      <c r="G184" s="2050"/>
      <c r="H184" s="2050"/>
      <c r="I184" s="2050"/>
      <c r="J184" s="2050"/>
    </row>
    <row r="185" ht="15.75" hidden="1" customHeight="1" outlineLevel="1">
      <c r="A185" s="2085" t="s">
        <v>250</v>
      </c>
      <c r="B185" s="2048">
        <v>2.116441487E9</v>
      </c>
      <c r="C185" s="223">
        <v>6.11036178E9</v>
      </c>
      <c r="D185" s="224" t="s">
        <v>843</v>
      </c>
      <c r="E185" s="2049">
        <v>4.22196093E8</v>
      </c>
      <c r="F185" s="2050">
        <v>148.58</v>
      </c>
      <c r="G185" s="2050">
        <v>37.23</v>
      </c>
      <c r="H185" s="2050">
        <v>4.44</v>
      </c>
      <c r="I185" s="2050"/>
      <c r="J185" s="2050"/>
    </row>
    <row r="186" ht="15.75" hidden="1" customHeight="1" outlineLevel="1">
      <c r="A186" s="2085" t="s">
        <v>238</v>
      </c>
      <c r="B186" s="2048">
        <v>2.116441498E9</v>
      </c>
      <c r="C186" s="223">
        <v>6.110363032E9</v>
      </c>
      <c r="D186" s="224" t="s">
        <v>847</v>
      </c>
      <c r="E186" s="2049">
        <v>4.22410189E8</v>
      </c>
      <c r="F186" s="2078"/>
      <c r="G186" s="2078"/>
      <c r="H186" s="2078"/>
      <c r="I186" s="2078"/>
      <c r="J186" s="2050"/>
    </row>
    <row r="187" ht="15.75" hidden="1" customHeight="1" outlineLevel="1">
      <c r="A187" s="2085" t="s">
        <v>252</v>
      </c>
      <c r="B187" s="2048">
        <v>2.116441502E9</v>
      </c>
      <c r="C187" s="223">
        <v>6.110363122E9</v>
      </c>
      <c r="D187" s="224" t="s">
        <v>850</v>
      </c>
      <c r="E187" s="2049">
        <v>4.22881705E8</v>
      </c>
      <c r="F187" s="2050">
        <v>139.47</v>
      </c>
      <c r="G187" s="2050">
        <v>54.44</v>
      </c>
      <c r="H187" s="2050">
        <v>1.18</v>
      </c>
      <c r="I187" s="2050"/>
      <c r="J187" s="2050"/>
    </row>
    <row r="188" ht="15.75" hidden="1" customHeight="1" outlineLevel="1">
      <c r="A188" s="2085" t="s">
        <v>254</v>
      </c>
      <c r="B188" s="2048">
        <v>2.116441513E9</v>
      </c>
      <c r="C188" s="223">
        <v>6.11036304E9</v>
      </c>
      <c r="D188" s="224" t="s">
        <v>852</v>
      </c>
      <c r="E188" s="2049">
        <v>4.22740287E8</v>
      </c>
      <c r="F188" s="2078"/>
      <c r="G188" s="2078"/>
      <c r="H188" s="2078"/>
      <c r="I188" s="2078"/>
      <c r="J188" s="2050"/>
    </row>
    <row r="189" ht="15.75" hidden="1" customHeight="1" outlineLevel="1">
      <c r="A189" s="2085" t="s">
        <v>256</v>
      </c>
      <c r="B189" s="2048">
        <v>2.116441524E9</v>
      </c>
      <c r="C189" s="223">
        <v>6.1103631E9</v>
      </c>
      <c r="D189" s="224" t="s">
        <v>854</v>
      </c>
      <c r="E189" s="2049">
        <v>4.22939148E8</v>
      </c>
      <c r="F189" s="2086"/>
      <c r="G189" s="2086">
        <v>0.0</v>
      </c>
      <c r="H189" s="2086">
        <v>0.0</v>
      </c>
      <c r="I189" s="2086"/>
      <c r="J189" s="2050"/>
    </row>
    <row r="190" ht="15.75" hidden="1" customHeight="1" outlineLevel="1">
      <c r="A190" s="2085" t="s">
        <v>258</v>
      </c>
      <c r="B190" s="2048">
        <v>2.116441535E9</v>
      </c>
      <c r="C190" s="223">
        <v>6.11036301E9</v>
      </c>
      <c r="D190" s="224" t="s">
        <v>856</v>
      </c>
      <c r="E190" s="2049">
        <v>4.22474071E8</v>
      </c>
      <c r="F190" s="2050">
        <v>5.69</v>
      </c>
      <c r="G190" s="2050">
        <v>36.67</v>
      </c>
      <c r="H190" s="2050">
        <v>1.18</v>
      </c>
      <c r="I190" s="2050"/>
      <c r="J190" s="2050"/>
    </row>
    <row r="191" ht="15.75" hidden="1" customHeight="1" outlineLevel="1">
      <c r="A191" s="2085" t="s">
        <v>260</v>
      </c>
      <c r="B191" s="2048">
        <v>2.116441546E9</v>
      </c>
      <c r="C191" s="223">
        <v>6.110363081E9</v>
      </c>
      <c r="D191" s="224" t="s">
        <v>859</v>
      </c>
      <c r="E191" s="2049">
        <v>4.22367309E8</v>
      </c>
      <c r="F191" s="2078"/>
      <c r="G191" s="2078">
        <v>0.0</v>
      </c>
      <c r="H191" s="2078">
        <v>0.0</v>
      </c>
      <c r="I191" s="2078"/>
      <c r="J191" s="2050"/>
    </row>
    <row r="192" ht="15.75" hidden="1" customHeight="1" outlineLevel="1">
      <c r="A192" s="2085" t="s">
        <v>262</v>
      </c>
      <c r="B192" s="2048">
        <v>2.116441557E9</v>
      </c>
      <c r="C192" s="223">
        <v>6.110363002E9</v>
      </c>
      <c r="D192" s="224" t="s">
        <v>862</v>
      </c>
      <c r="E192" s="2049">
        <v>4.22660277E8</v>
      </c>
      <c r="F192" s="2050">
        <v>36.43</v>
      </c>
      <c r="G192" s="2050">
        <v>21.33</v>
      </c>
      <c r="H192" s="2050">
        <v>0.88</v>
      </c>
      <c r="I192" s="2050"/>
      <c r="J192" s="2050"/>
    </row>
    <row r="193" ht="15.75" hidden="1" customHeight="1" outlineLevel="1">
      <c r="A193" s="2085" t="s">
        <v>240</v>
      </c>
      <c r="B193" s="2048">
        <v>2.116441568E9</v>
      </c>
      <c r="C193" s="223">
        <v>6.11036298E9</v>
      </c>
      <c r="D193" s="224" t="s">
        <v>864</v>
      </c>
      <c r="E193" s="2049">
        <v>4.22325794E8</v>
      </c>
      <c r="F193" s="2050">
        <v>65.47</v>
      </c>
      <c r="G193" s="2050">
        <v>49.58</v>
      </c>
      <c r="H193" s="2050">
        <v>1.18</v>
      </c>
      <c r="I193" s="2050"/>
      <c r="J193" s="2050"/>
    </row>
    <row r="194" ht="15.75" hidden="1" customHeight="1" outlineLevel="1">
      <c r="A194" s="2085" t="s">
        <v>264</v>
      </c>
      <c r="B194" s="2048">
        <v>2.116441637E9</v>
      </c>
      <c r="C194" s="2087">
        <v>6.110362972E9</v>
      </c>
      <c r="D194" s="224" t="s">
        <v>867</v>
      </c>
      <c r="E194" s="2088">
        <v>4.22444717E8</v>
      </c>
      <c r="F194" s="2086"/>
      <c r="G194" s="2086"/>
      <c r="H194" s="2086"/>
      <c r="I194" s="2086"/>
      <c r="J194" s="2050"/>
    </row>
    <row r="195" ht="15.75" hidden="1" customHeight="1" outlineLevel="1">
      <c r="A195" s="2085" t="s">
        <v>266</v>
      </c>
      <c r="B195" s="2048">
        <v>2.116576549E9</v>
      </c>
      <c r="C195" s="223">
        <v>6.110363021E9</v>
      </c>
      <c r="D195" s="224" t="s">
        <v>870</v>
      </c>
      <c r="E195" s="2049">
        <v>4.22433459E8</v>
      </c>
      <c r="F195" s="2086"/>
      <c r="G195" s="2086"/>
      <c r="H195" s="2086"/>
      <c r="I195" s="2086"/>
      <c r="J195" s="2050"/>
    </row>
    <row r="196" ht="15.75" hidden="1" customHeight="1" outlineLevel="1">
      <c r="A196" s="2085" t="s">
        <v>268</v>
      </c>
      <c r="B196" s="2048">
        <v>2.11657655E9</v>
      </c>
      <c r="C196" s="223">
        <v>6.110362961E9</v>
      </c>
      <c r="D196" s="224" t="s">
        <v>873</v>
      </c>
      <c r="E196" s="2049">
        <v>4.226691E8</v>
      </c>
      <c r="F196" s="2078"/>
      <c r="G196" s="2078"/>
      <c r="H196" s="2078"/>
      <c r="I196" s="2078"/>
      <c r="J196" s="2050"/>
    </row>
    <row r="197" ht="15.75" hidden="1" customHeight="1" outlineLevel="1">
      <c r="A197" s="2085" t="s">
        <v>242</v>
      </c>
      <c r="B197" s="2048">
        <v>2.116576561E9</v>
      </c>
      <c r="C197" s="223">
        <v>6.11036295E9</v>
      </c>
      <c r="D197" s="224" t="s">
        <v>875</v>
      </c>
      <c r="E197" s="2049">
        <v>4.22752735E8</v>
      </c>
      <c r="F197" s="2050">
        <v>0.0</v>
      </c>
      <c r="G197" s="2050">
        <v>4.42</v>
      </c>
      <c r="H197" s="2050">
        <v>0.0</v>
      </c>
      <c r="I197" s="2050"/>
      <c r="J197" s="2050"/>
    </row>
    <row r="198" ht="15.75" hidden="1" customHeight="1" outlineLevel="1">
      <c r="A198" s="2085" t="s">
        <v>270</v>
      </c>
      <c r="B198" s="2048">
        <v>2.116576572E9</v>
      </c>
      <c r="C198" s="223">
        <v>6.110362942E9</v>
      </c>
      <c r="D198" s="224" t="s">
        <v>878</v>
      </c>
      <c r="E198" s="2049">
        <v>4.22320003E8</v>
      </c>
      <c r="F198" s="2086"/>
      <c r="G198" s="2086"/>
      <c r="H198" s="2086"/>
      <c r="I198" s="2086"/>
      <c r="J198" s="2050"/>
    </row>
    <row r="199" ht="15.75" hidden="1" customHeight="1" outlineLevel="1">
      <c r="A199" s="2085" t="s">
        <v>272</v>
      </c>
      <c r="B199" s="2048">
        <v>2.116576583E9</v>
      </c>
      <c r="C199" s="223">
        <v>6.110362931E9</v>
      </c>
      <c r="D199" s="224" t="s">
        <v>881</v>
      </c>
      <c r="E199" s="2049">
        <v>4.22281971E8</v>
      </c>
      <c r="F199" s="2089"/>
      <c r="G199" s="2089"/>
      <c r="H199" s="2089"/>
      <c r="I199" s="2089"/>
      <c r="J199" s="2050"/>
    </row>
    <row r="200" ht="15.75" hidden="1" customHeight="1" outlineLevel="1">
      <c r="A200" s="2085" t="s">
        <v>274</v>
      </c>
      <c r="B200" s="2048">
        <v>2.116576594E9</v>
      </c>
      <c r="C200" s="2087">
        <v>6.11036313E9</v>
      </c>
      <c r="D200" s="224" t="s">
        <v>884</v>
      </c>
      <c r="E200" s="2049">
        <v>4.22169558E8</v>
      </c>
      <c r="F200" s="2090"/>
      <c r="G200" s="2090"/>
      <c r="H200" s="2090"/>
      <c r="I200" s="2090"/>
      <c r="J200" s="2050"/>
    </row>
    <row r="201" ht="15.75" hidden="1" customHeight="1" outlineLevel="1">
      <c r="A201" s="2085" t="s">
        <v>276</v>
      </c>
      <c r="B201" s="2048">
        <v>2.116576607E9</v>
      </c>
      <c r="C201" s="223">
        <v>6.110363111E9</v>
      </c>
      <c r="D201" s="224" t="s">
        <v>886</v>
      </c>
      <c r="E201" s="2049">
        <v>4.22196288E8</v>
      </c>
      <c r="F201" s="2050">
        <v>44.97</v>
      </c>
      <c r="G201" s="2050">
        <v>11.49</v>
      </c>
      <c r="H201" s="2050">
        <v>0.3</v>
      </c>
      <c r="I201" s="2050"/>
      <c r="J201" s="2050"/>
    </row>
    <row r="202" ht="15.75" hidden="1" customHeight="1" outlineLevel="1">
      <c r="A202" s="2085" t="s">
        <v>278</v>
      </c>
      <c r="B202" s="2048">
        <v>2.116576618E9</v>
      </c>
      <c r="C202" s="223">
        <v>6.110363092E9</v>
      </c>
      <c r="D202" s="224" t="s">
        <v>888</v>
      </c>
      <c r="E202" s="2049">
        <v>4.22278289E8</v>
      </c>
      <c r="F202" s="2078"/>
      <c r="G202" s="2078"/>
      <c r="H202" s="2078"/>
      <c r="I202" s="2078"/>
      <c r="J202" s="2050"/>
    </row>
    <row r="203" ht="15.75" hidden="1" customHeight="1" outlineLevel="1">
      <c r="A203" s="2085" t="s">
        <v>280</v>
      </c>
      <c r="B203" s="2048">
        <v>2.116576629E9</v>
      </c>
      <c r="C203" s="2087">
        <v>6.11036307E9</v>
      </c>
      <c r="D203" s="224" t="s">
        <v>891</v>
      </c>
      <c r="E203" s="2049">
        <v>4.22929242E8</v>
      </c>
      <c r="F203" s="2091">
        <v>23.34</v>
      </c>
      <c r="G203" s="2091">
        <v>13.99</v>
      </c>
      <c r="H203" s="2091">
        <v>0.0</v>
      </c>
      <c r="I203" s="2091"/>
      <c r="J203" s="2050"/>
    </row>
    <row r="204" ht="15.75" hidden="1" customHeight="1" outlineLevel="1">
      <c r="A204" s="2085" t="s">
        <v>283</v>
      </c>
      <c r="B204" s="2048">
        <v>2.11657663E9</v>
      </c>
      <c r="C204" s="223">
        <v>6.110363062E9</v>
      </c>
      <c r="D204" s="224" t="s">
        <v>893</v>
      </c>
      <c r="E204" s="2049">
        <v>4.22720411E8</v>
      </c>
      <c r="F204" s="2078"/>
      <c r="G204" s="2078"/>
      <c r="H204" s="2078"/>
      <c r="I204" s="2078"/>
      <c r="J204" s="2050"/>
    </row>
    <row r="205" ht="15.75" hidden="1" customHeight="1" outlineLevel="1">
      <c r="A205" s="2085" t="s">
        <v>286</v>
      </c>
      <c r="B205" s="2053">
        <v>2.116576641E9</v>
      </c>
      <c r="C205" s="2092">
        <v>6.110362991E9</v>
      </c>
      <c r="D205" s="2093" t="s">
        <v>897</v>
      </c>
      <c r="E205" s="2094">
        <v>4.22920502E8</v>
      </c>
      <c r="F205" s="2050">
        <v>147.44</v>
      </c>
      <c r="G205" s="2050">
        <v>44.9</v>
      </c>
      <c r="H205" s="2050">
        <v>5.33</v>
      </c>
      <c r="I205" s="2050"/>
      <c r="J205" s="2050"/>
    </row>
    <row r="206" ht="15.75" hidden="1" customHeight="1" outlineLevel="1">
      <c r="A206" s="2085" t="s">
        <v>189</v>
      </c>
      <c r="B206" s="2083"/>
      <c r="C206" s="2080"/>
      <c r="D206" s="2080"/>
      <c r="E206" s="2095"/>
      <c r="F206" s="2050"/>
      <c r="G206" s="2050"/>
      <c r="H206" s="2050"/>
      <c r="I206" s="2050"/>
      <c r="J206" s="2050"/>
    </row>
    <row r="207" ht="15.75" hidden="1" customHeight="1" outlineLevel="1">
      <c r="A207" s="2096" t="s">
        <v>235</v>
      </c>
      <c r="B207" s="2097">
        <v>2.116579553E9</v>
      </c>
      <c r="C207" s="2098">
        <v>6.110365522E9</v>
      </c>
      <c r="D207" s="2098"/>
      <c r="E207" s="2099">
        <v>4.22732514E8</v>
      </c>
      <c r="F207" s="2100"/>
      <c r="G207" s="2100"/>
      <c r="H207" s="2100"/>
      <c r="I207" s="2100"/>
      <c r="J207" s="2100"/>
    </row>
    <row r="208" ht="15.75" customHeight="1" collapsed="1">
      <c r="A208" s="2101"/>
      <c r="C208" s="475"/>
    </row>
    <row r="209" ht="15.75" hidden="1" customHeight="1" outlineLevel="1">
      <c r="A209" s="2101"/>
      <c r="C209" s="475"/>
    </row>
    <row r="210" ht="15.75" hidden="1" customHeight="1" outlineLevel="1">
      <c r="A210" s="2002" t="s">
        <v>1687</v>
      </c>
      <c r="C210" s="475"/>
    </row>
    <row r="211" ht="15.75" hidden="1" customHeight="1" outlineLevel="1">
      <c r="A211" s="2039" t="s">
        <v>1667</v>
      </c>
      <c r="B211" s="2040"/>
      <c r="C211" s="2040"/>
      <c r="D211" s="2040"/>
      <c r="E211" s="2041"/>
      <c r="F211" s="2042" t="s">
        <v>1668</v>
      </c>
      <c r="G211" s="2040"/>
      <c r="H211" s="2040"/>
      <c r="I211" s="2040"/>
      <c r="J211" s="2041"/>
    </row>
    <row r="212" ht="15.75" hidden="1" customHeight="1" outlineLevel="1">
      <c r="A212" s="2043" t="s">
        <v>303</v>
      </c>
      <c r="B212" s="2044" t="s">
        <v>312</v>
      </c>
      <c r="C212" s="2045" t="s">
        <v>313</v>
      </c>
      <c r="D212" s="2044" t="s">
        <v>314</v>
      </c>
      <c r="E212" s="2045" t="s">
        <v>315</v>
      </c>
      <c r="F212" s="2046" t="s">
        <v>312</v>
      </c>
      <c r="G212" s="2046" t="s">
        <v>313</v>
      </c>
      <c r="H212" s="2046" t="s">
        <v>314</v>
      </c>
      <c r="I212" s="2046" t="s">
        <v>1669</v>
      </c>
      <c r="J212" s="2046" t="s">
        <v>315</v>
      </c>
    </row>
    <row r="213" ht="15.75" hidden="1" customHeight="1" outlineLevel="1">
      <c r="A213" s="2047" t="s">
        <v>24</v>
      </c>
      <c r="B213" s="2048" t="s">
        <v>327</v>
      </c>
      <c r="C213" s="223">
        <v>6.011234992E9</v>
      </c>
      <c r="D213" s="224" t="s">
        <v>328</v>
      </c>
      <c r="E213" s="2049">
        <v>4.22209727E8</v>
      </c>
      <c r="F213" s="2050"/>
      <c r="G213" s="2102">
        <v>20.2</v>
      </c>
      <c r="H213" s="2103">
        <v>0.0</v>
      </c>
      <c r="I213" s="2050"/>
      <c r="J213" s="2090"/>
    </row>
    <row r="214" ht="15.75" hidden="1" customHeight="1" outlineLevel="1">
      <c r="A214" s="2047" t="s">
        <v>29</v>
      </c>
      <c r="B214" s="2048" t="s">
        <v>327</v>
      </c>
      <c r="C214" s="223">
        <v>6.01109493E9</v>
      </c>
      <c r="D214" s="224" t="s">
        <v>338</v>
      </c>
      <c r="E214" s="2049">
        <v>4.22589587E8</v>
      </c>
      <c r="F214" s="2050"/>
      <c r="G214" s="2102">
        <v>6.78</v>
      </c>
      <c r="H214" s="2103">
        <v>0.52</v>
      </c>
      <c r="I214" s="2050"/>
      <c r="J214" s="2090">
        <v>42.0</v>
      </c>
    </row>
    <row r="215" ht="15.75" hidden="1" customHeight="1" outlineLevel="1">
      <c r="A215" s="2047" t="s">
        <v>32</v>
      </c>
      <c r="B215" s="2048" t="s">
        <v>327</v>
      </c>
      <c r="C215" s="223">
        <v>6.0114696E9</v>
      </c>
      <c r="D215" s="224" t="s">
        <v>345</v>
      </c>
      <c r="E215" s="2049">
        <v>4.22898373E8</v>
      </c>
      <c r="F215" s="2050"/>
      <c r="G215" s="2102">
        <v>35.73</v>
      </c>
      <c r="H215" s="2103">
        <v>17.6</v>
      </c>
      <c r="I215" s="2050"/>
      <c r="J215" s="2090"/>
    </row>
    <row r="216" ht="15.75" hidden="1" customHeight="1" outlineLevel="1">
      <c r="A216" s="2051" t="s">
        <v>35</v>
      </c>
      <c r="B216" s="2048" t="s">
        <v>327</v>
      </c>
      <c r="C216" s="2052">
        <v>6.011333411E9</v>
      </c>
      <c r="D216" s="224" t="s">
        <v>353</v>
      </c>
      <c r="E216" s="2049">
        <v>4.22454408E8</v>
      </c>
      <c r="F216" s="2050"/>
      <c r="G216" s="2102">
        <v>14.29</v>
      </c>
      <c r="H216" s="2103">
        <v>1.55</v>
      </c>
      <c r="I216" s="2050"/>
      <c r="J216" s="2090">
        <v>42.0</v>
      </c>
    </row>
    <row r="217" ht="15.75" hidden="1" customHeight="1" outlineLevel="1">
      <c r="A217" s="2051" t="s">
        <v>37</v>
      </c>
      <c r="B217" s="2048" t="s">
        <v>327</v>
      </c>
      <c r="C217" s="223">
        <v>6.011554481E9</v>
      </c>
      <c r="D217" s="224" t="s">
        <v>359</v>
      </c>
      <c r="E217" s="2049">
        <v>4.22958722E8</v>
      </c>
      <c r="F217" s="2050"/>
      <c r="G217" s="2102">
        <v>0.0</v>
      </c>
      <c r="H217" s="2103">
        <v>0.0</v>
      </c>
      <c r="I217" s="2050"/>
      <c r="J217" s="2090"/>
    </row>
    <row r="218" ht="15.75" hidden="1" customHeight="1" outlineLevel="1">
      <c r="A218" s="2047" t="s">
        <v>39</v>
      </c>
      <c r="B218" s="2048" t="s">
        <v>327</v>
      </c>
      <c r="C218" s="223">
        <v>6.011366441E9</v>
      </c>
      <c r="D218" s="224" t="s">
        <v>366</v>
      </c>
      <c r="E218" s="2049">
        <v>4.22609023E8</v>
      </c>
      <c r="F218" s="2050"/>
      <c r="G218" s="2102">
        <v>21.7</v>
      </c>
      <c r="H218" s="2103">
        <v>23.48</v>
      </c>
      <c r="I218" s="2050"/>
      <c r="J218" s="2090">
        <v>42.0</v>
      </c>
    </row>
    <row r="219" ht="15.75" hidden="1" customHeight="1" outlineLevel="1">
      <c r="A219" s="2047" t="s">
        <v>41</v>
      </c>
      <c r="B219" s="2048" t="s">
        <v>327</v>
      </c>
      <c r="C219" s="223">
        <v>6.011394071E9</v>
      </c>
      <c r="D219" s="224" t="s">
        <v>375</v>
      </c>
      <c r="E219" s="2049">
        <v>4.22464178E8</v>
      </c>
      <c r="F219" s="2050"/>
      <c r="G219" s="2102">
        <v>9.43</v>
      </c>
      <c r="H219" s="2103">
        <v>1.04</v>
      </c>
      <c r="I219" s="2050"/>
      <c r="J219" s="2090">
        <v>42.0</v>
      </c>
    </row>
    <row r="220" ht="15.75" hidden="1" customHeight="1" outlineLevel="1">
      <c r="A220" s="2047" t="s">
        <v>43</v>
      </c>
      <c r="B220" s="2048" t="s">
        <v>327</v>
      </c>
      <c r="C220" s="223">
        <v>6.011095331E9</v>
      </c>
      <c r="D220" s="224" t="s">
        <v>382</v>
      </c>
      <c r="E220" s="2049">
        <v>4.2237325E8</v>
      </c>
      <c r="F220" s="2050"/>
      <c r="G220" s="2102">
        <v>2.36</v>
      </c>
      <c r="H220" s="2103">
        <v>0.0</v>
      </c>
      <c r="I220" s="2050"/>
      <c r="J220" s="2090">
        <v>42.0</v>
      </c>
    </row>
    <row r="221" ht="15.75" hidden="1" customHeight="1" outlineLevel="1">
      <c r="A221" s="2047" t="s">
        <v>45</v>
      </c>
      <c r="B221" s="2048" t="s">
        <v>327</v>
      </c>
      <c r="C221" s="223">
        <v>6.0110922E9</v>
      </c>
      <c r="D221" s="224" t="s">
        <v>388</v>
      </c>
      <c r="E221" s="2049">
        <v>4.22355072E8</v>
      </c>
      <c r="F221" s="2050"/>
      <c r="G221" s="2102">
        <v>2.5</v>
      </c>
      <c r="H221" s="2103">
        <v>0.0</v>
      </c>
      <c r="I221" s="2050"/>
      <c r="J221" s="2090">
        <v>42.0</v>
      </c>
    </row>
    <row r="222" ht="15.75" hidden="1" customHeight="1" outlineLevel="1">
      <c r="A222" s="2047" t="s">
        <v>48</v>
      </c>
      <c r="B222" s="2053" t="s">
        <v>327</v>
      </c>
      <c r="C222" s="223">
        <v>6.011093302E9</v>
      </c>
      <c r="D222" s="224" t="s">
        <v>395</v>
      </c>
      <c r="E222" s="2049">
        <v>4.22681834E8</v>
      </c>
      <c r="F222" s="2050"/>
      <c r="G222" s="2102">
        <v>2.5</v>
      </c>
      <c r="H222" s="2103">
        <v>0.0</v>
      </c>
      <c r="I222" s="2050"/>
      <c r="J222" s="2090">
        <v>42.0</v>
      </c>
    </row>
    <row r="223" ht="15.75" hidden="1" customHeight="1" outlineLevel="1">
      <c r="A223" s="2047" t="s">
        <v>50</v>
      </c>
      <c r="B223" s="2048" t="s">
        <v>327</v>
      </c>
      <c r="C223" s="223">
        <v>6.011320361E9</v>
      </c>
      <c r="D223" s="224" t="s">
        <v>401</v>
      </c>
      <c r="E223" s="2049">
        <v>4.22450253E8</v>
      </c>
      <c r="F223" s="2050"/>
      <c r="G223" s="2102">
        <v>5.16</v>
      </c>
      <c r="H223" s="2103">
        <v>0.0</v>
      </c>
      <c r="I223" s="2050"/>
      <c r="J223" s="2090"/>
    </row>
    <row r="224" ht="15.75" hidden="1" customHeight="1" outlineLevel="1">
      <c r="A224" s="2047" t="s">
        <v>52</v>
      </c>
      <c r="B224" s="2053" t="s">
        <v>327</v>
      </c>
      <c r="C224" s="223">
        <v>6.01118289E9</v>
      </c>
      <c r="D224" s="224" t="s">
        <v>406</v>
      </c>
      <c r="E224" s="2049"/>
      <c r="F224" s="2050"/>
      <c r="G224" s="2102">
        <v>2.65</v>
      </c>
      <c r="H224" s="2103">
        <v>0.0</v>
      </c>
      <c r="I224" s="2050"/>
      <c r="J224" s="2090"/>
    </row>
    <row r="225" ht="15.75" hidden="1" customHeight="1" outlineLevel="1">
      <c r="A225" s="2047" t="s">
        <v>54</v>
      </c>
      <c r="B225" s="2048" t="s">
        <v>327</v>
      </c>
      <c r="C225" s="223">
        <v>6.011093692E9</v>
      </c>
      <c r="D225" s="224" t="s">
        <v>412</v>
      </c>
      <c r="E225" s="2049">
        <v>4.22094809E8</v>
      </c>
      <c r="F225" s="2050"/>
      <c r="G225" s="2102">
        <v>123.34</v>
      </c>
      <c r="H225" s="2103">
        <v>4.14</v>
      </c>
      <c r="I225" s="2050"/>
      <c r="J225" s="2090"/>
    </row>
    <row r="226" ht="15.75" hidden="1" customHeight="1" outlineLevel="1">
      <c r="A226" s="2047" t="s">
        <v>56</v>
      </c>
      <c r="B226" s="2048" t="s">
        <v>327</v>
      </c>
      <c r="C226" s="223">
        <v>6.011093471E9</v>
      </c>
      <c r="D226" s="224" t="s">
        <v>419</v>
      </c>
      <c r="E226" s="2049">
        <v>4.22284141E8</v>
      </c>
      <c r="F226" s="2050"/>
      <c r="G226" s="2102">
        <v>0.0</v>
      </c>
      <c r="H226" s="2103">
        <v>1.03</v>
      </c>
      <c r="I226" s="2050"/>
      <c r="J226" s="2090"/>
    </row>
    <row r="227" ht="15.75" hidden="1" customHeight="1" outlineLevel="1">
      <c r="A227" s="2051" t="s">
        <v>59</v>
      </c>
      <c r="B227" s="2048" t="s">
        <v>327</v>
      </c>
      <c r="C227" s="2054"/>
      <c r="D227" s="2054"/>
      <c r="E227" s="2049"/>
      <c r="F227" s="2050"/>
      <c r="G227" s="2102"/>
      <c r="H227" s="2103"/>
      <c r="I227" s="2050"/>
      <c r="J227" s="2090">
        <v>32.0</v>
      </c>
    </row>
    <row r="228" ht="15.75" hidden="1" customHeight="1" outlineLevel="1">
      <c r="A228" s="2051" t="s">
        <v>62</v>
      </c>
      <c r="B228" s="2048" t="s">
        <v>327</v>
      </c>
      <c r="C228" s="223">
        <v>6.01136445E9</v>
      </c>
      <c r="D228" s="224" t="s">
        <v>434</v>
      </c>
      <c r="E228" s="2049">
        <v>4.22313986E8</v>
      </c>
      <c r="F228" s="2050"/>
      <c r="G228" s="2102">
        <v>80.63</v>
      </c>
      <c r="H228" s="2103">
        <v>0.59</v>
      </c>
      <c r="I228" s="2050"/>
      <c r="J228" s="2090"/>
    </row>
    <row r="229" ht="15.75" hidden="1" customHeight="1" outlineLevel="1">
      <c r="A229" s="2051" t="s">
        <v>64</v>
      </c>
      <c r="B229" s="2048" t="s">
        <v>327</v>
      </c>
      <c r="C229" s="223">
        <v>6.011507471E9</v>
      </c>
      <c r="D229" s="224" t="s">
        <v>442</v>
      </c>
      <c r="E229" s="2049">
        <v>3.0746942E8</v>
      </c>
      <c r="F229" s="2050"/>
      <c r="G229" s="2102">
        <v>11.34</v>
      </c>
      <c r="H229" s="2103">
        <v>1.18</v>
      </c>
      <c r="I229" s="2050"/>
      <c r="J229" s="2090">
        <v>40.0</v>
      </c>
    </row>
    <row r="230" ht="15.75" hidden="1" customHeight="1" outlineLevel="1">
      <c r="A230" s="2051" t="s">
        <v>70</v>
      </c>
      <c r="B230" s="2048" t="s">
        <v>327</v>
      </c>
      <c r="C230" s="223">
        <v>6.01092468E9</v>
      </c>
      <c r="D230" s="224" t="s">
        <v>456</v>
      </c>
      <c r="E230" s="2049"/>
      <c r="F230" s="2050"/>
      <c r="G230" s="2102">
        <v>31.97</v>
      </c>
      <c r="H230" s="2103">
        <v>3.11</v>
      </c>
      <c r="I230" s="2050"/>
      <c r="J230" s="2090"/>
    </row>
    <row r="231" ht="15.75" hidden="1" customHeight="1" outlineLevel="1">
      <c r="A231" s="2051" t="s">
        <v>73</v>
      </c>
      <c r="B231" s="2048" t="s">
        <v>327</v>
      </c>
      <c r="C231" s="223">
        <v>6.010924822E9</v>
      </c>
      <c r="D231" s="224" t="s">
        <v>462</v>
      </c>
      <c r="E231" s="2049"/>
      <c r="F231" s="2050"/>
      <c r="G231" s="2102">
        <v>38.59</v>
      </c>
      <c r="H231" s="2103">
        <v>1.04</v>
      </c>
      <c r="I231" s="2050"/>
      <c r="J231" s="2090"/>
    </row>
    <row r="232" ht="15.75" hidden="1" customHeight="1" outlineLevel="1">
      <c r="A232" s="2051" t="s">
        <v>75</v>
      </c>
      <c r="B232" s="2048" t="s">
        <v>327</v>
      </c>
      <c r="C232" s="223">
        <v>6.010924972E9</v>
      </c>
      <c r="D232" s="224" t="s">
        <v>465</v>
      </c>
      <c r="E232" s="2049"/>
      <c r="F232" s="2050"/>
      <c r="G232" s="2102">
        <v>53.7</v>
      </c>
      <c r="H232" s="2103">
        <v>3.62</v>
      </c>
      <c r="I232" s="2050"/>
      <c r="J232" s="2090"/>
    </row>
    <row r="233" ht="15.75" hidden="1" customHeight="1" outlineLevel="1">
      <c r="A233" s="2051" t="s">
        <v>67</v>
      </c>
      <c r="B233" s="2048">
        <v>2.117437984E9</v>
      </c>
      <c r="C233" s="223">
        <v>6.011510141E9</v>
      </c>
      <c r="D233" s="224" t="s">
        <v>447</v>
      </c>
      <c r="E233" s="2057">
        <v>3.09596293E8</v>
      </c>
      <c r="F233" s="2086">
        <v>70.02</v>
      </c>
      <c r="G233" s="2102">
        <v>19.83</v>
      </c>
      <c r="H233" s="2103">
        <v>70.43</v>
      </c>
      <c r="I233" s="2050"/>
      <c r="J233" s="2090"/>
    </row>
    <row r="234" ht="15.75" hidden="1" customHeight="1" outlineLevel="1">
      <c r="A234" s="2051" t="s">
        <v>181</v>
      </c>
      <c r="B234" s="2048">
        <v>1.114390195E9</v>
      </c>
      <c r="C234" s="223">
        <v>6.010839262E9</v>
      </c>
      <c r="D234" s="224" t="s">
        <v>522</v>
      </c>
      <c r="E234" s="2057">
        <v>9.1433115E7</v>
      </c>
      <c r="F234" s="2086">
        <v>79.13</v>
      </c>
      <c r="G234" s="2102">
        <v>29.37</v>
      </c>
      <c r="H234" s="2103">
        <v>1.56</v>
      </c>
      <c r="I234" s="2050"/>
      <c r="J234" s="2090">
        <v>22.0</v>
      </c>
    </row>
    <row r="235" ht="15.75" hidden="1" customHeight="1" outlineLevel="1">
      <c r="A235" s="2051" t="s">
        <v>183</v>
      </c>
      <c r="B235" s="2058" t="s">
        <v>528</v>
      </c>
      <c r="C235" s="223">
        <v>6.011482811E9</v>
      </c>
      <c r="D235" s="224" t="s">
        <v>529</v>
      </c>
      <c r="E235" s="2049">
        <v>4.22793459E8</v>
      </c>
      <c r="F235" s="2086"/>
      <c r="G235" s="2102"/>
      <c r="H235" s="2103"/>
      <c r="I235" s="2050"/>
      <c r="J235" s="2090"/>
    </row>
    <row r="236" ht="15.75" hidden="1" customHeight="1" outlineLevel="1">
      <c r="A236" s="2051" t="s">
        <v>186</v>
      </c>
      <c r="B236" s="2058" t="s">
        <v>533</v>
      </c>
      <c r="C236" s="223">
        <v>6.0114828E9</v>
      </c>
      <c r="D236" s="224" t="s">
        <v>534</v>
      </c>
      <c r="E236" s="2049">
        <v>4.22524555E8</v>
      </c>
      <c r="F236" s="2086">
        <v>47.28</v>
      </c>
      <c r="G236" s="2102">
        <v>100.28</v>
      </c>
      <c r="H236" s="2103">
        <v>3.25</v>
      </c>
      <c r="I236" s="2050"/>
      <c r="J236" s="2090">
        <v>101.1</v>
      </c>
    </row>
    <row r="237" ht="15.75" hidden="1" customHeight="1" outlineLevel="1">
      <c r="A237" s="2051" t="s">
        <v>188</v>
      </c>
      <c r="B237" s="2058" t="s">
        <v>537</v>
      </c>
      <c r="C237" s="223">
        <v>6.011482991E9</v>
      </c>
      <c r="D237" s="224" t="s">
        <v>538</v>
      </c>
      <c r="E237" s="2049">
        <v>4.22431356E8</v>
      </c>
      <c r="F237" s="2086"/>
      <c r="G237" s="2102"/>
      <c r="H237" s="2103"/>
      <c r="I237" s="2050"/>
      <c r="J237" s="2090"/>
    </row>
    <row r="238" ht="15.75" hidden="1" customHeight="1" outlineLevel="1">
      <c r="A238" s="2059" t="s">
        <v>100</v>
      </c>
      <c r="B238" s="2060" t="s">
        <v>327</v>
      </c>
      <c r="C238" s="2054"/>
      <c r="D238" s="224" t="s">
        <v>545</v>
      </c>
      <c r="E238" s="2049"/>
      <c r="F238" s="2050"/>
      <c r="G238" s="2102">
        <v>115.48</v>
      </c>
      <c r="H238" s="2103">
        <v>17.61</v>
      </c>
      <c r="I238" s="2050"/>
      <c r="J238" s="2090"/>
    </row>
    <row r="239" ht="15.75" hidden="1" customHeight="1" outlineLevel="1">
      <c r="A239" s="2059" t="s">
        <v>104</v>
      </c>
      <c r="B239" s="2060" t="s">
        <v>327</v>
      </c>
      <c r="C239" s="2054"/>
      <c r="D239" s="224" t="s">
        <v>550</v>
      </c>
      <c r="E239" s="2049"/>
      <c r="F239" s="2050"/>
      <c r="G239" s="2102">
        <v>28.74</v>
      </c>
      <c r="H239" s="2103">
        <v>0.0</v>
      </c>
      <c r="I239" s="2050"/>
      <c r="J239" s="2090"/>
    </row>
    <row r="240" ht="15.75" hidden="1" customHeight="1" outlineLevel="1">
      <c r="A240" s="2059" t="s">
        <v>106</v>
      </c>
      <c r="B240" s="2060" t="s">
        <v>327</v>
      </c>
      <c r="C240" s="2054"/>
      <c r="D240" s="224" t="s">
        <v>555</v>
      </c>
      <c r="E240" s="2049"/>
      <c r="F240" s="2050"/>
      <c r="G240" s="2102">
        <v>93.39</v>
      </c>
      <c r="H240" s="2103">
        <v>23.48</v>
      </c>
      <c r="I240" s="2050"/>
      <c r="J240" s="2090"/>
    </row>
    <row r="241" ht="15.75" hidden="1" customHeight="1" outlineLevel="1">
      <c r="A241" s="2059" t="s">
        <v>108</v>
      </c>
      <c r="B241" s="2060" t="s">
        <v>327</v>
      </c>
      <c r="C241" s="2054"/>
      <c r="D241" s="224" t="s">
        <v>560</v>
      </c>
      <c r="E241" s="2049"/>
      <c r="F241" s="2050"/>
      <c r="G241" s="2102"/>
      <c r="H241" s="2103">
        <v>0.0</v>
      </c>
      <c r="I241" s="2050">
        <v>97.08</v>
      </c>
      <c r="J241" s="2050"/>
    </row>
    <row r="242" ht="15.75" hidden="1" customHeight="1" outlineLevel="1">
      <c r="A242" s="2059" t="s">
        <v>111</v>
      </c>
      <c r="B242" s="2060" t="s">
        <v>327</v>
      </c>
      <c r="C242" s="2054"/>
      <c r="D242" s="224" t="s">
        <v>567</v>
      </c>
      <c r="E242" s="2049"/>
      <c r="F242" s="2050"/>
      <c r="G242" s="2102">
        <v>33.19</v>
      </c>
      <c r="H242" s="2103">
        <v>11.74</v>
      </c>
      <c r="I242" s="2050"/>
      <c r="J242" s="2050"/>
    </row>
    <row r="243" ht="15.75" hidden="1" customHeight="1" outlineLevel="1">
      <c r="A243" s="2059" t="s">
        <v>113</v>
      </c>
      <c r="B243" s="2060" t="s">
        <v>327</v>
      </c>
      <c r="C243" s="2054"/>
      <c r="D243" s="224" t="s">
        <v>574</v>
      </c>
      <c r="E243" s="2049"/>
      <c r="F243" s="2050"/>
      <c r="G243" s="2102">
        <v>30.21</v>
      </c>
      <c r="H243" s="2103">
        <v>0.0</v>
      </c>
      <c r="I243" s="2050">
        <v>113.29</v>
      </c>
      <c r="J243" s="2050"/>
    </row>
    <row r="244" ht="15.75" hidden="1" customHeight="1" outlineLevel="1">
      <c r="A244" s="2059" t="s">
        <v>115</v>
      </c>
      <c r="B244" s="2060" t="s">
        <v>327</v>
      </c>
      <c r="C244" s="2054"/>
      <c r="D244" s="224" t="s">
        <v>581</v>
      </c>
      <c r="E244" s="2049"/>
      <c r="F244" s="2050"/>
      <c r="G244" s="2102">
        <v>146.84</v>
      </c>
      <c r="H244" s="2103">
        <v>29.34</v>
      </c>
      <c r="I244" s="2050"/>
      <c r="J244" s="2050"/>
    </row>
    <row r="245" ht="15.75" hidden="1" customHeight="1" outlineLevel="1">
      <c r="A245" s="2059" t="s">
        <v>117</v>
      </c>
      <c r="B245" s="2060" t="s">
        <v>327</v>
      </c>
      <c r="C245" s="2054"/>
      <c r="D245" s="224" t="s">
        <v>1684</v>
      </c>
      <c r="E245" s="2049"/>
      <c r="F245" s="2050"/>
      <c r="G245" s="2102">
        <v>175.16</v>
      </c>
      <c r="H245" s="2103">
        <v>35.21</v>
      </c>
      <c r="I245" s="2050"/>
      <c r="J245" s="2050"/>
    </row>
    <row r="246" ht="15.75" hidden="1" customHeight="1" outlineLevel="1">
      <c r="A246" s="2059" t="s">
        <v>119</v>
      </c>
      <c r="B246" s="2060" t="s">
        <v>327</v>
      </c>
      <c r="C246" s="2054"/>
      <c r="D246" s="224" t="s">
        <v>1688</v>
      </c>
      <c r="E246" s="2049"/>
      <c r="F246" s="2050"/>
      <c r="G246" s="2102">
        <v>156.86</v>
      </c>
      <c r="H246" s="2103">
        <v>17.61</v>
      </c>
      <c r="I246" s="2050">
        <v>234.0</v>
      </c>
      <c r="J246" s="2050"/>
    </row>
    <row r="247" ht="15.75" hidden="1" customHeight="1" outlineLevel="1">
      <c r="A247" s="2059" t="s">
        <v>596</v>
      </c>
      <c r="B247" s="2104" t="s">
        <v>327</v>
      </c>
      <c r="C247" s="2104"/>
      <c r="D247" s="2104"/>
      <c r="E247" s="2105"/>
      <c r="F247" s="2106"/>
      <c r="G247" s="2106"/>
      <c r="H247" s="2106"/>
      <c r="I247" s="2106"/>
      <c r="J247" s="2106"/>
    </row>
    <row r="248" ht="15.75" hidden="1" customHeight="1" outlineLevel="1">
      <c r="A248" s="2059" t="s">
        <v>121</v>
      </c>
      <c r="B248" s="2060" t="s">
        <v>327</v>
      </c>
      <c r="C248" s="2054"/>
      <c r="D248" s="224" t="s">
        <v>1689</v>
      </c>
      <c r="E248" s="2049"/>
      <c r="F248" s="2063"/>
      <c r="G248" s="2063">
        <v>65.06</v>
      </c>
      <c r="H248" s="2063">
        <v>23.48</v>
      </c>
      <c r="I248" s="2063"/>
      <c r="J248" s="2063"/>
      <c r="K248" s="94" t="s">
        <v>1690</v>
      </c>
    </row>
    <row r="249" ht="15.75" hidden="1" customHeight="1" outlineLevel="1">
      <c r="A249" s="2064" t="s">
        <v>124</v>
      </c>
      <c r="B249" s="2060" t="s">
        <v>327</v>
      </c>
      <c r="C249" s="223">
        <v>6.011026852E9</v>
      </c>
      <c r="D249" s="224" t="s">
        <v>608</v>
      </c>
      <c r="E249" s="2049">
        <v>11604.0</v>
      </c>
      <c r="F249" s="2050"/>
      <c r="G249" s="2102">
        <v>44.34</v>
      </c>
      <c r="H249" s="2103">
        <v>2.59</v>
      </c>
      <c r="I249" s="2050"/>
      <c r="J249" s="2050"/>
    </row>
    <row r="250" ht="15.75" hidden="1" customHeight="1" outlineLevel="1">
      <c r="A250" s="2066" t="s">
        <v>127</v>
      </c>
      <c r="B250" s="2060" t="s">
        <v>327</v>
      </c>
      <c r="C250" s="223">
        <v>6.011026871E9</v>
      </c>
      <c r="D250" s="224" t="s">
        <v>612</v>
      </c>
      <c r="E250" s="2049">
        <v>11606.0</v>
      </c>
      <c r="F250" s="2050"/>
      <c r="G250" s="2102">
        <v>22.45</v>
      </c>
      <c r="H250" s="2103">
        <v>0.51</v>
      </c>
      <c r="I250" s="2050"/>
      <c r="J250" s="2050"/>
    </row>
    <row r="251" ht="15.75" hidden="1" customHeight="1" outlineLevel="1">
      <c r="A251" s="2066" t="s">
        <v>129</v>
      </c>
      <c r="B251" s="2060" t="s">
        <v>327</v>
      </c>
      <c r="C251" s="223">
        <v>6.011025671E9</v>
      </c>
      <c r="D251" s="224" t="s">
        <v>617</v>
      </c>
      <c r="E251" s="2049">
        <v>11931.0</v>
      </c>
      <c r="F251" s="2050"/>
      <c r="G251" s="2102">
        <v>20.58</v>
      </c>
      <c r="H251" s="2103">
        <v>0.51</v>
      </c>
      <c r="I251" s="2050"/>
      <c r="J251" s="2050"/>
    </row>
    <row r="252" ht="15.75" hidden="1" customHeight="1" outlineLevel="1">
      <c r="A252" s="2107" t="s">
        <v>131</v>
      </c>
      <c r="B252" s="2104" t="s">
        <v>327</v>
      </c>
      <c r="C252" s="2104" t="s">
        <v>327</v>
      </c>
      <c r="D252" s="2104" t="s">
        <v>327</v>
      </c>
      <c r="E252" s="2105">
        <v>11304.0</v>
      </c>
      <c r="F252" s="2106"/>
      <c r="G252" s="2106" t="s">
        <v>327</v>
      </c>
      <c r="H252" s="2106"/>
      <c r="I252" s="2106"/>
      <c r="J252" s="2106"/>
    </row>
    <row r="253" ht="15.75" hidden="1" customHeight="1" outlineLevel="1">
      <c r="A253" s="2107" t="s">
        <v>133</v>
      </c>
      <c r="B253" s="2104"/>
      <c r="C253" s="2104"/>
      <c r="D253" s="2104"/>
      <c r="E253" s="2105">
        <v>11327.0</v>
      </c>
      <c r="F253" s="2106"/>
      <c r="G253" s="2106" t="s">
        <v>327</v>
      </c>
      <c r="H253" s="2106"/>
      <c r="I253" s="2106"/>
      <c r="J253" s="2106"/>
    </row>
    <row r="254" ht="15.75" hidden="1" customHeight="1" outlineLevel="1">
      <c r="A254" s="2066" t="s">
        <v>152</v>
      </c>
      <c r="B254" s="2048" t="s">
        <v>327</v>
      </c>
      <c r="C254" s="223">
        <v>6.011359631E9</v>
      </c>
      <c r="D254" s="224" t="s">
        <v>636</v>
      </c>
      <c r="E254" s="2049">
        <v>3.08003451E8</v>
      </c>
      <c r="F254" s="2050"/>
      <c r="G254" s="2102">
        <v>125.66</v>
      </c>
      <c r="H254" s="2108">
        <v>0.0</v>
      </c>
      <c r="I254" s="2050">
        <v>55.14</v>
      </c>
      <c r="J254" s="2050"/>
    </row>
    <row r="255" ht="15.75" hidden="1" customHeight="1" outlineLevel="1">
      <c r="A255" s="2066" t="s">
        <v>154</v>
      </c>
      <c r="B255" s="2048" t="s">
        <v>327</v>
      </c>
      <c r="C255" s="223">
        <v>6.01135965E9</v>
      </c>
      <c r="D255" s="224" t="s">
        <v>642</v>
      </c>
      <c r="E255" s="2049">
        <v>3.08003321E8</v>
      </c>
      <c r="F255" s="2050"/>
      <c r="G255" s="2102">
        <v>60.05</v>
      </c>
      <c r="H255" s="2108">
        <v>5.18</v>
      </c>
      <c r="I255" s="2050">
        <v>55.14</v>
      </c>
      <c r="J255" s="2050"/>
    </row>
    <row r="256" ht="15.75" hidden="1" customHeight="1" outlineLevel="1">
      <c r="A256" s="2066" t="s">
        <v>156</v>
      </c>
      <c r="B256" s="2104"/>
      <c r="C256" s="2109">
        <v>6.011606752E9</v>
      </c>
      <c r="D256" s="2109" t="s">
        <v>645</v>
      </c>
      <c r="E256" s="2110"/>
      <c r="F256" s="2106"/>
      <c r="G256" s="2106"/>
      <c r="H256" s="2106"/>
      <c r="I256" s="2106"/>
      <c r="J256" s="2106"/>
    </row>
    <row r="257" ht="15.75" hidden="1" customHeight="1" outlineLevel="1">
      <c r="A257" s="2066" t="s">
        <v>165</v>
      </c>
      <c r="B257" s="2048" t="s">
        <v>327</v>
      </c>
      <c r="C257" s="2052">
        <v>6.011471272E9</v>
      </c>
      <c r="D257" s="2067" t="s">
        <v>649</v>
      </c>
      <c r="E257" s="2068">
        <v>3.06940056E8</v>
      </c>
      <c r="F257" s="2050"/>
      <c r="G257" s="2102">
        <v>119.62</v>
      </c>
      <c r="H257" s="2103">
        <v>2.07</v>
      </c>
      <c r="I257" s="2050"/>
      <c r="J257" s="2050">
        <v>16.36</v>
      </c>
    </row>
    <row r="258" ht="15.75" hidden="1" customHeight="1" outlineLevel="1">
      <c r="A258" s="2066" t="s">
        <v>169</v>
      </c>
      <c r="B258" s="2048" t="s">
        <v>327</v>
      </c>
      <c r="C258" s="2052">
        <v>6.01147128E9</v>
      </c>
      <c r="D258" s="2067" t="s">
        <v>654</v>
      </c>
      <c r="E258" s="2068">
        <v>3.06940085E8</v>
      </c>
      <c r="F258" s="2050"/>
      <c r="G258" s="2102">
        <v>49.39</v>
      </c>
      <c r="H258" s="2103">
        <v>0.0</v>
      </c>
      <c r="I258" s="2050"/>
      <c r="J258" s="2050"/>
    </row>
    <row r="259" ht="15.75" hidden="1" customHeight="1" outlineLevel="1">
      <c r="A259" s="2066" t="s">
        <v>171</v>
      </c>
      <c r="B259" s="2058" t="s">
        <v>327</v>
      </c>
      <c r="C259" s="223">
        <v>6.011442532E9</v>
      </c>
      <c r="D259" s="224" t="s">
        <v>659</v>
      </c>
      <c r="E259" s="2049">
        <v>3.06316828E8</v>
      </c>
      <c r="F259" s="2050"/>
      <c r="G259" s="2102">
        <v>120.55</v>
      </c>
      <c r="H259" s="2103">
        <v>1.18</v>
      </c>
      <c r="I259" s="2050"/>
      <c r="J259" s="2050">
        <v>40.0</v>
      </c>
    </row>
    <row r="260" ht="15.75" hidden="1" customHeight="1" outlineLevel="1">
      <c r="A260" s="2066" t="s">
        <v>173</v>
      </c>
      <c r="B260" s="2058" t="s">
        <v>327</v>
      </c>
      <c r="C260" s="223">
        <v>6.011463851E9</v>
      </c>
      <c r="D260" s="224" t="s">
        <v>666</v>
      </c>
      <c r="E260" s="2049">
        <v>3.06244928E8</v>
      </c>
      <c r="F260" s="2050"/>
      <c r="G260" s="2102">
        <v>0.0</v>
      </c>
      <c r="H260" s="2103">
        <v>0.0</v>
      </c>
      <c r="I260" s="2050"/>
      <c r="J260" s="2050"/>
    </row>
    <row r="261" ht="15.75" hidden="1" customHeight="1" outlineLevel="1">
      <c r="A261" s="2066" t="s">
        <v>175</v>
      </c>
      <c r="B261" s="2058" t="s">
        <v>327</v>
      </c>
      <c r="C261" s="223">
        <v>6.011588872E9</v>
      </c>
      <c r="D261" s="224" t="s">
        <v>674</v>
      </c>
      <c r="E261" s="2049">
        <v>3.09007254E8</v>
      </c>
      <c r="F261" s="2050"/>
      <c r="G261" s="2102">
        <v>26.56</v>
      </c>
      <c r="H261" s="2103">
        <v>0.0</v>
      </c>
      <c r="I261" s="2050"/>
      <c r="J261" s="2050"/>
    </row>
    <row r="262" ht="15.75" hidden="1" customHeight="1" outlineLevel="1">
      <c r="A262" s="2066" t="s">
        <v>157</v>
      </c>
      <c r="B262" s="2058" t="s">
        <v>680</v>
      </c>
      <c r="C262" s="223">
        <v>6.01135821E9</v>
      </c>
      <c r="D262" s="224" t="s">
        <v>681</v>
      </c>
      <c r="E262" s="2049">
        <v>3.08312967E8</v>
      </c>
      <c r="F262" s="2050">
        <v>153.14</v>
      </c>
      <c r="G262" s="2102">
        <v>0.0</v>
      </c>
      <c r="H262" s="2103">
        <v>3.11</v>
      </c>
      <c r="I262" s="2050"/>
      <c r="J262" s="2050"/>
    </row>
    <row r="263" ht="15.75" hidden="1" customHeight="1" outlineLevel="1">
      <c r="A263" s="2066" t="s">
        <v>161</v>
      </c>
      <c r="B263" s="2058" t="s">
        <v>705</v>
      </c>
      <c r="C263" s="223">
        <v>6.011357782E9</v>
      </c>
      <c r="D263" s="224" t="s">
        <v>706</v>
      </c>
      <c r="E263" s="2049">
        <v>3.0844433E8</v>
      </c>
      <c r="F263" s="2050">
        <v>0.0</v>
      </c>
      <c r="G263" s="2102">
        <v>0.0</v>
      </c>
      <c r="H263" s="2103">
        <v>0.0</v>
      </c>
      <c r="I263" s="2050"/>
      <c r="J263" s="2050"/>
    </row>
    <row r="264" ht="15.75" hidden="1" customHeight="1" outlineLevel="1">
      <c r="A264" s="2066" t="s">
        <v>163</v>
      </c>
      <c r="B264" s="2058" t="s">
        <v>710</v>
      </c>
      <c r="C264" s="223">
        <v>6.01130319E9</v>
      </c>
      <c r="D264" s="224" t="s">
        <v>711</v>
      </c>
      <c r="E264" s="2049">
        <v>3.09152032E8</v>
      </c>
      <c r="F264" s="2063">
        <v>8.54</v>
      </c>
      <c r="G264" s="2063">
        <v>8.25</v>
      </c>
      <c r="H264" s="2063">
        <v>11.73</v>
      </c>
      <c r="I264" s="2063"/>
      <c r="J264" s="2063">
        <v>7.88</v>
      </c>
      <c r="K264" s="94" t="s">
        <v>1691</v>
      </c>
    </row>
    <row r="265" ht="15.75" hidden="1" customHeight="1" outlineLevel="1">
      <c r="A265" s="2066" t="s">
        <v>135</v>
      </c>
      <c r="B265" s="2058" t="s">
        <v>718</v>
      </c>
      <c r="C265" s="223">
        <v>6.011209751E9</v>
      </c>
      <c r="D265" s="224" t="s">
        <v>719</v>
      </c>
      <c r="E265" s="2049">
        <v>3.02824611E8</v>
      </c>
      <c r="F265" s="2086">
        <v>75.14</v>
      </c>
      <c r="G265" s="2102">
        <v>31.43</v>
      </c>
      <c r="H265" s="2108">
        <v>46.96</v>
      </c>
      <c r="I265" s="2050"/>
      <c r="J265" s="2090">
        <v>32.0</v>
      </c>
    </row>
    <row r="266" ht="15.75" hidden="1" customHeight="1" outlineLevel="1">
      <c r="A266" s="2066" t="s">
        <v>138</v>
      </c>
      <c r="B266" s="2053">
        <v>2.116817982E9</v>
      </c>
      <c r="C266" s="223">
        <v>6.011542702E9</v>
      </c>
      <c r="D266" s="224" t="s">
        <v>726</v>
      </c>
      <c r="E266" s="2049">
        <v>3.08217116E8</v>
      </c>
      <c r="F266" s="2086">
        <v>19.36</v>
      </c>
      <c r="G266" s="2102">
        <v>26.94</v>
      </c>
      <c r="H266" s="2108">
        <v>1.56</v>
      </c>
      <c r="I266" s="2050"/>
      <c r="J266" s="2090"/>
    </row>
    <row r="267" ht="15.75" hidden="1" customHeight="1" outlineLevel="1">
      <c r="A267" s="2066" t="s">
        <v>140</v>
      </c>
      <c r="B267" s="2104" t="s">
        <v>327</v>
      </c>
      <c r="C267" s="2104">
        <v>0.0</v>
      </c>
      <c r="D267" s="2104" t="s">
        <v>732</v>
      </c>
      <c r="E267" s="2105">
        <v>4.22560058E8</v>
      </c>
      <c r="F267" s="2106"/>
      <c r="G267" s="2106"/>
      <c r="H267" s="2106">
        <v>1.56</v>
      </c>
      <c r="I267" s="2106"/>
      <c r="J267" s="2106"/>
    </row>
    <row r="268" ht="15.75" hidden="1" customHeight="1" outlineLevel="1">
      <c r="A268" s="2066" t="s">
        <v>144</v>
      </c>
      <c r="B268" s="2111" t="s">
        <v>327</v>
      </c>
      <c r="C268" s="223">
        <v>6.01156203E9</v>
      </c>
      <c r="D268" s="224" t="s">
        <v>740</v>
      </c>
      <c r="E268" s="2049">
        <v>3.09317791E8</v>
      </c>
      <c r="F268" s="2050"/>
      <c r="G268" s="2050">
        <v>52.64</v>
      </c>
      <c r="H268" s="2050">
        <v>0.0</v>
      </c>
      <c r="I268" s="2050"/>
      <c r="J268" s="2090"/>
    </row>
    <row r="269" ht="15.75" hidden="1" customHeight="1" outlineLevel="1">
      <c r="A269" s="2066" t="s">
        <v>147</v>
      </c>
      <c r="B269" s="2111">
        <v>2.118078551E9</v>
      </c>
      <c r="C269" s="223">
        <v>6.011547281E9</v>
      </c>
      <c r="D269" s="224" t="s">
        <v>1692</v>
      </c>
      <c r="E269" s="2049">
        <v>3.09160851E8</v>
      </c>
      <c r="F269" s="2050">
        <v>75.14</v>
      </c>
      <c r="G269" s="2050">
        <v>29.18</v>
      </c>
      <c r="H269" s="2050">
        <v>0.0</v>
      </c>
      <c r="I269" s="2050"/>
      <c r="J269" s="2090">
        <v>28.0</v>
      </c>
    </row>
    <row r="270" ht="15.75" hidden="1" customHeight="1" outlineLevel="1">
      <c r="A270" s="2066" t="s">
        <v>191</v>
      </c>
      <c r="B270" s="2111">
        <v>2.117710931E9</v>
      </c>
      <c r="C270" s="223">
        <v>6.011407402E9</v>
      </c>
      <c r="D270" s="224" t="s">
        <v>748</v>
      </c>
      <c r="E270" s="2049">
        <v>3.07943576E8</v>
      </c>
      <c r="F270" s="2106"/>
      <c r="G270" s="2106"/>
      <c r="H270" s="2106"/>
      <c r="I270" s="2106"/>
      <c r="J270" s="2106"/>
    </row>
    <row r="271" ht="15.75" hidden="1" customHeight="1" outlineLevel="1">
      <c r="A271" s="2079" t="s">
        <v>192</v>
      </c>
      <c r="B271" s="2080" t="s">
        <v>327</v>
      </c>
      <c r="C271" s="2080"/>
      <c r="D271" s="2080"/>
      <c r="E271" s="2049">
        <v>293602.0</v>
      </c>
      <c r="F271" s="2050"/>
      <c r="G271" s="2050"/>
      <c r="H271" s="2050"/>
      <c r="I271" s="2050"/>
      <c r="J271" s="2050"/>
    </row>
    <row r="272" ht="15.75" hidden="1" customHeight="1" outlineLevel="1">
      <c r="A272" s="2079" t="s">
        <v>195</v>
      </c>
      <c r="B272" s="2080" t="s">
        <v>327</v>
      </c>
      <c r="C272" s="2080"/>
      <c r="D272" s="2080"/>
      <c r="E272" s="2049">
        <v>293621.0</v>
      </c>
      <c r="F272" s="2050"/>
      <c r="G272" s="2050"/>
      <c r="H272" s="2050"/>
      <c r="I272" s="2050"/>
      <c r="J272" s="2050"/>
    </row>
    <row r="273" ht="15.75" hidden="1" customHeight="1" outlineLevel="1">
      <c r="A273" s="2081" t="s">
        <v>197</v>
      </c>
      <c r="B273" s="2080" t="s">
        <v>327</v>
      </c>
      <c r="C273" s="2080"/>
      <c r="D273" s="2080"/>
      <c r="E273" s="2049">
        <v>293934.0</v>
      </c>
      <c r="F273" s="2050"/>
      <c r="G273" s="2050"/>
      <c r="H273" s="2050"/>
      <c r="I273" s="2050"/>
      <c r="J273" s="2050"/>
    </row>
    <row r="274" ht="15.75" hidden="1" customHeight="1" outlineLevel="1">
      <c r="A274" s="2081" t="s">
        <v>199</v>
      </c>
      <c r="B274" s="2080" t="s">
        <v>327</v>
      </c>
      <c r="C274" s="2080"/>
      <c r="D274" s="2080"/>
      <c r="E274" s="2049">
        <v>293954.0</v>
      </c>
      <c r="F274" s="2050"/>
      <c r="G274" s="2050"/>
      <c r="H274" s="2050"/>
      <c r="I274" s="2050"/>
      <c r="J274" s="2050"/>
    </row>
    <row r="275" ht="15.75" hidden="1" customHeight="1" outlineLevel="1">
      <c r="A275" s="2081" t="s">
        <v>201</v>
      </c>
      <c r="B275" s="2080" t="s">
        <v>327</v>
      </c>
      <c r="C275" s="2080"/>
      <c r="D275" s="2080"/>
      <c r="E275" s="2049">
        <v>293782.0</v>
      </c>
      <c r="F275" s="2050"/>
      <c r="G275" s="2050"/>
      <c r="H275" s="2050"/>
      <c r="I275" s="2050"/>
      <c r="J275" s="2050"/>
    </row>
    <row r="276" ht="15.75" hidden="1" customHeight="1" outlineLevel="1">
      <c r="A276" s="2081" t="s">
        <v>203</v>
      </c>
      <c r="B276" s="2080" t="s">
        <v>327</v>
      </c>
      <c r="C276" s="2080"/>
      <c r="D276" s="2080"/>
      <c r="E276" s="2049">
        <v>293910.0</v>
      </c>
      <c r="F276" s="2050"/>
      <c r="G276" s="2050"/>
      <c r="H276" s="2050"/>
      <c r="I276" s="2050"/>
      <c r="J276" s="2050"/>
    </row>
    <row r="277" ht="15.75" hidden="1" customHeight="1" outlineLevel="1">
      <c r="A277" s="2082" t="s">
        <v>205</v>
      </c>
      <c r="B277" s="2080" t="s">
        <v>327</v>
      </c>
      <c r="C277" s="2080"/>
      <c r="D277" s="2080"/>
      <c r="E277" s="2049">
        <v>293403.0</v>
      </c>
      <c r="F277" s="2050"/>
      <c r="G277" s="2050"/>
      <c r="H277" s="2050"/>
      <c r="I277" s="2050"/>
      <c r="J277" s="2050"/>
    </row>
    <row r="278" ht="15.75" hidden="1" customHeight="1" outlineLevel="1">
      <c r="A278" s="2081" t="s">
        <v>207</v>
      </c>
      <c r="B278" s="2083" t="s">
        <v>327</v>
      </c>
      <c r="C278" s="2080"/>
      <c r="D278" s="2080"/>
      <c r="E278" s="2049">
        <v>239937.0</v>
      </c>
      <c r="F278" s="2050"/>
      <c r="G278" s="2050"/>
      <c r="H278" s="2050"/>
      <c r="I278" s="2050"/>
      <c r="J278" s="2050"/>
    </row>
    <row r="279" ht="15.75" hidden="1" customHeight="1" outlineLevel="1">
      <c r="A279" s="2081" t="s">
        <v>209</v>
      </c>
      <c r="B279" s="2080" t="s">
        <v>327</v>
      </c>
      <c r="C279" s="2080"/>
      <c r="D279" s="2080"/>
      <c r="E279" s="2049">
        <v>293802.0</v>
      </c>
      <c r="F279" s="2050"/>
      <c r="G279" s="2050"/>
      <c r="H279" s="2050"/>
      <c r="I279" s="2050"/>
      <c r="J279" s="2050"/>
    </row>
    <row r="280" ht="15.75" hidden="1" customHeight="1" outlineLevel="1">
      <c r="A280" s="2081" t="s">
        <v>216</v>
      </c>
      <c r="B280" s="2080" t="s">
        <v>327</v>
      </c>
      <c r="C280" s="2080"/>
      <c r="D280" s="2080"/>
      <c r="E280" s="2049">
        <v>293888.0</v>
      </c>
      <c r="F280" s="2050"/>
      <c r="G280" s="2050"/>
      <c r="H280" s="2050"/>
      <c r="I280" s="2050"/>
      <c r="J280" s="2050"/>
    </row>
    <row r="281" ht="15.75" hidden="1" customHeight="1" outlineLevel="1">
      <c r="A281" s="2081" t="s">
        <v>211</v>
      </c>
      <c r="B281" s="2080" t="s">
        <v>327</v>
      </c>
      <c r="C281" s="2080"/>
      <c r="D281" s="2080"/>
      <c r="E281" s="2049">
        <v>293922.0</v>
      </c>
      <c r="F281" s="2050"/>
      <c r="G281" s="2050"/>
      <c r="H281" s="2050"/>
      <c r="I281" s="2050"/>
      <c r="J281" s="2050"/>
    </row>
    <row r="282" ht="15.75" hidden="1" customHeight="1" outlineLevel="1">
      <c r="A282" s="2081" t="s">
        <v>233</v>
      </c>
      <c r="B282" s="2080"/>
      <c r="C282" s="2080"/>
      <c r="D282" s="2080"/>
      <c r="E282" s="2049">
        <v>293923.0</v>
      </c>
      <c r="F282" s="2050"/>
      <c r="G282" s="2050"/>
      <c r="H282" s="2050"/>
      <c r="I282" s="2050"/>
      <c r="J282" s="2050"/>
    </row>
    <row r="283" ht="15.75" hidden="1" customHeight="1" outlineLevel="1">
      <c r="A283" s="2081"/>
      <c r="B283" s="2080" t="s">
        <v>327</v>
      </c>
      <c r="C283" s="2080"/>
      <c r="D283" s="2080"/>
      <c r="E283" s="2049">
        <v>293881.0</v>
      </c>
      <c r="F283" s="2050"/>
      <c r="G283" s="2050"/>
      <c r="H283" s="2050"/>
      <c r="I283" s="2050"/>
      <c r="J283" s="2050"/>
    </row>
    <row r="284" ht="15.75" hidden="1" customHeight="1" outlineLevel="1">
      <c r="A284" s="2081" t="s">
        <v>214</v>
      </c>
      <c r="B284" s="2080" t="s">
        <v>327</v>
      </c>
      <c r="C284" s="2080"/>
      <c r="D284" s="2080"/>
      <c r="E284" s="2049">
        <v>293888.0</v>
      </c>
      <c r="F284" s="2050"/>
      <c r="G284" s="2050"/>
      <c r="H284" s="2050"/>
      <c r="I284" s="2050"/>
      <c r="J284" s="2050"/>
    </row>
    <row r="285" ht="15.75" hidden="1" customHeight="1" outlineLevel="1">
      <c r="A285" s="2081" t="s">
        <v>218</v>
      </c>
      <c r="B285" s="2080" t="s">
        <v>327</v>
      </c>
      <c r="C285" s="2080"/>
      <c r="D285" s="2080"/>
      <c r="E285" s="2049">
        <v>293918.0</v>
      </c>
      <c r="F285" s="2050"/>
      <c r="G285" s="2050"/>
      <c r="H285" s="2050"/>
      <c r="I285" s="2050"/>
      <c r="J285" s="2050"/>
    </row>
    <row r="286" ht="15.75" hidden="1" customHeight="1" outlineLevel="1">
      <c r="A286" s="2081" t="s">
        <v>220</v>
      </c>
      <c r="B286" s="2080" t="s">
        <v>327</v>
      </c>
      <c r="C286" s="2080"/>
      <c r="D286" s="2080"/>
      <c r="E286" s="2049">
        <v>293484.0</v>
      </c>
      <c r="F286" s="2050"/>
      <c r="G286" s="2050"/>
      <c r="H286" s="2050"/>
      <c r="I286" s="2050"/>
      <c r="J286" s="2050"/>
    </row>
    <row r="287" ht="15.75" hidden="1" customHeight="1" outlineLevel="1">
      <c r="A287" s="2084" t="s">
        <v>226</v>
      </c>
      <c r="B287" s="2080"/>
      <c r="C287" s="2080"/>
      <c r="D287" s="2080"/>
      <c r="E287" s="2049"/>
      <c r="F287" s="2050"/>
      <c r="G287" s="2050"/>
      <c r="H287" s="2050"/>
      <c r="I287" s="2050"/>
      <c r="J287" s="2050"/>
    </row>
    <row r="288" ht="15.75" hidden="1" customHeight="1" outlineLevel="1">
      <c r="A288" s="2084" t="s">
        <v>223</v>
      </c>
      <c r="B288" s="2080"/>
      <c r="C288" s="2080"/>
      <c r="D288" s="2080"/>
      <c r="E288" s="2049"/>
      <c r="F288" s="2050"/>
      <c r="G288" s="2050"/>
      <c r="H288" s="2050"/>
      <c r="I288" s="2050"/>
      <c r="J288" s="2050"/>
    </row>
    <row r="289" ht="15.75" hidden="1" customHeight="1" outlineLevel="1">
      <c r="A289" s="2084" t="s">
        <v>227</v>
      </c>
      <c r="B289" s="2080"/>
      <c r="C289" s="2080"/>
      <c r="D289" s="2080"/>
      <c r="E289" s="2049"/>
      <c r="F289" s="2050"/>
      <c r="G289" s="2050"/>
      <c r="H289" s="2050"/>
      <c r="I289" s="2050"/>
      <c r="J289" s="2050"/>
    </row>
    <row r="290" ht="15.75" hidden="1" customHeight="1" outlineLevel="1">
      <c r="A290" s="2084" t="s">
        <v>229</v>
      </c>
      <c r="B290" s="2080"/>
      <c r="C290" s="2080"/>
      <c r="D290" s="2080"/>
      <c r="E290" s="2049"/>
      <c r="F290" s="2050"/>
      <c r="G290" s="2050"/>
      <c r="H290" s="2050"/>
      <c r="I290" s="2050"/>
      <c r="J290" s="2050"/>
    </row>
    <row r="291" ht="15.75" hidden="1" customHeight="1" outlineLevel="1">
      <c r="A291" s="2084" t="s">
        <v>231</v>
      </c>
      <c r="B291" s="2080"/>
      <c r="C291" s="2080"/>
      <c r="D291" s="2080"/>
      <c r="E291" s="2049"/>
      <c r="F291" s="2050"/>
      <c r="G291" s="2050"/>
      <c r="H291" s="2050"/>
      <c r="I291" s="2050"/>
      <c r="J291" s="2050"/>
    </row>
    <row r="292" ht="15.75" hidden="1" customHeight="1" outlineLevel="1">
      <c r="A292" s="2084" t="s">
        <v>232</v>
      </c>
      <c r="B292" s="2080"/>
      <c r="C292" s="2080"/>
      <c r="D292" s="2080"/>
      <c r="E292" s="2049"/>
      <c r="F292" s="2050"/>
      <c r="G292" s="2050"/>
      <c r="H292" s="2050"/>
      <c r="I292" s="2050"/>
      <c r="J292" s="2050"/>
    </row>
    <row r="293" ht="15.75" hidden="1" customHeight="1" outlineLevel="1">
      <c r="A293" s="2085" t="s">
        <v>250</v>
      </c>
      <c r="B293" s="2048">
        <v>2.116441487E9</v>
      </c>
      <c r="C293" s="223">
        <v>6.11036178E9</v>
      </c>
      <c r="D293" s="224" t="s">
        <v>843</v>
      </c>
      <c r="E293" s="2049">
        <v>4.22196093E8</v>
      </c>
      <c r="F293" s="2102">
        <v>322.78</v>
      </c>
      <c r="G293" s="2102">
        <v>42.65</v>
      </c>
      <c r="H293" s="2102">
        <v>2.96</v>
      </c>
      <c r="I293" s="2050"/>
      <c r="J293" s="2050"/>
      <c r="K293" s="94" t="s">
        <v>1693</v>
      </c>
    </row>
    <row r="294" ht="15.75" hidden="1" customHeight="1" outlineLevel="1">
      <c r="A294" s="2085" t="s">
        <v>238</v>
      </c>
      <c r="B294" s="2048">
        <v>2.116441498E9</v>
      </c>
      <c r="C294" s="223">
        <v>6.110363032E9</v>
      </c>
      <c r="D294" s="224" t="s">
        <v>847</v>
      </c>
      <c r="E294" s="2049">
        <v>4.22410189E8</v>
      </c>
      <c r="F294" s="2078"/>
      <c r="G294" s="2078"/>
      <c r="H294" s="2078"/>
      <c r="I294" s="2078"/>
      <c r="J294" s="2050"/>
    </row>
    <row r="295" ht="15.75" hidden="1" customHeight="1" outlineLevel="1">
      <c r="A295" s="2085" t="s">
        <v>252</v>
      </c>
      <c r="B295" s="2048">
        <v>2.116441502E9</v>
      </c>
      <c r="C295" s="223">
        <v>6.110363122E9</v>
      </c>
      <c r="D295" s="224" t="s">
        <v>850</v>
      </c>
      <c r="E295" s="2049">
        <v>4.22881705E8</v>
      </c>
      <c r="F295" s="2050">
        <v>62.05</v>
      </c>
      <c r="G295" s="2050">
        <v>47.33</v>
      </c>
      <c r="H295" s="2050">
        <v>1.19</v>
      </c>
      <c r="I295" s="2050"/>
      <c r="J295" s="2050"/>
    </row>
    <row r="296" ht="15.75" hidden="1" customHeight="1" outlineLevel="1">
      <c r="A296" s="2085" t="s">
        <v>254</v>
      </c>
      <c r="B296" s="2048">
        <v>2.116441513E9</v>
      </c>
      <c r="C296" s="223">
        <v>6.11036304E9</v>
      </c>
      <c r="D296" s="224" t="s">
        <v>852</v>
      </c>
      <c r="E296" s="2049">
        <v>4.22740287E8</v>
      </c>
      <c r="F296" s="2078"/>
      <c r="G296" s="2078"/>
      <c r="H296" s="2078"/>
      <c r="I296" s="2078"/>
      <c r="J296" s="2050"/>
    </row>
    <row r="297" ht="15.75" hidden="1" customHeight="1" outlineLevel="1">
      <c r="A297" s="2085" t="s">
        <v>256</v>
      </c>
      <c r="B297" s="2048">
        <v>2.116441524E9</v>
      </c>
      <c r="C297" s="223">
        <v>6.1103631E9</v>
      </c>
      <c r="D297" s="224" t="s">
        <v>854</v>
      </c>
      <c r="E297" s="2049">
        <v>4.22939148E8</v>
      </c>
      <c r="F297" s="2086"/>
      <c r="G297" s="2086"/>
      <c r="H297" s="2086"/>
      <c r="I297" s="2086"/>
      <c r="J297" s="2050"/>
    </row>
    <row r="298" ht="15.75" hidden="1" customHeight="1" outlineLevel="1">
      <c r="A298" s="2085" t="s">
        <v>258</v>
      </c>
      <c r="B298" s="2048">
        <v>2.116441535E9</v>
      </c>
      <c r="C298" s="223">
        <v>6.11036301E9</v>
      </c>
      <c r="D298" s="224" t="s">
        <v>856</v>
      </c>
      <c r="E298" s="2049">
        <v>4.22474071E8</v>
      </c>
      <c r="F298" s="2050">
        <v>42.13</v>
      </c>
      <c r="G298" s="2050">
        <v>33.11</v>
      </c>
      <c r="H298" s="2050">
        <v>2.67</v>
      </c>
      <c r="I298" s="2050"/>
      <c r="J298" s="2050"/>
    </row>
    <row r="299" ht="15.75" hidden="1" customHeight="1" outlineLevel="1">
      <c r="A299" s="2085" t="s">
        <v>260</v>
      </c>
      <c r="B299" s="2048">
        <v>2.116441546E9</v>
      </c>
      <c r="C299" s="223">
        <v>6.110363081E9</v>
      </c>
      <c r="D299" s="224" t="s">
        <v>859</v>
      </c>
      <c r="E299" s="2049">
        <v>4.22367309E8</v>
      </c>
      <c r="F299" s="2078"/>
      <c r="G299" s="2078"/>
      <c r="H299" s="2078"/>
      <c r="I299" s="2078"/>
      <c r="J299" s="2050"/>
    </row>
    <row r="300" ht="15.75" hidden="1" customHeight="1" outlineLevel="1">
      <c r="A300" s="2085" t="s">
        <v>262</v>
      </c>
      <c r="B300" s="2048">
        <v>2.116441557E9</v>
      </c>
      <c r="C300" s="223">
        <v>6.110363002E9</v>
      </c>
      <c r="D300" s="224" t="s">
        <v>862</v>
      </c>
      <c r="E300" s="2049">
        <v>4.22660277E8</v>
      </c>
      <c r="F300" s="2050">
        <v>64.33</v>
      </c>
      <c r="G300" s="2050">
        <v>35.54</v>
      </c>
      <c r="H300" s="2050">
        <v>1.19</v>
      </c>
      <c r="I300" s="2050"/>
      <c r="J300" s="2050"/>
    </row>
    <row r="301" ht="15.75" hidden="1" customHeight="1" outlineLevel="1">
      <c r="A301" s="2085" t="s">
        <v>240</v>
      </c>
      <c r="B301" s="2048">
        <v>2.116441568E9</v>
      </c>
      <c r="C301" s="223">
        <v>6.11036298E9</v>
      </c>
      <c r="D301" s="224" t="s">
        <v>864</v>
      </c>
      <c r="E301" s="2049">
        <v>4.22325794E8</v>
      </c>
      <c r="F301" s="2050">
        <v>142.89</v>
      </c>
      <c r="G301" s="2050">
        <v>56.68</v>
      </c>
      <c r="H301" s="2050">
        <v>1.78</v>
      </c>
      <c r="I301" s="2050"/>
      <c r="J301" s="2050"/>
    </row>
    <row r="302" ht="15.75" hidden="1" customHeight="1" outlineLevel="1">
      <c r="A302" s="2085" t="s">
        <v>264</v>
      </c>
      <c r="B302" s="2048">
        <v>2.116441637E9</v>
      </c>
      <c r="C302" s="2087">
        <v>6.110362972E9</v>
      </c>
      <c r="D302" s="224" t="s">
        <v>867</v>
      </c>
      <c r="E302" s="2088">
        <v>4.22444717E8</v>
      </c>
      <c r="F302" s="2086"/>
      <c r="G302" s="2086"/>
      <c r="H302" s="2086"/>
      <c r="I302" s="2086"/>
      <c r="J302" s="2050"/>
    </row>
    <row r="303" ht="15.75" hidden="1" customHeight="1" outlineLevel="1">
      <c r="A303" s="2085" t="s">
        <v>266</v>
      </c>
      <c r="B303" s="2048">
        <v>2.116576549E9</v>
      </c>
      <c r="C303" s="223">
        <v>6.110363021E9</v>
      </c>
      <c r="D303" s="224" t="s">
        <v>870</v>
      </c>
      <c r="E303" s="2049">
        <v>4.22433459E8</v>
      </c>
      <c r="F303" s="2086"/>
      <c r="G303" s="2086"/>
      <c r="H303" s="2086"/>
      <c r="I303" s="2086"/>
      <c r="J303" s="2050"/>
    </row>
    <row r="304" ht="15.75" hidden="1" customHeight="1" outlineLevel="1">
      <c r="A304" s="2085" t="s">
        <v>268</v>
      </c>
      <c r="B304" s="2048">
        <v>2.11657655E9</v>
      </c>
      <c r="C304" s="223">
        <v>6.110362961E9</v>
      </c>
      <c r="D304" s="224" t="s">
        <v>873</v>
      </c>
      <c r="E304" s="2049">
        <v>4.226691E8</v>
      </c>
      <c r="F304" s="2078"/>
      <c r="G304" s="2078"/>
      <c r="H304" s="2078"/>
      <c r="I304" s="2078"/>
      <c r="J304" s="2050"/>
    </row>
    <row r="305" ht="15.75" hidden="1" customHeight="1" outlineLevel="1">
      <c r="A305" s="2085" t="s">
        <v>242</v>
      </c>
      <c r="B305" s="2048">
        <v>2.116576561E9</v>
      </c>
      <c r="C305" s="223">
        <v>6.11036295E9</v>
      </c>
      <c r="D305" s="224" t="s">
        <v>875</v>
      </c>
      <c r="E305" s="2049">
        <v>4.22752735E8</v>
      </c>
      <c r="F305" s="2050">
        <v>13.66</v>
      </c>
      <c r="G305" s="2050">
        <v>32.93</v>
      </c>
      <c r="H305" s="2050">
        <v>0.89</v>
      </c>
      <c r="I305" s="2050"/>
      <c r="J305" s="2050"/>
    </row>
    <row r="306" ht="15.75" hidden="1" customHeight="1" outlineLevel="1">
      <c r="A306" s="2085" t="s">
        <v>270</v>
      </c>
      <c r="B306" s="2048">
        <v>2.116576572E9</v>
      </c>
      <c r="C306" s="223">
        <v>6.110362942E9</v>
      </c>
      <c r="D306" s="224" t="s">
        <v>878</v>
      </c>
      <c r="E306" s="2049">
        <v>4.22320003E8</v>
      </c>
      <c r="F306" s="2086"/>
      <c r="G306" s="2086"/>
      <c r="H306" s="2086"/>
      <c r="I306" s="2086"/>
      <c r="J306" s="2050"/>
    </row>
    <row r="307" ht="15.75" hidden="1" customHeight="1" outlineLevel="1">
      <c r="A307" s="2085" t="s">
        <v>272</v>
      </c>
      <c r="B307" s="2048">
        <v>2.116576583E9</v>
      </c>
      <c r="C307" s="223">
        <v>6.110362931E9</v>
      </c>
      <c r="D307" s="224" t="s">
        <v>881</v>
      </c>
      <c r="E307" s="2049">
        <v>4.22281971E8</v>
      </c>
      <c r="F307" s="2089"/>
      <c r="G307" s="2089"/>
      <c r="H307" s="2089"/>
      <c r="I307" s="2089"/>
      <c r="J307" s="2050"/>
    </row>
    <row r="308" ht="15.75" hidden="1" customHeight="1" outlineLevel="1">
      <c r="A308" s="2085" t="s">
        <v>274</v>
      </c>
      <c r="B308" s="2048">
        <v>2.116576594E9</v>
      </c>
      <c r="C308" s="2087">
        <v>6.11036313E9</v>
      </c>
      <c r="D308" s="224" t="s">
        <v>884</v>
      </c>
      <c r="E308" s="2049">
        <v>4.22169558E8</v>
      </c>
      <c r="F308" s="2090"/>
      <c r="G308" s="2090"/>
      <c r="H308" s="2090"/>
      <c r="I308" s="2090"/>
      <c r="J308" s="2050"/>
    </row>
    <row r="309" ht="15.75" hidden="1" customHeight="1" outlineLevel="1">
      <c r="A309" s="2085" t="s">
        <v>276</v>
      </c>
      <c r="B309" s="2048">
        <v>2.116576607E9</v>
      </c>
      <c r="C309" s="223">
        <v>6.110363111E9</v>
      </c>
      <c r="D309" s="224" t="s">
        <v>886</v>
      </c>
      <c r="E309" s="2049">
        <v>4.22196288E8</v>
      </c>
      <c r="F309" s="2050">
        <v>88.81</v>
      </c>
      <c r="G309" s="2050">
        <v>36.67</v>
      </c>
      <c r="H309" s="2050">
        <v>0.88</v>
      </c>
      <c r="I309" s="2050"/>
      <c r="J309" s="2050"/>
    </row>
    <row r="310" ht="15.75" hidden="1" customHeight="1" outlineLevel="1">
      <c r="A310" s="2085" t="s">
        <v>278</v>
      </c>
      <c r="B310" s="2048">
        <v>2.116576618E9</v>
      </c>
      <c r="C310" s="223">
        <v>6.110363092E9</v>
      </c>
      <c r="D310" s="224" t="s">
        <v>888</v>
      </c>
      <c r="E310" s="2049">
        <v>4.22278289E8</v>
      </c>
      <c r="F310" s="2078"/>
      <c r="G310" s="2078"/>
      <c r="H310" s="2078"/>
      <c r="I310" s="2078"/>
      <c r="J310" s="2050"/>
    </row>
    <row r="311" ht="15.75" hidden="1" customHeight="1" outlineLevel="1">
      <c r="A311" s="2085" t="s">
        <v>280</v>
      </c>
      <c r="B311" s="2048">
        <v>2.116576629E9</v>
      </c>
      <c r="C311" s="2087">
        <v>6.11036307E9</v>
      </c>
      <c r="D311" s="224" t="s">
        <v>891</v>
      </c>
      <c r="E311" s="2049">
        <v>4.22929242E8</v>
      </c>
      <c r="F311" s="2112">
        <v>101.33</v>
      </c>
      <c r="G311" s="2112">
        <v>113.58</v>
      </c>
      <c r="H311" s="2112">
        <v>0.59</v>
      </c>
      <c r="I311" s="2112"/>
      <c r="J311" s="2050"/>
    </row>
    <row r="312" ht="15.75" hidden="1" customHeight="1" outlineLevel="1">
      <c r="A312" s="2085" t="s">
        <v>283</v>
      </c>
      <c r="B312" s="2048">
        <v>2.11657663E9</v>
      </c>
      <c r="C312" s="223">
        <v>6.110363062E9</v>
      </c>
      <c r="D312" s="224" t="s">
        <v>893</v>
      </c>
      <c r="E312" s="2049">
        <v>4.22720411E8</v>
      </c>
      <c r="F312" s="2078"/>
      <c r="G312" s="2078"/>
      <c r="H312" s="2078"/>
      <c r="I312" s="2078"/>
      <c r="J312" s="2050"/>
    </row>
    <row r="313" ht="15.75" hidden="1" customHeight="1" outlineLevel="1">
      <c r="A313" s="2085" t="s">
        <v>286</v>
      </c>
      <c r="B313" s="2053">
        <v>2.116576641E9</v>
      </c>
      <c r="C313" s="2092">
        <v>6.110362991E9</v>
      </c>
      <c r="D313" s="2093" t="s">
        <v>897</v>
      </c>
      <c r="E313" s="2094">
        <v>4.22920502E8</v>
      </c>
      <c r="F313" s="2050">
        <v>167.94</v>
      </c>
      <c r="G313" s="2050">
        <v>24.32</v>
      </c>
      <c r="H313" s="2050">
        <v>1.78</v>
      </c>
      <c r="I313" s="2050"/>
      <c r="J313" s="2050"/>
    </row>
    <row r="314" ht="15.75" hidden="1" customHeight="1" outlineLevel="1">
      <c r="A314" s="2085" t="s">
        <v>189</v>
      </c>
      <c r="B314" s="2083"/>
      <c r="C314" s="2080"/>
      <c r="D314" s="2080"/>
      <c r="E314" s="2095"/>
      <c r="F314" s="2050"/>
      <c r="G314" s="2050"/>
      <c r="H314" s="2050"/>
      <c r="I314" s="2050"/>
      <c r="J314" s="2050"/>
    </row>
    <row r="315" ht="15.75" hidden="1" customHeight="1" outlineLevel="1">
      <c r="A315" s="2096" t="s">
        <v>235</v>
      </c>
      <c r="B315" s="2097">
        <v>2.116579553E9</v>
      </c>
      <c r="C315" s="2098">
        <v>6.110365522E9</v>
      </c>
      <c r="D315" s="2098" t="s">
        <v>1694</v>
      </c>
      <c r="E315" s="2099">
        <v>4.22732514E8</v>
      </c>
      <c r="F315" s="2113">
        <v>86.53</v>
      </c>
      <c r="G315" s="2113">
        <v>92.44</v>
      </c>
      <c r="H315" s="2113">
        <v>1.18</v>
      </c>
      <c r="I315" s="2113">
        <v>33.0</v>
      </c>
      <c r="J315" s="2113"/>
      <c r="K315" s="94" t="s">
        <v>1695</v>
      </c>
    </row>
    <row r="316" ht="15.75" customHeight="1" collapsed="1">
      <c r="C316" s="475"/>
    </row>
    <row r="317" ht="15.75" customHeight="1">
      <c r="C317" s="475"/>
    </row>
    <row r="318" ht="15.75" hidden="1" customHeight="1" outlineLevel="1">
      <c r="A318" s="2002" t="s">
        <v>1696</v>
      </c>
      <c r="C318" s="475"/>
    </row>
    <row r="319" ht="15.75" hidden="1" customHeight="1" outlineLevel="1">
      <c r="A319" s="2039" t="s">
        <v>1667</v>
      </c>
      <c r="B319" s="2040"/>
      <c r="C319" s="2040"/>
      <c r="D319" s="2040"/>
      <c r="E319" s="2041"/>
      <c r="F319" s="2042" t="s">
        <v>1668</v>
      </c>
      <c r="G319" s="2040"/>
      <c r="H319" s="2040"/>
      <c r="I319" s="2040"/>
      <c r="J319" s="2041"/>
    </row>
    <row r="320" ht="15.75" hidden="1" customHeight="1" outlineLevel="1">
      <c r="A320" s="2043" t="s">
        <v>303</v>
      </c>
      <c r="B320" s="2044" t="s">
        <v>312</v>
      </c>
      <c r="C320" s="2045" t="s">
        <v>313</v>
      </c>
      <c r="D320" s="2044" t="s">
        <v>314</v>
      </c>
      <c r="E320" s="2045" t="s">
        <v>315</v>
      </c>
      <c r="F320" s="2046" t="s">
        <v>312</v>
      </c>
      <c r="G320" s="2046" t="s">
        <v>313</v>
      </c>
      <c r="H320" s="2046" t="s">
        <v>314</v>
      </c>
      <c r="I320" s="2046" t="s">
        <v>1669</v>
      </c>
      <c r="J320" s="2046" t="s">
        <v>315</v>
      </c>
    </row>
    <row r="321" ht="15.75" hidden="1" customHeight="1" outlineLevel="1">
      <c r="A321" s="2047" t="s">
        <v>24</v>
      </c>
      <c r="B321" s="2048" t="s">
        <v>327</v>
      </c>
      <c r="C321" s="223">
        <v>6.011234992E9</v>
      </c>
      <c r="D321" s="224" t="s">
        <v>328</v>
      </c>
      <c r="E321" s="2049">
        <v>4.22209727E8</v>
      </c>
      <c r="F321" s="2050"/>
      <c r="G321" s="2102">
        <v>24.51</v>
      </c>
      <c r="H321" s="2114" t="s">
        <v>1697</v>
      </c>
      <c r="I321" s="2050"/>
      <c r="J321" s="2090">
        <v>33.0</v>
      </c>
      <c r="K321" s="94">
        <v>1.5</v>
      </c>
      <c r="L321" s="94">
        <f>(F321+G321+I321+J321)+1.5+2</f>
        <v>61.01</v>
      </c>
    </row>
    <row r="322" ht="15.75" hidden="1" customHeight="1" outlineLevel="1">
      <c r="A322" s="2047" t="s">
        <v>29</v>
      </c>
      <c r="B322" s="2048" t="s">
        <v>327</v>
      </c>
      <c r="C322" s="223">
        <v>6.01109493E9</v>
      </c>
      <c r="D322" s="224" t="s">
        <v>338</v>
      </c>
      <c r="E322" s="2049">
        <v>4.22589587E8</v>
      </c>
      <c r="F322" s="2050"/>
      <c r="G322" s="2102">
        <v>5.6</v>
      </c>
      <c r="H322" s="2103">
        <v>0.52</v>
      </c>
      <c r="I322" s="2050"/>
      <c r="J322" s="2090">
        <v>42.0</v>
      </c>
      <c r="L322" s="94">
        <f t="shared" ref="L322:L330" si="1">(F322+G322+H322+I322+J322)+1.5+2</f>
        <v>51.62</v>
      </c>
    </row>
    <row r="323" ht="15.75" hidden="1" customHeight="1" outlineLevel="1">
      <c r="A323" s="2047" t="s">
        <v>32</v>
      </c>
      <c r="B323" s="2048" t="s">
        <v>327</v>
      </c>
      <c r="C323" s="223">
        <v>6.0114696E9</v>
      </c>
      <c r="D323" s="224" t="s">
        <v>345</v>
      </c>
      <c r="E323" s="2049">
        <v>4.22898373E8</v>
      </c>
      <c r="F323" s="2050"/>
      <c r="G323" s="2102">
        <v>49.39</v>
      </c>
      <c r="H323" s="2103">
        <v>29.35</v>
      </c>
      <c r="I323" s="2050"/>
      <c r="J323" s="2090">
        <v>38.0</v>
      </c>
      <c r="L323" s="94">
        <f t="shared" si="1"/>
        <v>120.24</v>
      </c>
    </row>
    <row r="324" ht="15.75" hidden="1" customHeight="1" outlineLevel="1">
      <c r="A324" s="2051" t="s">
        <v>35</v>
      </c>
      <c r="B324" s="2048" t="s">
        <v>327</v>
      </c>
      <c r="C324" s="2052">
        <v>6.011333411E9</v>
      </c>
      <c r="D324" s="224" t="s">
        <v>353</v>
      </c>
      <c r="E324" s="2049">
        <v>4.22454408E8</v>
      </c>
      <c r="F324" s="2050"/>
      <c r="G324" s="2102">
        <v>5.6</v>
      </c>
      <c r="H324" s="2103">
        <v>0.52</v>
      </c>
      <c r="I324" s="2050">
        <v>83.33</v>
      </c>
      <c r="J324" s="2090">
        <v>47.0</v>
      </c>
      <c r="L324" s="94">
        <f t="shared" si="1"/>
        <v>139.95</v>
      </c>
    </row>
    <row r="325" ht="15.75" hidden="1" customHeight="1" outlineLevel="1">
      <c r="A325" s="2051" t="s">
        <v>37</v>
      </c>
      <c r="B325" s="2048" t="s">
        <v>327</v>
      </c>
      <c r="C325" s="223">
        <v>6.011554481E9</v>
      </c>
      <c r="D325" s="224" t="s">
        <v>359</v>
      </c>
      <c r="E325" s="2049">
        <v>4.22958722E8</v>
      </c>
      <c r="F325" s="2050"/>
      <c r="G325" s="2102">
        <v>22.45</v>
      </c>
      <c r="H325" s="2103">
        <v>1.04</v>
      </c>
      <c r="I325" s="2050"/>
      <c r="J325" s="2090">
        <v>42.0</v>
      </c>
      <c r="L325" s="94">
        <f t="shared" si="1"/>
        <v>68.99</v>
      </c>
    </row>
    <row r="326" ht="15.75" hidden="1" customHeight="1" outlineLevel="1">
      <c r="A326" s="2047" t="s">
        <v>39</v>
      </c>
      <c r="B326" s="2048" t="s">
        <v>327</v>
      </c>
      <c r="C326" s="223">
        <v>6.011366441E9</v>
      </c>
      <c r="D326" s="224" t="s">
        <v>366</v>
      </c>
      <c r="E326" s="2049">
        <v>4.22609023E8</v>
      </c>
      <c r="F326" s="2050"/>
      <c r="G326" s="2102">
        <v>13.55</v>
      </c>
      <c r="H326" s="2103">
        <v>29.34</v>
      </c>
      <c r="I326" s="2050"/>
      <c r="J326" s="2090">
        <v>42.0</v>
      </c>
      <c r="L326" s="94">
        <f t="shared" si="1"/>
        <v>88.39</v>
      </c>
    </row>
    <row r="327" ht="15.75" hidden="1" customHeight="1" outlineLevel="1">
      <c r="A327" s="2047" t="s">
        <v>41</v>
      </c>
      <c r="B327" s="2048" t="s">
        <v>327</v>
      </c>
      <c r="C327" s="223">
        <v>6.011394071E9</v>
      </c>
      <c r="D327" s="224" t="s">
        <v>375</v>
      </c>
      <c r="E327" s="2049">
        <v>4.22464178E8</v>
      </c>
      <c r="F327" s="2050"/>
      <c r="G327" s="2102">
        <v>7.95</v>
      </c>
      <c r="H327" s="2103">
        <v>1.03</v>
      </c>
      <c r="I327" s="2050"/>
      <c r="J327" s="2090">
        <v>42.0</v>
      </c>
      <c r="L327" s="94">
        <f t="shared" si="1"/>
        <v>54.48</v>
      </c>
    </row>
    <row r="328" ht="15.75" hidden="1" customHeight="1" outlineLevel="1">
      <c r="A328" s="2047" t="s">
        <v>43</v>
      </c>
      <c r="B328" s="2048" t="s">
        <v>327</v>
      </c>
      <c r="C328" s="223">
        <v>6.011095331E9</v>
      </c>
      <c r="D328" s="224" t="s">
        <v>382</v>
      </c>
      <c r="E328" s="2049">
        <v>4.2237325E8</v>
      </c>
      <c r="F328" s="2050"/>
      <c r="G328" s="2102">
        <v>3.83</v>
      </c>
      <c r="H328" s="2103">
        <v>0.52</v>
      </c>
      <c r="I328" s="2050"/>
      <c r="J328" s="2090">
        <v>42.0</v>
      </c>
      <c r="L328" s="94">
        <f t="shared" si="1"/>
        <v>49.85</v>
      </c>
    </row>
    <row r="329" ht="15.75" hidden="1" customHeight="1" outlineLevel="1">
      <c r="A329" s="2047" t="s">
        <v>45</v>
      </c>
      <c r="B329" s="2048" t="s">
        <v>327</v>
      </c>
      <c r="C329" s="223">
        <v>6.0110922E9</v>
      </c>
      <c r="D329" s="224" t="s">
        <v>388</v>
      </c>
      <c r="E329" s="2049">
        <v>4.22355072E8</v>
      </c>
      <c r="F329" s="2050"/>
      <c r="G329" s="2102">
        <v>5.3</v>
      </c>
      <c r="H329" s="2103">
        <v>0.52</v>
      </c>
      <c r="I329" s="2050"/>
      <c r="J329" s="2090">
        <v>42.0</v>
      </c>
      <c r="L329" s="94">
        <f t="shared" si="1"/>
        <v>51.32</v>
      </c>
    </row>
    <row r="330" ht="15.75" hidden="1" customHeight="1" outlineLevel="1">
      <c r="A330" s="2047" t="s">
        <v>48</v>
      </c>
      <c r="B330" s="2053" t="s">
        <v>327</v>
      </c>
      <c r="C330" s="223">
        <v>6.011093302E9</v>
      </c>
      <c r="D330" s="224" t="s">
        <v>395</v>
      </c>
      <c r="E330" s="2049">
        <v>4.22681834E8</v>
      </c>
      <c r="F330" s="2050"/>
      <c r="G330" s="2102">
        <v>8.25</v>
      </c>
      <c r="H330" s="2103">
        <v>0.52</v>
      </c>
      <c r="I330" s="2050"/>
      <c r="J330" s="2090">
        <v>42.0</v>
      </c>
      <c r="K330" s="547" t="s">
        <v>1698</v>
      </c>
      <c r="L330" s="94">
        <f t="shared" si="1"/>
        <v>54.27</v>
      </c>
    </row>
    <row r="331" ht="15.75" hidden="1" customHeight="1" outlineLevel="1">
      <c r="A331" s="2047" t="s">
        <v>50</v>
      </c>
      <c r="B331" s="2048" t="s">
        <v>327</v>
      </c>
      <c r="C331" s="223">
        <v>6.011320361E9</v>
      </c>
      <c r="D331" s="224" t="s">
        <v>401</v>
      </c>
      <c r="E331" s="2049">
        <v>4.22450253E8</v>
      </c>
      <c r="F331" s="2050"/>
      <c r="G331" s="2102">
        <v>9.43</v>
      </c>
      <c r="H331" s="2103" t="s">
        <v>1697</v>
      </c>
      <c r="I331" s="2050"/>
      <c r="J331" s="2090">
        <v>42.0</v>
      </c>
      <c r="K331" s="547" t="s">
        <v>1698</v>
      </c>
      <c r="L331" s="94">
        <f>(F331+G331+I331+J331)+1.5+2</f>
        <v>54.93</v>
      </c>
    </row>
    <row r="332" ht="15.75" hidden="1" customHeight="1" outlineLevel="1">
      <c r="A332" s="2047" t="s">
        <v>52</v>
      </c>
      <c r="B332" s="2053" t="s">
        <v>327</v>
      </c>
      <c r="C332" s="223">
        <v>6.01118289E9</v>
      </c>
      <c r="D332" s="224" t="s">
        <v>406</v>
      </c>
      <c r="E332" s="2049">
        <v>4.22532923E8</v>
      </c>
      <c r="F332" s="2050"/>
      <c r="G332" s="2102">
        <v>9.58</v>
      </c>
      <c r="H332" s="2103">
        <v>17.61</v>
      </c>
      <c r="I332" s="2050"/>
      <c r="J332" s="2090">
        <v>45.0</v>
      </c>
      <c r="L332" s="94">
        <f>(F332+G332+H332+I332+J332)+2</f>
        <v>74.19</v>
      </c>
    </row>
    <row r="333" ht="15.75" hidden="1" customHeight="1" outlineLevel="1">
      <c r="A333" s="2047" t="s">
        <v>54</v>
      </c>
      <c r="B333" s="2048" t="s">
        <v>327</v>
      </c>
      <c r="C333" s="223">
        <v>6.011093692E9</v>
      </c>
      <c r="D333" s="224" t="s">
        <v>412</v>
      </c>
      <c r="E333" s="2049">
        <v>4.22094809E8</v>
      </c>
      <c r="F333" s="2050"/>
      <c r="G333" s="2102">
        <v>7.66</v>
      </c>
      <c r="H333" s="2103">
        <v>0.52</v>
      </c>
      <c r="I333" s="2050"/>
      <c r="J333" s="2090">
        <v>42.0</v>
      </c>
      <c r="L333" s="94">
        <f>(F333+G333+H333+I333+J333)+1.5+2</f>
        <v>53.68</v>
      </c>
    </row>
    <row r="334" ht="15.75" hidden="1" customHeight="1" outlineLevel="1">
      <c r="A334" s="2047" t="s">
        <v>56</v>
      </c>
      <c r="B334" s="2048" t="s">
        <v>327</v>
      </c>
      <c r="C334" s="223">
        <v>6.011093471E9</v>
      </c>
      <c r="D334" s="224" t="s">
        <v>419</v>
      </c>
      <c r="E334" s="2049">
        <v>4.22284141E8</v>
      </c>
      <c r="F334" s="2050"/>
      <c r="G334" s="2102" t="s">
        <v>1697</v>
      </c>
      <c r="H334" s="2103">
        <v>0.52</v>
      </c>
      <c r="I334" s="2050"/>
      <c r="J334" s="2090">
        <v>42.0</v>
      </c>
      <c r="L334" s="94">
        <f>(F334+H334+I334+J334)+1.5+2</f>
        <v>46.02</v>
      </c>
    </row>
    <row r="335" ht="15.75" hidden="1" customHeight="1" outlineLevel="1">
      <c r="A335" s="2051" t="s">
        <v>59</v>
      </c>
      <c r="B335" s="2048" t="s">
        <v>327</v>
      </c>
      <c r="C335" s="2054"/>
      <c r="D335" s="2054"/>
      <c r="E335" s="2049"/>
      <c r="F335" s="2050"/>
      <c r="G335" s="2102"/>
      <c r="H335" s="2103"/>
      <c r="I335" s="2050"/>
      <c r="J335" s="2090">
        <v>32.0</v>
      </c>
    </row>
    <row r="336" ht="15.75" hidden="1" customHeight="1" outlineLevel="1">
      <c r="A336" s="2051" t="s">
        <v>62</v>
      </c>
      <c r="B336" s="2048" t="s">
        <v>327</v>
      </c>
      <c r="C336" s="223">
        <v>6.01136445E9</v>
      </c>
      <c r="D336" s="224" t="s">
        <v>434</v>
      </c>
      <c r="E336" s="2049">
        <v>4.22313986E8</v>
      </c>
      <c r="F336" s="2050"/>
      <c r="G336" s="2102">
        <v>150.05</v>
      </c>
      <c r="H336" s="2103">
        <v>1.19</v>
      </c>
      <c r="I336" s="2050"/>
      <c r="J336" s="2090">
        <v>33.0</v>
      </c>
      <c r="L336" s="94">
        <f>(F336+G336+H336+I336+J336)+1.5+2</f>
        <v>187.74</v>
      </c>
    </row>
    <row r="337" ht="15.75" hidden="1" customHeight="1" outlineLevel="1">
      <c r="A337" s="2051" t="s">
        <v>1699</v>
      </c>
      <c r="B337" s="2048" t="s">
        <v>327</v>
      </c>
      <c r="C337" s="223">
        <v>6.011385862E9</v>
      </c>
      <c r="D337" s="224" t="s">
        <v>470</v>
      </c>
      <c r="E337" s="2049">
        <v>4.2242482E8</v>
      </c>
      <c r="F337" s="2050"/>
      <c r="G337" s="2102">
        <v>8.69</v>
      </c>
      <c r="H337" s="2103" t="s">
        <v>1700</v>
      </c>
      <c r="I337" s="2050"/>
      <c r="J337" s="2090"/>
      <c r="L337" s="94">
        <f>(F337+G337+I337+J337)+2</f>
        <v>10.69</v>
      </c>
    </row>
    <row r="338" ht="15.75" hidden="1" customHeight="1" outlineLevel="1">
      <c r="A338" s="2051" t="s">
        <v>1701</v>
      </c>
      <c r="B338" s="2048" t="s">
        <v>327</v>
      </c>
      <c r="C338" s="207">
        <v>6.011385011E9</v>
      </c>
      <c r="D338" s="177" t="s">
        <v>473</v>
      </c>
      <c r="E338" s="2115">
        <v>4.22860425E8</v>
      </c>
      <c r="F338" s="2050"/>
      <c r="G338" s="2102"/>
      <c r="H338" s="2103">
        <v>1.78</v>
      </c>
      <c r="I338" s="2050"/>
      <c r="J338" s="2090"/>
      <c r="L338" s="94">
        <f>(F338+G338+H338+I338+J338)+1</f>
        <v>2.78</v>
      </c>
    </row>
    <row r="339" ht="15.75" hidden="1" customHeight="1" outlineLevel="1">
      <c r="A339" s="2051" t="s">
        <v>1702</v>
      </c>
      <c r="B339" s="2048" t="s">
        <v>327</v>
      </c>
      <c r="C339" s="207">
        <v>6.011384782E9</v>
      </c>
      <c r="D339" s="177" t="s">
        <v>479</v>
      </c>
      <c r="E339" s="2115">
        <v>4.22288011E8</v>
      </c>
      <c r="G339" s="2102">
        <v>61.17</v>
      </c>
      <c r="H339" s="2103">
        <v>0.29</v>
      </c>
      <c r="I339" s="2050"/>
      <c r="J339" s="2090"/>
      <c r="L339" s="94">
        <f t="shared" ref="L339:L340" si="2">(F339+G339+H339+I339+J339)+2</f>
        <v>63.46</v>
      </c>
    </row>
    <row r="340" ht="15.75" hidden="1" customHeight="1" outlineLevel="1">
      <c r="A340" s="2051" t="s">
        <v>1501</v>
      </c>
      <c r="B340" s="2048" t="s">
        <v>327</v>
      </c>
      <c r="C340" s="207">
        <v>6.011385142E9</v>
      </c>
      <c r="D340" s="177" t="s">
        <v>1703</v>
      </c>
      <c r="E340" s="2115">
        <v>4.22452474E8</v>
      </c>
      <c r="F340" s="2050">
        <v>152.14</v>
      </c>
      <c r="G340" s="2102">
        <v>21.14</v>
      </c>
      <c r="H340" s="2103">
        <v>6.69</v>
      </c>
      <c r="I340" s="2050"/>
      <c r="J340" s="2090"/>
      <c r="K340" s="2116" t="s">
        <v>1698</v>
      </c>
      <c r="L340" s="94">
        <f t="shared" si="2"/>
        <v>181.97</v>
      </c>
    </row>
    <row r="341" ht="15.75" hidden="1" customHeight="1" outlineLevel="1">
      <c r="A341" s="2051" t="s">
        <v>1704</v>
      </c>
      <c r="B341" s="2048" t="s">
        <v>327</v>
      </c>
      <c r="C341" s="207">
        <v>6.011384741E9</v>
      </c>
      <c r="D341" s="177" t="s">
        <v>490</v>
      </c>
      <c r="E341" s="2115">
        <v>4.22911036E8</v>
      </c>
      <c r="F341" s="2050"/>
      <c r="G341" s="2102"/>
      <c r="H341" s="2103"/>
      <c r="I341" s="2050"/>
      <c r="J341" s="2090"/>
      <c r="K341" s="94"/>
    </row>
    <row r="342" ht="15.75" hidden="1" customHeight="1" outlineLevel="1">
      <c r="A342" s="2051" t="s">
        <v>1705</v>
      </c>
      <c r="B342" s="2048" t="s">
        <v>327</v>
      </c>
      <c r="C342" s="207">
        <v>6.011384741E9</v>
      </c>
      <c r="D342" s="177" t="s">
        <v>490</v>
      </c>
      <c r="E342" s="2115">
        <v>4.22911036E8</v>
      </c>
      <c r="F342" s="2050"/>
      <c r="G342" s="2102"/>
      <c r="H342" s="2103">
        <v>0.89</v>
      </c>
      <c r="I342" s="2050"/>
      <c r="J342" s="2090"/>
      <c r="L342" s="94">
        <f>(F342+G342+H342+I342+J342)+1</f>
        <v>1.89</v>
      </c>
    </row>
    <row r="343" ht="15.75" hidden="1" customHeight="1" outlineLevel="1">
      <c r="A343" s="2051" t="s">
        <v>1706</v>
      </c>
      <c r="B343" s="2048" t="s">
        <v>327</v>
      </c>
      <c r="C343" s="207">
        <v>6.011385082E9</v>
      </c>
      <c r="D343" s="177" t="s">
        <v>1707</v>
      </c>
      <c r="E343" s="2115">
        <v>4.22242569E8</v>
      </c>
      <c r="F343" s="2050"/>
      <c r="G343" s="2102"/>
      <c r="H343" s="2103"/>
      <c r="I343" s="2050"/>
      <c r="J343" s="2090"/>
    </row>
    <row r="344" ht="15.75" hidden="1" customHeight="1" outlineLevel="1">
      <c r="A344" s="2051" t="s">
        <v>1708</v>
      </c>
      <c r="B344" s="2048" t="s">
        <v>327</v>
      </c>
      <c r="C344" s="207">
        <v>6.01138482E9</v>
      </c>
      <c r="D344" s="177" t="s">
        <v>500</v>
      </c>
      <c r="E344" s="448">
        <v>4.2263891E8</v>
      </c>
      <c r="F344" s="2050"/>
      <c r="G344" s="2102"/>
      <c r="H344" s="2103"/>
      <c r="I344" s="2050"/>
      <c r="J344" s="2090"/>
    </row>
    <row r="345" ht="15.75" hidden="1" customHeight="1" outlineLevel="1">
      <c r="A345" s="2051" t="s">
        <v>1709</v>
      </c>
      <c r="B345" s="2048" t="s">
        <v>327</v>
      </c>
      <c r="C345" s="207">
        <v>6.011432891E9</v>
      </c>
      <c r="D345" s="177" t="s">
        <v>508</v>
      </c>
      <c r="E345" s="2115">
        <v>4.22203124E8</v>
      </c>
      <c r="F345" s="2050"/>
      <c r="G345" s="2102">
        <v>150.28</v>
      </c>
      <c r="H345" s="2103">
        <v>1.77</v>
      </c>
      <c r="I345" s="2050"/>
      <c r="J345" s="2090"/>
      <c r="L345" s="94">
        <f>(F345+G345+H345+I345+J345)+2</f>
        <v>154.05</v>
      </c>
    </row>
    <row r="346" ht="15.75" hidden="1" customHeight="1" outlineLevel="1">
      <c r="A346" s="2051" t="s">
        <v>1710</v>
      </c>
      <c r="B346" s="2048" t="s">
        <v>327</v>
      </c>
      <c r="C346" s="207">
        <v>6.011372062E9</v>
      </c>
      <c r="D346" s="177" t="s">
        <v>513</v>
      </c>
      <c r="E346" s="2115">
        <v>4.22954682E8</v>
      </c>
      <c r="F346" s="2050"/>
      <c r="G346" s="2102" t="s">
        <v>1697</v>
      </c>
      <c r="H346" s="2103"/>
      <c r="I346" s="2050"/>
      <c r="J346" s="2090"/>
    </row>
    <row r="347" ht="15.75" hidden="1" customHeight="1" outlineLevel="1">
      <c r="A347" s="2051" t="s">
        <v>64</v>
      </c>
      <c r="B347" s="2048" t="s">
        <v>327</v>
      </c>
      <c r="C347" s="176">
        <v>6.011507471E9</v>
      </c>
      <c r="D347" s="177" t="s">
        <v>442</v>
      </c>
      <c r="E347" s="2115">
        <v>4.22988423E8</v>
      </c>
      <c r="F347" s="2050">
        <v>39.8</v>
      </c>
      <c r="G347" s="2102">
        <v>20.77</v>
      </c>
      <c r="H347" s="2103">
        <v>1.19</v>
      </c>
      <c r="I347" s="2050"/>
      <c r="J347" s="2090">
        <v>38.89</v>
      </c>
      <c r="L347" s="94">
        <f>(F347+G347+H347+I347+J347)+1.5+2</f>
        <v>104.15</v>
      </c>
    </row>
    <row r="348" ht="15.75" hidden="1" customHeight="1" outlineLevel="1">
      <c r="A348" s="2051" t="s">
        <v>70</v>
      </c>
      <c r="B348" s="2048" t="s">
        <v>327</v>
      </c>
      <c r="C348" s="223">
        <v>6.01092468E9</v>
      </c>
      <c r="D348" s="224" t="s">
        <v>456</v>
      </c>
      <c r="E348" s="2049">
        <v>4.2212481E8</v>
      </c>
      <c r="F348" s="2050"/>
      <c r="G348" s="2102">
        <v>235.29</v>
      </c>
      <c r="H348" s="2103">
        <v>4.15</v>
      </c>
      <c r="I348" s="2117">
        <v>1453.02</v>
      </c>
      <c r="J348" s="2090"/>
      <c r="L348" s="94">
        <f t="shared" ref="L348:L350" si="3">(F348+G348+H348+I348+J348)+2</f>
        <v>1694.46</v>
      </c>
    </row>
    <row r="349" ht="15.75" hidden="1" customHeight="1" outlineLevel="1">
      <c r="A349" s="2051" t="s">
        <v>73</v>
      </c>
      <c r="B349" s="2048" t="s">
        <v>327</v>
      </c>
      <c r="C349" s="223">
        <v>6.010924822E9</v>
      </c>
      <c r="D349" s="224" t="s">
        <v>462</v>
      </c>
      <c r="E349" s="2049">
        <v>4.22556559E8</v>
      </c>
      <c r="F349" s="2050"/>
      <c r="G349" s="2102">
        <v>28.25</v>
      </c>
      <c r="H349" s="2103">
        <v>1.03</v>
      </c>
      <c r="I349" s="233"/>
      <c r="J349" s="2090"/>
      <c r="L349" s="94">
        <f t="shared" si="3"/>
        <v>31.28</v>
      </c>
    </row>
    <row r="350" ht="15.75" hidden="1" customHeight="1" outlineLevel="1">
      <c r="A350" s="2051" t="s">
        <v>75</v>
      </c>
      <c r="B350" s="2048" t="s">
        <v>327</v>
      </c>
      <c r="C350" s="223">
        <v>6.010924972E9</v>
      </c>
      <c r="D350" s="224" t="s">
        <v>465</v>
      </c>
      <c r="E350" s="2049">
        <v>4.22196746E8</v>
      </c>
      <c r="F350" s="2118"/>
      <c r="G350" s="2102">
        <v>175.36</v>
      </c>
      <c r="H350" s="2103">
        <v>8.29</v>
      </c>
      <c r="I350" s="243"/>
      <c r="J350" s="2090">
        <v>50.0</v>
      </c>
      <c r="L350" s="94">
        <f t="shared" si="3"/>
        <v>235.65</v>
      </c>
    </row>
    <row r="351" ht="15.75" hidden="1" customHeight="1" outlineLevel="1">
      <c r="A351" s="2051" t="s">
        <v>67</v>
      </c>
      <c r="B351" s="2048">
        <v>2.117437984E9</v>
      </c>
      <c r="C351" s="223">
        <v>6.011510141E9</v>
      </c>
      <c r="D351" s="224" t="s">
        <v>447</v>
      </c>
      <c r="E351" s="2057">
        <v>3.09596293E8</v>
      </c>
      <c r="F351" s="2118">
        <v>111.01</v>
      </c>
      <c r="G351" s="2102">
        <v>34.8</v>
      </c>
      <c r="H351" s="2103">
        <v>41.08</v>
      </c>
      <c r="I351" s="2050">
        <v>41.0</v>
      </c>
      <c r="J351" s="2090"/>
      <c r="L351" s="94">
        <f>(F351+G351+H351+I351+J351)+3</f>
        <v>230.89</v>
      </c>
    </row>
    <row r="352" ht="15.75" hidden="1" customHeight="1" outlineLevel="1">
      <c r="A352" s="2051" t="s">
        <v>181</v>
      </c>
      <c r="B352" s="2048">
        <v>1.114390195E9</v>
      </c>
      <c r="C352" s="223">
        <v>6.010839262E9</v>
      </c>
      <c r="D352" s="224" t="s">
        <v>522</v>
      </c>
      <c r="E352" s="2057">
        <v>9.1433115E7</v>
      </c>
      <c r="F352" s="2118">
        <v>80.84</v>
      </c>
      <c r="G352" s="2102">
        <v>20.95</v>
      </c>
      <c r="H352" s="2103">
        <v>2.07</v>
      </c>
      <c r="I352" s="2050">
        <v>30.0</v>
      </c>
      <c r="J352" s="2090">
        <v>22.0</v>
      </c>
      <c r="L352" s="94">
        <f>(F352+G352+H352+I352+J352)</f>
        <v>155.86</v>
      </c>
    </row>
    <row r="353" ht="15.75" hidden="1" customHeight="1" outlineLevel="1">
      <c r="A353" s="2051" t="s">
        <v>183</v>
      </c>
      <c r="B353" s="2058" t="s">
        <v>528</v>
      </c>
      <c r="C353" s="223">
        <v>6.011482811E9</v>
      </c>
      <c r="D353" s="224" t="s">
        <v>529</v>
      </c>
      <c r="E353" s="2049">
        <v>4.22793459E8</v>
      </c>
      <c r="F353" s="2086"/>
      <c r="G353" s="2102"/>
      <c r="H353" s="2103"/>
      <c r="I353" s="2050"/>
      <c r="J353" s="2090"/>
    </row>
    <row r="354" ht="15.75" hidden="1" customHeight="1" outlineLevel="1">
      <c r="A354" s="2051" t="s">
        <v>186</v>
      </c>
      <c r="B354" s="2058" t="s">
        <v>533</v>
      </c>
      <c r="C354" s="223">
        <v>6.0114828E9</v>
      </c>
      <c r="D354" s="224" t="s">
        <v>534</v>
      </c>
      <c r="E354" s="2049">
        <v>4.22524555E8</v>
      </c>
      <c r="F354" s="2086"/>
      <c r="G354" s="2102"/>
      <c r="H354" s="2103"/>
      <c r="I354" s="2050"/>
      <c r="J354" s="2090"/>
    </row>
    <row r="355" ht="15.75" hidden="1" customHeight="1" outlineLevel="1">
      <c r="A355" s="2051" t="s">
        <v>188</v>
      </c>
      <c r="B355" s="2058" t="s">
        <v>537</v>
      </c>
      <c r="C355" s="223">
        <v>6.011482991E9</v>
      </c>
      <c r="D355" s="224" t="s">
        <v>538</v>
      </c>
      <c r="E355" s="2049">
        <v>4.22431356E8</v>
      </c>
      <c r="F355" s="2086">
        <v>357.83</v>
      </c>
      <c r="G355" s="2102">
        <v>71.9</v>
      </c>
      <c r="H355" s="2103" t="s">
        <v>1697</v>
      </c>
      <c r="I355" s="2050"/>
      <c r="J355" s="2090" t="s">
        <v>1697</v>
      </c>
      <c r="L355" s="94">
        <f>(F355+G355+I355)+2</f>
        <v>431.73</v>
      </c>
    </row>
    <row r="356" ht="15.75" hidden="1" customHeight="1" outlineLevel="1">
      <c r="A356" s="2059" t="s">
        <v>100</v>
      </c>
      <c r="B356" s="2060" t="s">
        <v>327</v>
      </c>
      <c r="C356" s="2054"/>
      <c r="D356" s="224" t="s">
        <v>545</v>
      </c>
      <c r="E356" s="2049"/>
      <c r="F356" s="2050"/>
      <c r="G356" s="2102">
        <v>177.86</v>
      </c>
      <c r="H356" s="2103">
        <v>29.34</v>
      </c>
      <c r="I356" s="2050">
        <v>266.14</v>
      </c>
      <c r="J356" s="2090"/>
      <c r="L356" s="94">
        <f t="shared" ref="L356:L358" si="4">(F356+G356+H356+I356+J356)+2</f>
        <v>475.34</v>
      </c>
    </row>
    <row r="357" ht="15.75" hidden="1" customHeight="1" outlineLevel="1">
      <c r="A357" s="2059" t="s">
        <v>104</v>
      </c>
      <c r="B357" s="2060" t="s">
        <v>327</v>
      </c>
      <c r="C357" s="2054"/>
      <c r="D357" s="224" t="s">
        <v>550</v>
      </c>
      <c r="E357" s="2049"/>
      <c r="F357" s="2050"/>
      <c r="G357" s="2102">
        <v>206.53</v>
      </c>
      <c r="H357" s="2103">
        <v>35.22</v>
      </c>
      <c r="I357" s="2050">
        <v>346.79</v>
      </c>
      <c r="J357" s="2090"/>
      <c r="L357" s="94">
        <f t="shared" si="4"/>
        <v>590.54</v>
      </c>
    </row>
    <row r="358" ht="15.75" hidden="1" customHeight="1" outlineLevel="1">
      <c r="A358" s="2059" t="s">
        <v>106</v>
      </c>
      <c r="B358" s="2060" t="s">
        <v>327</v>
      </c>
      <c r="C358" s="2054"/>
      <c r="D358" s="224" t="s">
        <v>555</v>
      </c>
      <c r="E358" s="2049"/>
      <c r="F358" s="2050"/>
      <c r="G358" s="2102">
        <v>190.91</v>
      </c>
      <c r="H358" s="2103">
        <v>52.82</v>
      </c>
      <c r="I358" s="2050" t="s">
        <v>1697</v>
      </c>
      <c r="J358" s="2090"/>
      <c r="L358" s="94" t="str">
        <f t="shared" si="4"/>
        <v>#VALUE!</v>
      </c>
    </row>
    <row r="359" ht="15.75" hidden="1" customHeight="1" outlineLevel="1">
      <c r="A359" s="2059" t="s">
        <v>108</v>
      </c>
      <c r="B359" s="2060" t="s">
        <v>327</v>
      </c>
      <c r="C359" s="2054" t="s">
        <v>1711</v>
      </c>
      <c r="D359" s="224" t="s">
        <v>560</v>
      </c>
      <c r="E359" s="2049"/>
      <c r="F359" s="2050"/>
      <c r="G359" s="2102" t="s">
        <v>1700</v>
      </c>
      <c r="H359" s="2103" t="s">
        <v>1697</v>
      </c>
      <c r="I359" s="2050">
        <v>96.87</v>
      </c>
      <c r="J359" s="2050"/>
      <c r="L359" s="94" t="str">
        <f>(F359+G359+I359+J359)+1.5+2</f>
        <v>#VALUE!</v>
      </c>
    </row>
    <row r="360" ht="15.75" hidden="1" customHeight="1" outlineLevel="1">
      <c r="A360" s="2059" t="s">
        <v>111</v>
      </c>
      <c r="B360" s="2060" t="s">
        <v>327</v>
      </c>
      <c r="C360" s="2054"/>
      <c r="D360" s="224" t="s">
        <v>567</v>
      </c>
      <c r="E360" s="2049"/>
      <c r="F360" s="2050"/>
      <c r="G360" s="2102">
        <v>61.92</v>
      </c>
      <c r="H360" s="2103">
        <v>23.47</v>
      </c>
      <c r="I360" s="2050" t="s">
        <v>1697</v>
      </c>
      <c r="J360" s="2050"/>
      <c r="L360" s="94" t="str">
        <f t="shared" ref="L360:L364" si="5">(F360+G360+H360+I360+J360)+3</f>
        <v>#VALUE!</v>
      </c>
    </row>
    <row r="361" ht="15.75" hidden="1" customHeight="1" outlineLevel="1">
      <c r="A361" s="2059" t="s">
        <v>113</v>
      </c>
      <c r="B361" s="2060" t="s">
        <v>327</v>
      </c>
      <c r="C361" s="2054"/>
      <c r="D361" s="224" t="s">
        <v>574</v>
      </c>
      <c r="E361" s="2049"/>
      <c r="F361" s="2050"/>
      <c r="G361" s="2102">
        <v>163.07</v>
      </c>
      <c r="H361" s="2103">
        <v>17.61</v>
      </c>
      <c r="I361" s="2050">
        <v>113.01</v>
      </c>
      <c r="J361" s="2050"/>
      <c r="L361" s="94">
        <f t="shared" si="5"/>
        <v>296.69</v>
      </c>
    </row>
    <row r="362" ht="15.75" hidden="1" customHeight="1" outlineLevel="1">
      <c r="A362" s="2059" t="s">
        <v>115</v>
      </c>
      <c r="B362" s="2060" t="s">
        <v>327</v>
      </c>
      <c r="C362" s="2054"/>
      <c r="D362" s="224" t="s">
        <v>581</v>
      </c>
      <c r="E362" s="2049"/>
      <c r="F362" s="2050"/>
      <c r="G362" s="2102">
        <v>196.68</v>
      </c>
      <c r="H362" s="2103">
        <v>23.48</v>
      </c>
      <c r="I362" s="2050"/>
      <c r="J362" s="2050"/>
      <c r="L362" s="94">
        <f t="shared" si="5"/>
        <v>223.16</v>
      </c>
    </row>
    <row r="363" ht="15.75" hidden="1" customHeight="1" outlineLevel="1">
      <c r="A363" s="2059" t="s">
        <v>117</v>
      </c>
      <c r="B363" s="2060" t="s">
        <v>327</v>
      </c>
      <c r="C363" s="2054"/>
      <c r="D363" s="224" t="s">
        <v>1684</v>
      </c>
      <c r="E363" s="2049"/>
      <c r="F363" s="2050"/>
      <c r="G363" s="2102">
        <v>30.27</v>
      </c>
      <c r="H363" s="2103">
        <v>29.35</v>
      </c>
      <c r="I363" s="2050"/>
      <c r="J363" s="2050"/>
      <c r="L363" s="94">
        <f t="shared" si="5"/>
        <v>62.62</v>
      </c>
    </row>
    <row r="364" ht="15.75" hidden="1" customHeight="1" outlineLevel="1">
      <c r="A364" s="2059" t="s">
        <v>119</v>
      </c>
      <c r="B364" s="2060" t="s">
        <v>327</v>
      </c>
      <c r="C364" s="2054"/>
      <c r="D364" s="224" t="s">
        <v>1688</v>
      </c>
      <c r="E364" s="2049"/>
      <c r="F364" s="2050"/>
      <c r="G364" s="2102" t="s">
        <v>1712</v>
      </c>
      <c r="H364" s="2103">
        <v>29.35</v>
      </c>
      <c r="I364" s="2050"/>
      <c r="J364" s="2050"/>
      <c r="L364" s="94" t="str">
        <f t="shared" si="5"/>
        <v>#VALUE!</v>
      </c>
    </row>
    <row r="365" ht="15.75" hidden="1" customHeight="1" outlineLevel="1">
      <c r="A365" s="2059" t="s">
        <v>596</v>
      </c>
      <c r="B365" s="2104" t="s">
        <v>327</v>
      </c>
      <c r="C365" s="2104"/>
      <c r="D365" s="2104"/>
      <c r="E365" s="2105"/>
      <c r="F365" s="2106"/>
      <c r="G365" s="2106"/>
      <c r="H365" s="2106"/>
      <c r="I365" s="2106"/>
      <c r="J365" s="2106"/>
    </row>
    <row r="366" ht="15.75" hidden="1" customHeight="1" outlineLevel="1">
      <c r="A366" s="2059" t="s">
        <v>121</v>
      </c>
      <c r="B366" s="2060" t="s">
        <v>327</v>
      </c>
      <c r="C366" s="2054"/>
      <c r="D366" s="224" t="s">
        <v>1689</v>
      </c>
      <c r="E366" s="2049"/>
      <c r="F366" s="2063"/>
      <c r="G366" s="2063"/>
      <c r="H366" s="2063"/>
      <c r="I366" s="2063"/>
      <c r="J366" s="2063"/>
    </row>
    <row r="367" ht="15.75" hidden="1" customHeight="1" outlineLevel="1">
      <c r="A367" s="2064" t="s">
        <v>124</v>
      </c>
      <c r="B367" s="2060" t="s">
        <v>327</v>
      </c>
      <c r="C367" s="223">
        <v>6.011026852E9</v>
      </c>
      <c r="D367" s="224" t="s">
        <v>608</v>
      </c>
      <c r="E367" s="2049">
        <v>11604.0</v>
      </c>
      <c r="F367" s="2050"/>
      <c r="G367" s="2102">
        <v>59.12</v>
      </c>
      <c r="H367" s="2103">
        <v>4.14</v>
      </c>
      <c r="I367" s="2050"/>
      <c r="J367" s="2050">
        <v>30.0</v>
      </c>
      <c r="L367" s="94">
        <f t="shared" ref="L367:L368" si="6">(F367+G367+H367+I367+J367)+3</f>
        <v>96.26</v>
      </c>
    </row>
    <row r="368" ht="15.75" hidden="1" customHeight="1" outlineLevel="1">
      <c r="A368" s="2066" t="s">
        <v>127</v>
      </c>
      <c r="B368" s="2060" t="s">
        <v>327</v>
      </c>
      <c r="C368" s="223">
        <v>6.011026871E9</v>
      </c>
      <c r="D368" s="224" t="s">
        <v>612</v>
      </c>
      <c r="E368" s="2049">
        <v>11606.0</v>
      </c>
      <c r="F368" s="2050"/>
      <c r="G368" s="2102">
        <v>43.03</v>
      </c>
      <c r="H368" s="2103">
        <v>2.59</v>
      </c>
      <c r="I368" s="2050"/>
      <c r="J368" s="2050">
        <v>30.0</v>
      </c>
      <c r="L368" s="94">
        <f t="shared" si="6"/>
        <v>78.62</v>
      </c>
    </row>
    <row r="369" ht="15.75" hidden="1" customHeight="1" outlineLevel="1">
      <c r="A369" s="2066" t="s">
        <v>129</v>
      </c>
      <c r="B369" s="2060" t="s">
        <v>327</v>
      </c>
      <c r="C369" s="223">
        <v>6.011025671E9</v>
      </c>
      <c r="D369" s="224" t="s">
        <v>617</v>
      </c>
      <c r="E369" s="2049">
        <v>11931.0</v>
      </c>
      <c r="F369" s="2050"/>
      <c r="G369" s="2102">
        <v>1.62</v>
      </c>
      <c r="H369" s="2103" t="s">
        <v>1700</v>
      </c>
      <c r="I369" s="2050"/>
      <c r="J369" s="2050">
        <v>30.0</v>
      </c>
      <c r="L369" s="94">
        <f>(F369+G369+I369+J369)+3</f>
        <v>34.62</v>
      </c>
    </row>
    <row r="370" ht="15.75" hidden="1" customHeight="1" outlineLevel="1">
      <c r="A370" s="2107" t="s">
        <v>131</v>
      </c>
      <c r="B370" s="2104" t="s">
        <v>327</v>
      </c>
      <c r="C370" s="2104" t="s">
        <v>327</v>
      </c>
      <c r="D370" s="2104" t="s">
        <v>327</v>
      </c>
      <c r="E370" s="2105">
        <v>11304.0</v>
      </c>
      <c r="F370" s="2106"/>
      <c r="G370" s="2106"/>
      <c r="H370" s="2106"/>
      <c r="I370" s="2106"/>
      <c r="J370" s="2106">
        <v>30.0</v>
      </c>
      <c r="L370" s="94">
        <f>(F370+G370+H370+I370+J370)+1</f>
        <v>31</v>
      </c>
    </row>
    <row r="371" ht="15.75" hidden="1" customHeight="1" outlineLevel="1">
      <c r="A371" s="2066" t="s">
        <v>133</v>
      </c>
      <c r="B371" s="2048" t="s">
        <v>327</v>
      </c>
      <c r="C371" s="223">
        <v>6.01101855E9</v>
      </c>
      <c r="D371" s="224" t="s">
        <v>631</v>
      </c>
      <c r="E371" s="2049">
        <v>11327.0</v>
      </c>
      <c r="F371" s="2118"/>
      <c r="G371" s="2102">
        <v>133.79</v>
      </c>
      <c r="H371" s="2108" t="s">
        <v>1700</v>
      </c>
      <c r="I371" s="2118"/>
      <c r="J371" s="2118">
        <v>30.0</v>
      </c>
      <c r="L371" s="94">
        <f t="shared" ref="L371:L373" si="7">(F371+G371+I371+J371)+3</f>
        <v>166.79</v>
      </c>
    </row>
    <row r="372" ht="15.75" hidden="1" customHeight="1" outlineLevel="1">
      <c r="A372" s="2066" t="s">
        <v>152</v>
      </c>
      <c r="B372" s="2048" t="s">
        <v>327</v>
      </c>
      <c r="C372" s="223">
        <v>6.011359631E9</v>
      </c>
      <c r="D372" s="224" t="s">
        <v>636</v>
      </c>
      <c r="E372" s="2049">
        <v>3.08003451E8</v>
      </c>
      <c r="F372" s="2118"/>
      <c r="G372" s="2102">
        <v>108.24</v>
      </c>
      <c r="H372" s="2108">
        <v>5.7</v>
      </c>
      <c r="I372" s="2118">
        <v>55.14</v>
      </c>
      <c r="J372" s="2118">
        <v>37.0</v>
      </c>
      <c r="L372" s="94">
        <f t="shared" si="7"/>
        <v>203.38</v>
      </c>
    </row>
    <row r="373" ht="15.75" hidden="1" customHeight="1" outlineLevel="1">
      <c r="A373" s="2066" t="s">
        <v>154</v>
      </c>
      <c r="B373" s="2048" t="s">
        <v>327</v>
      </c>
      <c r="C373" s="223">
        <v>6.01135965E9</v>
      </c>
      <c r="D373" s="224" t="s">
        <v>642</v>
      </c>
      <c r="E373" s="2049">
        <v>3.08003321E8</v>
      </c>
      <c r="F373" s="2050"/>
      <c r="G373" s="2102">
        <v>103.13</v>
      </c>
      <c r="H373" s="2108">
        <v>2.59</v>
      </c>
      <c r="I373" s="2050">
        <v>55.14</v>
      </c>
      <c r="J373" s="2050">
        <v>37.0</v>
      </c>
      <c r="L373" s="94">
        <f t="shared" si="7"/>
        <v>198.27</v>
      </c>
    </row>
    <row r="374" ht="15.75" hidden="1" customHeight="1" outlineLevel="1">
      <c r="A374" s="2066" t="s">
        <v>156</v>
      </c>
      <c r="B374" s="2104"/>
      <c r="C374" s="2109">
        <v>6.011606752E9</v>
      </c>
      <c r="D374" s="2109" t="s">
        <v>645</v>
      </c>
      <c r="E374" s="2110"/>
      <c r="F374" s="2106"/>
      <c r="G374" s="2106"/>
      <c r="H374" s="2106"/>
      <c r="I374" s="2106"/>
      <c r="J374" s="2106"/>
    </row>
    <row r="375" ht="15.75" hidden="1" customHeight="1" outlineLevel="1">
      <c r="A375" s="2066" t="s">
        <v>165</v>
      </c>
      <c r="B375" s="2048" t="s">
        <v>327</v>
      </c>
      <c r="C375" s="2052">
        <v>6.011471272E9</v>
      </c>
      <c r="D375" s="2067" t="s">
        <v>649</v>
      </c>
      <c r="E375" s="2068">
        <v>3.06940056E8</v>
      </c>
      <c r="F375" s="2050"/>
      <c r="G375" s="2102">
        <v>197.66</v>
      </c>
      <c r="H375" s="2103">
        <v>3.85</v>
      </c>
      <c r="I375" s="2050"/>
      <c r="J375" s="2050">
        <v>50.0</v>
      </c>
      <c r="L375" s="94">
        <f t="shared" ref="L375:L377" si="8">(F375+G375+H375+I375+J375)+3</f>
        <v>254.51</v>
      </c>
    </row>
    <row r="376" ht="15.75" hidden="1" customHeight="1" outlineLevel="1">
      <c r="A376" s="2066" t="s">
        <v>169</v>
      </c>
      <c r="B376" s="2048" t="s">
        <v>327</v>
      </c>
      <c r="C376" s="2052">
        <v>6.01147128E9</v>
      </c>
      <c r="D376" s="2067" t="s">
        <v>654</v>
      </c>
      <c r="E376" s="2068">
        <v>3.06940085E8</v>
      </c>
      <c r="F376" s="2050"/>
      <c r="G376" s="2102">
        <v>45.09</v>
      </c>
      <c r="H376" s="2103">
        <v>1.78</v>
      </c>
      <c r="I376" s="2050"/>
      <c r="J376" s="2050">
        <v>34.0</v>
      </c>
      <c r="L376" s="94">
        <f t="shared" si="8"/>
        <v>83.87</v>
      </c>
    </row>
    <row r="377" ht="15.75" hidden="1" customHeight="1" outlineLevel="1">
      <c r="A377" s="2066" t="s">
        <v>171</v>
      </c>
      <c r="B377" s="2058" t="s">
        <v>327</v>
      </c>
      <c r="C377" s="223">
        <v>6.011442532E9</v>
      </c>
      <c r="D377" s="224" t="s">
        <v>659</v>
      </c>
      <c r="E377" s="2049">
        <v>3.06316828E8</v>
      </c>
      <c r="F377" s="2050"/>
      <c r="G377" s="2102">
        <v>258.52</v>
      </c>
      <c r="H377" s="2103">
        <v>1.78</v>
      </c>
      <c r="I377" s="2050"/>
      <c r="J377" s="2050">
        <v>45.0</v>
      </c>
      <c r="L377" s="94">
        <f t="shared" si="8"/>
        <v>308.3</v>
      </c>
    </row>
    <row r="378" ht="15.75" hidden="1" customHeight="1" outlineLevel="1">
      <c r="A378" s="2066" t="s">
        <v>173</v>
      </c>
      <c r="B378" s="2119" t="s">
        <v>327</v>
      </c>
      <c r="C378" s="2080">
        <v>6.011463851E9</v>
      </c>
      <c r="D378" s="2080" t="s">
        <v>666</v>
      </c>
      <c r="E378" s="2095">
        <v>3.06244928E8</v>
      </c>
      <c r="F378" s="2120"/>
      <c r="G378" s="2120"/>
      <c r="H378" s="2120"/>
      <c r="I378" s="2120"/>
      <c r="J378" s="2120"/>
    </row>
    <row r="379" ht="15.75" hidden="1" customHeight="1" outlineLevel="1">
      <c r="A379" s="2066" t="s">
        <v>175</v>
      </c>
      <c r="B379" s="2058" t="s">
        <v>327</v>
      </c>
      <c r="C379" s="223">
        <v>6.011588872E9</v>
      </c>
      <c r="D379" s="224" t="s">
        <v>674</v>
      </c>
      <c r="E379" s="2049">
        <v>3.09007254E8</v>
      </c>
      <c r="F379" s="2050"/>
      <c r="G379" s="2102">
        <v>79.9</v>
      </c>
      <c r="H379" s="2103">
        <v>1.18</v>
      </c>
      <c r="I379" s="2050"/>
      <c r="J379" s="2050">
        <v>37.0</v>
      </c>
      <c r="L379" s="94">
        <f t="shared" ref="L379:L380" si="9">(F379+G379+H379+I379+J379)+3</f>
        <v>121.08</v>
      </c>
    </row>
    <row r="380" ht="15.75" hidden="1" customHeight="1" outlineLevel="1">
      <c r="A380" s="2066" t="s">
        <v>157</v>
      </c>
      <c r="B380" s="2058" t="s">
        <v>680</v>
      </c>
      <c r="C380" s="223">
        <v>6.01135821E9</v>
      </c>
      <c r="D380" s="224" t="s">
        <v>681</v>
      </c>
      <c r="E380" s="2049">
        <v>3.08312967E8</v>
      </c>
      <c r="F380" s="2050">
        <v>144.6</v>
      </c>
      <c r="G380" s="2102"/>
      <c r="H380" s="2103">
        <v>2.07</v>
      </c>
      <c r="I380" s="2050"/>
      <c r="J380" s="2050">
        <v>36.0</v>
      </c>
      <c r="L380" s="94">
        <f t="shared" si="9"/>
        <v>185.67</v>
      </c>
    </row>
    <row r="381" ht="15.75" hidden="1" customHeight="1" outlineLevel="1">
      <c r="A381" s="2066" t="s">
        <v>161</v>
      </c>
      <c r="B381" s="2058" t="s">
        <v>705</v>
      </c>
      <c r="C381" s="223">
        <v>6.011357782E9</v>
      </c>
      <c r="D381" s="224" t="s">
        <v>706</v>
      </c>
      <c r="E381" s="2049">
        <v>3.0844433E8</v>
      </c>
      <c r="F381" s="2050"/>
      <c r="G381" s="2102"/>
      <c r="H381" s="2103"/>
      <c r="I381" s="2050"/>
      <c r="J381" s="2050"/>
    </row>
    <row r="382" ht="15.75" hidden="1" customHeight="1" outlineLevel="1">
      <c r="A382" s="2066" t="s">
        <v>163</v>
      </c>
      <c r="B382" s="2058" t="s">
        <v>710</v>
      </c>
      <c r="C382" s="223">
        <v>6.01130319E9</v>
      </c>
      <c r="D382" s="224" t="s">
        <v>711</v>
      </c>
      <c r="E382" s="2049">
        <v>3.09152032E8</v>
      </c>
      <c r="F382" s="2063">
        <v>17.08</v>
      </c>
      <c r="G382" s="2063">
        <v>11.05</v>
      </c>
      <c r="H382" s="2063">
        <v>5.87</v>
      </c>
      <c r="I382" s="2063">
        <v>67.65</v>
      </c>
      <c r="J382" s="2063">
        <v>37.0</v>
      </c>
      <c r="K382" s="2116" t="s">
        <v>1698</v>
      </c>
      <c r="L382" s="94">
        <f>(F382+G382+H382+I382+J382)+1.5+2</f>
        <v>142.15</v>
      </c>
    </row>
    <row r="383" ht="15.75" hidden="1" customHeight="1" outlineLevel="1">
      <c r="A383" s="2066" t="s">
        <v>135</v>
      </c>
      <c r="B383" s="2058" t="s">
        <v>718</v>
      </c>
      <c r="C383" s="223">
        <v>6.011209751E9</v>
      </c>
      <c r="D383" s="224" t="s">
        <v>719</v>
      </c>
      <c r="E383" s="2049">
        <v>3.02824611E8</v>
      </c>
      <c r="F383" s="2086">
        <v>66.04</v>
      </c>
      <c r="G383" s="2102">
        <v>42.47</v>
      </c>
      <c r="H383" s="2108">
        <v>41.08</v>
      </c>
      <c r="I383" s="2050"/>
      <c r="J383" s="2090">
        <v>36.0</v>
      </c>
      <c r="L383" s="94">
        <f t="shared" ref="L383:L386" si="10">(F383+G383+H383+I383+J383)+3</f>
        <v>188.59</v>
      </c>
    </row>
    <row r="384" ht="15.75" hidden="1" customHeight="1" outlineLevel="1">
      <c r="A384" s="2066" t="s">
        <v>138</v>
      </c>
      <c r="B384" s="2053">
        <v>2.116817982E9</v>
      </c>
      <c r="C384" s="223">
        <v>6.011542702E9</v>
      </c>
      <c r="D384" s="224" t="s">
        <v>726</v>
      </c>
      <c r="E384" s="2049">
        <v>3.08217116E8</v>
      </c>
      <c r="F384" s="2086">
        <v>103.04</v>
      </c>
      <c r="G384" s="2102">
        <v>41.34</v>
      </c>
      <c r="H384" s="2108">
        <v>5.69</v>
      </c>
      <c r="I384" s="2050"/>
      <c r="J384" s="2090">
        <v>40.93</v>
      </c>
      <c r="L384" s="94">
        <f t="shared" si="10"/>
        <v>194</v>
      </c>
    </row>
    <row r="385" ht="15.75" hidden="1" customHeight="1" outlineLevel="1">
      <c r="A385" s="2066" t="s">
        <v>140</v>
      </c>
      <c r="B385" s="2104" t="s">
        <v>327</v>
      </c>
      <c r="C385" s="2104">
        <v>6.011270272E9</v>
      </c>
      <c r="D385" s="2104" t="s">
        <v>732</v>
      </c>
      <c r="E385" s="2105">
        <v>4.22560058E8</v>
      </c>
      <c r="F385" s="2106"/>
      <c r="G385" s="2106">
        <v>154.46</v>
      </c>
      <c r="H385" s="2106">
        <v>8.28</v>
      </c>
      <c r="I385" s="2106"/>
      <c r="J385" s="2106">
        <v>42.93</v>
      </c>
      <c r="L385" s="94">
        <f t="shared" si="10"/>
        <v>208.67</v>
      </c>
    </row>
    <row r="386" ht="15.75" hidden="1" customHeight="1" outlineLevel="1">
      <c r="A386" s="2066" t="s">
        <v>144</v>
      </c>
      <c r="B386" s="2111" t="s">
        <v>327</v>
      </c>
      <c r="C386" s="223">
        <v>6.01156203E9</v>
      </c>
      <c r="D386" s="224" t="s">
        <v>740</v>
      </c>
      <c r="E386" s="2049">
        <v>3.09317791E8</v>
      </c>
      <c r="F386" s="2050">
        <v>102.21</v>
      </c>
      <c r="G386" s="2050">
        <v>359.09</v>
      </c>
      <c r="H386" s="2050">
        <v>3.02</v>
      </c>
      <c r="I386" s="2050">
        <v>234.74</v>
      </c>
      <c r="J386" s="2090">
        <v>31.2</v>
      </c>
      <c r="L386" s="94">
        <f t="shared" si="10"/>
        <v>733.26</v>
      </c>
    </row>
    <row r="387" ht="15.75" hidden="1" customHeight="1" outlineLevel="1">
      <c r="A387" s="2066" t="s">
        <v>147</v>
      </c>
      <c r="B387" s="2111">
        <v>2.118078551E9</v>
      </c>
      <c r="C387" s="223">
        <v>6.011547281E9</v>
      </c>
      <c r="D387" s="224" t="s">
        <v>1692</v>
      </c>
      <c r="E387" s="2049">
        <v>3.09160851E8</v>
      </c>
      <c r="F387" s="2050">
        <v>132.64</v>
      </c>
      <c r="G387" s="2050">
        <v>49.58</v>
      </c>
      <c r="H387" s="2050" t="s">
        <v>1700</v>
      </c>
      <c r="I387" s="2050"/>
      <c r="J387" s="2090">
        <v>28.0</v>
      </c>
      <c r="L387" s="94">
        <f>(F387+G387+I387+J387)+3</f>
        <v>213.22</v>
      </c>
    </row>
    <row r="388" ht="15.75" hidden="1" customHeight="1" outlineLevel="1">
      <c r="A388" s="2066" t="s">
        <v>191</v>
      </c>
      <c r="B388" s="2111">
        <v>2.117710931E9</v>
      </c>
      <c r="C388" s="223">
        <v>6.011407402E9</v>
      </c>
      <c r="D388" s="224" t="s">
        <v>748</v>
      </c>
      <c r="E388" s="2049">
        <v>3.07943576E8</v>
      </c>
      <c r="F388" s="2106"/>
      <c r="G388" s="2106"/>
      <c r="H388" s="2106"/>
      <c r="I388" s="2106"/>
      <c r="J388" s="2106"/>
    </row>
    <row r="389" ht="15.75" hidden="1" customHeight="1" outlineLevel="1">
      <c r="A389" s="2079" t="s">
        <v>192</v>
      </c>
      <c r="B389" s="2080" t="s">
        <v>327</v>
      </c>
      <c r="C389" s="2080"/>
      <c r="D389" s="2080"/>
      <c r="E389" s="2049">
        <v>293602.0</v>
      </c>
      <c r="F389" s="2050"/>
      <c r="G389" s="2050"/>
      <c r="H389" s="2050"/>
      <c r="I389" s="2050"/>
      <c r="J389" s="2050"/>
    </row>
    <row r="390" ht="15.75" hidden="1" customHeight="1" outlineLevel="1">
      <c r="A390" s="2079" t="s">
        <v>195</v>
      </c>
      <c r="B390" s="2080" t="s">
        <v>327</v>
      </c>
      <c r="C390" s="2080"/>
      <c r="D390" s="2080"/>
      <c r="E390" s="2049">
        <v>293621.0</v>
      </c>
      <c r="F390" s="2050"/>
      <c r="G390" s="2050"/>
      <c r="H390" s="2050"/>
      <c r="I390" s="2050"/>
      <c r="J390" s="2050"/>
    </row>
    <row r="391" ht="15.75" hidden="1" customHeight="1" outlineLevel="1">
      <c r="A391" s="2081" t="s">
        <v>197</v>
      </c>
      <c r="B391" s="2080" t="s">
        <v>327</v>
      </c>
      <c r="C391" s="2080"/>
      <c r="D391" s="2080"/>
      <c r="E391" s="2049">
        <v>293934.0</v>
      </c>
      <c r="F391" s="2050"/>
      <c r="G391" s="2050"/>
      <c r="H391" s="2050"/>
      <c r="I391" s="2050"/>
      <c r="J391" s="2050"/>
    </row>
    <row r="392" ht="15.75" hidden="1" customHeight="1" outlineLevel="1">
      <c r="A392" s="2081" t="s">
        <v>199</v>
      </c>
      <c r="B392" s="2080" t="s">
        <v>327</v>
      </c>
      <c r="C392" s="2080"/>
      <c r="D392" s="2080"/>
      <c r="E392" s="2049">
        <v>293954.0</v>
      </c>
      <c r="F392" s="2050"/>
      <c r="G392" s="2050"/>
      <c r="H392" s="2050"/>
      <c r="I392" s="2050"/>
      <c r="J392" s="2050"/>
    </row>
    <row r="393" ht="15.75" hidden="1" customHeight="1" outlineLevel="1">
      <c r="A393" s="2081" t="s">
        <v>201</v>
      </c>
      <c r="B393" s="2080" t="s">
        <v>327</v>
      </c>
      <c r="C393" s="2080"/>
      <c r="D393" s="2080"/>
      <c r="E393" s="2049">
        <v>293782.0</v>
      </c>
      <c r="F393" s="2050"/>
      <c r="G393" s="2050"/>
      <c r="H393" s="2050"/>
      <c r="I393" s="2050"/>
      <c r="J393" s="2050"/>
    </row>
    <row r="394" ht="15.75" hidden="1" customHeight="1" outlineLevel="1">
      <c r="A394" s="2081" t="s">
        <v>203</v>
      </c>
      <c r="B394" s="2080" t="s">
        <v>327</v>
      </c>
      <c r="C394" s="2080"/>
      <c r="D394" s="2080"/>
      <c r="E394" s="2049">
        <v>293910.0</v>
      </c>
      <c r="F394" s="2050"/>
      <c r="G394" s="2050"/>
      <c r="H394" s="2050"/>
      <c r="I394" s="2050"/>
      <c r="J394" s="2050"/>
    </row>
    <row r="395" ht="15.75" hidden="1" customHeight="1" outlineLevel="1">
      <c r="A395" s="2082" t="s">
        <v>205</v>
      </c>
      <c r="B395" s="2080" t="s">
        <v>327</v>
      </c>
      <c r="C395" s="2080"/>
      <c r="D395" s="2080"/>
      <c r="E395" s="2049">
        <v>293403.0</v>
      </c>
      <c r="F395" s="2050"/>
      <c r="G395" s="2050"/>
      <c r="H395" s="2050"/>
      <c r="I395" s="2050"/>
      <c r="J395" s="2050"/>
    </row>
    <row r="396" ht="15.75" hidden="1" customHeight="1" outlineLevel="1">
      <c r="A396" s="2081" t="s">
        <v>207</v>
      </c>
      <c r="B396" s="2083" t="s">
        <v>327</v>
      </c>
      <c r="C396" s="2080"/>
      <c r="D396" s="2080"/>
      <c r="E396" s="2049">
        <v>239937.0</v>
      </c>
      <c r="F396" s="2050"/>
      <c r="G396" s="2050"/>
      <c r="H396" s="2050"/>
      <c r="I396" s="2050"/>
      <c r="J396" s="2050"/>
    </row>
    <row r="397" ht="15.75" hidden="1" customHeight="1" outlineLevel="1">
      <c r="A397" s="2081" t="s">
        <v>209</v>
      </c>
      <c r="B397" s="2080" t="s">
        <v>327</v>
      </c>
      <c r="C397" s="2080"/>
      <c r="D397" s="2080"/>
      <c r="E397" s="2049">
        <v>293802.0</v>
      </c>
      <c r="F397" s="2050"/>
      <c r="G397" s="2050"/>
      <c r="H397" s="2050"/>
      <c r="I397" s="2050"/>
      <c r="J397" s="2050"/>
    </row>
    <row r="398" ht="15.75" hidden="1" customHeight="1" outlineLevel="1">
      <c r="A398" s="2081" t="s">
        <v>216</v>
      </c>
      <c r="B398" s="2080" t="s">
        <v>327</v>
      </c>
      <c r="C398" s="2080"/>
      <c r="D398" s="2080"/>
      <c r="E398" s="2049">
        <v>293888.0</v>
      </c>
      <c r="F398" s="2050"/>
      <c r="G398" s="2050"/>
      <c r="H398" s="2050"/>
      <c r="I398" s="2050"/>
      <c r="J398" s="2050"/>
    </row>
    <row r="399" ht="15.75" hidden="1" customHeight="1" outlineLevel="1">
      <c r="A399" s="2081" t="s">
        <v>211</v>
      </c>
      <c r="B399" s="2080" t="s">
        <v>327</v>
      </c>
      <c r="C399" s="2080"/>
      <c r="D399" s="2080"/>
      <c r="E399" s="2049">
        <v>293922.0</v>
      </c>
      <c r="F399" s="2050"/>
      <c r="G399" s="2050"/>
      <c r="H399" s="2050"/>
      <c r="I399" s="2050"/>
      <c r="J399" s="2050"/>
    </row>
    <row r="400" ht="15.75" hidden="1" customHeight="1" outlineLevel="1">
      <c r="A400" s="2081" t="s">
        <v>233</v>
      </c>
      <c r="B400" s="2080"/>
      <c r="C400" s="2080"/>
      <c r="D400" s="2080"/>
      <c r="E400" s="2049">
        <v>293923.0</v>
      </c>
      <c r="F400" s="2050"/>
      <c r="G400" s="2050"/>
      <c r="H400" s="2050"/>
      <c r="I400" s="2050"/>
      <c r="J400" s="2050"/>
    </row>
    <row r="401" ht="15.75" hidden="1" customHeight="1" outlineLevel="1">
      <c r="A401" s="2081"/>
      <c r="B401" s="2080" t="s">
        <v>327</v>
      </c>
      <c r="C401" s="2080"/>
      <c r="D401" s="2080"/>
      <c r="E401" s="2049">
        <v>293881.0</v>
      </c>
      <c r="F401" s="2050"/>
      <c r="G401" s="2050"/>
      <c r="H401" s="2050"/>
      <c r="I401" s="2050"/>
      <c r="J401" s="2050"/>
    </row>
    <row r="402" ht="15.75" hidden="1" customHeight="1" outlineLevel="1">
      <c r="A402" s="2081" t="s">
        <v>214</v>
      </c>
      <c r="B402" s="2080" t="s">
        <v>327</v>
      </c>
      <c r="C402" s="2080"/>
      <c r="D402" s="2080"/>
      <c r="E402" s="2049">
        <v>293888.0</v>
      </c>
      <c r="F402" s="2050"/>
      <c r="G402" s="2050"/>
      <c r="H402" s="2050"/>
      <c r="I402" s="2050"/>
      <c r="J402" s="2050"/>
    </row>
    <row r="403" ht="15.75" hidden="1" customHeight="1" outlineLevel="1">
      <c r="A403" s="2081" t="s">
        <v>218</v>
      </c>
      <c r="B403" s="2080" t="s">
        <v>327</v>
      </c>
      <c r="C403" s="2080"/>
      <c r="D403" s="2080"/>
      <c r="E403" s="2049">
        <v>293918.0</v>
      </c>
      <c r="F403" s="2050"/>
      <c r="G403" s="2050"/>
      <c r="H403" s="2050"/>
      <c r="I403" s="2050"/>
      <c r="J403" s="2050"/>
    </row>
    <row r="404" ht="15.75" hidden="1" customHeight="1" outlineLevel="1">
      <c r="A404" s="2081" t="s">
        <v>220</v>
      </c>
      <c r="B404" s="2080" t="s">
        <v>327</v>
      </c>
      <c r="C404" s="2080"/>
      <c r="D404" s="2080"/>
      <c r="E404" s="2049">
        <v>293484.0</v>
      </c>
      <c r="F404" s="2050"/>
      <c r="G404" s="2050"/>
      <c r="H404" s="2050"/>
      <c r="I404" s="2050"/>
      <c r="J404" s="2050"/>
    </row>
    <row r="405" ht="15.75" hidden="1" customHeight="1" outlineLevel="1">
      <c r="A405" s="2084" t="s">
        <v>226</v>
      </c>
      <c r="B405" s="2080"/>
      <c r="C405" s="2080"/>
      <c r="D405" s="2080"/>
      <c r="E405" s="2049"/>
      <c r="F405" s="2050"/>
      <c r="G405" s="2050"/>
      <c r="H405" s="2050"/>
      <c r="I405" s="2050"/>
      <c r="J405" s="2050"/>
    </row>
    <row r="406" ht="15.75" hidden="1" customHeight="1" outlineLevel="1">
      <c r="A406" s="2084" t="s">
        <v>223</v>
      </c>
      <c r="B406" s="2080"/>
      <c r="C406" s="2080"/>
      <c r="D406" s="2080"/>
      <c r="E406" s="2049"/>
      <c r="F406" s="2050"/>
      <c r="G406" s="2050"/>
      <c r="H406" s="2050"/>
      <c r="I406" s="2050"/>
      <c r="J406" s="2050"/>
    </row>
    <row r="407" ht="15.75" hidden="1" customHeight="1" outlineLevel="1">
      <c r="A407" s="2084" t="s">
        <v>227</v>
      </c>
      <c r="B407" s="2080"/>
      <c r="C407" s="2080"/>
      <c r="D407" s="2080"/>
      <c r="E407" s="2049"/>
      <c r="F407" s="2050"/>
      <c r="G407" s="2050"/>
      <c r="H407" s="2050"/>
      <c r="I407" s="2050"/>
      <c r="J407" s="2050"/>
    </row>
    <row r="408" ht="15.75" hidden="1" customHeight="1" outlineLevel="1">
      <c r="A408" s="2084" t="s">
        <v>229</v>
      </c>
      <c r="B408" s="2080"/>
      <c r="C408" s="2080"/>
      <c r="D408" s="2080"/>
      <c r="E408" s="2049"/>
      <c r="F408" s="2050"/>
      <c r="G408" s="2050"/>
      <c r="H408" s="2050"/>
      <c r="I408" s="2050"/>
      <c r="J408" s="2050"/>
    </row>
    <row r="409" ht="15.75" hidden="1" customHeight="1" outlineLevel="1">
      <c r="A409" s="2084" t="s">
        <v>231</v>
      </c>
      <c r="B409" s="2080"/>
      <c r="C409" s="2080"/>
      <c r="D409" s="2080"/>
      <c r="E409" s="2049"/>
      <c r="F409" s="2050"/>
      <c r="G409" s="2050"/>
      <c r="H409" s="2050"/>
      <c r="I409" s="2050"/>
      <c r="J409" s="2050"/>
    </row>
    <row r="410" ht="15.75" hidden="1" customHeight="1" outlineLevel="1">
      <c r="A410" s="2084" t="s">
        <v>232</v>
      </c>
      <c r="B410" s="2080"/>
      <c r="C410" s="2080"/>
      <c r="D410" s="2080"/>
      <c r="E410" s="2049"/>
      <c r="F410" s="2050"/>
      <c r="G410" s="2050"/>
      <c r="H410" s="2050"/>
      <c r="I410" s="2050"/>
      <c r="J410" s="2050"/>
    </row>
    <row r="411" ht="15.75" hidden="1" customHeight="1" outlineLevel="1">
      <c r="A411" s="2085" t="s">
        <v>250</v>
      </c>
      <c r="B411" s="2048">
        <v>2.116441487E9</v>
      </c>
      <c r="C411" s="223">
        <v>6.11036178E9</v>
      </c>
      <c r="D411" s="224" t="s">
        <v>843</v>
      </c>
      <c r="E411" s="2049">
        <v>4.22196093E8</v>
      </c>
      <c r="F411" s="2102">
        <v>204.94</v>
      </c>
      <c r="G411" s="2102">
        <v>14.44</v>
      </c>
      <c r="H411" s="2102">
        <v>1.78</v>
      </c>
      <c r="I411" s="2050"/>
      <c r="J411" s="2050"/>
      <c r="L411" s="94">
        <f t="shared" ref="L411:L413" si="11">(F411+G411+H411+I411+J411)+3</f>
        <v>224.16</v>
      </c>
    </row>
    <row r="412" ht="15.75" hidden="1" customHeight="1" outlineLevel="1">
      <c r="A412" s="2085" t="s">
        <v>238</v>
      </c>
      <c r="B412" s="2048">
        <v>2.116441498E9</v>
      </c>
      <c r="C412" s="223">
        <v>6.110363032E9</v>
      </c>
      <c r="D412" s="224" t="s">
        <v>847</v>
      </c>
      <c r="E412" s="2049">
        <v>4.22410189E8</v>
      </c>
      <c r="F412" s="2050">
        <v>13.09</v>
      </c>
      <c r="G412" s="2050">
        <v>27.69</v>
      </c>
      <c r="H412" s="2050">
        <v>0.59</v>
      </c>
      <c r="I412" s="2050"/>
      <c r="J412" s="2050"/>
      <c r="L412" s="94">
        <f t="shared" si="11"/>
        <v>44.37</v>
      </c>
    </row>
    <row r="413" ht="15.75" hidden="1" customHeight="1" outlineLevel="1">
      <c r="A413" s="2085" t="s">
        <v>252</v>
      </c>
      <c r="B413" s="2048">
        <v>2.116441502E9</v>
      </c>
      <c r="C413" s="223">
        <v>6.110363122E9</v>
      </c>
      <c r="D413" s="224" t="s">
        <v>850</v>
      </c>
      <c r="E413" s="2049">
        <v>4.22881705E8</v>
      </c>
      <c r="F413" s="2118">
        <v>167.37</v>
      </c>
      <c r="G413" s="2118">
        <v>51.45</v>
      </c>
      <c r="H413" s="2118">
        <v>2.07</v>
      </c>
      <c r="I413" s="2118"/>
      <c r="J413" s="2118"/>
      <c r="L413" s="94">
        <f t="shared" si="11"/>
        <v>223.89</v>
      </c>
    </row>
    <row r="414" ht="15.75" hidden="1" customHeight="1" outlineLevel="1">
      <c r="A414" s="2085" t="s">
        <v>254</v>
      </c>
      <c r="B414" s="2048">
        <v>2.116441513E9</v>
      </c>
      <c r="C414" s="223">
        <v>6.11036304E9</v>
      </c>
      <c r="D414" s="224" t="s">
        <v>852</v>
      </c>
      <c r="E414" s="2049">
        <v>4.22740287E8</v>
      </c>
      <c r="F414" s="2120"/>
      <c r="G414" s="2120"/>
      <c r="H414" s="2120"/>
      <c r="I414" s="2120"/>
      <c r="J414" s="2120"/>
    </row>
    <row r="415" ht="15.75" hidden="1" customHeight="1" outlineLevel="1">
      <c r="A415" s="2085" t="s">
        <v>256</v>
      </c>
      <c r="B415" s="2048">
        <v>2.116441524E9</v>
      </c>
      <c r="C415" s="223">
        <v>6.1103631E9</v>
      </c>
      <c r="D415" s="224" t="s">
        <v>854</v>
      </c>
      <c r="E415" s="2049">
        <v>4.22939148E8</v>
      </c>
      <c r="F415" s="2120"/>
      <c r="G415" s="2120"/>
      <c r="H415" s="2120"/>
      <c r="I415" s="2120"/>
      <c r="J415" s="2120"/>
    </row>
    <row r="416" ht="15.75" hidden="1" customHeight="1" outlineLevel="1">
      <c r="A416" s="2085" t="s">
        <v>258</v>
      </c>
      <c r="B416" s="2048">
        <v>2.116441535E9</v>
      </c>
      <c r="C416" s="223">
        <v>6.11036301E9</v>
      </c>
      <c r="D416" s="224" t="s">
        <v>856</v>
      </c>
      <c r="E416" s="2049">
        <v>4.22474071E8</v>
      </c>
      <c r="F416" s="2120"/>
      <c r="G416" s="2120"/>
      <c r="H416" s="2120"/>
      <c r="I416" s="2120"/>
      <c r="J416" s="2120"/>
    </row>
    <row r="417" ht="15.75" hidden="1" customHeight="1" outlineLevel="1">
      <c r="A417" s="2085" t="s">
        <v>260</v>
      </c>
      <c r="B417" s="2048">
        <v>2.116441546E9</v>
      </c>
      <c r="C417" s="223">
        <v>6.110363081E9</v>
      </c>
      <c r="D417" s="224" t="s">
        <v>859</v>
      </c>
      <c r="E417" s="2049">
        <v>4.22367309E8</v>
      </c>
      <c r="F417" s="2120"/>
      <c r="G417" s="2120"/>
      <c r="H417" s="2120"/>
      <c r="I417" s="2120"/>
      <c r="J417" s="2120"/>
    </row>
    <row r="418" ht="15.75" hidden="1" customHeight="1" outlineLevel="1">
      <c r="A418" s="2085" t="s">
        <v>262</v>
      </c>
      <c r="B418" s="2048">
        <v>2.116441557E9</v>
      </c>
      <c r="C418" s="223">
        <v>6.110363002E9</v>
      </c>
      <c r="D418" s="224" t="s">
        <v>862</v>
      </c>
      <c r="E418" s="2049">
        <v>4.22660277E8</v>
      </c>
      <c r="F418" s="2118">
        <v>58.64</v>
      </c>
      <c r="G418" s="2118">
        <v>13.99</v>
      </c>
      <c r="H418" s="2118">
        <v>1.18</v>
      </c>
      <c r="I418" s="2118"/>
      <c r="J418" s="2118"/>
      <c r="L418" s="94">
        <f t="shared" ref="L418:L419" si="12">(F418+G418+H418+I418+J418)+3</f>
        <v>76.81</v>
      </c>
    </row>
    <row r="419" ht="15.75" hidden="1" customHeight="1" outlineLevel="1">
      <c r="A419" s="2085" t="s">
        <v>240</v>
      </c>
      <c r="B419" s="2048">
        <v>2.116441568E9</v>
      </c>
      <c r="C419" s="223">
        <v>6.11036298E9</v>
      </c>
      <c r="D419" s="224" t="s">
        <v>864</v>
      </c>
      <c r="E419" s="2049">
        <v>4.22325794E8</v>
      </c>
      <c r="F419" s="2118">
        <v>154.27</v>
      </c>
      <c r="G419" s="2118">
        <v>72.93</v>
      </c>
      <c r="H419" s="2118">
        <v>2.96</v>
      </c>
      <c r="I419" s="2118"/>
      <c r="J419" s="2118"/>
      <c r="L419" s="94">
        <f t="shared" si="12"/>
        <v>233.16</v>
      </c>
    </row>
    <row r="420" ht="15.75" hidden="1" customHeight="1" outlineLevel="1">
      <c r="A420" s="2085" t="s">
        <v>264</v>
      </c>
      <c r="B420" s="2048">
        <v>2.116441637E9</v>
      </c>
      <c r="C420" s="2087">
        <v>6.110362972E9</v>
      </c>
      <c r="D420" s="224" t="s">
        <v>867</v>
      </c>
      <c r="E420" s="2088">
        <v>4.22444717E8</v>
      </c>
      <c r="F420" s="2120"/>
      <c r="G420" s="2120"/>
      <c r="H420" s="2120"/>
      <c r="I420" s="2120"/>
      <c r="J420" s="2120"/>
    </row>
    <row r="421" ht="15.75" hidden="1" customHeight="1" outlineLevel="1">
      <c r="A421" s="2085" t="s">
        <v>266</v>
      </c>
      <c r="B421" s="2048">
        <v>2.116576549E9</v>
      </c>
      <c r="C421" s="223">
        <v>6.110363021E9</v>
      </c>
      <c r="D421" s="224" t="s">
        <v>870</v>
      </c>
      <c r="E421" s="2049">
        <v>4.22433459E8</v>
      </c>
      <c r="F421" s="2120"/>
      <c r="G421" s="2120"/>
      <c r="H421" s="2120"/>
      <c r="I421" s="2120"/>
      <c r="J421" s="2120"/>
    </row>
    <row r="422" ht="15.75" hidden="1" customHeight="1" outlineLevel="1">
      <c r="A422" s="2085" t="s">
        <v>268</v>
      </c>
      <c r="B422" s="2048">
        <v>2.11657655E9</v>
      </c>
      <c r="C422" s="223">
        <v>6.110362961E9</v>
      </c>
      <c r="D422" s="224" t="s">
        <v>873</v>
      </c>
      <c r="E422" s="2049">
        <v>4.226691E8</v>
      </c>
      <c r="F422" s="2120"/>
      <c r="G422" s="2120"/>
      <c r="H422" s="2120"/>
      <c r="I422" s="2120"/>
      <c r="J422" s="2120"/>
    </row>
    <row r="423" ht="15.75" hidden="1" customHeight="1" outlineLevel="1">
      <c r="A423" s="2085" t="s">
        <v>242</v>
      </c>
      <c r="B423" s="2048">
        <v>2.116576561E9</v>
      </c>
      <c r="C423" s="223">
        <v>6.11036295E9</v>
      </c>
      <c r="D423" s="224" t="s">
        <v>875</v>
      </c>
      <c r="E423" s="2049">
        <v>4.22752735E8</v>
      </c>
      <c r="F423" s="2118">
        <v>5.69</v>
      </c>
      <c r="G423" s="2118">
        <v>78.97</v>
      </c>
      <c r="H423" s="2118">
        <v>2.07</v>
      </c>
      <c r="I423" s="2118"/>
      <c r="J423" s="2118"/>
      <c r="L423" s="94">
        <f>(F423+G423+H423+I423+J423)+3</f>
        <v>89.73</v>
      </c>
    </row>
    <row r="424" ht="15.75" hidden="1" customHeight="1" outlineLevel="1">
      <c r="A424" s="2085" t="s">
        <v>270</v>
      </c>
      <c r="B424" s="2048">
        <v>2.116576572E9</v>
      </c>
      <c r="C424" s="223">
        <v>6.110362942E9</v>
      </c>
      <c r="D424" s="224" t="s">
        <v>878</v>
      </c>
      <c r="E424" s="2049">
        <v>4.22320003E8</v>
      </c>
      <c r="F424" s="2120"/>
      <c r="G424" s="2120"/>
      <c r="H424" s="2120"/>
      <c r="I424" s="2120"/>
      <c r="J424" s="2120"/>
    </row>
    <row r="425" ht="15.75" hidden="1" customHeight="1" outlineLevel="1">
      <c r="A425" s="2085" t="s">
        <v>272</v>
      </c>
      <c r="B425" s="2048">
        <v>2.116576583E9</v>
      </c>
      <c r="C425" s="223">
        <v>6.110362931E9</v>
      </c>
      <c r="D425" s="224" t="s">
        <v>881</v>
      </c>
      <c r="E425" s="2049">
        <v>4.22281971E8</v>
      </c>
      <c r="F425" s="2120"/>
      <c r="G425" s="2120"/>
      <c r="H425" s="2120"/>
      <c r="I425" s="2120"/>
      <c r="J425" s="2120"/>
    </row>
    <row r="426" ht="15.75" hidden="1" customHeight="1" outlineLevel="1">
      <c r="A426" s="2085" t="s">
        <v>274</v>
      </c>
      <c r="B426" s="2048">
        <v>2.116576594E9</v>
      </c>
      <c r="C426" s="2087">
        <v>6.11036313E9</v>
      </c>
      <c r="D426" s="224" t="s">
        <v>884</v>
      </c>
      <c r="E426" s="2049">
        <v>4.22169558E8</v>
      </c>
      <c r="F426" s="2120"/>
      <c r="G426" s="2120"/>
      <c r="H426" s="2120"/>
      <c r="I426" s="2120"/>
      <c r="J426" s="2120"/>
    </row>
    <row r="427" ht="15.75" hidden="1" customHeight="1" outlineLevel="1">
      <c r="A427" s="2085" t="s">
        <v>276</v>
      </c>
      <c r="B427" s="2048">
        <v>2.116576607E9</v>
      </c>
      <c r="C427" s="223">
        <v>6.110363111E9</v>
      </c>
      <c r="D427" s="224" t="s">
        <v>886</v>
      </c>
      <c r="E427" s="2049">
        <v>4.22196288E8</v>
      </c>
      <c r="F427" s="2120"/>
      <c r="G427" s="2120"/>
      <c r="H427" s="2120"/>
      <c r="I427" s="2120"/>
      <c r="J427" s="2120"/>
    </row>
    <row r="428" ht="15.75" hidden="1" customHeight="1" outlineLevel="1">
      <c r="A428" s="2085" t="s">
        <v>278</v>
      </c>
      <c r="B428" s="2048">
        <v>2.116576618E9</v>
      </c>
      <c r="C428" s="223">
        <v>6.110363092E9</v>
      </c>
      <c r="D428" s="224" t="s">
        <v>888</v>
      </c>
      <c r="E428" s="2049">
        <v>4.22278289E8</v>
      </c>
      <c r="F428" s="2120"/>
      <c r="G428" s="2120"/>
      <c r="H428" s="2120"/>
      <c r="I428" s="2120"/>
      <c r="J428" s="2120"/>
    </row>
    <row r="429" ht="15.75" hidden="1" customHeight="1" outlineLevel="1">
      <c r="A429" s="2085" t="s">
        <v>280</v>
      </c>
      <c r="B429" s="2048">
        <v>2.116576629E9</v>
      </c>
      <c r="C429" s="2087">
        <v>6.11036307E9</v>
      </c>
      <c r="D429" s="224" t="s">
        <v>891</v>
      </c>
      <c r="E429" s="2049">
        <v>4.22929242E8</v>
      </c>
      <c r="F429" s="2121"/>
      <c r="G429" s="2121"/>
      <c r="H429" s="2121"/>
      <c r="I429" s="2121"/>
      <c r="J429" s="2120"/>
    </row>
    <row r="430" ht="15.75" hidden="1" customHeight="1" outlineLevel="1">
      <c r="A430" s="2085" t="s">
        <v>283</v>
      </c>
      <c r="B430" s="2048">
        <v>2.11657663E9</v>
      </c>
      <c r="C430" s="223">
        <v>6.110363062E9</v>
      </c>
      <c r="D430" s="224" t="s">
        <v>893</v>
      </c>
      <c r="E430" s="2049">
        <v>4.22720411E8</v>
      </c>
      <c r="F430" s="2120"/>
      <c r="G430" s="2120"/>
      <c r="H430" s="2120"/>
      <c r="I430" s="2120"/>
      <c r="J430" s="2120"/>
    </row>
    <row r="431" ht="15.75" hidden="1" customHeight="1" outlineLevel="1">
      <c r="A431" s="2085" t="s">
        <v>286</v>
      </c>
      <c r="B431" s="2053">
        <v>2.116576641E9</v>
      </c>
      <c r="C431" s="2092">
        <v>6.110362991E9</v>
      </c>
      <c r="D431" s="2093" t="s">
        <v>897</v>
      </c>
      <c r="E431" s="2094">
        <v>4.22920502E8</v>
      </c>
      <c r="F431" s="2120"/>
      <c r="G431" s="2120"/>
      <c r="H431" s="2120"/>
      <c r="I431" s="2120"/>
      <c r="J431" s="2120"/>
    </row>
    <row r="432" ht="15.75" hidden="1" customHeight="1" outlineLevel="1">
      <c r="A432" s="2085" t="s">
        <v>189</v>
      </c>
      <c r="B432" s="2122"/>
      <c r="C432" s="2104"/>
      <c r="D432" s="2104"/>
      <c r="E432" s="2105"/>
      <c r="F432" s="2106"/>
      <c r="G432" s="2106"/>
      <c r="H432" s="2106"/>
      <c r="I432" s="2106"/>
      <c r="J432" s="2106"/>
    </row>
    <row r="433" ht="15.75" hidden="1" customHeight="1" outlineLevel="1">
      <c r="A433" s="2096" t="s">
        <v>235</v>
      </c>
      <c r="B433" s="2097">
        <v>2.116579553E9</v>
      </c>
      <c r="C433" s="2098">
        <v>6.110365522E9</v>
      </c>
      <c r="D433" s="2098" t="s">
        <v>1694</v>
      </c>
      <c r="E433" s="2099">
        <v>4.22732514E8</v>
      </c>
      <c r="F433" s="2113">
        <v>108.16</v>
      </c>
      <c r="G433" s="2113">
        <v>57.43</v>
      </c>
      <c r="H433" s="2113">
        <v>2.07</v>
      </c>
      <c r="I433" s="2113"/>
      <c r="J433" s="2113">
        <v>33.0</v>
      </c>
      <c r="L433" s="94">
        <f>(F433+G433+H433+I433+J433)+3</f>
        <v>203.66</v>
      </c>
    </row>
    <row r="434" ht="15.75" customHeight="1" collapsed="1">
      <c r="C434" s="475"/>
    </row>
    <row r="435" ht="15.75" customHeight="1" outlineLevel="1">
      <c r="C435" s="475"/>
    </row>
    <row r="436" ht="15.75" customHeight="1" outlineLevel="1">
      <c r="C436" s="475"/>
    </row>
    <row r="437" ht="15.75" customHeight="1" outlineLevel="1">
      <c r="C437" s="475"/>
    </row>
    <row r="438" ht="15.75" customHeight="1" outlineLevel="1">
      <c r="A438" s="2002" t="s">
        <v>1713</v>
      </c>
      <c r="C438" s="475"/>
    </row>
    <row r="439" ht="15.75" customHeight="1" outlineLevel="1">
      <c r="A439" s="2039" t="s">
        <v>1667</v>
      </c>
      <c r="B439" s="2040"/>
      <c r="C439" s="2040"/>
      <c r="D439" s="2040"/>
      <c r="E439" s="2041"/>
      <c r="F439" s="2042" t="s">
        <v>1668</v>
      </c>
      <c r="G439" s="2040"/>
      <c r="H439" s="2040"/>
      <c r="I439" s="2040"/>
      <c r="J439" s="2041"/>
    </row>
    <row r="440" ht="15.75" customHeight="1" outlineLevel="1">
      <c r="A440" s="2043" t="s">
        <v>303</v>
      </c>
      <c r="B440" s="2044" t="s">
        <v>312</v>
      </c>
      <c r="C440" s="2045" t="s">
        <v>313</v>
      </c>
      <c r="D440" s="2044" t="s">
        <v>314</v>
      </c>
      <c r="E440" s="2045" t="s">
        <v>315</v>
      </c>
      <c r="F440" s="2046" t="s">
        <v>312</v>
      </c>
      <c r="G440" s="2046" t="s">
        <v>313</v>
      </c>
      <c r="H440" s="2046" t="s">
        <v>314</v>
      </c>
      <c r="I440" s="2046" t="s">
        <v>1669</v>
      </c>
      <c r="J440" s="2046" t="s">
        <v>315</v>
      </c>
    </row>
    <row r="441" ht="15.75" customHeight="1" outlineLevel="1">
      <c r="A441" s="2047" t="s">
        <v>24</v>
      </c>
      <c r="B441" s="2048" t="s">
        <v>327</v>
      </c>
      <c r="C441" s="223">
        <v>6.011234992E9</v>
      </c>
      <c r="D441" s="224" t="s">
        <v>328</v>
      </c>
      <c r="E441" s="2049">
        <v>4.22209727E8</v>
      </c>
      <c r="F441" s="2050"/>
      <c r="G441" s="2102">
        <v>34.42</v>
      </c>
      <c r="H441" s="2114"/>
      <c r="I441" s="2050"/>
      <c r="J441" s="2090">
        <v>33.0</v>
      </c>
      <c r="K441" s="94">
        <v>1.5</v>
      </c>
      <c r="L441" s="94">
        <f>(F441+G441+I441+J441)+1.5+2</f>
        <v>70.92</v>
      </c>
    </row>
    <row r="442" ht="15.75" customHeight="1" outlineLevel="1">
      <c r="A442" s="2047" t="s">
        <v>29</v>
      </c>
      <c r="B442" s="2048" t="s">
        <v>327</v>
      </c>
      <c r="C442" s="223">
        <v>6.01109493E9</v>
      </c>
      <c r="D442" s="224" t="s">
        <v>338</v>
      </c>
      <c r="E442" s="2049">
        <v>4.22589587E8</v>
      </c>
      <c r="F442" s="2050"/>
      <c r="G442" s="2102">
        <v>2.8</v>
      </c>
      <c r="H442" s="2103"/>
      <c r="I442" s="2050"/>
      <c r="J442" s="2090">
        <v>42.0</v>
      </c>
      <c r="L442" s="94">
        <f t="shared" ref="L442:L450" si="13">(F442+G442+H442+I442+J442)+1.5+2</f>
        <v>48.3</v>
      </c>
    </row>
    <row r="443" ht="15.75" customHeight="1" outlineLevel="1">
      <c r="A443" s="2047" t="s">
        <v>32</v>
      </c>
      <c r="B443" s="2048" t="s">
        <v>327</v>
      </c>
      <c r="C443" s="223">
        <v>6.0114696E9</v>
      </c>
      <c r="D443" s="224" t="s">
        <v>345</v>
      </c>
      <c r="E443" s="2049">
        <v>4.22898373E8</v>
      </c>
      <c r="F443" s="2050"/>
      <c r="G443" s="2102">
        <v>46.21</v>
      </c>
      <c r="H443" s="2103">
        <v>23.48</v>
      </c>
      <c r="I443" s="2050"/>
      <c r="J443" s="2090">
        <v>38.0</v>
      </c>
      <c r="L443" s="94">
        <f t="shared" si="13"/>
        <v>111.19</v>
      </c>
    </row>
    <row r="444" ht="15.75" customHeight="1" outlineLevel="1">
      <c r="A444" s="2051" t="s">
        <v>35</v>
      </c>
      <c r="B444" s="2048" t="s">
        <v>327</v>
      </c>
      <c r="C444" s="2052">
        <v>6.011333411E9</v>
      </c>
      <c r="D444" s="224" t="s">
        <v>353</v>
      </c>
      <c r="E444" s="2049">
        <v>4.22454408E8</v>
      </c>
      <c r="F444" s="2050"/>
      <c r="G444" s="2102">
        <v>7.95</v>
      </c>
      <c r="H444" s="2103">
        <v>1.03</v>
      </c>
      <c r="I444" s="2050"/>
      <c r="J444" s="2090">
        <v>47.0</v>
      </c>
      <c r="L444" s="94">
        <f t="shared" si="13"/>
        <v>59.48</v>
      </c>
    </row>
    <row r="445" ht="15.75" customHeight="1" outlineLevel="1">
      <c r="A445" s="2051" t="s">
        <v>37</v>
      </c>
      <c r="B445" s="2048" t="s">
        <v>327</v>
      </c>
      <c r="C445" s="223">
        <v>6.011554481E9</v>
      </c>
      <c r="D445" s="224" t="s">
        <v>359</v>
      </c>
      <c r="E445" s="2049">
        <v>4.22958722E8</v>
      </c>
      <c r="F445" s="2050"/>
      <c r="G445" s="2102">
        <v>24.32</v>
      </c>
      <c r="H445" s="2103">
        <v>1.03</v>
      </c>
      <c r="I445" s="2050"/>
      <c r="J445" s="2090">
        <v>42.0</v>
      </c>
      <c r="L445" s="94">
        <f t="shared" si="13"/>
        <v>70.85</v>
      </c>
    </row>
    <row r="446" ht="15.75" customHeight="1" outlineLevel="1">
      <c r="A446" s="2047" t="s">
        <v>39</v>
      </c>
      <c r="B446" s="2048" t="s">
        <v>327</v>
      </c>
      <c r="C446" s="223">
        <v>6.011366441E9</v>
      </c>
      <c r="D446" s="224" t="s">
        <v>366</v>
      </c>
      <c r="E446" s="2049">
        <v>4.22609023E8</v>
      </c>
      <c r="F446" s="2050"/>
      <c r="G446" s="2102">
        <v>22.64</v>
      </c>
      <c r="H446" s="2103">
        <v>41.09</v>
      </c>
      <c r="I446" s="2050"/>
      <c r="J446" s="2090">
        <v>42.0</v>
      </c>
      <c r="L446" s="94">
        <f t="shared" si="13"/>
        <v>109.23</v>
      </c>
    </row>
    <row r="447" ht="15.75" customHeight="1" outlineLevel="1">
      <c r="A447" s="2047" t="s">
        <v>41</v>
      </c>
      <c r="B447" s="2048" t="s">
        <v>327</v>
      </c>
      <c r="C447" s="223">
        <v>6.011394071E9</v>
      </c>
      <c r="D447" s="224" t="s">
        <v>375</v>
      </c>
      <c r="E447" s="2049">
        <v>4.22464178E8</v>
      </c>
      <c r="F447" s="2050"/>
      <c r="G447" s="2102">
        <v>9.13</v>
      </c>
      <c r="H447" s="2103">
        <v>0.52</v>
      </c>
      <c r="I447" s="2050"/>
      <c r="J447" s="2090">
        <v>42.0</v>
      </c>
      <c r="L447" s="94">
        <f t="shared" si="13"/>
        <v>55.15</v>
      </c>
    </row>
    <row r="448" ht="15.75" customHeight="1" outlineLevel="1">
      <c r="A448" s="2047" t="s">
        <v>43</v>
      </c>
      <c r="B448" s="2048" t="s">
        <v>327</v>
      </c>
      <c r="C448" s="223">
        <v>6.011095331E9</v>
      </c>
      <c r="D448" s="224" t="s">
        <v>382</v>
      </c>
      <c r="E448" s="2049">
        <v>4.2237325E8</v>
      </c>
      <c r="F448" s="2050"/>
      <c r="G448" s="2102">
        <v>6.19</v>
      </c>
      <c r="H448" s="2103">
        <v>1.55</v>
      </c>
      <c r="I448" s="2050">
        <v>719.18</v>
      </c>
      <c r="J448" s="2090">
        <v>42.0</v>
      </c>
      <c r="L448" s="94">
        <f t="shared" si="13"/>
        <v>772.42</v>
      </c>
    </row>
    <row r="449" ht="15.75" customHeight="1" outlineLevel="1">
      <c r="A449" s="2047" t="s">
        <v>45</v>
      </c>
      <c r="B449" s="2048" t="s">
        <v>327</v>
      </c>
      <c r="C449" s="223">
        <v>6.0110922E9</v>
      </c>
      <c r="D449" s="224" t="s">
        <v>388</v>
      </c>
      <c r="E449" s="2049">
        <v>4.22355072E8</v>
      </c>
      <c r="F449" s="2050"/>
      <c r="G449" s="2102">
        <v>8.69</v>
      </c>
      <c r="H449" s="2103">
        <v>0.52</v>
      </c>
      <c r="I449" s="2050"/>
      <c r="J449" s="2090">
        <v>42.0</v>
      </c>
      <c r="L449" s="94">
        <f t="shared" si="13"/>
        <v>54.71</v>
      </c>
    </row>
    <row r="450" ht="15.75" customHeight="1" outlineLevel="1">
      <c r="A450" s="2047" t="s">
        <v>48</v>
      </c>
      <c r="B450" s="2053" t="s">
        <v>327</v>
      </c>
      <c r="C450" s="223">
        <v>6.011093302E9</v>
      </c>
      <c r="D450" s="224" t="s">
        <v>395</v>
      </c>
      <c r="E450" s="2049">
        <v>4.22681834E8</v>
      </c>
      <c r="F450" s="2050"/>
      <c r="G450" s="2102">
        <v>9.58</v>
      </c>
      <c r="H450" s="2103">
        <v>1.55</v>
      </c>
      <c r="I450" s="2050"/>
      <c r="J450" s="2090">
        <v>42.0</v>
      </c>
      <c r="K450" s="547" t="s">
        <v>1698</v>
      </c>
      <c r="L450" s="94">
        <f t="shared" si="13"/>
        <v>56.63</v>
      </c>
    </row>
    <row r="451" ht="15.75" customHeight="1" outlineLevel="1">
      <c r="A451" s="2047" t="s">
        <v>50</v>
      </c>
      <c r="B451" s="2048" t="s">
        <v>327</v>
      </c>
      <c r="C451" s="223">
        <v>6.011320361E9</v>
      </c>
      <c r="D451" s="224" t="s">
        <v>401</v>
      </c>
      <c r="E451" s="2049">
        <v>4.22450253E8</v>
      </c>
      <c r="F451" s="2050"/>
      <c r="G451" s="2102">
        <v>7.07</v>
      </c>
      <c r="H451" s="2103"/>
      <c r="I451" s="2050">
        <v>474.04</v>
      </c>
      <c r="J451" s="2090">
        <v>42.0</v>
      </c>
      <c r="K451" s="547" t="s">
        <v>1698</v>
      </c>
      <c r="L451" s="94">
        <f>(F451+G451+I451+J451)+1.5+2</f>
        <v>526.61</v>
      </c>
    </row>
    <row r="452" ht="15.75" customHeight="1" outlineLevel="1">
      <c r="A452" s="2047" t="s">
        <v>52</v>
      </c>
      <c r="B452" s="2053" t="s">
        <v>327</v>
      </c>
      <c r="C452" s="223">
        <v>6.01118289E9</v>
      </c>
      <c r="D452" s="224" t="s">
        <v>406</v>
      </c>
      <c r="E452" s="2049">
        <v>4.22532923E8</v>
      </c>
      <c r="F452" s="2050"/>
      <c r="G452" s="2102">
        <v>10.02</v>
      </c>
      <c r="H452" s="2103">
        <v>17.6</v>
      </c>
      <c r="I452" s="2050">
        <v>478.79</v>
      </c>
      <c r="J452" s="2090">
        <v>42.0</v>
      </c>
      <c r="L452" s="94">
        <f>(F452+G452+H452+I452+J452)+2</f>
        <v>550.41</v>
      </c>
    </row>
    <row r="453" ht="15.75" customHeight="1" outlineLevel="1">
      <c r="A453" s="2047" t="s">
        <v>54</v>
      </c>
      <c r="B453" s="2048" t="s">
        <v>327</v>
      </c>
      <c r="C453" s="223">
        <v>6.011093692E9</v>
      </c>
      <c r="D453" s="224" t="s">
        <v>412</v>
      </c>
      <c r="E453" s="2049">
        <v>4.22094809E8</v>
      </c>
      <c r="F453" s="2050"/>
      <c r="G453" s="2102">
        <v>27.31</v>
      </c>
      <c r="H453" s="2103">
        <v>4.14</v>
      </c>
      <c r="I453" s="2050"/>
      <c r="J453" s="2090">
        <v>42.0</v>
      </c>
      <c r="L453" s="94">
        <f>(F453+G453+H453+I453+J453)+1.5+2</f>
        <v>76.95</v>
      </c>
    </row>
    <row r="454" ht="15.75" customHeight="1" outlineLevel="1">
      <c r="A454" s="2047" t="s">
        <v>56</v>
      </c>
      <c r="B454" s="2048" t="s">
        <v>327</v>
      </c>
      <c r="C454" s="223">
        <v>6.011093471E9</v>
      </c>
      <c r="D454" s="224" t="s">
        <v>419</v>
      </c>
      <c r="E454" s="2049">
        <v>4.22284141E8</v>
      </c>
      <c r="F454" s="2050"/>
      <c r="G454" s="2102"/>
      <c r="H454" s="2103">
        <v>1.56</v>
      </c>
      <c r="I454" s="2050">
        <f>238.23+476.86</f>
        <v>715.09</v>
      </c>
      <c r="J454" s="2090">
        <v>42.0</v>
      </c>
      <c r="L454" s="94">
        <f>(F454+H454+I454+J454)+1.5+2</f>
        <v>762.15</v>
      </c>
    </row>
    <row r="455" ht="15.75" customHeight="1" outlineLevel="1">
      <c r="A455" s="2051" t="s">
        <v>59</v>
      </c>
      <c r="B455" s="2048" t="s">
        <v>327</v>
      </c>
      <c r="C455" s="2054"/>
      <c r="D455" s="2054"/>
      <c r="E455" s="2049"/>
      <c r="F455" s="2050"/>
      <c r="G455" s="2102">
        <v>96.39</v>
      </c>
      <c r="H455" s="2103"/>
      <c r="I455" s="2050"/>
      <c r="J455" s="2090"/>
    </row>
    <row r="456" ht="15.75" customHeight="1" outlineLevel="1">
      <c r="A456" s="2051" t="s">
        <v>62</v>
      </c>
      <c r="B456" s="2048" t="s">
        <v>327</v>
      </c>
      <c r="C456" s="223">
        <v>6.01136445E9</v>
      </c>
      <c r="D456" s="224" t="s">
        <v>434</v>
      </c>
      <c r="E456" s="2049">
        <v>4.22313986E8</v>
      </c>
      <c r="F456" s="2050"/>
      <c r="G456" s="2102">
        <v>83.62</v>
      </c>
      <c r="H456" s="2103">
        <v>1.78</v>
      </c>
      <c r="I456" s="2050"/>
      <c r="J456" s="2090">
        <v>33.0</v>
      </c>
      <c r="L456" s="94">
        <f>(F456+G456+H456+I456+J456)+1.5+2</f>
        <v>121.9</v>
      </c>
    </row>
    <row r="457" ht="15.75" customHeight="1" outlineLevel="1">
      <c r="A457" s="2051" t="s">
        <v>1699</v>
      </c>
      <c r="B457" s="2048" t="s">
        <v>327</v>
      </c>
      <c r="C457" s="223">
        <v>6.011385862E9</v>
      </c>
      <c r="D457" s="224" t="s">
        <v>470</v>
      </c>
      <c r="E457" s="2049">
        <v>4.2242482E8</v>
      </c>
      <c r="F457" s="2050"/>
      <c r="G457" s="2102">
        <v>48.64</v>
      </c>
      <c r="H457" s="2103">
        <v>6.68</v>
      </c>
      <c r="I457" s="2050">
        <v>360.9</v>
      </c>
      <c r="J457" s="2090"/>
      <c r="L457" s="94">
        <f>(F457+G457+I457+J457)+2</f>
        <v>411.54</v>
      </c>
    </row>
    <row r="458" ht="15.75" customHeight="1" outlineLevel="1">
      <c r="A458" s="2051" t="s">
        <v>1701</v>
      </c>
      <c r="B458" s="2048" t="s">
        <v>327</v>
      </c>
      <c r="C458" s="207">
        <v>6.011385011E9</v>
      </c>
      <c r="D458" s="177" t="s">
        <v>473</v>
      </c>
      <c r="E458" s="2115">
        <v>4.22860425E8</v>
      </c>
      <c r="F458" s="2050"/>
      <c r="G458" s="2102">
        <v>46.77</v>
      </c>
      <c r="H458" s="2103">
        <v>0.59</v>
      </c>
      <c r="I458" s="2050">
        <v>368.86</v>
      </c>
      <c r="J458" s="2090"/>
      <c r="L458" s="94">
        <f>(F458+G458+H458+I458+J458)+1</f>
        <v>417.22</v>
      </c>
    </row>
    <row r="459" ht="15.75" customHeight="1" outlineLevel="1">
      <c r="A459" s="2051" t="s">
        <v>1702</v>
      </c>
      <c r="B459" s="2048" t="s">
        <v>327</v>
      </c>
      <c r="C459" s="207">
        <v>6.011384782E9</v>
      </c>
      <c r="D459" s="177" t="s">
        <v>479</v>
      </c>
      <c r="E459" s="2115">
        <v>4.22288011E8</v>
      </c>
      <c r="G459" s="2102">
        <v>117.99</v>
      </c>
      <c r="H459" s="2103">
        <v>0.89</v>
      </c>
      <c r="I459" s="2050">
        <v>356.32</v>
      </c>
      <c r="J459" s="2090"/>
      <c r="L459" s="94">
        <f t="shared" ref="L459:L460" si="14">(F459+G459+H459+I459+J459)+2</f>
        <v>477.2</v>
      </c>
    </row>
    <row r="460" ht="15.75" customHeight="1" outlineLevel="1">
      <c r="A460" s="2051" t="s">
        <v>1501</v>
      </c>
      <c r="B460" s="2048" t="s">
        <v>327</v>
      </c>
      <c r="C460" s="207">
        <v>6.011385142E9</v>
      </c>
      <c r="D460" s="177" t="s">
        <v>1703</v>
      </c>
      <c r="E460" s="2115">
        <v>4.22452474E8</v>
      </c>
      <c r="F460" s="2050"/>
      <c r="G460" s="2102">
        <v>134.72</v>
      </c>
      <c r="H460" s="2103">
        <v>30.07</v>
      </c>
      <c r="I460" s="2050">
        <v>363.39</v>
      </c>
      <c r="J460" s="2090">
        <v>33.0</v>
      </c>
      <c r="K460" s="547" t="s">
        <v>1698</v>
      </c>
      <c r="L460" s="94">
        <f t="shared" si="14"/>
        <v>563.18</v>
      </c>
    </row>
    <row r="461" ht="15.75" customHeight="1" outlineLevel="1">
      <c r="A461" s="2051" t="s">
        <v>1704</v>
      </c>
      <c r="B461" s="2048" t="s">
        <v>327</v>
      </c>
      <c r="C461" s="207">
        <v>6.011384741E9</v>
      </c>
      <c r="D461" s="177" t="s">
        <v>490</v>
      </c>
      <c r="E461" s="2115">
        <v>4.22911036E8</v>
      </c>
      <c r="F461" s="2050"/>
      <c r="G461" s="2102">
        <v>99.15</v>
      </c>
      <c r="H461" s="2103">
        <v>0.29</v>
      </c>
      <c r="I461" s="2050">
        <v>721.8</v>
      </c>
      <c r="J461" s="2090"/>
      <c r="K461" s="94"/>
    </row>
    <row r="462" ht="15.75" customHeight="1" outlineLevel="1">
      <c r="A462" s="2051" t="s">
        <v>1705</v>
      </c>
      <c r="B462" s="2048" t="s">
        <v>327</v>
      </c>
      <c r="C462" s="207">
        <v>6.011385082E9</v>
      </c>
      <c r="D462" s="177" t="s">
        <v>1707</v>
      </c>
      <c r="E462" s="2115">
        <v>4.22242569E8</v>
      </c>
      <c r="F462" s="2050"/>
      <c r="G462" s="2102">
        <v>45.3</v>
      </c>
      <c r="H462" s="2103">
        <v>0.3</v>
      </c>
      <c r="I462" s="2123">
        <v>616.0</v>
      </c>
      <c r="J462" s="2090">
        <v>40.0</v>
      </c>
      <c r="L462" s="94">
        <f>(F462+G462+H462+I462+J462)+1</f>
        <v>702.6</v>
      </c>
    </row>
    <row r="463" ht="15.75" customHeight="1" outlineLevel="1">
      <c r="A463" s="2051" t="s">
        <v>1706</v>
      </c>
      <c r="B463" s="2048" t="s">
        <v>327</v>
      </c>
      <c r="C463" s="207">
        <v>6.011385172E9</v>
      </c>
      <c r="D463" s="177" t="s">
        <v>504</v>
      </c>
      <c r="E463" s="2115">
        <v>4.22203124E8</v>
      </c>
      <c r="G463" s="2102">
        <v>60.62</v>
      </c>
      <c r="H463" s="2103">
        <v>10.02</v>
      </c>
      <c r="I463" s="2050">
        <v>341.12</v>
      </c>
      <c r="J463" s="2090">
        <v>33.0</v>
      </c>
    </row>
    <row r="464" ht="15.75" customHeight="1" outlineLevel="1">
      <c r="A464" s="2051" t="s">
        <v>1708</v>
      </c>
      <c r="B464" s="2048" t="s">
        <v>327</v>
      </c>
      <c r="C464" s="207">
        <v>6.01138482E9</v>
      </c>
      <c r="D464" s="177" t="s">
        <v>500</v>
      </c>
      <c r="E464" s="448">
        <v>4.2263891E8</v>
      </c>
      <c r="F464" s="2050"/>
      <c r="G464" s="2102">
        <v>123.37</v>
      </c>
      <c r="H464" s="2103">
        <v>1.18</v>
      </c>
      <c r="I464" s="2124">
        <v>862.98</v>
      </c>
      <c r="J464" s="2090"/>
    </row>
    <row r="465" ht="15.75" customHeight="1" outlineLevel="1">
      <c r="A465" s="2051" t="s">
        <v>1709</v>
      </c>
      <c r="B465" s="2048" t="s">
        <v>327</v>
      </c>
      <c r="C465" s="207">
        <v>6.011432891E9</v>
      </c>
      <c r="D465" s="177" t="s">
        <v>508</v>
      </c>
      <c r="E465" s="2125">
        <v>4.22954682E8</v>
      </c>
      <c r="F465" s="2050"/>
      <c r="G465" s="2102">
        <v>27.87</v>
      </c>
      <c r="H465" s="2103">
        <v>0.3</v>
      </c>
      <c r="I465" s="2050">
        <v>284.61</v>
      </c>
      <c r="J465" s="2090">
        <v>33.0</v>
      </c>
      <c r="L465" s="94">
        <f>(F465+G465+H465+I465+J465)+2</f>
        <v>347.78</v>
      </c>
    </row>
    <row r="466" ht="15.75" customHeight="1" outlineLevel="1">
      <c r="A466" s="2051" t="s">
        <v>1710</v>
      </c>
      <c r="B466" s="2048" t="s">
        <v>327</v>
      </c>
      <c r="C466" s="207">
        <v>6.011372062E9</v>
      </c>
      <c r="D466" s="177" t="s">
        <v>513</v>
      </c>
      <c r="E466" s="2115">
        <v>4.22988423E8</v>
      </c>
      <c r="F466" s="2050"/>
      <c r="G466" s="2102"/>
      <c r="H466" s="2103"/>
      <c r="I466" s="2050"/>
      <c r="J466" s="2090">
        <v>33.0</v>
      </c>
    </row>
    <row r="467" ht="15.75" customHeight="1" outlineLevel="1">
      <c r="A467" s="2051" t="s">
        <v>64</v>
      </c>
      <c r="B467" s="2048" t="s">
        <v>327</v>
      </c>
      <c r="C467" s="176">
        <v>6.011507471E9</v>
      </c>
      <c r="D467" s="177" t="s">
        <v>442</v>
      </c>
      <c r="E467" s="2115">
        <v>4.22988423E8</v>
      </c>
      <c r="F467" s="2050"/>
      <c r="G467" s="2102">
        <v>8.54</v>
      </c>
      <c r="H467" s="2103">
        <f>96.4+1.18</f>
        <v>97.58</v>
      </c>
      <c r="I467" s="2050">
        <v>178.0</v>
      </c>
      <c r="J467" s="2090"/>
      <c r="L467" s="94">
        <f>(F467+G467+H467+I467+J467)+1.5+2</f>
        <v>287.62</v>
      </c>
    </row>
    <row r="468" ht="15.75" customHeight="1" outlineLevel="1">
      <c r="A468" s="2051" t="s">
        <v>70</v>
      </c>
      <c r="B468" s="2048" t="s">
        <v>327</v>
      </c>
      <c r="C468" s="223">
        <v>6.01092468E9</v>
      </c>
      <c r="D468" s="224" t="s">
        <v>456</v>
      </c>
      <c r="E468" s="2049">
        <v>4.2212481E8</v>
      </c>
      <c r="F468" s="2050"/>
      <c r="G468" s="2102">
        <v>403.92</v>
      </c>
      <c r="H468" s="2103">
        <v>4.14</v>
      </c>
      <c r="I468" s="2117"/>
      <c r="J468" s="2090"/>
      <c r="L468" s="94">
        <f t="shared" ref="L468:L470" si="15">(F468+G468+H468+I468+J468)+2</f>
        <v>410.06</v>
      </c>
    </row>
    <row r="469" ht="15.75" customHeight="1" outlineLevel="1">
      <c r="A469" s="2051" t="s">
        <v>73</v>
      </c>
      <c r="B469" s="2048" t="s">
        <v>327</v>
      </c>
      <c r="C469" s="223">
        <v>6.010924822E9</v>
      </c>
      <c r="D469" s="224" t="s">
        <v>462</v>
      </c>
      <c r="E469" s="2049">
        <v>4.22556559E8</v>
      </c>
      <c r="F469" s="2050"/>
      <c r="G469" s="2102">
        <v>55.56</v>
      </c>
      <c r="H469" s="2103">
        <v>4.67</v>
      </c>
      <c r="I469" s="233"/>
      <c r="J469" s="2090">
        <v>43.4</v>
      </c>
      <c r="L469" s="94">
        <f t="shared" si="15"/>
        <v>105.63</v>
      </c>
    </row>
    <row r="470" ht="15.75" customHeight="1" outlineLevel="1">
      <c r="A470" s="2051" t="s">
        <v>75</v>
      </c>
      <c r="B470" s="2048" t="s">
        <v>327</v>
      </c>
      <c r="C470" s="223">
        <v>6.010924972E9</v>
      </c>
      <c r="D470" s="224" t="s">
        <v>465</v>
      </c>
      <c r="E470" s="2049">
        <v>4.22196746E8</v>
      </c>
      <c r="F470" s="2118"/>
      <c r="G470" s="2102">
        <v>97.79</v>
      </c>
      <c r="H470" s="2103">
        <v>3.63</v>
      </c>
      <c r="I470" s="243"/>
      <c r="J470" s="2090"/>
      <c r="L470" s="94">
        <f t="shared" si="15"/>
        <v>103.42</v>
      </c>
    </row>
    <row r="471" ht="15.75" customHeight="1" outlineLevel="1">
      <c r="A471" s="2051" t="s">
        <v>67</v>
      </c>
      <c r="B471" s="2048">
        <v>2.117437984E9</v>
      </c>
      <c r="C471" s="223">
        <v>6.011510141E9</v>
      </c>
      <c r="D471" s="224" t="s">
        <v>447</v>
      </c>
      <c r="E471" s="2057">
        <v>3.09596293E8</v>
      </c>
      <c r="F471" s="2118">
        <v>21.63</v>
      </c>
      <c r="G471" s="2102">
        <v>5.3</v>
      </c>
      <c r="H471" s="2103">
        <v>17.61</v>
      </c>
      <c r="I471" s="2050">
        <v>41.0</v>
      </c>
      <c r="J471" s="2090">
        <f>20.26+29</f>
        <v>49.26</v>
      </c>
      <c r="L471" s="94">
        <f>(F471+G471+H471+I471+J471)+3</f>
        <v>137.8</v>
      </c>
    </row>
    <row r="472" ht="15.75" customHeight="1" outlineLevel="1">
      <c r="A472" s="2051" t="s">
        <v>181</v>
      </c>
      <c r="B472" s="2048">
        <v>1.114390195E9</v>
      </c>
      <c r="C472" s="223">
        <v>6.010839262E9</v>
      </c>
      <c r="D472" s="224" t="s">
        <v>522</v>
      </c>
      <c r="E472" s="2057">
        <v>9.1433115E7</v>
      </c>
      <c r="F472" s="2118">
        <v>29.03</v>
      </c>
      <c r="G472" s="2102">
        <v>19.27</v>
      </c>
      <c r="H472" s="2103">
        <v>1.55</v>
      </c>
      <c r="I472" s="2050">
        <v>30.0</v>
      </c>
      <c r="J472" s="2090">
        <v>22.0</v>
      </c>
      <c r="L472" s="94">
        <f>(F472+G472+H472+I472+J472)</f>
        <v>101.85</v>
      </c>
    </row>
    <row r="473" ht="15.75" customHeight="1" outlineLevel="1">
      <c r="A473" s="2051" t="s">
        <v>183</v>
      </c>
      <c r="B473" s="2058" t="s">
        <v>528</v>
      </c>
      <c r="C473" s="223">
        <v>6.011482811E9</v>
      </c>
      <c r="D473" s="224" t="s">
        <v>529</v>
      </c>
      <c r="E473" s="2049">
        <v>4.22793459E8</v>
      </c>
      <c r="F473" s="2120"/>
      <c r="G473" s="2120"/>
      <c r="H473" s="2120"/>
      <c r="I473" s="2120"/>
      <c r="J473" s="2120"/>
    </row>
    <row r="474" ht="15.75" customHeight="1" outlineLevel="1">
      <c r="A474" s="2051" t="s">
        <v>186</v>
      </c>
      <c r="B474" s="2058" t="s">
        <v>533</v>
      </c>
      <c r="C474" s="223">
        <v>6.0114828E9</v>
      </c>
      <c r="D474" s="224" t="s">
        <v>534</v>
      </c>
      <c r="E474" s="2049">
        <v>4.22524555E8</v>
      </c>
      <c r="F474" s="2120"/>
      <c r="G474" s="2120"/>
      <c r="H474" s="2120"/>
      <c r="I474" s="2120"/>
      <c r="J474" s="2120"/>
    </row>
    <row r="475" ht="15.75" customHeight="1" outlineLevel="1">
      <c r="A475" s="2051" t="s">
        <v>188</v>
      </c>
      <c r="B475" s="2058" t="s">
        <v>537</v>
      </c>
      <c r="C475" s="223">
        <v>6.011482991E9</v>
      </c>
      <c r="D475" s="224" t="s">
        <v>538</v>
      </c>
      <c r="E475" s="2049">
        <v>4.22431356E8</v>
      </c>
      <c r="F475" s="2086">
        <v>91.65</v>
      </c>
      <c r="G475" s="2102">
        <v>14.14</v>
      </c>
      <c r="H475" s="2103"/>
      <c r="I475" s="2050"/>
      <c r="J475" s="2090"/>
      <c r="L475" s="94">
        <f>(F475+G475+I475)+2</f>
        <v>107.79</v>
      </c>
    </row>
    <row r="476" ht="15.75" customHeight="1" outlineLevel="1">
      <c r="A476" s="2059" t="s">
        <v>100</v>
      </c>
      <c r="B476" s="2060" t="s">
        <v>327</v>
      </c>
      <c r="C476" s="2054"/>
      <c r="D476" s="224" t="s">
        <v>545</v>
      </c>
      <c r="E476" s="2049"/>
      <c r="F476" s="2050"/>
      <c r="G476" s="2102">
        <v>123.93</v>
      </c>
      <c r="H476" s="2103">
        <v>17.61</v>
      </c>
      <c r="I476" s="2050">
        <v>133.26</v>
      </c>
      <c r="J476" s="2090"/>
      <c r="L476" s="94">
        <f t="shared" ref="L476:L478" si="16">(F476+G476+H476+I476+J476)+2</f>
        <v>276.8</v>
      </c>
    </row>
    <row r="477" ht="15.75" customHeight="1" outlineLevel="1">
      <c r="A477" s="2059" t="s">
        <v>104</v>
      </c>
      <c r="B477" s="2060" t="s">
        <v>327</v>
      </c>
      <c r="C477" s="2054"/>
      <c r="D477" s="224" t="s">
        <v>550</v>
      </c>
      <c r="E477" s="2049"/>
      <c r="F477" s="2050"/>
      <c r="G477" s="2102">
        <v>92.21</v>
      </c>
      <c r="H477" s="2103">
        <v>35.21</v>
      </c>
      <c r="I477" s="2050"/>
      <c r="J477" s="2090"/>
      <c r="L477" s="94">
        <f t="shared" si="16"/>
        <v>129.42</v>
      </c>
    </row>
    <row r="478" ht="15.75" customHeight="1" outlineLevel="1">
      <c r="A478" s="2059" t="s">
        <v>106</v>
      </c>
      <c r="B478" s="2060" t="s">
        <v>327</v>
      </c>
      <c r="C478" s="2054"/>
      <c r="D478" s="224" t="s">
        <v>555</v>
      </c>
      <c r="E478" s="2049"/>
      <c r="F478" s="2050"/>
      <c r="G478" s="2102">
        <v>86.62</v>
      </c>
      <c r="H478" s="2103">
        <v>17.61</v>
      </c>
      <c r="I478" s="2050"/>
      <c r="J478" s="2090"/>
      <c r="L478" s="94">
        <f t="shared" si="16"/>
        <v>106.23</v>
      </c>
    </row>
    <row r="479" ht="15.75" customHeight="1" outlineLevel="1">
      <c r="A479" s="2059" t="s">
        <v>108</v>
      </c>
      <c r="B479" s="2060" t="s">
        <v>327</v>
      </c>
      <c r="C479" s="2054"/>
      <c r="D479" s="224" t="s">
        <v>560</v>
      </c>
      <c r="E479" s="2049"/>
      <c r="F479" s="2050"/>
      <c r="G479" s="2102">
        <f>6.32+20.55+71.3</f>
        <v>98.17</v>
      </c>
      <c r="H479" s="2103"/>
      <c r="I479" s="2050">
        <v>96.84</v>
      </c>
      <c r="J479" s="2050"/>
      <c r="L479" s="94">
        <f>(F479+G479+I479+J479)+1.5+2</f>
        <v>198.51</v>
      </c>
    </row>
    <row r="480" ht="15.75" customHeight="1" outlineLevel="1">
      <c r="A480" s="2059" t="s">
        <v>111</v>
      </c>
      <c r="B480" s="2060" t="s">
        <v>327</v>
      </c>
      <c r="C480" s="2054"/>
      <c r="D480" s="224" t="s">
        <v>567</v>
      </c>
      <c r="E480" s="2049"/>
      <c r="F480" s="2050"/>
      <c r="G480" s="2102">
        <v>74.51</v>
      </c>
      <c r="H480" s="2103">
        <v>35.22</v>
      </c>
      <c r="I480" s="2050"/>
      <c r="J480" s="2050"/>
      <c r="L480" s="94">
        <f t="shared" ref="L480:L484" si="17">(F480+G480+H480+I480+J480)+3</f>
        <v>112.73</v>
      </c>
    </row>
    <row r="481" ht="15.75" customHeight="1" outlineLevel="1">
      <c r="A481" s="2059" t="s">
        <v>113</v>
      </c>
      <c r="B481" s="2060" t="s">
        <v>327</v>
      </c>
      <c r="C481" s="2054"/>
      <c r="D481" s="224" t="s">
        <v>574</v>
      </c>
      <c r="E481" s="2049"/>
      <c r="F481" s="2050"/>
      <c r="G481" s="2102">
        <v>71.31</v>
      </c>
      <c r="H481" s="2103">
        <v>17.61</v>
      </c>
      <c r="I481" s="2050">
        <v>114.87</v>
      </c>
      <c r="J481" s="2050"/>
      <c r="L481" s="94">
        <f t="shared" si="17"/>
        <v>206.79</v>
      </c>
    </row>
    <row r="482" ht="15.75" customHeight="1" outlineLevel="1">
      <c r="A482" s="2059" t="s">
        <v>115</v>
      </c>
      <c r="B482" s="2060" t="s">
        <v>327</v>
      </c>
      <c r="C482" s="2054"/>
      <c r="D482" s="224" t="s">
        <v>581</v>
      </c>
      <c r="E482" s="2049"/>
      <c r="F482" s="2050"/>
      <c r="G482" s="2102">
        <v>153.64</v>
      </c>
      <c r="H482" s="2103">
        <v>29.35</v>
      </c>
      <c r="I482" s="2050"/>
      <c r="J482" s="2050"/>
      <c r="L482" s="94">
        <f t="shared" si="17"/>
        <v>185.99</v>
      </c>
    </row>
    <row r="483" ht="15.75" customHeight="1" outlineLevel="1">
      <c r="A483" s="2059" t="s">
        <v>117</v>
      </c>
      <c r="B483" s="2060" t="s">
        <v>327</v>
      </c>
      <c r="C483" s="2054"/>
      <c r="D483" s="224" t="s">
        <v>1684</v>
      </c>
      <c r="E483" s="2049"/>
      <c r="F483" s="2050"/>
      <c r="G483" s="2102">
        <v>77.04</v>
      </c>
      <c r="H483" s="2103">
        <v>41.08</v>
      </c>
      <c r="I483" s="2050">
        <v>1.78</v>
      </c>
      <c r="J483" s="2050"/>
      <c r="L483" s="94">
        <f t="shared" si="17"/>
        <v>122.9</v>
      </c>
    </row>
    <row r="484" ht="15.75" customHeight="1" outlineLevel="1">
      <c r="A484" s="2059" t="s">
        <v>119</v>
      </c>
      <c r="B484" s="2060" t="s">
        <v>327</v>
      </c>
      <c r="C484" s="2054"/>
      <c r="D484" s="224" t="s">
        <v>1688</v>
      </c>
      <c r="E484" s="2049"/>
      <c r="F484" s="2050"/>
      <c r="G484" s="2102">
        <v>163.78</v>
      </c>
      <c r="H484" s="2103">
        <v>5.87</v>
      </c>
      <c r="I484" s="2050"/>
      <c r="J484" s="2050"/>
      <c r="L484" s="94">
        <f t="shared" si="17"/>
        <v>172.65</v>
      </c>
    </row>
    <row r="485" ht="15.75" customHeight="1" outlineLevel="1">
      <c r="A485" s="2059" t="s">
        <v>596</v>
      </c>
      <c r="B485" s="2104" t="s">
        <v>327</v>
      </c>
      <c r="C485" s="2104"/>
      <c r="D485" s="2104"/>
      <c r="E485" s="2105"/>
      <c r="F485" s="2106"/>
      <c r="G485" s="2106"/>
      <c r="H485" s="2106"/>
      <c r="I485" s="2050">
        <v>133.07</v>
      </c>
      <c r="J485" s="2106"/>
    </row>
    <row r="486" ht="15.75" customHeight="1" outlineLevel="1">
      <c r="A486" s="2059" t="s">
        <v>121</v>
      </c>
      <c r="B486" s="2060" t="s">
        <v>327</v>
      </c>
      <c r="C486" s="2054"/>
      <c r="D486" s="224" t="s">
        <v>1689</v>
      </c>
      <c r="E486" s="2049"/>
      <c r="F486" s="2063"/>
      <c r="G486" s="2063"/>
      <c r="H486" s="2063">
        <v>70.43</v>
      </c>
      <c r="I486" s="2063"/>
      <c r="J486" s="2063"/>
    </row>
    <row r="487" ht="15.75" customHeight="1" outlineLevel="1">
      <c r="A487" s="2064" t="s">
        <v>124</v>
      </c>
      <c r="B487" s="2060" t="s">
        <v>327</v>
      </c>
      <c r="C487" s="223">
        <v>6.011026852E9</v>
      </c>
      <c r="D487" s="224" t="s">
        <v>608</v>
      </c>
      <c r="E487" s="2049">
        <v>11604.0</v>
      </c>
      <c r="F487" s="2050"/>
      <c r="G487" s="2102">
        <v>52.38</v>
      </c>
      <c r="H487" s="2103">
        <v>2.07</v>
      </c>
      <c r="I487" s="2050"/>
      <c r="J487" s="2050"/>
      <c r="L487" s="94">
        <f t="shared" ref="L487:L488" si="18">(F487+G487+H487+I487+J487)+3</f>
        <v>57.45</v>
      </c>
    </row>
    <row r="488" ht="15.75" customHeight="1" outlineLevel="1">
      <c r="A488" s="2066" t="s">
        <v>127</v>
      </c>
      <c r="B488" s="2060" t="s">
        <v>327</v>
      </c>
      <c r="C488" s="223">
        <v>6.011026871E9</v>
      </c>
      <c r="D488" s="224" t="s">
        <v>612</v>
      </c>
      <c r="E488" s="2049">
        <v>11606.0</v>
      </c>
      <c r="F488" s="2050"/>
      <c r="G488" s="2102"/>
      <c r="H488" s="2103">
        <v>1.56</v>
      </c>
      <c r="I488" s="2050"/>
      <c r="J488" s="2050"/>
      <c r="L488" s="94">
        <f t="shared" si="18"/>
        <v>4.56</v>
      </c>
    </row>
    <row r="489" ht="15.75" customHeight="1" outlineLevel="1">
      <c r="A489" s="2066" t="s">
        <v>129</v>
      </c>
      <c r="B489" s="2060" t="s">
        <v>327</v>
      </c>
      <c r="C489" s="223">
        <v>6.011025671E9</v>
      </c>
      <c r="D489" s="224" t="s">
        <v>617</v>
      </c>
      <c r="E489" s="2049">
        <v>11931.0</v>
      </c>
      <c r="F489" s="2050"/>
      <c r="G489" s="2102">
        <v>99.41</v>
      </c>
      <c r="H489" s="2103">
        <v>2.59</v>
      </c>
      <c r="I489" s="2050"/>
      <c r="J489" s="2050"/>
      <c r="L489" s="94">
        <f>(F489+G489+I489+J489)+3</f>
        <v>102.41</v>
      </c>
    </row>
    <row r="490" ht="15.75" customHeight="1" outlineLevel="1">
      <c r="A490" s="2107" t="s">
        <v>131</v>
      </c>
      <c r="B490" s="2104" t="s">
        <v>327</v>
      </c>
      <c r="C490" s="2104" t="s">
        <v>327</v>
      </c>
      <c r="D490" s="2104" t="s">
        <v>327</v>
      </c>
      <c r="E490" s="2105">
        <v>11304.0</v>
      </c>
      <c r="F490" s="2106"/>
      <c r="G490" s="2106"/>
      <c r="H490" s="2106"/>
      <c r="I490" s="2106"/>
      <c r="J490" s="2106"/>
      <c r="L490" s="94">
        <f>(F490+G490+H490+I490+J490)+1</f>
        <v>1</v>
      </c>
    </row>
    <row r="491" ht="15.75" customHeight="1" outlineLevel="1">
      <c r="A491" s="2066" t="s">
        <v>133</v>
      </c>
      <c r="B491" s="2048" t="s">
        <v>327</v>
      </c>
      <c r="C491" s="223">
        <v>6.01101855E9</v>
      </c>
      <c r="D491" s="224" t="s">
        <v>631</v>
      </c>
      <c r="E491" s="2049">
        <v>11327.0</v>
      </c>
      <c r="F491" s="2118"/>
      <c r="G491" s="2102">
        <v>74.56</v>
      </c>
      <c r="H491" s="2108">
        <v>29.34</v>
      </c>
      <c r="I491" s="2118"/>
      <c r="J491" s="2118"/>
      <c r="L491" s="94">
        <f t="shared" ref="L491:L493" si="19">(F491+G491+I491+J491)+3</f>
        <v>77.56</v>
      </c>
    </row>
    <row r="492" ht="15.75" customHeight="1" outlineLevel="1">
      <c r="A492" s="2066" t="s">
        <v>152</v>
      </c>
      <c r="B492" s="2048" t="s">
        <v>327</v>
      </c>
      <c r="C492" s="223">
        <v>6.011359631E9</v>
      </c>
      <c r="D492" s="224" t="s">
        <v>636</v>
      </c>
      <c r="E492" s="2049">
        <v>3.08003451E8</v>
      </c>
      <c r="F492" s="2118"/>
      <c r="G492" s="2102">
        <v>14.14</v>
      </c>
      <c r="H492" s="2108">
        <v>1.03</v>
      </c>
      <c r="I492" s="2118">
        <v>55.35</v>
      </c>
      <c r="J492" s="2118">
        <v>37.0</v>
      </c>
      <c r="L492" s="94">
        <f t="shared" si="19"/>
        <v>109.49</v>
      </c>
    </row>
    <row r="493" ht="15.75" customHeight="1" outlineLevel="1">
      <c r="A493" s="2066" t="s">
        <v>154</v>
      </c>
      <c r="B493" s="2048" t="s">
        <v>327</v>
      </c>
      <c r="C493" s="223">
        <v>6.01135965E9</v>
      </c>
      <c r="D493" s="224" t="s">
        <v>642</v>
      </c>
      <c r="E493" s="2049">
        <v>3.08003321E8</v>
      </c>
      <c r="F493" s="2050"/>
      <c r="G493" s="2102">
        <v>40.03</v>
      </c>
      <c r="H493" s="2108">
        <v>2.07</v>
      </c>
      <c r="I493" s="2050">
        <v>55.35</v>
      </c>
      <c r="J493" s="2050">
        <v>37.0</v>
      </c>
      <c r="L493" s="94">
        <f t="shared" si="19"/>
        <v>135.38</v>
      </c>
    </row>
    <row r="494" ht="15.75" customHeight="1" outlineLevel="1">
      <c r="A494" s="2066" t="s">
        <v>156</v>
      </c>
      <c r="B494" s="2104"/>
      <c r="C494" s="2109">
        <v>6.011606752E9</v>
      </c>
      <c r="D494" s="2109" t="s">
        <v>645</v>
      </c>
      <c r="E494" s="2110"/>
      <c r="F494" s="2106"/>
      <c r="G494" s="2106"/>
      <c r="H494" s="2106"/>
      <c r="I494" s="2106"/>
      <c r="J494" s="2106"/>
    </row>
    <row r="495" ht="15.75" customHeight="1" outlineLevel="1">
      <c r="A495" s="2066" t="s">
        <v>165</v>
      </c>
      <c r="B495" s="2048" t="s">
        <v>327</v>
      </c>
      <c r="C495" s="2052">
        <v>6.011471272E9</v>
      </c>
      <c r="D495" s="2067" t="s">
        <v>649</v>
      </c>
      <c r="E495" s="2068">
        <v>3.06940056E8</v>
      </c>
      <c r="F495" s="2050"/>
      <c r="G495" s="2102">
        <v>136.34</v>
      </c>
      <c r="H495" s="2103"/>
      <c r="I495" s="2050"/>
      <c r="J495" s="2050">
        <v>50.0</v>
      </c>
      <c r="L495" s="94">
        <f t="shared" ref="L495:L497" si="20">(F495+G495+H495+I495+J495)+3</f>
        <v>189.34</v>
      </c>
    </row>
    <row r="496" ht="15.75" customHeight="1" outlineLevel="1">
      <c r="A496" s="2066" t="s">
        <v>169</v>
      </c>
      <c r="B496" s="2048" t="s">
        <v>327</v>
      </c>
      <c r="C496" s="2052">
        <v>6.01147128E9</v>
      </c>
      <c r="D496" s="2067" t="s">
        <v>654</v>
      </c>
      <c r="E496" s="2068">
        <v>3.06940085E8</v>
      </c>
      <c r="F496" s="2050"/>
      <c r="G496" s="2102">
        <v>85.01</v>
      </c>
      <c r="H496" s="2103">
        <v>1.19</v>
      </c>
      <c r="I496" s="2050"/>
      <c r="J496" s="2050">
        <v>34.0</v>
      </c>
      <c r="L496" s="94">
        <f t="shared" si="20"/>
        <v>123.2</v>
      </c>
    </row>
    <row r="497" ht="15.75" customHeight="1" outlineLevel="1">
      <c r="A497" s="2066" t="s">
        <v>171</v>
      </c>
      <c r="B497" s="2058" t="s">
        <v>327</v>
      </c>
      <c r="C497" s="223">
        <v>6.011442532E9</v>
      </c>
      <c r="D497" s="224" t="s">
        <v>659</v>
      </c>
      <c r="E497" s="2049">
        <v>3.06316828E8</v>
      </c>
      <c r="F497" s="2050"/>
      <c r="G497" s="2102">
        <v>197.66</v>
      </c>
      <c r="H497" s="2103">
        <v>2.66</v>
      </c>
      <c r="I497" s="2050"/>
      <c r="J497" s="2050">
        <v>45.0</v>
      </c>
      <c r="L497" s="94">
        <f t="shared" si="20"/>
        <v>248.32</v>
      </c>
    </row>
    <row r="498" ht="15.75" customHeight="1" outlineLevel="1">
      <c r="A498" s="2066" t="s">
        <v>173</v>
      </c>
      <c r="B498" s="2119" t="s">
        <v>327</v>
      </c>
      <c r="C498" s="2080">
        <v>6.011463851E9</v>
      </c>
      <c r="D498" s="2080" t="s">
        <v>666</v>
      </c>
      <c r="E498" s="2095">
        <v>3.06244928E8</v>
      </c>
      <c r="F498" s="2120"/>
      <c r="G498" s="2120"/>
      <c r="H498" s="2120"/>
      <c r="I498" s="2120"/>
      <c r="J498" s="2120"/>
    </row>
    <row r="499" ht="15.75" customHeight="1" outlineLevel="1">
      <c r="A499" s="2066" t="s">
        <v>175</v>
      </c>
      <c r="B499" s="2058" t="s">
        <v>327</v>
      </c>
      <c r="C499" s="223">
        <v>6.011588872E9</v>
      </c>
      <c r="D499" s="224" t="s">
        <v>674</v>
      </c>
      <c r="E499" s="2049">
        <v>3.09007254E8</v>
      </c>
      <c r="F499" s="2050"/>
      <c r="G499" s="2102">
        <v>145.63</v>
      </c>
      <c r="H499" s="2103">
        <v>2.97</v>
      </c>
      <c r="I499" s="2050"/>
      <c r="J499" s="2050">
        <v>37.0</v>
      </c>
      <c r="L499" s="94">
        <f t="shared" ref="L499:L500" si="21">(F499+G499+H499+I499+J499)+3</f>
        <v>188.6</v>
      </c>
    </row>
    <row r="500" ht="15.75" customHeight="1" outlineLevel="1">
      <c r="A500" s="2066" t="s">
        <v>157</v>
      </c>
      <c r="B500" s="2058" t="s">
        <v>680</v>
      </c>
      <c r="C500" s="223">
        <v>6.011592412E9</v>
      </c>
      <c r="D500" s="224" t="s">
        <v>681</v>
      </c>
      <c r="E500" s="2049">
        <v>3.08312967E8</v>
      </c>
      <c r="F500" s="2050">
        <v>57.5</v>
      </c>
      <c r="G500" s="2102">
        <v>167.39</v>
      </c>
      <c r="H500" s="2103"/>
      <c r="I500" s="2050">
        <v>186.0</v>
      </c>
      <c r="J500" s="2050">
        <v>36.0</v>
      </c>
      <c r="L500" s="94">
        <f t="shared" si="21"/>
        <v>449.89</v>
      </c>
    </row>
    <row r="501" ht="15.75" customHeight="1" outlineLevel="1">
      <c r="A501" s="2066" t="s">
        <v>161</v>
      </c>
      <c r="B501" s="2058" t="s">
        <v>705</v>
      </c>
      <c r="C501" s="223">
        <v>6.011357782E9</v>
      </c>
      <c r="D501" s="224" t="s">
        <v>706</v>
      </c>
      <c r="E501" s="2049">
        <v>3.0844433E8</v>
      </c>
      <c r="F501" s="2050">
        <v>24.48</v>
      </c>
      <c r="G501" s="2102">
        <v>7.22</v>
      </c>
      <c r="H501" s="2103">
        <v>5.87</v>
      </c>
      <c r="I501" s="2050">
        <v>86.0</v>
      </c>
      <c r="J501" s="2050">
        <v>59.08</v>
      </c>
    </row>
    <row r="502" ht="15.75" customHeight="1" outlineLevel="1">
      <c r="A502" s="2066" t="s">
        <v>163</v>
      </c>
      <c r="B502" s="2058" t="s">
        <v>710</v>
      </c>
      <c r="C502" s="223">
        <v>6.01130319E9</v>
      </c>
      <c r="D502" s="224" t="s">
        <v>711</v>
      </c>
      <c r="E502" s="2049">
        <v>3.09152032E8</v>
      </c>
      <c r="F502" s="2063">
        <v>16.51</v>
      </c>
      <c r="G502" s="2063">
        <v>10.61</v>
      </c>
      <c r="H502" s="2063">
        <v>11.74</v>
      </c>
      <c r="I502" s="2063"/>
      <c r="J502" s="2063">
        <v>34.0</v>
      </c>
      <c r="K502" s="547" t="s">
        <v>1698</v>
      </c>
      <c r="L502" s="94">
        <f>(F502+G502+H502+I502+J502)+1.5+2</f>
        <v>76.36</v>
      </c>
    </row>
    <row r="503" ht="15.75" customHeight="1" outlineLevel="1">
      <c r="A503" s="2066" t="s">
        <v>135</v>
      </c>
      <c r="B503" s="2058" t="s">
        <v>718</v>
      </c>
      <c r="C503" s="223">
        <v>6.011209751E9</v>
      </c>
      <c r="D503" s="224" t="s">
        <v>719</v>
      </c>
      <c r="E503" s="2049">
        <v>3.02824611E8</v>
      </c>
      <c r="F503" s="2086">
        <v>53.51</v>
      </c>
      <c r="G503" s="2102">
        <v>46.21</v>
      </c>
      <c r="H503" s="2108">
        <v>58.7</v>
      </c>
      <c r="I503" s="2050"/>
      <c r="J503" s="2090">
        <v>36.0</v>
      </c>
      <c r="L503" s="94">
        <f t="shared" ref="L503:L505" si="22">(F503+G503+H503+I503+J503)+3</f>
        <v>197.42</v>
      </c>
    </row>
    <row r="504" ht="15.75" customHeight="1" outlineLevel="1">
      <c r="A504" s="2066" t="s">
        <v>138</v>
      </c>
      <c r="B504" s="2053">
        <v>2.116817982E9</v>
      </c>
      <c r="C504" s="223">
        <v>6.011542702E9</v>
      </c>
      <c r="D504" s="224" t="s">
        <v>726</v>
      </c>
      <c r="E504" s="2049">
        <v>3.08217116E8</v>
      </c>
      <c r="F504" s="2086">
        <v>40.99</v>
      </c>
      <c r="G504" s="2102">
        <v>52.19</v>
      </c>
      <c r="H504" s="2108">
        <v>2.59</v>
      </c>
      <c r="I504" s="2050"/>
      <c r="J504" s="2090">
        <v>45.0</v>
      </c>
      <c r="L504" s="94">
        <f t="shared" si="22"/>
        <v>143.77</v>
      </c>
    </row>
    <row r="505" ht="15.75" customHeight="1" outlineLevel="1">
      <c r="A505" s="2066" t="s">
        <v>140</v>
      </c>
      <c r="B505" s="2104" t="s">
        <v>327</v>
      </c>
      <c r="C505" s="2104">
        <v>6.011270272E9</v>
      </c>
      <c r="D505" s="2104" t="s">
        <v>732</v>
      </c>
      <c r="E505" s="2105">
        <v>4.22560058E8</v>
      </c>
      <c r="F505" s="2106"/>
      <c r="G505" s="2106">
        <v>121.01</v>
      </c>
      <c r="H505" s="2106">
        <v>5.7</v>
      </c>
      <c r="I505" s="2106"/>
      <c r="J505" s="2106">
        <v>42.0</v>
      </c>
      <c r="K505" s="547" t="s">
        <v>1698</v>
      </c>
      <c r="L505" s="94">
        <f t="shared" si="22"/>
        <v>171.71</v>
      </c>
    </row>
    <row r="506" ht="15.75" customHeight="1" outlineLevel="1">
      <c r="A506" s="2126">
        <v>46168.0</v>
      </c>
      <c r="B506" s="2111">
        <v>2.118280001E9</v>
      </c>
      <c r="C506" s="223">
        <v>6.011585321E9</v>
      </c>
      <c r="D506" s="224" t="s">
        <v>1714</v>
      </c>
      <c r="E506" s="2049"/>
      <c r="F506" s="2050">
        <v>58.64</v>
      </c>
      <c r="G506" s="2050">
        <v>28.81</v>
      </c>
      <c r="H506" s="2050">
        <v>4.14</v>
      </c>
      <c r="I506" s="2050"/>
      <c r="J506" s="2090"/>
      <c r="K506" s="547" t="s">
        <v>1698</v>
      </c>
    </row>
    <row r="507" ht="15.75" customHeight="1" outlineLevel="1">
      <c r="A507" s="2066" t="s">
        <v>144</v>
      </c>
      <c r="B507" s="2111" t="s">
        <v>327</v>
      </c>
      <c r="C507" s="223">
        <v>6.01156203E9</v>
      </c>
      <c r="D507" s="224" t="s">
        <v>740</v>
      </c>
      <c r="E507" s="2049">
        <v>3.09317791E8</v>
      </c>
      <c r="F507" s="2050"/>
      <c r="G507" s="2050">
        <v>25.07</v>
      </c>
      <c r="H507" s="2050"/>
      <c r="I507" s="2050">
        <v>230.68</v>
      </c>
      <c r="J507" s="2090">
        <v>37.0</v>
      </c>
      <c r="L507" s="94">
        <f>(F507+G507+H507+I507+J507)+3</f>
        <v>295.75</v>
      </c>
    </row>
    <row r="508" ht="15.75" customHeight="1" outlineLevel="1">
      <c r="A508" s="2066" t="s">
        <v>147</v>
      </c>
      <c r="B508" s="2111">
        <v>2.118078551E9</v>
      </c>
      <c r="C508" s="223">
        <v>6.011547281E9</v>
      </c>
      <c r="D508" s="224" t="s">
        <v>1692</v>
      </c>
      <c r="E508" s="2049">
        <v>3.09160851E8</v>
      </c>
      <c r="F508" s="2050">
        <v>113.29</v>
      </c>
      <c r="G508" s="2050">
        <v>47.14</v>
      </c>
      <c r="H508" s="2050"/>
      <c r="I508" s="2050"/>
      <c r="J508" s="2090">
        <v>28.0</v>
      </c>
      <c r="L508" s="94">
        <f>(F508+G508+I508+J508)+3</f>
        <v>191.43</v>
      </c>
    </row>
    <row r="509" ht="15.75" customHeight="1" outlineLevel="1">
      <c r="A509" s="2066" t="s">
        <v>191</v>
      </c>
      <c r="B509" s="2111">
        <v>2.117710931E9</v>
      </c>
      <c r="C509" s="223">
        <v>6.011407402E9</v>
      </c>
      <c r="D509" s="224" t="s">
        <v>748</v>
      </c>
      <c r="E509" s="2049">
        <v>3.07943576E8</v>
      </c>
      <c r="F509" s="2106"/>
      <c r="G509" s="2106"/>
      <c r="H509" s="2106"/>
      <c r="I509" s="2106"/>
      <c r="J509" s="2106"/>
    </row>
    <row r="510" ht="15.75" customHeight="1" outlineLevel="1">
      <c r="A510" s="2079" t="s">
        <v>192</v>
      </c>
      <c r="B510" s="2080" t="s">
        <v>327</v>
      </c>
      <c r="C510" s="2080"/>
      <c r="D510" s="2080"/>
      <c r="E510" s="2049">
        <v>293602.0</v>
      </c>
      <c r="F510" s="2050"/>
      <c r="G510" s="2050"/>
      <c r="H510" s="2050"/>
      <c r="I510" s="2050"/>
      <c r="J510" s="2050"/>
    </row>
    <row r="511" ht="15.75" customHeight="1" outlineLevel="1">
      <c r="A511" s="2079" t="s">
        <v>195</v>
      </c>
      <c r="B511" s="2080" t="s">
        <v>327</v>
      </c>
      <c r="C511" s="2080"/>
      <c r="D511" s="2080"/>
      <c r="E511" s="2049">
        <v>293621.0</v>
      </c>
      <c r="F511" s="2050"/>
      <c r="G511" s="2050"/>
      <c r="H511" s="2050"/>
      <c r="I511" s="2050"/>
      <c r="J511" s="2050"/>
    </row>
    <row r="512" ht="15.75" customHeight="1" outlineLevel="1">
      <c r="A512" s="2081" t="s">
        <v>197</v>
      </c>
      <c r="B512" s="2080" t="s">
        <v>327</v>
      </c>
      <c r="C512" s="2080"/>
      <c r="D512" s="2080"/>
      <c r="E512" s="2049">
        <v>293934.0</v>
      </c>
      <c r="F512" s="2050"/>
      <c r="G512" s="2050"/>
      <c r="H512" s="2050"/>
      <c r="I512" s="2050"/>
      <c r="J512" s="2050"/>
    </row>
    <row r="513" ht="15.75" customHeight="1" outlineLevel="1">
      <c r="A513" s="2081" t="s">
        <v>199</v>
      </c>
      <c r="B513" s="2080" t="s">
        <v>327</v>
      </c>
      <c r="C513" s="2080"/>
      <c r="D513" s="2080"/>
      <c r="E513" s="2049">
        <v>293954.0</v>
      </c>
      <c r="F513" s="2050"/>
      <c r="G513" s="2050"/>
      <c r="H513" s="2050"/>
      <c r="I513" s="2050"/>
      <c r="J513" s="2050"/>
    </row>
    <row r="514" ht="15.75" customHeight="1" outlineLevel="1">
      <c r="A514" s="2081" t="s">
        <v>201</v>
      </c>
      <c r="B514" s="2080" t="s">
        <v>327</v>
      </c>
      <c r="C514" s="2080"/>
      <c r="D514" s="2080"/>
      <c r="E514" s="2049">
        <v>293782.0</v>
      </c>
      <c r="F514" s="2050"/>
      <c r="G514" s="2050"/>
      <c r="H514" s="2050"/>
      <c r="I514" s="2050"/>
      <c r="J514" s="2050"/>
    </row>
    <row r="515" ht="15.75" customHeight="1" outlineLevel="1">
      <c r="A515" s="2081" t="s">
        <v>203</v>
      </c>
      <c r="B515" s="2080" t="s">
        <v>327</v>
      </c>
      <c r="C515" s="2080"/>
      <c r="D515" s="2080"/>
      <c r="E515" s="2049">
        <v>293910.0</v>
      </c>
      <c r="F515" s="2050"/>
      <c r="G515" s="2050"/>
      <c r="H515" s="2050"/>
      <c r="I515" s="2050"/>
      <c r="J515" s="2050"/>
    </row>
    <row r="516" ht="15.75" customHeight="1" outlineLevel="1">
      <c r="A516" s="2082" t="s">
        <v>205</v>
      </c>
      <c r="B516" s="2080" t="s">
        <v>327</v>
      </c>
      <c r="C516" s="2080"/>
      <c r="D516" s="2080"/>
      <c r="E516" s="2049">
        <v>293403.0</v>
      </c>
      <c r="F516" s="2050"/>
      <c r="G516" s="2050"/>
      <c r="H516" s="2050"/>
      <c r="I516" s="2050"/>
      <c r="J516" s="2050"/>
    </row>
    <row r="517" ht="15.75" customHeight="1" outlineLevel="1">
      <c r="A517" s="2081" t="s">
        <v>207</v>
      </c>
      <c r="B517" s="2083" t="s">
        <v>327</v>
      </c>
      <c r="C517" s="2080"/>
      <c r="D517" s="2080"/>
      <c r="E517" s="2049">
        <v>239937.0</v>
      </c>
      <c r="F517" s="2050"/>
      <c r="G517" s="2050"/>
      <c r="H517" s="2050"/>
      <c r="I517" s="2050">
        <v>737.0</v>
      </c>
      <c r="J517" s="2050">
        <v>10.0</v>
      </c>
    </row>
    <row r="518" ht="15.75" customHeight="1" outlineLevel="1">
      <c r="A518" s="2081" t="s">
        <v>209</v>
      </c>
      <c r="B518" s="2080" t="s">
        <v>327</v>
      </c>
      <c r="C518" s="2080"/>
      <c r="D518" s="2080"/>
      <c r="E518" s="2049">
        <v>293802.0</v>
      </c>
      <c r="F518" s="2050"/>
      <c r="G518" s="2050"/>
      <c r="H518" s="2050"/>
      <c r="I518" s="2050"/>
      <c r="J518" s="2050">
        <v>10.0</v>
      </c>
    </row>
    <row r="519" ht="15.75" customHeight="1" outlineLevel="1">
      <c r="A519" s="2081" t="s">
        <v>216</v>
      </c>
      <c r="B519" s="2080" t="s">
        <v>327</v>
      </c>
      <c r="C519" s="2080"/>
      <c r="D519" s="2080"/>
      <c r="E519" s="2049">
        <v>293888.0</v>
      </c>
      <c r="F519" s="2050"/>
      <c r="G519" s="2050"/>
      <c r="H519" s="2050"/>
      <c r="I519" s="2050"/>
      <c r="J519" s="2050"/>
    </row>
    <row r="520" ht="15.75" customHeight="1" outlineLevel="1">
      <c r="A520" s="2081" t="s">
        <v>211</v>
      </c>
      <c r="B520" s="2080" t="s">
        <v>327</v>
      </c>
      <c r="C520" s="2080"/>
      <c r="D520" s="2080"/>
      <c r="E520" s="2049">
        <v>293922.0</v>
      </c>
      <c r="F520" s="2050"/>
      <c r="G520" s="2050"/>
      <c r="H520" s="2050"/>
      <c r="I520" s="2050"/>
      <c r="J520" s="2050"/>
    </row>
    <row r="521" ht="15.75" customHeight="1" outlineLevel="1">
      <c r="A521" s="2081" t="s">
        <v>233</v>
      </c>
      <c r="B521" s="2080"/>
      <c r="C521" s="2080"/>
      <c r="D521" s="2080"/>
      <c r="E521" s="2049">
        <v>293923.0</v>
      </c>
      <c r="F521" s="2050"/>
      <c r="G521" s="2050"/>
      <c r="H521" s="2050"/>
      <c r="I521" s="2050"/>
      <c r="J521" s="2050"/>
    </row>
    <row r="522" ht="15.75" customHeight="1" outlineLevel="1">
      <c r="A522" s="2081"/>
      <c r="B522" s="2080" t="s">
        <v>327</v>
      </c>
      <c r="C522" s="2080"/>
      <c r="D522" s="2080"/>
      <c r="E522" s="2049">
        <v>293881.0</v>
      </c>
      <c r="F522" s="2050"/>
      <c r="G522" s="2050"/>
      <c r="H522" s="2050"/>
      <c r="I522" s="2050"/>
      <c r="J522" s="2050"/>
    </row>
    <row r="523" ht="15.75" customHeight="1" outlineLevel="1">
      <c r="A523" s="2081" t="s">
        <v>214</v>
      </c>
      <c r="B523" s="2080" t="s">
        <v>327</v>
      </c>
      <c r="C523" s="2080"/>
      <c r="D523" s="2080"/>
      <c r="E523" s="2049">
        <v>293888.0</v>
      </c>
      <c r="F523" s="2050"/>
      <c r="G523" s="2050"/>
      <c r="H523" s="2050"/>
      <c r="I523" s="2050"/>
      <c r="J523" s="2050"/>
    </row>
    <row r="524" ht="15.75" customHeight="1" outlineLevel="1">
      <c r="A524" s="2081" t="s">
        <v>218</v>
      </c>
      <c r="B524" s="2080" t="s">
        <v>327</v>
      </c>
      <c r="C524" s="2080"/>
      <c r="D524" s="2080"/>
      <c r="E524" s="2049">
        <v>293918.0</v>
      </c>
      <c r="F524" s="2050"/>
      <c r="G524" s="2050"/>
      <c r="H524" s="2050"/>
      <c r="I524" s="2050"/>
      <c r="J524" s="2050"/>
    </row>
    <row r="525" ht="15.75" customHeight="1" outlineLevel="1">
      <c r="A525" s="2081" t="s">
        <v>220</v>
      </c>
      <c r="B525" s="2080" t="s">
        <v>327</v>
      </c>
      <c r="C525" s="2080"/>
      <c r="D525" s="2080"/>
      <c r="E525" s="2049">
        <v>293484.0</v>
      </c>
      <c r="F525" s="2050"/>
      <c r="G525" s="2050"/>
      <c r="H525" s="2050"/>
      <c r="I525" s="2050"/>
      <c r="J525" s="2050"/>
    </row>
    <row r="526" ht="15.75" customHeight="1" outlineLevel="1">
      <c r="A526" s="2084" t="s">
        <v>226</v>
      </c>
      <c r="B526" s="2080"/>
      <c r="C526" s="2080"/>
      <c r="D526" s="2080"/>
      <c r="E526" s="2049"/>
      <c r="F526" s="2050"/>
      <c r="G526" s="2050"/>
      <c r="H526" s="2050"/>
      <c r="I526" s="2050"/>
      <c r="J526" s="2050"/>
    </row>
    <row r="527" ht="15.75" customHeight="1" outlineLevel="1">
      <c r="A527" s="2084" t="s">
        <v>223</v>
      </c>
      <c r="B527" s="2080"/>
      <c r="C527" s="2080"/>
      <c r="D527" s="2080"/>
      <c r="E527" s="2049"/>
      <c r="F527" s="2050"/>
      <c r="G527" s="2050"/>
      <c r="H527" s="2050"/>
      <c r="I527" s="2050"/>
      <c r="J527" s="2050"/>
    </row>
    <row r="528" ht="15.75" customHeight="1" outlineLevel="1">
      <c r="A528" s="2084" t="s">
        <v>227</v>
      </c>
      <c r="B528" s="2080"/>
      <c r="C528" s="2080"/>
      <c r="D528" s="2080"/>
      <c r="E528" s="2049"/>
      <c r="F528" s="2050"/>
      <c r="G528" s="2050"/>
      <c r="H528" s="2050"/>
      <c r="I528" s="2050"/>
      <c r="J528" s="2050"/>
    </row>
    <row r="529" ht="15.75" customHeight="1" outlineLevel="1">
      <c r="A529" s="2084" t="s">
        <v>229</v>
      </c>
      <c r="B529" s="2080"/>
      <c r="C529" s="2080"/>
      <c r="D529" s="2080"/>
      <c r="E529" s="2049"/>
      <c r="F529" s="2050"/>
      <c r="G529" s="2050"/>
      <c r="H529" s="2050"/>
      <c r="I529" s="2050"/>
      <c r="J529" s="2050"/>
    </row>
    <row r="530" ht="15.75" customHeight="1" outlineLevel="1">
      <c r="A530" s="2084" t="s">
        <v>231</v>
      </c>
      <c r="B530" s="2080"/>
      <c r="C530" s="2080"/>
      <c r="D530" s="2080"/>
      <c r="E530" s="2049"/>
      <c r="F530" s="2050"/>
      <c r="G530" s="2050"/>
      <c r="H530" s="2050"/>
      <c r="I530" s="2050"/>
      <c r="J530" s="2050"/>
    </row>
    <row r="531" ht="15.75" customHeight="1" outlineLevel="1">
      <c r="A531" s="2084" t="s">
        <v>232</v>
      </c>
      <c r="B531" s="2080"/>
      <c r="C531" s="2080"/>
      <c r="D531" s="2080"/>
      <c r="E531" s="2049"/>
      <c r="F531" s="2050"/>
      <c r="G531" s="2050"/>
      <c r="H531" s="2050"/>
      <c r="I531" s="2050"/>
      <c r="J531" s="2050"/>
    </row>
    <row r="532" ht="15.75" customHeight="1" outlineLevel="1">
      <c r="A532" s="2085" t="s">
        <v>250</v>
      </c>
      <c r="B532" s="2048">
        <v>2.116441487E9</v>
      </c>
      <c r="C532" s="223">
        <v>6.11036178E9</v>
      </c>
      <c r="D532" s="224" t="s">
        <v>843</v>
      </c>
      <c r="E532" s="2049">
        <v>4.22196093E8</v>
      </c>
      <c r="F532" s="2102">
        <v>348.97</v>
      </c>
      <c r="G532" s="2102">
        <v>50.14</v>
      </c>
      <c r="H532" s="2102">
        <v>4.74</v>
      </c>
      <c r="I532" s="2050"/>
      <c r="J532" s="2050">
        <v>43.0</v>
      </c>
      <c r="L532" s="94">
        <f t="shared" ref="L532:L534" si="23">(F532+G532+H532+I532+J532)+3</f>
        <v>449.85</v>
      </c>
    </row>
    <row r="533" ht="15.75" customHeight="1" outlineLevel="1">
      <c r="A533" s="2085" t="s">
        <v>238</v>
      </c>
      <c r="B533" s="2048">
        <v>2.116441498E9</v>
      </c>
      <c r="C533" s="223">
        <v>6.110363032E9</v>
      </c>
      <c r="D533" s="224" t="s">
        <v>847</v>
      </c>
      <c r="E533" s="2049">
        <v>4.22410189E8</v>
      </c>
      <c r="F533" s="2050"/>
      <c r="G533" s="2050"/>
      <c r="H533" s="2050"/>
      <c r="I533" s="2050"/>
      <c r="J533" s="2050">
        <v>44.0</v>
      </c>
      <c r="L533" s="94">
        <f t="shared" si="23"/>
        <v>47</v>
      </c>
    </row>
    <row r="534" ht="15.75" customHeight="1" outlineLevel="1">
      <c r="A534" s="2085" t="s">
        <v>252</v>
      </c>
      <c r="B534" s="2048">
        <v>2.116441502E9</v>
      </c>
      <c r="C534" s="223">
        <v>6.110363122E9</v>
      </c>
      <c r="D534" s="224" t="s">
        <v>850</v>
      </c>
      <c r="E534" s="2049">
        <v>4.22881705E8</v>
      </c>
      <c r="F534" s="2118"/>
      <c r="G534" s="2118"/>
      <c r="H534" s="2118"/>
      <c r="I534" s="2118"/>
      <c r="J534" s="2118"/>
      <c r="L534" s="94">
        <f t="shared" si="23"/>
        <v>3</v>
      </c>
    </row>
    <row r="535" ht="15.75" customHeight="1" outlineLevel="1">
      <c r="A535" s="2085" t="s">
        <v>254</v>
      </c>
      <c r="B535" s="2048">
        <v>2.116441513E9</v>
      </c>
      <c r="C535" s="223">
        <v>6.11036304E9</v>
      </c>
      <c r="D535" s="224" t="s">
        <v>852</v>
      </c>
      <c r="E535" s="2049">
        <v>4.22740287E8</v>
      </c>
      <c r="F535" s="2120"/>
      <c r="G535" s="2120"/>
      <c r="H535" s="2120"/>
      <c r="I535" s="2120"/>
      <c r="J535" s="2120"/>
    </row>
    <row r="536" ht="15.75" customHeight="1" outlineLevel="1">
      <c r="A536" s="2085" t="s">
        <v>256</v>
      </c>
      <c r="B536" s="2048">
        <v>2.116441524E9</v>
      </c>
      <c r="C536" s="223">
        <v>6.1103631E9</v>
      </c>
      <c r="D536" s="224" t="s">
        <v>854</v>
      </c>
      <c r="E536" s="2049">
        <v>4.22939148E8</v>
      </c>
      <c r="F536" s="2120"/>
      <c r="G536" s="2120"/>
      <c r="H536" s="2120"/>
      <c r="I536" s="2120"/>
      <c r="J536" s="2120"/>
    </row>
    <row r="537" ht="15.75" customHeight="1" outlineLevel="1">
      <c r="A537" s="2085" t="s">
        <v>258</v>
      </c>
      <c r="B537" s="2048">
        <v>2.116441535E9</v>
      </c>
      <c r="C537" s="223">
        <v>6.11036301E9</v>
      </c>
      <c r="D537" s="224" t="s">
        <v>856</v>
      </c>
      <c r="E537" s="2049">
        <v>4.22474071E8</v>
      </c>
      <c r="F537" s="2120"/>
      <c r="G537" s="2120"/>
      <c r="H537" s="2120"/>
      <c r="I537" s="2120"/>
      <c r="J537" s="2120"/>
    </row>
    <row r="538" ht="15.75" customHeight="1" outlineLevel="1">
      <c r="A538" s="2085" t="s">
        <v>260</v>
      </c>
      <c r="B538" s="2048">
        <v>2.116441546E9</v>
      </c>
      <c r="C538" s="223">
        <v>6.110363081E9</v>
      </c>
      <c r="D538" s="224" t="s">
        <v>859</v>
      </c>
      <c r="E538" s="2049">
        <v>4.22367309E8</v>
      </c>
      <c r="F538" s="2120">
        <v>45.54</v>
      </c>
      <c r="G538" s="2120">
        <v>13.41</v>
      </c>
      <c r="H538" s="2120">
        <v>0.48</v>
      </c>
      <c r="I538" s="2120"/>
      <c r="J538" s="2120"/>
    </row>
    <row r="539" ht="15.75" customHeight="1" outlineLevel="1">
      <c r="A539" s="2085" t="s">
        <v>262</v>
      </c>
      <c r="B539" s="2048">
        <v>2.116441557E9</v>
      </c>
      <c r="C539" s="223">
        <v>6.110363002E9</v>
      </c>
      <c r="D539" s="224" t="s">
        <v>862</v>
      </c>
      <c r="E539" s="2049">
        <v>4.22660277E8</v>
      </c>
      <c r="F539" s="2118"/>
      <c r="G539" s="2118"/>
      <c r="H539" s="2118"/>
      <c r="I539" s="2118"/>
      <c r="J539" s="2118">
        <v>67.0</v>
      </c>
      <c r="L539" s="94">
        <f t="shared" ref="L539:L540" si="24">(F539+G539+H539+I539+J539)+3</f>
        <v>70</v>
      </c>
    </row>
    <row r="540" ht="15.75" customHeight="1" outlineLevel="1">
      <c r="A540" s="2085" t="s">
        <v>240</v>
      </c>
      <c r="B540" s="2048">
        <v>2.116441568E9</v>
      </c>
      <c r="C540" s="223">
        <v>6.11036298E9</v>
      </c>
      <c r="D540" s="224" t="s">
        <v>864</v>
      </c>
      <c r="E540" s="2049">
        <v>4.22325794E8</v>
      </c>
      <c r="F540" s="2118"/>
      <c r="G540" s="2118"/>
      <c r="H540" s="2118"/>
      <c r="I540" s="2118"/>
      <c r="J540" s="2118"/>
      <c r="L540" s="94">
        <f t="shared" si="24"/>
        <v>3</v>
      </c>
    </row>
    <row r="541" ht="15.75" customHeight="1" outlineLevel="1">
      <c r="A541" s="2085" t="s">
        <v>264</v>
      </c>
      <c r="B541" s="2048">
        <v>2.116441637E9</v>
      </c>
      <c r="C541" s="2087">
        <v>6.110362972E9</v>
      </c>
      <c r="D541" s="224" t="s">
        <v>867</v>
      </c>
      <c r="E541" s="2088">
        <v>4.22444717E8</v>
      </c>
      <c r="F541" s="2120"/>
      <c r="G541" s="2120"/>
      <c r="H541" s="2120"/>
      <c r="I541" s="2120"/>
      <c r="J541" s="2120"/>
    </row>
    <row r="542" ht="15.75" customHeight="1" outlineLevel="1">
      <c r="A542" s="2085" t="s">
        <v>266</v>
      </c>
      <c r="B542" s="2048">
        <v>2.116576549E9</v>
      </c>
      <c r="C542" s="223">
        <v>6.110363021E9</v>
      </c>
      <c r="D542" s="224" t="s">
        <v>870</v>
      </c>
      <c r="E542" s="2049">
        <v>4.22433459E8</v>
      </c>
      <c r="F542" s="2120"/>
      <c r="G542" s="2120"/>
      <c r="H542" s="2120"/>
      <c r="I542" s="2120"/>
      <c r="J542" s="2120"/>
    </row>
    <row r="543" ht="15.75" customHeight="1" outlineLevel="1">
      <c r="A543" s="2085" t="s">
        <v>268</v>
      </c>
      <c r="B543" s="2048">
        <v>2.11657655E9</v>
      </c>
      <c r="C543" s="223">
        <v>6.110362961E9</v>
      </c>
      <c r="D543" s="224" t="s">
        <v>873</v>
      </c>
      <c r="E543" s="2049">
        <v>4.226691E8</v>
      </c>
      <c r="F543" s="2120"/>
      <c r="G543" s="2120"/>
      <c r="H543" s="2120"/>
      <c r="I543" s="2120"/>
      <c r="J543" s="2120"/>
    </row>
    <row r="544" ht="15.75" customHeight="1" outlineLevel="1">
      <c r="A544" s="2085" t="s">
        <v>242</v>
      </c>
      <c r="B544" s="2048">
        <v>2.116576561E9</v>
      </c>
      <c r="C544" s="223">
        <v>6.11036295E9</v>
      </c>
      <c r="D544" s="224" t="s">
        <v>875</v>
      </c>
      <c r="E544" s="2049">
        <v>4.22752735E8</v>
      </c>
      <c r="F544" s="2118"/>
      <c r="G544" s="2118"/>
      <c r="H544" s="2118"/>
      <c r="I544" s="2118"/>
      <c r="J544" s="2118">
        <v>43.0</v>
      </c>
      <c r="L544" s="94">
        <f>(F544+G544+H544+I544+J544)+3</f>
        <v>46</v>
      </c>
    </row>
    <row r="545" ht="15.75" customHeight="1" outlineLevel="1">
      <c r="A545" s="2085" t="s">
        <v>270</v>
      </c>
      <c r="B545" s="2048">
        <v>2.116576572E9</v>
      </c>
      <c r="C545" s="223">
        <v>6.110362942E9</v>
      </c>
      <c r="D545" s="224" t="s">
        <v>878</v>
      </c>
      <c r="E545" s="2049">
        <v>4.22320003E8</v>
      </c>
      <c r="F545" s="2120"/>
      <c r="G545" s="2120"/>
      <c r="H545" s="2120"/>
      <c r="I545" s="2120"/>
      <c r="J545" s="2120"/>
    </row>
    <row r="546" ht="15.75" customHeight="1" outlineLevel="1">
      <c r="A546" s="2085" t="s">
        <v>272</v>
      </c>
      <c r="B546" s="2048">
        <v>2.116576583E9</v>
      </c>
      <c r="C546" s="223">
        <v>6.110362931E9</v>
      </c>
      <c r="D546" s="224" t="s">
        <v>881</v>
      </c>
      <c r="E546" s="2049">
        <v>4.22281971E8</v>
      </c>
      <c r="F546" s="2120"/>
      <c r="G546" s="2120"/>
      <c r="H546" s="2120"/>
      <c r="I546" s="2120"/>
      <c r="J546" s="2120"/>
    </row>
    <row r="547" ht="15.75" customHeight="1" outlineLevel="1">
      <c r="A547" s="2085" t="s">
        <v>274</v>
      </c>
      <c r="B547" s="2048">
        <v>2.116576594E9</v>
      </c>
      <c r="C547" s="2087">
        <v>6.11036313E9</v>
      </c>
      <c r="D547" s="224" t="s">
        <v>884</v>
      </c>
      <c r="E547" s="2049">
        <v>4.22169558E8</v>
      </c>
      <c r="F547" s="2120"/>
      <c r="G547" s="2120"/>
      <c r="H547" s="2120"/>
      <c r="I547" s="2120"/>
      <c r="J547" s="2120"/>
    </row>
    <row r="548" ht="15.75" customHeight="1" outlineLevel="1">
      <c r="A548" s="2085" t="s">
        <v>276</v>
      </c>
      <c r="B548" s="2048">
        <v>2.116576607E9</v>
      </c>
      <c r="C548" s="223">
        <v>6.110363111E9</v>
      </c>
      <c r="D548" s="224" t="s">
        <v>886</v>
      </c>
      <c r="E548" s="2049">
        <v>4.22196288E8</v>
      </c>
      <c r="F548" s="2120"/>
      <c r="G548" s="2120"/>
      <c r="H548" s="2120"/>
      <c r="I548" s="2120"/>
      <c r="J548" s="2120"/>
    </row>
    <row r="549" ht="15.75" customHeight="1" outlineLevel="1">
      <c r="A549" s="2085" t="s">
        <v>278</v>
      </c>
      <c r="B549" s="2048">
        <v>2.116576618E9</v>
      </c>
      <c r="C549" s="223">
        <v>6.110363092E9</v>
      </c>
      <c r="D549" s="224" t="s">
        <v>888</v>
      </c>
      <c r="E549" s="2049">
        <v>4.22278289E8</v>
      </c>
      <c r="F549" s="2120"/>
      <c r="G549" s="2120"/>
      <c r="H549" s="2120"/>
      <c r="I549" s="2120"/>
      <c r="J549" s="2120"/>
    </row>
    <row r="550" ht="15.75" customHeight="1" outlineLevel="1">
      <c r="A550" s="2085" t="s">
        <v>280</v>
      </c>
      <c r="B550" s="2048">
        <v>2.116576629E9</v>
      </c>
      <c r="C550" s="2087">
        <v>6.11036307E9</v>
      </c>
      <c r="D550" s="224" t="s">
        <v>891</v>
      </c>
      <c r="E550" s="2049">
        <v>4.22929242E8</v>
      </c>
      <c r="F550" s="2121"/>
      <c r="G550" s="2121"/>
      <c r="H550" s="2121"/>
      <c r="I550" s="2121"/>
      <c r="J550" s="2120"/>
    </row>
    <row r="551" ht="15.75" customHeight="1" outlineLevel="1">
      <c r="A551" s="2085" t="s">
        <v>283</v>
      </c>
      <c r="B551" s="2048">
        <v>2.11657663E9</v>
      </c>
      <c r="C551" s="223">
        <v>6.110363062E9</v>
      </c>
      <c r="D551" s="224" t="s">
        <v>893</v>
      </c>
      <c r="E551" s="2049">
        <v>4.22720411E8</v>
      </c>
      <c r="F551" s="2120"/>
      <c r="G551" s="2120"/>
      <c r="H551" s="2120"/>
      <c r="I551" s="2120"/>
      <c r="J551" s="2120"/>
    </row>
    <row r="552" ht="15.75" customHeight="1" outlineLevel="1">
      <c r="A552" s="2085" t="s">
        <v>286</v>
      </c>
      <c r="B552" s="2053">
        <v>2.116576641E9</v>
      </c>
      <c r="C552" s="2092">
        <v>6.110362991E9</v>
      </c>
      <c r="D552" s="2093" t="s">
        <v>897</v>
      </c>
      <c r="E552" s="2094">
        <v>4.22920502E8</v>
      </c>
      <c r="F552" s="2120"/>
      <c r="G552" s="2120"/>
      <c r="H552" s="2120"/>
      <c r="I552" s="2120"/>
      <c r="J552" s="2120"/>
    </row>
    <row r="553" ht="15.75" customHeight="1" outlineLevel="1">
      <c r="A553" s="2085" t="s">
        <v>189</v>
      </c>
      <c r="B553" s="2122"/>
      <c r="C553" s="2104"/>
      <c r="D553" s="2104"/>
      <c r="E553" s="2105"/>
      <c r="F553" s="2106"/>
      <c r="G553" s="2106"/>
      <c r="H553" s="2106"/>
      <c r="I553" s="2106"/>
      <c r="J553" s="2106"/>
    </row>
    <row r="554" ht="15.75" customHeight="1" outlineLevel="1">
      <c r="A554" s="2096" t="s">
        <v>235</v>
      </c>
      <c r="B554" s="2097">
        <v>2.116579553E9</v>
      </c>
      <c r="C554" s="2098">
        <v>6.110365522E9</v>
      </c>
      <c r="D554" s="2098" t="s">
        <v>1694</v>
      </c>
      <c r="E554" s="2099">
        <v>4.22732514E8</v>
      </c>
      <c r="F554" s="2113">
        <v>73.44</v>
      </c>
      <c r="G554" s="2113">
        <v>55.75</v>
      </c>
      <c r="H554" s="2113">
        <v>1.48</v>
      </c>
      <c r="I554" s="2113"/>
      <c r="J554" s="2113">
        <v>33.0</v>
      </c>
      <c r="K554" s="547" t="s">
        <v>1698</v>
      </c>
      <c r="L554" s="94">
        <f>(F554+G554+H554+I554+J554)+3</f>
        <v>166.67</v>
      </c>
    </row>
    <row r="555" ht="15.75" customHeight="1">
      <c r="C555" s="475"/>
    </row>
    <row r="556" ht="15.75" customHeight="1">
      <c r="C556" s="475"/>
    </row>
    <row r="557" ht="15.75" customHeight="1">
      <c r="C557" s="475"/>
    </row>
    <row r="558" ht="15.75" customHeight="1">
      <c r="C558" s="475"/>
    </row>
    <row r="559" ht="15.75" customHeight="1">
      <c r="A559" s="2002" t="s">
        <v>1715</v>
      </c>
      <c r="C559" s="475"/>
    </row>
    <row r="560" ht="15.75" customHeight="1">
      <c r="A560" s="2039" t="s">
        <v>1667</v>
      </c>
      <c r="B560" s="2040"/>
      <c r="C560" s="2040"/>
      <c r="D560" s="2040"/>
      <c r="E560" s="2041"/>
      <c r="F560" s="2042" t="s">
        <v>1668</v>
      </c>
      <c r="G560" s="2040"/>
      <c r="H560" s="2040"/>
      <c r="I560" s="2040"/>
      <c r="J560" s="2041"/>
    </row>
    <row r="561" ht="15.75" customHeight="1">
      <c r="A561" s="2043" t="s">
        <v>303</v>
      </c>
      <c r="B561" s="2044" t="s">
        <v>312</v>
      </c>
      <c r="C561" s="2045" t="s">
        <v>313</v>
      </c>
      <c r="D561" s="2044" t="s">
        <v>314</v>
      </c>
      <c r="E561" s="2045" t="s">
        <v>315</v>
      </c>
      <c r="F561" s="2046" t="s">
        <v>312</v>
      </c>
      <c r="G561" s="2046" t="s">
        <v>313</v>
      </c>
      <c r="H561" s="2046" t="s">
        <v>314</v>
      </c>
      <c r="I561" s="2046" t="s">
        <v>1669</v>
      </c>
      <c r="J561" s="2046" t="s">
        <v>315</v>
      </c>
    </row>
    <row r="562" ht="15.75" customHeight="1">
      <c r="A562" s="2047" t="s">
        <v>24</v>
      </c>
      <c r="B562" s="2048" t="s">
        <v>327</v>
      </c>
      <c r="C562" s="223">
        <v>6.011234992E9</v>
      </c>
      <c r="D562" s="224" t="s">
        <v>328</v>
      </c>
      <c r="E562" s="2049">
        <v>4.22209727E8</v>
      </c>
      <c r="F562" s="2050"/>
      <c r="G562" s="2102"/>
      <c r="H562" s="2114"/>
      <c r="I562" s="2050"/>
      <c r="J562" s="2090"/>
      <c r="K562" s="94">
        <v>1.5</v>
      </c>
      <c r="L562" s="94">
        <f>(F562+G562+I562+J562)+1.5+2</f>
        <v>3.5</v>
      </c>
    </row>
    <row r="563" ht="15.75" customHeight="1">
      <c r="A563" s="2047" t="s">
        <v>29</v>
      </c>
      <c r="B563" s="2048" t="s">
        <v>327</v>
      </c>
      <c r="C563" s="223">
        <v>6.01109493E9</v>
      </c>
      <c r="D563" s="224" t="s">
        <v>338</v>
      </c>
      <c r="E563" s="2049">
        <v>4.22589587E8</v>
      </c>
      <c r="F563" s="2050"/>
      <c r="G563" s="2102"/>
      <c r="H563" s="2103"/>
      <c r="I563" s="2050"/>
      <c r="J563" s="2090"/>
      <c r="L563" s="94">
        <f t="shared" ref="L563:L571" si="25">(F563+G563+H563+I563+J563)+1.5+2</f>
        <v>3.5</v>
      </c>
    </row>
    <row r="564" ht="15.75" customHeight="1">
      <c r="A564" s="2047" t="s">
        <v>32</v>
      </c>
      <c r="B564" s="2048" t="s">
        <v>327</v>
      </c>
      <c r="C564" s="223">
        <v>6.0114696E9</v>
      </c>
      <c r="D564" s="224" t="s">
        <v>345</v>
      </c>
      <c r="E564" s="2049">
        <v>4.22898373E8</v>
      </c>
      <c r="F564" s="2050"/>
      <c r="G564" s="2102"/>
      <c r="H564" s="2103"/>
      <c r="I564" s="2050"/>
      <c r="J564" s="2090"/>
      <c r="L564" s="94">
        <f t="shared" si="25"/>
        <v>3.5</v>
      </c>
    </row>
    <row r="565" ht="15.75" customHeight="1">
      <c r="A565" s="2051" t="s">
        <v>35</v>
      </c>
      <c r="B565" s="2048" t="s">
        <v>327</v>
      </c>
      <c r="C565" s="2052">
        <v>6.011333411E9</v>
      </c>
      <c r="D565" s="224" t="s">
        <v>353</v>
      </c>
      <c r="E565" s="2049">
        <v>4.22454408E8</v>
      </c>
      <c r="F565" s="2050"/>
      <c r="G565" s="2102"/>
      <c r="H565" s="2103"/>
      <c r="I565" s="2050"/>
      <c r="J565" s="2090"/>
      <c r="L565" s="94">
        <f t="shared" si="25"/>
        <v>3.5</v>
      </c>
    </row>
    <row r="566" ht="15.75" customHeight="1">
      <c r="A566" s="2051" t="s">
        <v>37</v>
      </c>
      <c r="B566" s="2048" t="s">
        <v>327</v>
      </c>
      <c r="C566" s="223">
        <v>6.011554481E9</v>
      </c>
      <c r="D566" s="224" t="s">
        <v>359</v>
      </c>
      <c r="E566" s="2049">
        <v>4.22958722E8</v>
      </c>
      <c r="F566" s="2050"/>
      <c r="G566" s="2102"/>
      <c r="H566" s="2103"/>
      <c r="I566" s="2050"/>
      <c r="J566" s="2090"/>
      <c r="L566" s="94">
        <f t="shared" si="25"/>
        <v>3.5</v>
      </c>
    </row>
    <row r="567" ht="15.75" customHeight="1">
      <c r="A567" s="2047" t="s">
        <v>39</v>
      </c>
      <c r="B567" s="2048" t="s">
        <v>327</v>
      </c>
      <c r="C567" s="223">
        <v>6.011366441E9</v>
      </c>
      <c r="D567" s="224" t="s">
        <v>366</v>
      </c>
      <c r="E567" s="2049">
        <v>4.22609023E8</v>
      </c>
      <c r="F567" s="2050"/>
      <c r="G567" s="2102"/>
      <c r="H567" s="2103"/>
      <c r="I567" s="2050"/>
      <c r="J567" s="2090"/>
      <c r="L567" s="94">
        <f t="shared" si="25"/>
        <v>3.5</v>
      </c>
    </row>
    <row r="568" ht="15.75" customHeight="1">
      <c r="A568" s="2047" t="s">
        <v>41</v>
      </c>
      <c r="B568" s="2048" t="s">
        <v>327</v>
      </c>
      <c r="C568" s="223">
        <v>6.011394071E9</v>
      </c>
      <c r="D568" s="224" t="s">
        <v>375</v>
      </c>
      <c r="E568" s="2049">
        <v>4.22464178E8</v>
      </c>
      <c r="F568" s="2050"/>
      <c r="G568" s="2102"/>
      <c r="H568" s="2103"/>
      <c r="I568" s="2050"/>
      <c r="J568" s="2090"/>
      <c r="L568" s="94">
        <f t="shared" si="25"/>
        <v>3.5</v>
      </c>
    </row>
    <row r="569" ht="15.75" customHeight="1">
      <c r="A569" s="2047" t="s">
        <v>43</v>
      </c>
      <c r="B569" s="2048" t="s">
        <v>327</v>
      </c>
      <c r="C569" s="223">
        <v>6.011095331E9</v>
      </c>
      <c r="D569" s="224" t="s">
        <v>382</v>
      </c>
      <c r="E569" s="2049">
        <v>4.2237325E8</v>
      </c>
      <c r="F569" s="2050"/>
      <c r="G569" s="2102"/>
      <c r="H569" s="2103"/>
      <c r="I569" s="2050"/>
      <c r="J569" s="2090"/>
      <c r="L569" s="94">
        <f t="shared" si="25"/>
        <v>3.5</v>
      </c>
    </row>
    <row r="570" ht="15.75" customHeight="1">
      <c r="A570" s="2047" t="s">
        <v>45</v>
      </c>
      <c r="B570" s="2048" t="s">
        <v>327</v>
      </c>
      <c r="C570" s="223">
        <v>6.0110922E9</v>
      </c>
      <c r="D570" s="224" t="s">
        <v>388</v>
      </c>
      <c r="E570" s="2049">
        <v>4.22355072E8</v>
      </c>
      <c r="F570" s="2050"/>
      <c r="G570" s="2102"/>
      <c r="H570" s="2103"/>
      <c r="I570" s="2050"/>
      <c r="J570" s="2090"/>
      <c r="L570" s="94">
        <f t="shared" si="25"/>
        <v>3.5</v>
      </c>
    </row>
    <row r="571" ht="15.75" customHeight="1">
      <c r="A571" s="2047" t="s">
        <v>48</v>
      </c>
      <c r="B571" s="2053" t="s">
        <v>327</v>
      </c>
      <c r="C571" s="223">
        <v>6.011093302E9</v>
      </c>
      <c r="D571" s="224" t="s">
        <v>395</v>
      </c>
      <c r="E571" s="2049">
        <v>4.22681834E8</v>
      </c>
      <c r="F571" s="2050"/>
      <c r="G571" s="2102"/>
      <c r="H571" s="2103"/>
      <c r="I571" s="2050"/>
      <c r="J571" s="2090"/>
      <c r="K571" s="547" t="s">
        <v>1698</v>
      </c>
      <c r="L571" s="94">
        <f t="shared" si="25"/>
        <v>3.5</v>
      </c>
    </row>
    <row r="572" ht="15.75" customHeight="1">
      <c r="A572" s="2047" t="s">
        <v>50</v>
      </c>
      <c r="B572" s="2048" t="s">
        <v>327</v>
      </c>
      <c r="C572" s="223">
        <v>6.011320361E9</v>
      </c>
      <c r="D572" s="224" t="s">
        <v>401</v>
      </c>
      <c r="E572" s="2049">
        <v>4.22450253E8</v>
      </c>
      <c r="F572" s="2050"/>
      <c r="G572" s="2102"/>
      <c r="H572" s="2103"/>
      <c r="I572" s="2050"/>
      <c r="J572" s="2090"/>
      <c r="K572" s="547" t="s">
        <v>1698</v>
      </c>
      <c r="L572" s="94">
        <f>(F572+G572+I572+J572)+1.5+2</f>
        <v>3.5</v>
      </c>
    </row>
    <row r="573" ht="15.75" customHeight="1">
      <c r="A573" s="2047" t="s">
        <v>52</v>
      </c>
      <c r="B573" s="2053" t="s">
        <v>327</v>
      </c>
      <c r="C573" s="223">
        <v>6.01118289E9</v>
      </c>
      <c r="D573" s="224" t="s">
        <v>406</v>
      </c>
      <c r="E573" s="2049">
        <v>4.22532923E8</v>
      </c>
      <c r="F573" s="2050"/>
      <c r="G573" s="2102"/>
      <c r="H573" s="2103"/>
      <c r="I573" s="2050"/>
      <c r="J573" s="2090"/>
      <c r="L573" s="94">
        <f>(F573+G573+H573+I573+J573)+2</f>
        <v>2</v>
      </c>
    </row>
    <row r="574" ht="15.75" customHeight="1">
      <c r="A574" s="2047" t="s">
        <v>54</v>
      </c>
      <c r="B574" s="2048" t="s">
        <v>327</v>
      </c>
      <c r="C574" s="223">
        <v>6.011093692E9</v>
      </c>
      <c r="D574" s="224" t="s">
        <v>412</v>
      </c>
      <c r="E574" s="2049">
        <v>4.22094809E8</v>
      </c>
      <c r="F574" s="2050"/>
      <c r="G574" s="2102"/>
      <c r="H574" s="2103"/>
      <c r="I574" s="2050"/>
      <c r="J574" s="2090"/>
      <c r="L574" s="94">
        <f>(F574+G574+H574+I574+J574)+1.5+2</f>
        <v>3.5</v>
      </c>
    </row>
    <row r="575" ht="15.75" customHeight="1">
      <c r="A575" s="2047" t="s">
        <v>56</v>
      </c>
      <c r="B575" s="2048" t="s">
        <v>327</v>
      </c>
      <c r="C575" s="223">
        <v>6.011093471E9</v>
      </c>
      <c r="D575" s="224" t="s">
        <v>419</v>
      </c>
      <c r="E575" s="2049">
        <v>4.22284141E8</v>
      </c>
      <c r="F575" s="2050"/>
      <c r="G575" s="2102"/>
      <c r="H575" s="2103"/>
      <c r="I575" s="2050"/>
      <c r="J575" s="2090"/>
      <c r="L575" s="94">
        <f>(F575+H575+I575+J575)+1.5+2</f>
        <v>3.5</v>
      </c>
    </row>
    <row r="576" ht="15.75" customHeight="1">
      <c r="A576" s="2051" t="s">
        <v>59</v>
      </c>
      <c r="B576" s="2048" t="s">
        <v>327</v>
      </c>
      <c r="C576" s="2054"/>
      <c r="D576" s="2054"/>
      <c r="E576" s="2049"/>
      <c r="F576" s="2050"/>
      <c r="G576" s="2102"/>
      <c r="H576" s="2103"/>
      <c r="I576" s="2050"/>
      <c r="J576" s="2090"/>
    </row>
    <row r="577" ht="15.75" customHeight="1">
      <c r="A577" s="2051" t="s">
        <v>62</v>
      </c>
      <c r="B577" s="2048" t="s">
        <v>327</v>
      </c>
      <c r="C577" s="223">
        <v>6.01136445E9</v>
      </c>
      <c r="D577" s="224" t="s">
        <v>434</v>
      </c>
      <c r="E577" s="2049">
        <v>4.22313986E8</v>
      </c>
      <c r="F577" s="2050"/>
      <c r="G577" s="2102"/>
      <c r="H577" s="2103"/>
      <c r="I577" s="2050"/>
      <c r="J577" s="2090"/>
      <c r="L577" s="94">
        <f>(F577+G577+H577+I577+J577)+1.5+2</f>
        <v>3.5</v>
      </c>
    </row>
    <row r="578" ht="15.75" customHeight="1">
      <c r="A578" s="2051" t="s">
        <v>1699</v>
      </c>
      <c r="B578" s="2048" t="s">
        <v>327</v>
      </c>
      <c r="C578" s="223">
        <v>6.011385862E9</v>
      </c>
      <c r="D578" s="224" t="s">
        <v>470</v>
      </c>
      <c r="E578" s="2049">
        <v>4.2242482E8</v>
      </c>
      <c r="F578" s="2050"/>
      <c r="G578" s="2102"/>
      <c r="H578" s="2103"/>
      <c r="I578" s="2050"/>
      <c r="J578" s="2090">
        <v>34.09</v>
      </c>
      <c r="L578" s="94">
        <f>(F578+G578+I578+J578)+2</f>
        <v>36.09</v>
      </c>
    </row>
    <row r="579" ht="15.75" customHeight="1">
      <c r="A579" s="2051" t="s">
        <v>1701</v>
      </c>
      <c r="B579" s="2048" t="s">
        <v>327</v>
      </c>
      <c r="C579" s="207">
        <v>6.011385011E9</v>
      </c>
      <c r="D579" s="177" t="s">
        <v>473</v>
      </c>
      <c r="E579" s="2115">
        <v>4.22860425E8</v>
      </c>
      <c r="F579" s="2050"/>
      <c r="G579" s="2102"/>
      <c r="H579" s="2103"/>
      <c r="I579" s="2050"/>
      <c r="J579" s="2090">
        <v>33.0</v>
      </c>
      <c r="L579" s="94">
        <f>(F579+G579+H579+I579+J579)+1</f>
        <v>34</v>
      </c>
    </row>
    <row r="580" ht="15.75" customHeight="1">
      <c r="A580" s="2051" t="s">
        <v>1702</v>
      </c>
      <c r="B580" s="2048" t="s">
        <v>327</v>
      </c>
      <c r="C580" s="207">
        <v>6.011384782E9</v>
      </c>
      <c r="D580" s="177" t="s">
        <v>479</v>
      </c>
      <c r="E580" s="2115">
        <v>4.22288011E8</v>
      </c>
      <c r="G580" s="2102"/>
      <c r="H580" s="2103"/>
      <c r="I580" s="2050"/>
      <c r="J580" s="2090"/>
      <c r="L580" s="94">
        <f t="shared" ref="L580:L581" si="26">(F580+G580+H580+I580+J580)+2</f>
        <v>2</v>
      </c>
    </row>
    <row r="581" ht="15.75" customHeight="1">
      <c r="A581" s="2051" t="s">
        <v>1501</v>
      </c>
      <c r="B581" s="2048" t="s">
        <v>327</v>
      </c>
      <c r="C581" s="207">
        <v>6.011385142E9</v>
      </c>
      <c r="D581" s="177" t="s">
        <v>1703</v>
      </c>
      <c r="E581" s="2115">
        <v>4.22452474E8</v>
      </c>
      <c r="F581" s="2050"/>
      <c r="G581" s="2102"/>
      <c r="H581" s="2103"/>
      <c r="I581" s="2050"/>
      <c r="J581" s="2090"/>
      <c r="K581" s="547" t="s">
        <v>1698</v>
      </c>
      <c r="L581" s="94">
        <f t="shared" si="26"/>
        <v>2</v>
      </c>
    </row>
    <row r="582" ht="15.75" customHeight="1">
      <c r="A582" s="2051" t="s">
        <v>1704</v>
      </c>
      <c r="B582" s="2048" t="s">
        <v>327</v>
      </c>
      <c r="C582" s="207">
        <v>6.011384741E9</v>
      </c>
      <c r="D582" s="177" t="s">
        <v>490</v>
      </c>
      <c r="E582" s="2115">
        <v>4.22911036E8</v>
      </c>
      <c r="F582" s="2050"/>
      <c r="G582" s="2102"/>
      <c r="H582" s="2103"/>
      <c r="I582" s="2050"/>
      <c r="J582" s="2090"/>
      <c r="K582" s="94"/>
    </row>
    <row r="583" ht="15.75" customHeight="1">
      <c r="A583" s="2051" t="s">
        <v>1705</v>
      </c>
      <c r="B583" s="2048" t="s">
        <v>327</v>
      </c>
      <c r="C583" s="207">
        <v>6.011385082E9</v>
      </c>
      <c r="D583" s="177" t="s">
        <v>1707</v>
      </c>
      <c r="E583" s="2115">
        <v>4.22242569E8</v>
      </c>
      <c r="F583" s="2050"/>
      <c r="G583" s="2102"/>
      <c r="H583" s="2103"/>
      <c r="I583" s="2123"/>
      <c r="J583" s="2090"/>
      <c r="L583" s="94">
        <f>(F583+G583+H583+I583+J583)+1</f>
        <v>1</v>
      </c>
    </row>
    <row r="584" ht="15.75" customHeight="1">
      <c r="A584" s="2051" t="s">
        <v>1706</v>
      </c>
      <c r="B584" s="2048" t="s">
        <v>327</v>
      </c>
      <c r="C584" s="207">
        <v>6.011385172E9</v>
      </c>
      <c r="D584" s="177" t="s">
        <v>504</v>
      </c>
      <c r="E584" s="2115">
        <v>4.22203124E8</v>
      </c>
      <c r="G584" s="2102"/>
      <c r="H584" s="2103"/>
      <c r="I584" s="2050"/>
      <c r="J584" s="2090"/>
    </row>
    <row r="585" ht="15.75" customHeight="1">
      <c r="A585" s="2051" t="s">
        <v>1708</v>
      </c>
      <c r="B585" s="2048" t="s">
        <v>327</v>
      </c>
      <c r="C585" s="207">
        <v>6.01138482E9</v>
      </c>
      <c r="D585" s="177" t="s">
        <v>500</v>
      </c>
      <c r="E585" s="448">
        <v>4.2263891E8</v>
      </c>
      <c r="F585" s="2050"/>
      <c r="G585" s="2102"/>
      <c r="H585" s="2103"/>
      <c r="I585" s="2124"/>
      <c r="J585" s="2090"/>
    </row>
    <row r="586" ht="15.75" customHeight="1">
      <c r="A586" s="2051" t="s">
        <v>1709</v>
      </c>
      <c r="B586" s="2048" t="s">
        <v>327</v>
      </c>
      <c r="C586" s="207">
        <v>6.011432891E9</v>
      </c>
      <c r="D586" s="177" t="s">
        <v>508</v>
      </c>
      <c r="E586" s="2125">
        <v>4.22954682E8</v>
      </c>
      <c r="F586" s="2050"/>
      <c r="G586" s="2102"/>
      <c r="H586" s="2103"/>
      <c r="I586" s="2050"/>
      <c r="J586" s="2090"/>
      <c r="L586" s="94">
        <f>(F586+G586+H586+I586+J586)+2</f>
        <v>2</v>
      </c>
    </row>
    <row r="587" ht="15.75" customHeight="1">
      <c r="A587" s="2051" t="s">
        <v>1710</v>
      </c>
      <c r="B587" s="2048" t="s">
        <v>327</v>
      </c>
      <c r="C587" s="207">
        <v>6.011372062E9</v>
      </c>
      <c r="D587" s="177" t="s">
        <v>513</v>
      </c>
      <c r="E587" s="2115">
        <v>4.22988423E8</v>
      </c>
      <c r="F587" s="2050"/>
      <c r="G587" s="2102"/>
      <c r="H587" s="2103"/>
      <c r="I587" s="2050"/>
      <c r="J587" s="2090"/>
    </row>
    <row r="588" ht="15.75" customHeight="1">
      <c r="A588" s="2051" t="s">
        <v>64</v>
      </c>
      <c r="B588" s="2048" t="s">
        <v>327</v>
      </c>
      <c r="C588" s="176">
        <v>6.011507471E9</v>
      </c>
      <c r="D588" s="177" t="s">
        <v>442</v>
      </c>
      <c r="E588" s="2115">
        <v>4.22988423E8</v>
      </c>
      <c r="F588" s="2050"/>
      <c r="G588" s="2102">
        <v>74.0</v>
      </c>
      <c r="H588" s="2103"/>
      <c r="I588" s="2050"/>
      <c r="J588" s="2090"/>
      <c r="L588" s="94">
        <f>(F588+G588+H588+I588+J588)+1.5+2</f>
        <v>77.5</v>
      </c>
    </row>
    <row r="589" ht="15.75" customHeight="1">
      <c r="A589" s="2051" t="s">
        <v>70</v>
      </c>
      <c r="B589" s="2048" t="s">
        <v>327</v>
      </c>
      <c r="C589" s="223">
        <v>6.01092468E9</v>
      </c>
      <c r="D589" s="224" t="s">
        <v>456</v>
      </c>
      <c r="E589" s="2049">
        <v>4.2212481E8</v>
      </c>
      <c r="F589" s="2050"/>
      <c r="G589" s="2102"/>
      <c r="H589" s="2103"/>
      <c r="I589" s="2117"/>
      <c r="J589" s="2090">
        <v>47.0</v>
      </c>
      <c r="L589" s="94">
        <f t="shared" ref="L589:L591" si="27">(F589+G589+H589+I589+J589)+2</f>
        <v>49</v>
      </c>
    </row>
    <row r="590" ht="15.75" customHeight="1">
      <c r="A590" s="2051" t="s">
        <v>73</v>
      </c>
      <c r="B590" s="2048" t="s">
        <v>327</v>
      </c>
      <c r="C590" s="223">
        <v>6.010924822E9</v>
      </c>
      <c r="D590" s="224" t="s">
        <v>462</v>
      </c>
      <c r="E590" s="2049">
        <v>4.22556559E8</v>
      </c>
      <c r="F590" s="2050"/>
      <c r="G590" s="2102"/>
      <c r="H590" s="2103"/>
      <c r="I590" s="233"/>
      <c r="J590" s="2090"/>
      <c r="L590" s="94">
        <f t="shared" si="27"/>
        <v>2</v>
      </c>
    </row>
    <row r="591" ht="15.75" customHeight="1">
      <c r="A591" s="2051" t="s">
        <v>75</v>
      </c>
      <c r="B591" s="2048" t="s">
        <v>327</v>
      </c>
      <c r="C591" s="223">
        <v>6.010924972E9</v>
      </c>
      <c r="D591" s="224" t="s">
        <v>465</v>
      </c>
      <c r="E591" s="2049">
        <v>4.22196746E8</v>
      </c>
      <c r="F591" s="2118"/>
      <c r="G591" s="2102"/>
      <c r="H591" s="2103"/>
      <c r="I591" s="243"/>
      <c r="J591" s="2090"/>
      <c r="L591" s="94">
        <f t="shared" si="27"/>
        <v>2</v>
      </c>
    </row>
    <row r="592" ht="15.75" customHeight="1">
      <c r="A592" s="2051" t="s">
        <v>67</v>
      </c>
      <c r="B592" s="2048">
        <v>2.117437984E9</v>
      </c>
      <c r="C592" s="223">
        <v>6.011510141E9</v>
      </c>
      <c r="D592" s="224" t="s">
        <v>447</v>
      </c>
      <c r="E592" s="2057">
        <v>3.09596293E8</v>
      </c>
      <c r="F592" s="2118"/>
      <c r="G592" s="2102"/>
      <c r="H592" s="2103"/>
      <c r="I592" s="2050"/>
      <c r="J592" s="2090"/>
      <c r="L592" s="94">
        <f>(F592+G592+H592+I592+J592)+3</f>
        <v>3</v>
      </c>
    </row>
    <row r="593" ht="15.75" customHeight="1">
      <c r="A593" s="2051" t="s">
        <v>181</v>
      </c>
      <c r="B593" s="2048">
        <v>1.114390195E9</v>
      </c>
      <c r="C593" s="223">
        <v>6.010839262E9</v>
      </c>
      <c r="D593" s="224" t="s">
        <v>522</v>
      </c>
      <c r="E593" s="2057">
        <v>9.1433115E7</v>
      </c>
      <c r="F593" s="2118"/>
      <c r="G593" s="2102"/>
      <c r="H593" s="2103"/>
      <c r="I593" s="2050">
        <v>30.0</v>
      </c>
      <c r="J593" s="2090"/>
      <c r="L593" s="94">
        <f>(F593+G593+H593+I593+J593)</f>
        <v>30</v>
      </c>
    </row>
    <row r="594" ht="15.75" customHeight="1">
      <c r="A594" s="2051" t="s">
        <v>183</v>
      </c>
      <c r="B594" s="2058" t="s">
        <v>528</v>
      </c>
      <c r="C594" s="223">
        <v>6.011482811E9</v>
      </c>
      <c r="D594" s="224" t="s">
        <v>529</v>
      </c>
      <c r="E594" s="2049">
        <v>4.22793459E8</v>
      </c>
      <c r="F594" s="2120"/>
      <c r="G594" s="2120"/>
      <c r="H594" s="2120"/>
      <c r="I594" s="2120"/>
      <c r="J594" s="2120"/>
    </row>
    <row r="595" ht="15.75" customHeight="1">
      <c r="A595" s="2051" t="s">
        <v>186</v>
      </c>
      <c r="B595" s="2058" t="s">
        <v>533</v>
      </c>
      <c r="C595" s="223">
        <v>6.0114828E9</v>
      </c>
      <c r="D595" s="224" t="s">
        <v>534</v>
      </c>
      <c r="E595" s="2049">
        <v>4.22524555E8</v>
      </c>
      <c r="F595" s="2120"/>
      <c r="G595" s="2120"/>
      <c r="H595" s="2120"/>
      <c r="I595" s="2120"/>
      <c r="J595" s="2120"/>
    </row>
    <row r="596" ht="15.75" customHeight="1">
      <c r="A596" s="2051" t="s">
        <v>188</v>
      </c>
      <c r="B596" s="2058" t="s">
        <v>537</v>
      </c>
      <c r="C596" s="223">
        <v>6.011482991E9</v>
      </c>
      <c r="D596" s="224" t="s">
        <v>538</v>
      </c>
      <c r="E596" s="2049">
        <v>4.22431356E8</v>
      </c>
      <c r="F596" s="2086"/>
      <c r="G596" s="2102"/>
      <c r="H596" s="2103"/>
      <c r="I596" s="2050"/>
      <c r="J596" s="2090"/>
      <c r="L596" s="94">
        <f>(F596+G596+I596)+2</f>
        <v>2</v>
      </c>
    </row>
    <row r="597" ht="15.75" customHeight="1">
      <c r="A597" s="2059" t="s">
        <v>100</v>
      </c>
      <c r="B597" s="2060" t="s">
        <v>327</v>
      </c>
      <c r="C597" s="2054"/>
      <c r="D597" s="224" t="s">
        <v>545</v>
      </c>
      <c r="E597" s="2049"/>
      <c r="F597" s="2050"/>
      <c r="G597" s="2102"/>
      <c r="H597" s="2103"/>
      <c r="I597" s="2050"/>
      <c r="J597" s="2090"/>
      <c r="L597" s="94">
        <f t="shared" ref="L597:L599" si="28">(F597+G597+H597+I597+J597)+2</f>
        <v>2</v>
      </c>
    </row>
    <row r="598" ht="15.75" customHeight="1">
      <c r="A598" s="2059" t="s">
        <v>104</v>
      </c>
      <c r="B598" s="2060" t="s">
        <v>327</v>
      </c>
      <c r="C598" s="2054"/>
      <c r="D598" s="224" t="s">
        <v>550</v>
      </c>
      <c r="E598" s="2049"/>
      <c r="F598" s="2050"/>
      <c r="G598" s="2102"/>
      <c r="H598" s="2103"/>
      <c r="I598" s="2050"/>
      <c r="J598" s="2090"/>
      <c r="L598" s="94">
        <f t="shared" si="28"/>
        <v>2</v>
      </c>
    </row>
    <row r="599" ht="15.75" customHeight="1">
      <c r="A599" s="2059" t="s">
        <v>106</v>
      </c>
      <c r="B599" s="2060" t="s">
        <v>327</v>
      </c>
      <c r="C599" s="2054"/>
      <c r="D599" s="224" t="s">
        <v>555</v>
      </c>
      <c r="E599" s="2049"/>
      <c r="F599" s="2050"/>
      <c r="G599" s="2102"/>
      <c r="H599" s="2103"/>
      <c r="I599" s="2050"/>
      <c r="J599" s="2090"/>
      <c r="L599" s="94">
        <f t="shared" si="28"/>
        <v>2</v>
      </c>
    </row>
    <row r="600" ht="15.75" customHeight="1">
      <c r="A600" s="2059" t="s">
        <v>108</v>
      </c>
      <c r="B600" s="2060" t="s">
        <v>327</v>
      </c>
      <c r="C600" s="2054"/>
      <c r="D600" s="224" t="s">
        <v>560</v>
      </c>
      <c r="E600" s="2049"/>
      <c r="F600" s="2050"/>
      <c r="G600" s="2102"/>
      <c r="H600" s="2103"/>
      <c r="I600" s="2050"/>
      <c r="J600" s="2050"/>
      <c r="L600" s="94">
        <f>(F600+G600+I600+J600)+1.5+2</f>
        <v>3.5</v>
      </c>
    </row>
    <row r="601" ht="15.75" customHeight="1">
      <c r="A601" s="2059" t="s">
        <v>111</v>
      </c>
      <c r="B601" s="2060" t="s">
        <v>327</v>
      </c>
      <c r="C601" s="2054"/>
      <c r="D601" s="224" t="s">
        <v>567</v>
      </c>
      <c r="E601" s="2049"/>
      <c r="F601" s="2050"/>
      <c r="G601" s="2102"/>
      <c r="H601" s="2103"/>
      <c r="I601" s="2050"/>
      <c r="J601" s="2050"/>
      <c r="L601" s="94">
        <f t="shared" ref="L601:L605" si="29">(F601+G601+H601+I601+J601)+3</f>
        <v>3</v>
      </c>
    </row>
    <row r="602" ht="15.75" customHeight="1">
      <c r="A602" s="2059" t="s">
        <v>113</v>
      </c>
      <c r="B602" s="2060" t="s">
        <v>327</v>
      </c>
      <c r="C602" s="2054"/>
      <c r="D602" s="224" t="s">
        <v>574</v>
      </c>
      <c r="E602" s="2049"/>
      <c r="F602" s="2050"/>
      <c r="G602" s="2102"/>
      <c r="H602" s="2103"/>
      <c r="I602" s="2050"/>
      <c r="J602" s="2050"/>
      <c r="L602" s="94">
        <f t="shared" si="29"/>
        <v>3</v>
      </c>
    </row>
    <row r="603" ht="15.75" customHeight="1">
      <c r="A603" s="2059" t="s">
        <v>115</v>
      </c>
      <c r="B603" s="2060" t="s">
        <v>327</v>
      </c>
      <c r="C603" s="2054"/>
      <c r="D603" s="224" t="s">
        <v>581</v>
      </c>
      <c r="E603" s="2049"/>
      <c r="F603" s="2050"/>
      <c r="G603" s="2102"/>
      <c r="H603" s="2103"/>
      <c r="I603" s="2050"/>
      <c r="J603" s="2050"/>
      <c r="L603" s="94">
        <f t="shared" si="29"/>
        <v>3</v>
      </c>
    </row>
    <row r="604" ht="15.75" customHeight="1">
      <c r="A604" s="2059" t="s">
        <v>117</v>
      </c>
      <c r="B604" s="2060" t="s">
        <v>327</v>
      </c>
      <c r="C604" s="2054"/>
      <c r="D604" s="224" t="s">
        <v>1684</v>
      </c>
      <c r="E604" s="2049"/>
      <c r="F604" s="2050"/>
      <c r="G604" s="2102"/>
      <c r="H604" s="2103"/>
      <c r="I604" s="2050"/>
      <c r="J604" s="2050"/>
      <c r="L604" s="94">
        <f t="shared" si="29"/>
        <v>3</v>
      </c>
    </row>
    <row r="605" ht="15.75" customHeight="1">
      <c r="A605" s="2059" t="s">
        <v>119</v>
      </c>
      <c r="B605" s="2060" t="s">
        <v>327</v>
      </c>
      <c r="C605" s="2054"/>
      <c r="D605" s="224" t="s">
        <v>1688</v>
      </c>
      <c r="E605" s="2049"/>
      <c r="F605" s="2050"/>
      <c r="G605" s="2102"/>
      <c r="H605" s="2103"/>
      <c r="I605" s="2050"/>
      <c r="J605" s="2050"/>
      <c r="L605" s="94">
        <f t="shared" si="29"/>
        <v>3</v>
      </c>
    </row>
    <row r="606" ht="15.75" customHeight="1">
      <c r="A606" s="2059" t="s">
        <v>596</v>
      </c>
      <c r="B606" s="2104" t="s">
        <v>327</v>
      </c>
      <c r="C606" s="2104"/>
      <c r="D606" s="2104"/>
      <c r="E606" s="2105"/>
      <c r="F606" s="2106"/>
      <c r="G606" s="2106"/>
      <c r="H606" s="2106"/>
      <c r="I606" s="2050"/>
      <c r="J606" s="2106"/>
    </row>
    <row r="607" ht="15.75" customHeight="1">
      <c r="A607" s="2059" t="s">
        <v>121</v>
      </c>
      <c r="B607" s="2060" t="s">
        <v>327</v>
      </c>
      <c r="C607" s="2054"/>
      <c r="D607" s="224" t="s">
        <v>1689</v>
      </c>
      <c r="E607" s="2049"/>
      <c r="F607" s="2063"/>
      <c r="G607" s="2063"/>
      <c r="H607" s="2063"/>
      <c r="I607" s="2063"/>
      <c r="J607" s="2063"/>
    </row>
    <row r="608" ht="15.75" customHeight="1">
      <c r="A608" s="2064" t="s">
        <v>1716</v>
      </c>
      <c r="B608" s="2060"/>
      <c r="C608" s="223"/>
      <c r="D608" s="224"/>
      <c r="E608" s="2049"/>
      <c r="F608" s="2050"/>
      <c r="G608" s="2102">
        <v>150.0</v>
      </c>
      <c r="H608" s="2103">
        <v>200.0</v>
      </c>
      <c r="I608" s="2050"/>
      <c r="J608" s="2050"/>
    </row>
    <row r="609" ht="15.75" customHeight="1">
      <c r="A609" s="2064" t="s">
        <v>124</v>
      </c>
      <c r="B609" s="2060" t="s">
        <v>327</v>
      </c>
      <c r="C609" s="223">
        <v>6.011026852E9</v>
      </c>
      <c r="D609" s="224" t="s">
        <v>608</v>
      </c>
      <c r="E609" s="2049">
        <v>11604.0</v>
      </c>
      <c r="F609" s="2050"/>
      <c r="G609" s="2102"/>
      <c r="H609" s="2103"/>
      <c r="I609" s="2050"/>
      <c r="J609" s="2050"/>
      <c r="L609" s="94">
        <f t="shared" ref="L609:L610" si="30">(F609+G609+H609+I609+J609)+3</f>
        <v>3</v>
      </c>
    </row>
    <row r="610" ht="15.75" customHeight="1">
      <c r="A610" s="2066" t="s">
        <v>127</v>
      </c>
      <c r="B610" s="2060" t="s">
        <v>327</v>
      </c>
      <c r="C610" s="223">
        <v>6.011026871E9</v>
      </c>
      <c r="D610" s="224" t="s">
        <v>612</v>
      </c>
      <c r="E610" s="2049">
        <v>11606.0</v>
      </c>
      <c r="F610" s="2050"/>
      <c r="G610" s="2102"/>
      <c r="H610" s="2103"/>
      <c r="I610" s="2050"/>
      <c r="J610" s="2050"/>
      <c r="L610" s="94">
        <f t="shared" si="30"/>
        <v>3</v>
      </c>
    </row>
    <row r="611" ht="15.75" customHeight="1">
      <c r="A611" s="2066" t="s">
        <v>129</v>
      </c>
      <c r="B611" s="2060" t="s">
        <v>327</v>
      </c>
      <c r="C611" s="223">
        <v>6.011025671E9</v>
      </c>
      <c r="D611" s="224" t="s">
        <v>617</v>
      </c>
      <c r="E611" s="2049">
        <v>11931.0</v>
      </c>
      <c r="F611" s="2050"/>
      <c r="G611" s="2102"/>
      <c r="H611" s="2103"/>
      <c r="I611" s="2050"/>
      <c r="J611" s="2050"/>
      <c r="L611" s="94">
        <f>(F611+G611+I611+J611)+3</f>
        <v>3</v>
      </c>
    </row>
    <row r="612" ht="15.75" customHeight="1">
      <c r="A612" s="2107" t="s">
        <v>131</v>
      </c>
      <c r="B612" s="2104" t="s">
        <v>327</v>
      </c>
      <c r="C612" s="2104" t="s">
        <v>327</v>
      </c>
      <c r="D612" s="2104" t="s">
        <v>327</v>
      </c>
      <c r="E612" s="2105">
        <v>11304.0</v>
      </c>
      <c r="F612" s="2106"/>
      <c r="G612" s="2106"/>
      <c r="H612" s="2106"/>
      <c r="I612" s="2106"/>
      <c r="J612" s="2106"/>
      <c r="L612" s="94">
        <f>(F612+G612+H612+I612+J612)+1</f>
        <v>1</v>
      </c>
    </row>
    <row r="613" ht="15.75" customHeight="1">
      <c r="A613" s="2066" t="s">
        <v>133</v>
      </c>
      <c r="B613" s="2048" t="s">
        <v>327</v>
      </c>
      <c r="C613" s="223">
        <v>6.01101855E9</v>
      </c>
      <c r="D613" s="224" t="s">
        <v>631</v>
      </c>
      <c r="E613" s="2049">
        <v>11327.0</v>
      </c>
      <c r="F613" s="2118"/>
      <c r="G613" s="2102"/>
      <c r="H613" s="2108"/>
      <c r="I613" s="2118"/>
      <c r="J613" s="2118"/>
      <c r="L613" s="94">
        <f t="shared" ref="L613:L615" si="31">(F613+G613+I613+J613)+3</f>
        <v>3</v>
      </c>
    </row>
    <row r="614" ht="15.75" customHeight="1">
      <c r="A614" s="2066" t="s">
        <v>152</v>
      </c>
      <c r="B614" s="2048" t="s">
        <v>327</v>
      </c>
      <c r="C614" s="223">
        <v>6.011359631E9</v>
      </c>
      <c r="D614" s="224" t="s">
        <v>636</v>
      </c>
      <c r="E614" s="2049">
        <v>3.08003451E8</v>
      </c>
      <c r="F614" s="2118"/>
      <c r="G614" s="2102"/>
      <c r="H614" s="2108"/>
      <c r="I614" s="2118"/>
      <c r="J614" s="2118"/>
      <c r="L614" s="94">
        <f t="shared" si="31"/>
        <v>3</v>
      </c>
    </row>
    <row r="615" ht="15.75" customHeight="1">
      <c r="A615" s="2066" t="s">
        <v>154</v>
      </c>
      <c r="B615" s="2048" t="s">
        <v>327</v>
      </c>
      <c r="C615" s="223">
        <v>6.01135965E9</v>
      </c>
      <c r="D615" s="224" t="s">
        <v>642</v>
      </c>
      <c r="E615" s="2049">
        <v>3.08003321E8</v>
      </c>
      <c r="F615" s="2050"/>
      <c r="G615" s="2102"/>
      <c r="H615" s="2108"/>
      <c r="I615" s="2050"/>
      <c r="J615" s="2050"/>
      <c r="L615" s="94">
        <f t="shared" si="31"/>
        <v>3</v>
      </c>
    </row>
    <row r="616" ht="15.75" customHeight="1">
      <c r="A616" s="2066" t="s">
        <v>156</v>
      </c>
      <c r="B616" s="2104"/>
      <c r="C616" s="2109">
        <v>6.011606752E9</v>
      </c>
      <c r="D616" s="2109" t="s">
        <v>645</v>
      </c>
      <c r="E616" s="2110"/>
      <c r="F616" s="2106"/>
      <c r="G616" s="2106"/>
      <c r="H616" s="2106"/>
      <c r="I616" s="2106"/>
      <c r="J616" s="2106"/>
    </row>
    <row r="617" ht="15.75" customHeight="1">
      <c r="A617" s="2066" t="s">
        <v>165</v>
      </c>
      <c r="B617" s="2048" t="s">
        <v>327</v>
      </c>
      <c r="C617" s="2052">
        <v>6.011471272E9</v>
      </c>
      <c r="D617" s="2067" t="s">
        <v>649</v>
      </c>
      <c r="E617" s="2068">
        <v>3.06940056E8</v>
      </c>
      <c r="F617" s="2050"/>
      <c r="G617" s="2102"/>
      <c r="H617" s="2103"/>
      <c r="I617" s="2050"/>
      <c r="J617" s="2050"/>
      <c r="L617" s="94">
        <f t="shared" ref="L617:L619" si="32">(F617+G617+H617+I617+J617)+3</f>
        <v>3</v>
      </c>
    </row>
    <row r="618" ht="15.75" customHeight="1">
      <c r="A618" s="2066" t="s">
        <v>169</v>
      </c>
      <c r="B618" s="2048" t="s">
        <v>327</v>
      </c>
      <c r="C618" s="2052">
        <v>6.01147128E9</v>
      </c>
      <c r="D618" s="2067" t="s">
        <v>654</v>
      </c>
      <c r="E618" s="2068">
        <v>3.06940085E8</v>
      </c>
      <c r="F618" s="2050"/>
      <c r="G618" s="2102"/>
      <c r="H618" s="2103"/>
      <c r="I618" s="2050"/>
      <c r="J618" s="2050"/>
      <c r="L618" s="94">
        <f t="shared" si="32"/>
        <v>3</v>
      </c>
    </row>
    <row r="619" ht="15.75" customHeight="1">
      <c r="A619" s="2066" t="s">
        <v>171</v>
      </c>
      <c r="B619" s="2058" t="s">
        <v>327</v>
      </c>
      <c r="C619" s="223">
        <v>6.011442532E9</v>
      </c>
      <c r="D619" s="224" t="s">
        <v>659</v>
      </c>
      <c r="E619" s="2049">
        <v>3.06316828E8</v>
      </c>
      <c r="F619" s="2050"/>
      <c r="G619" s="2102"/>
      <c r="H619" s="2103"/>
      <c r="I619" s="2050"/>
      <c r="J619" s="2050"/>
      <c r="L619" s="94">
        <f t="shared" si="32"/>
        <v>3</v>
      </c>
    </row>
    <row r="620" ht="15.75" customHeight="1">
      <c r="A620" s="2066" t="s">
        <v>173</v>
      </c>
      <c r="B620" s="2119" t="s">
        <v>327</v>
      </c>
      <c r="C620" s="2080">
        <v>6.011463851E9</v>
      </c>
      <c r="D620" s="2080" t="s">
        <v>666</v>
      </c>
      <c r="E620" s="2095">
        <v>3.06244928E8</v>
      </c>
      <c r="F620" s="2120"/>
      <c r="G620" s="2120"/>
      <c r="H620" s="2120"/>
      <c r="I620" s="2120"/>
      <c r="J620" s="2120"/>
    </row>
    <row r="621" ht="15.75" customHeight="1">
      <c r="A621" s="2066" t="s">
        <v>175</v>
      </c>
      <c r="B621" s="2058" t="s">
        <v>327</v>
      </c>
      <c r="C621" s="223">
        <v>6.011588872E9</v>
      </c>
      <c r="D621" s="224" t="s">
        <v>674</v>
      </c>
      <c r="E621" s="2049">
        <v>3.09007254E8</v>
      </c>
      <c r="F621" s="2050"/>
      <c r="G621" s="2102"/>
      <c r="H621" s="2103"/>
      <c r="I621" s="2050"/>
      <c r="J621" s="2050"/>
      <c r="L621" s="94">
        <f t="shared" ref="L621:L622" si="33">(F621+G621+H621+I621+J621)+3</f>
        <v>3</v>
      </c>
    </row>
    <row r="622" ht="15.75" customHeight="1">
      <c r="A622" s="2066" t="s">
        <v>157</v>
      </c>
      <c r="B622" s="2058" t="s">
        <v>680</v>
      </c>
      <c r="C622" s="223">
        <v>6.011592412E9</v>
      </c>
      <c r="D622" s="224" t="s">
        <v>681</v>
      </c>
      <c r="E622" s="2049">
        <v>3.08312967E8</v>
      </c>
      <c r="F622" s="2050"/>
      <c r="G622" s="2102"/>
      <c r="H622" s="2103"/>
      <c r="I622" s="2050"/>
      <c r="J622" s="2050"/>
      <c r="L622" s="94">
        <f t="shared" si="33"/>
        <v>3</v>
      </c>
    </row>
    <row r="623" ht="15.75" customHeight="1">
      <c r="A623" s="2066" t="s">
        <v>161</v>
      </c>
      <c r="B623" s="2058" t="s">
        <v>705</v>
      </c>
      <c r="C623" s="223">
        <v>6.011357782E9</v>
      </c>
      <c r="D623" s="224" t="s">
        <v>706</v>
      </c>
      <c r="E623" s="2049">
        <v>3.0844433E8</v>
      </c>
      <c r="F623" s="2050"/>
      <c r="G623" s="2102"/>
      <c r="H623" s="2103"/>
      <c r="I623" s="2050"/>
      <c r="J623" s="2050"/>
    </row>
    <row r="624" ht="15.75" customHeight="1">
      <c r="A624" s="2066" t="s">
        <v>163</v>
      </c>
      <c r="B624" s="2058" t="s">
        <v>710</v>
      </c>
      <c r="C624" s="223">
        <v>6.01130319E9</v>
      </c>
      <c r="D624" s="224" t="s">
        <v>711</v>
      </c>
      <c r="E624" s="2049">
        <v>3.09152032E8</v>
      </c>
      <c r="F624" s="2063"/>
      <c r="G624" s="2063"/>
      <c r="H624" s="2063"/>
      <c r="I624" s="2063"/>
      <c r="J624" s="2063"/>
      <c r="K624" s="547" t="s">
        <v>1698</v>
      </c>
      <c r="L624" s="94">
        <f>(F624+G624+H624+I624+J624)+1.5+2</f>
        <v>3.5</v>
      </c>
    </row>
    <row r="625" ht="15.75" customHeight="1">
      <c r="A625" s="2066" t="s">
        <v>135</v>
      </c>
      <c r="B625" s="2058" t="s">
        <v>718</v>
      </c>
      <c r="C625" s="223">
        <v>6.011209751E9</v>
      </c>
      <c r="D625" s="224" t="s">
        <v>719</v>
      </c>
      <c r="E625" s="2049">
        <v>3.02824611E8</v>
      </c>
      <c r="F625" s="2086"/>
      <c r="G625" s="2102"/>
      <c r="H625" s="2108"/>
      <c r="I625" s="2050"/>
      <c r="J625" s="2090"/>
      <c r="L625" s="94">
        <f t="shared" ref="L625:L627" si="34">(F625+G625+H625+I625+J625)+3</f>
        <v>3</v>
      </c>
    </row>
    <row r="626" ht="15.75" customHeight="1">
      <c r="A626" s="2066" t="s">
        <v>138</v>
      </c>
      <c r="B626" s="2053">
        <v>2.116817982E9</v>
      </c>
      <c r="C626" s="223">
        <v>6.011542702E9</v>
      </c>
      <c r="D626" s="224" t="s">
        <v>726</v>
      </c>
      <c r="E626" s="2049">
        <v>3.08217116E8</v>
      </c>
      <c r="F626" s="2086"/>
      <c r="G626" s="2102"/>
      <c r="H626" s="2108"/>
      <c r="I626" s="2050"/>
      <c r="J626" s="2090"/>
      <c r="L626" s="94">
        <f t="shared" si="34"/>
        <v>3</v>
      </c>
    </row>
    <row r="627" ht="15.75" customHeight="1">
      <c r="A627" s="2066" t="s">
        <v>140</v>
      </c>
      <c r="B627" s="2104" t="s">
        <v>327</v>
      </c>
      <c r="C627" s="2104">
        <v>6.011270272E9</v>
      </c>
      <c r="D627" s="2104" t="s">
        <v>732</v>
      </c>
      <c r="E627" s="2105">
        <v>4.22560058E8</v>
      </c>
      <c r="F627" s="2106"/>
      <c r="G627" s="2106"/>
      <c r="H627" s="2106"/>
      <c r="I627" s="2106"/>
      <c r="J627" s="2106"/>
      <c r="K627" s="547" t="s">
        <v>1698</v>
      </c>
      <c r="L627" s="94">
        <f t="shared" si="34"/>
        <v>3</v>
      </c>
    </row>
    <row r="628" ht="15.75" customHeight="1">
      <c r="A628" s="2126">
        <v>46168.0</v>
      </c>
      <c r="B628" s="2111">
        <v>2.118280001E9</v>
      </c>
      <c r="C628" s="223">
        <v>6.011585321E9</v>
      </c>
      <c r="D628" s="224" t="s">
        <v>1714</v>
      </c>
      <c r="E628" s="2049"/>
      <c r="F628" s="2050"/>
      <c r="G628" s="2050"/>
      <c r="H628" s="2050"/>
      <c r="I628" s="2050">
        <v>47.5</v>
      </c>
      <c r="J628" s="2090"/>
      <c r="K628" s="547" t="s">
        <v>1698</v>
      </c>
    </row>
    <row r="629" ht="15.75" customHeight="1">
      <c r="A629" s="2066" t="s">
        <v>144</v>
      </c>
      <c r="B629" s="2111" t="s">
        <v>327</v>
      </c>
      <c r="C629" s="223">
        <v>6.01156203E9</v>
      </c>
      <c r="D629" s="224" t="s">
        <v>740</v>
      </c>
      <c r="E629" s="2049">
        <v>3.09317791E8</v>
      </c>
      <c r="F629" s="2050">
        <v>3.06</v>
      </c>
      <c r="G629" s="2050"/>
      <c r="H629" s="2050"/>
      <c r="I629" s="2050"/>
      <c r="J629" s="2090"/>
      <c r="L629" s="94">
        <f>(F629+G629+H629+I629+J629)+3</f>
        <v>6.06</v>
      </c>
    </row>
    <row r="630" ht="15.75" customHeight="1">
      <c r="A630" s="2066" t="s">
        <v>147</v>
      </c>
      <c r="B630" s="2111">
        <v>2.118078551E9</v>
      </c>
      <c r="C630" s="223">
        <v>6.011547281E9</v>
      </c>
      <c r="D630" s="224" t="s">
        <v>1692</v>
      </c>
      <c r="E630" s="2049">
        <v>3.09160851E8</v>
      </c>
      <c r="F630" s="2050"/>
      <c r="G630" s="2050"/>
      <c r="H630" s="2050"/>
      <c r="I630" s="2050"/>
      <c r="J630" s="2090"/>
      <c r="L630" s="94">
        <f>(F630+G630+I630+J630)+3</f>
        <v>3</v>
      </c>
    </row>
    <row r="631" ht="15.75" customHeight="1">
      <c r="A631" s="2066" t="s">
        <v>191</v>
      </c>
      <c r="B631" s="2111">
        <v>2.117710931E9</v>
      </c>
      <c r="C631" s="223">
        <v>6.011407402E9</v>
      </c>
      <c r="D631" s="224" t="s">
        <v>748</v>
      </c>
      <c r="E631" s="2049">
        <v>3.07943576E8</v>
      </c>
      <c r="F631" s="2106"/>
      <c r="G631" s="2106"/>
      <c r="H631" s="2106"/>
      <c r="I631" s="2106"/>
      <c r="J631" s="2106"/>
    </row>
    <row r="632" ht="15.75" customHeight="1">
      <c r="A632" s="2079" t="s">
        <v>192</v>
      </c>
      <c r="B632" s="2080" t="s">
        <v>327</v>
      </c>
      <c r="C632" s="2080"/>
      <c r="D632" s="2080"/>
      <c r="E632" s="2049">
        <v>293602.0</v>
      </c>
      <c r="F632" s="2050"/>
      <c r="G632" s="2050"/>
      <c r="H632" s="2050"/>
      <c r="I632" s="2050"/>
      <c r="J632" s="2050"/>
    </row>
    <row r="633" ht="15.75" customHeight="1">
      <c r="A633" s="2079" t="s">
        <v>195</v>
      </c>
      <c r="B633" s="2080" t="s">
        <v>327</v>
      </c>
      <c r="C633" s="2080"/>
      <c r="D633" s="2080"/>
      <c r="E633" s="2049">
        <v>293621.0</v>
      </c>
      <c r="F633" s="2050"/>
      <c r="G633" s="2050"/>
      <c r="H633" s="2050"/>
      <c r="I633" s="2050"/>
      <c r="J633" s="2050"/>
    </row>
    <row r="634" ht="15.75" customHeight="1">
      <c r="A634" s="2081" t="s">
        <v>197</v>
      </c>
      <c r="B634" s="2080" t="s">
        <v>327</v>
      </c>
      <c r="C634" s="2080"/>
      <c r="D634" s="2080"/>
      <c r="E634" s="2049">
        <v>293934.0</v>
      </c>
      <c r="F634" s="2050"/>
      <c r="G634" s="2050"/>
      <c r="H634" s="2050"/>
      <c r="I634" s="2050"/>
      <c r="J634" s="2050"/>
    </row>
    <row r="635" ht="15.75" customHeight="1">
      <c r="A635" s="2081" t="s">
        <v>199</v>
      </c>
      <c r="B635" s="2080" t="s">
        <v>327</v>
      </c>
      <c r="C635" s="2080"/>
      <c r="D635" s="2080"/>
      <c r="E635" s="2049">
        <v>293954.0</v>
      </c>
      <c r="F635" s="2050"/>
      <c r="G635" s="2050"/>
      <c r="H635" s="2050"/>
      <c r="I635" s="2050"/>
      <c r="J635" s="2050"/>
    </row>
    <row r="636" ht="15.75" customHeight="1">
      <c r="A636" s="2081" t="s">
        <v>201</v>
      </c>
      <c r="B636" s="2080" t="s">
        <v>327</v>
      </c>
      <c r="C636" s="2080"/>
      <c r="D636" s="2080"/>
      <c r="E636" s="2049">
        <v>293782.0</v>
      </c>
      <c r="F636" s="2050"/>
      <c r="G636" s="2050"/>
      <c r="H636" s="2050"/>
      <c r="I636" s="2050"/>
      <c r="J636" s="2050"/>
    </row>
    <row r="637" ht="15.75" customHeight="1">
      <c r="A637" s="2081" t="s">
        <v>203</v>
      </c>
      <c r="B637" s="2080" t="s">
        <v>327</v>
      </c>
      <c r="C637" s="2080"/>
      <c r="D637" s="2080"/>
      <c r="E637" s="2049">
        <v>293910.0</v>
      </c>
      <c r="F637" s="2050"/>
      <c r="G637" s="2050"/>
      <c r="H637" s="2050"/>
      <c r="I637" s="2050"/>
      <c r="J637" s="2050"/>
    </row>
    <row r="638" ht="15.75" customHeight="1">
      <c r="A638" s="2082" t="s">
        <v>205</v>
      </c>
      <c r="B638" s="2080" t="s">
        <v>327</v>
      </c>
      <c r="C638" s="2080"/>
      <c r="D638" s="2080"/>
      <c r="E638" s="2049">
        <v>293403.0</v>
      </c>
      <c r="F638" s="2050"/>
      <c r="G638" s="2050"/>
      <c r="H638" s="2050"/>
      <c r="I638" s="2050"/>
      <c r="J638" s="2050"/>
    </row>
    <row r="639" ht="15.75" customHeight="1">
      <c r="A639" s="2081" t="s">
        <v>207</v>
      </c>
      <c r="B639" s="2083" t="s">
        <v>327</v>
      </c>
      <c r="C639" s="2080"/>
      <c r="D639" s="2080"/>
      <c r="E639" s="2049">
        <v>239937.0</v>
      </c>
      <c r="F639" s="2050"/>
      <c r="G639" s="2050"/>
      <c r="H639" s="2050"/>
      <c r="I639" s="2050"/>
      <c r="J639" s="2050"/>
    </row>
    <row r="640" ht="15.75" customHeight="1">
      <c r="A640" s="2081" t="s">
        <v>209</v>
      </c>
      <c r="B640" s="2080" t="s">
        <v>327</v>
      </c>
      <c r="C640" s="2080"/>
      <c r="D640" s="2080"/>
      <c r="E640" s="2049">
        <v>293802.0</v>
      </c>
      <c r="F640" s="2050"/>
      <c r="G640" s="2050"/>
      <c r="H640" s="2050"/>
      <c r="I640" s="2050"/>
      <c r="J640" s="2050"/>
    </row>
    <row r="641" ht="15.75" customHeight="1">
      <c r="A641" s="2081" t="s">
        <v>216</v>
      </c>
      <c r="B641" s="2080" t="s">
        <v>327</v>
      </c>
      <c r="C641" s="2080"/>
      <c r="D641" s="2080"/>
      <c r="E641" s="2049">
        <v>293888.0</v>
      </c>
      <c r="F641" s="2050"/>
      <c r="G641" s="2050"/>
      <c r="H641" s="2050"/>
      <c r="I641" s="2050"/>
      <c r="J641" s="2050"/>
    </row>
    <row r="642" ht="15.75" customHeight="1">
      <c r="A642" s="2081" t="s">
        <v>211</v>
      </c>
      <c r="B642" s="2080" t="s">
        <v>327</v>
      </c>
      <c r="C642" s="2080"/>
      <c r="D642" s="2080"/>
      <c r="E642" s="2049">
        <v>293922.0</v>
      </c>
      <c r="F642" s="2050"/>
      <c r="G642" s="2050"/>
      <c r="H642" s="2050"/>
      <c r="I642" s="2050"/>
      <c r="J642" s="2050"/>
    </row>
    <row r="643" ht="15.75" customHeight="1">
      <c r="A643" s="2081" t="s">
        <v>233</v>
      </c>
      <c r="B643" s="2080"/>
      <c r="C643" s="2080"/>
      <c r="D643" s="2080"/>
      <c r="E643" s="2049">
        <v>293923.0</v>
      </c>
      <c r="F643" s="2050"/>
      <c r="G643" s="2050"/>
      <c r="H643" s="2050"/>
      <c r="I643" s="2050"/>
      <c r="J643" s="2050"/>
    </row>
    <row r="644" ht="15.75" customHeight="1">
      <c r="A644" s="2081"/>
      <c r="B644" s="2080" t="s">
        <v>327</v>
      </c>
      <c r="C644" s="2080"/>
      <c r="D644" s="2080"/>
      <c r="E644" s="2049">
        <v>293881.0</v>
      </c>
      <c r="F644" s="2050"/>
      <c r="G644" s="2050"/>
      <c r="H644" s="2050"/>
      <c r="I644" s="2050"/>
      <c r="J644" s="2050"/>
    </row>
    <row r="645" ht="15.75" customHeight="1">
      <c r="A645" s="2081" t="s">
        <v>214</v>
      </c>
      <c r="B645" s="2080" t="s">
        <v>327</v>
      </c>
      <c r="C645" s="2080"/>
      <c r="D645" s="2080"/>
      <c r="E645" s="2049">
        <v>293888.0</v>
      </c>
      <c r="F645" s="2050"/>
      <c r="G645" s="2050"/>
      <c r="H645" s="2050"/>
      <c r="I645" s="2050"/>
      <c r="J645" s="2050"/>
    </row>
    <row r="646" ht="15.75" customHeight="1">
      <c r="A646" s="2081" t="s">
        <v>218</v>
      </c>
      <c r="B646" s="2080" t="s">
        <v>327</v>
      </c>
      <c r="C646" s="2080"/>
      <c r="D646" s="2080"/>
      <c r="E646" s="2049">
        <v>293918.0</v>
      </c>
      <c r="F646" s="2050"/>
      <c r="G646" s="2050"/>
      <c r="H646" s="2050"/>
      <c r="I646" s="2050"/>
      <c r="J646" s="2050"/>
    </row>
    <row r="647" ht="15.75" customHeight="1">
      <c r="A647" s="2081" t="s">
        <v>220</v>
      </c>
      <c r="B647" s="2080" t="s">
        <v>327</v>
      </c>
      <c r="C647" s="2080"/>
      <c r="D647" s="2080"/>
      <c r="E647" s="2049">
        <v>293484.0</v>
      </c>
      <c r="F647" s="2050"/>
      <c r="G647" s="2050"/>
      <c r="H647" s="2050"/>
      <c r="I647" s="2050"/>
      <c r="J647" s="2050">
        <v>40.0</v>
      </c>
    </row>
    <row r="648" ht="15.75" customHeight="1">
      <c r="A648" s="2084" t="s">
        <v>226</v>
      </c>
      <c r="B648" s="2080"/>
      <c r="C648" s="2080"/>
      <c r="D648" s="2080"/>
      <c r="E648" s="2049"/>
      <c r="F648" s="2050"/>
      <c r="G648" s="2050"/>
      <c r="H648" s="2050"/>
      <c r="I648" s="2050"/>
      <c r="J648" s="2050"/>
    </row>
    <row r="649" ht="15.75" customHeight="1">
      <c r="A649" s="2084" t="s">
        <v>223</v>
      </c>
      <c r="B649" s="2080"/>
      <c r="C649" s="2080"/>
      <c r="D649" s="2080"/>
      <c r="E649" s="2049"/>
      <c r="F649" s="2050"/>
      <c r="G649" s="2050"/>
      <c r="H649" s="2050"/>
      <c r="I649" s="2050"/>
      <c r="J649" s="2050"/>
    </row>
    <row r="650" ht="15.75" customHeight="1">
      <c r="A650" s="2084" t="s">
        <v>227</v>
      </c>
      <c r="B650" s="2080"/>
      <c r="C650" s="2080"/>
      <c r="D650" s="2080"/>
      <c r="E650" s="2049"/>
      <c r="F650" s="2050"/>
      <c r="G650" s="2050"/>
      <c r="H650" s="2050"/>
      <c r="I650" s="2050"/>
      <c r="J650" s="2050"/>
    </row>
    <row r="651" ht="15.75" customHeight="1">
      <c r="A651" s="2084" t="s">
        <v>229</v>
      </c>
      <c r="B651" s="2080"/>
      <c r="C651" s="2080"/>
      <c r="D651" s="2080"/>
      <c r="E651" s="2049"/>
      <c r="F651" s="2050"/>
      <c r="G651" s="2050"/>
      <c r="H651" s="2050"/>
      <c r="I651" s="2050"/>
      <c r="J651" s="2050"/>
    </row>
    <row r="652" ht="15.75" customHeight="1">
      <c r="A652" s="2084" t="s">
        <v>231</v>
      </c>
      <c r="B652" s="2080"/>
      <c r="C652" s="2080"/>
      <c r="D652" s="2080"/>
      <c r="E652" s="2049"/>
      <c r="F652" s="2050"/>
      <c r="G652" s="2050"/>
      <c r="H652" s="2050"/>
      <c r="I652" s="2050"/>
      <c r="J652" s="2050"/>
    </row>
    <row r="653" ht="15.75" customHeight="1">
      <c r="A653" s="2084" t="s">
        <v>232</v>
      </c>
      <c r="B653" s="2080"/>
      <c r="C653" s="2080"/>
      <c r="D653" s="2080"/>
      <c r="E653" s="2049"/>
      <c r="F653" s="2050"/>
      <c r="G653" s="2050"/>
      <c r="H653" s="2050"/>
      <c r="I653" s="2050"/>
      <c r="J653" s="2050"/>
    </row>
    <row r="654" ht="15.75" customHeight="1">
      <c r="A654" s="2085" t="s">
        <v>250</v>
      </c>
      <c r="B654" s="2048">
        <v>2.116441487E9</v>
      </c>
      <c r="C654" s="223">
        <v>6.11036178E9</v>
      </c>
      <c r="D654" s="224" t="s">
        <v>843</v>
      </c>
      <c r="E654" s="2049">
        <v>4.22196093E8</v>
      </c>
      <c r="F654" s="2102"/>
      <c r="G654" s="2102"/>
      <c r="H654" s="2102"/>
      <c r="I654" s="2050"/>
      <c r="J654" s="2050"/>
      <c r="L654" s="94">
        <f t="shared" ref="L654:L656" si="35">(F654+G654+H654+I654+J654)+3</f>
        <v>3</v>
      </c>
    </row>
    <row r="655" ht="15.75" customHeight="1">
      <c r="A655" s="2085" t="s">
        <v>238</v>
      </c>
      <c r="B655" s="2048">
        <v>2.116441498E9</v>
      </c>
      <c r="C655" s="223">
        <v>6.110363032E9</v>
      </c>
      <c r="D655" s="224" t="s">
        <v>847</v>
      </c>
      <c r="E655" s="2049">
        <v>4.22410189E8</v>
      </c>
      <c r="F655" s="2050"/>
      <c r="G655" s="2050"/>
      <c r="H655" s="2050"/>
      <c r="I655" s="2050"/>
      <c r="J655" s="2050"/>
      <c r="L655" s="94">
        <f t="shared" si="35"/>
        <v>3</v>
      </c>
    </row>
    <row r="656" ht="15.75" customHeight="1">
      <c r="A656" s="2085" t="s">
        <v>252</v>
      </c>
      <c r="B656" s="2048">
        <v>2.116441502E9</v>
      </c>
      <c r="C656" s="223">
        <v>6.110363122E9</v>
      </c>
      <c r="D656" s="224" t="s">
        <v>850</v>
      </c>
      <c r="E656" s="2049">
        <v>4.22881705E8</v>
      </c>
      <c r="F656" s="2118"/>
      <c r="G656" s="2118"/>
      <c r="H656" s="2118"/>
      <c r="I656" s="2118"/>
      <c r="J656" s="2118">
        <v>51.5</v>
      </c>
      <c r="L656" s="94">
        <f t="shared" si="35"/>
        <v>54.5</v>
      </c>
    </row>
    <row r="657" ht="15.75" customHeight="1">
      <c r="A657" s="2085" t="s">
        <v>254</v>
      </c>
      <c r="B657" s="2048">
        <v>2.116441513E9</v>
      </c>
      <c r="C657" s="223">
        <v>6.11036304E9</v>
      </c>
      <c r="D657" s="224" t="s">
        <v>852</v>
      </c>
      <c r="E657" s="2049">
        <v>4.22740287E8</v>
      </c>
      <c r="F657" s="2120"/>
      <c r="G657" s="2120"/>
      <c r="H657" s="2120"/>
      <c r="I657" s="2120"/>
      <c r="J657" s="2120"/>
    </row>
    <row r="658" ht="15.75" customHeight="1">
      <c r="A658" s="2085" t="s">
        <v>256</v>
      </c>
      <c r="B658" s="2048">
        <v>2.116441524E9</v>
      </c>
      <c r="C658" s="223">
        <v>6.1103631E9</v>
      </c>
      <c r="D658" s="224" t="s">
        <v>854</v>
      </c>
      <c r="E658" s="2049">
        <v>4.22939148E8</v>
      </c>
      <c r="F658" s="2120"/>
      <c r="G658" s="2120"/>
      <c r="H658" s="2120"/>
      <c r="I658" s="2120"/>
      <c r="J658" s="2120"/>
    </row>
    <row r="659" ht="15.75" customHeight="1">
      <c r="A659" s="2085" t="s">
        <v>258</v>
      </c>
      <c r="B659" s="2048">
        <v>2.116441535E9</v>
      </c>
      <c r="C659" s="223">
        <v>6.11036301E9</v>
      </c>
      <c r="D659" s="224" t="s">
        <v>856</v>
      </c>
      <c r="E659" s="2049">
        <v>4.22474071E8</v>
      </c>
      <c r="F659" s="2120"/>
      <c r="G659" s="2120"/>
      <c r="H659" s="2120"/>
      <c r="I659" s="2120"/>
      <c r="J659" s="2120"/>
    </row>
    <row r="660" ht="15.75" customHeight="1">
      <c r="A660" s="2085" t="s">
        <v>260</v>
      </c>
      <c r="B660" s="2048">
        <v>2.116441546E9</v>
      </c>
      <c r="C660" s="223">
        <v>6.110363081E9</v>
      </c>
      <c r="D660" s="224" t="s">
        <v>859</v>
      </c>
      <c r="E660" s="2049">
        <v>4.22367309E8</v>
      </c>
      <c r="F660" s="2120"/>
      <c r="G660" s="2120"/>
      <c r="H660" s="2120"/>
      <c r="I660" s="2120"/>
      <c r="J660" s="2120"/>
    </row>
    <row r="661" ht="15.75" customHeight="1">
      <c r="A661" s="2085" t="s">
        <v>262</v>
      </c>
      <c r="B661" s="2048">
        <v>2.116441557E9</v>
      </c>
      <c r="C661" s="223">
        <v>6.110363002E9</v>
      </c>
      <c r="D661" s="224" t="s">
        <v>862</v>
      </c>
      <c r="E661" s="2049">
        <v>4.22660277E8</v>
      </c>
      <c r="F661" s="2118"/>
      <c r="G661" s="2118"/>
      <c r="H661" s="2118"/>
      <c r="I661" s="2118"/>
      <c r="J661" s="2118"/>
      <c r="L661" s="94">
        <f t="shared" ref="L661:L662" si="36">(F661+G661+H661+I661+J661)+3</f>
        <v>3</v>
      </c>
    </row>
    <row r="662" ht="15.75" customHeight="1">
      <c r="A662" s="2085" t="s">
        <v>240</v>
      </c>
      <c r="B662" s="2048">
        <v>2.116441568E9</v>
      </c>
      <c r="C662" s="223">
        <v>6.11036298E9</v>
      </c>
      <c r="D662" s="224" t="s">
        <v>864</v>
      </c>
      <c r="E662" s="2049">
        <v>4.22325794E8</v>
      </c>
      <c r="F662" s="2118"/>
      <c r="G662" s="2118"/>
      <c r="H662" s="2118"/>
      <c r="I662" s="2118"/>
      <c r="J662" s="2118"/>
      <c r="L662" s="94">
        <f t="shared" si="36"/>
        <v>3</v>
      </c>
    </row>
    <row r="663" ht="15.75" customHeight="1">
      <c r="A663" s="2085" t="s">
        <v>264</v>
      </c>
      <c r="B663" s="2048">
        <v>2.116441637E9</v>
      </c>
      <c r="C663" s="2087">
        <v>6.110362972E9</v>
      </c>
      <c r="D663" s="224" t="s">
        <v>867</v>
      </c>
      <c r="E663" s="2088">
        <v>4.22444717E8</v>
      </c>
      <c r="F663" s="2120"/>
      <c r="G663" s="2120"/>
      <c r="H663" s="2120"/>
      <c r="I663" s="2120"/>
      <c r="J663" s="2120"/>
    </row>
    <row r="664" ht="15.75" customHeight="1">
      <c r="A664" s="2085" t="s">
        <v>266</v>
      </c>
      <c r="B664" s="2048">
        <v>2.116576549E9</v>
      </c>
      <c r="C664" s="223">
        <v>6.110363021E9</v>
      </c>
      <c r="D664" s="224" t="s">
        <v>870</v>
      </c>
      <c r="E664" s="2049">
        <v>4.22433459E8</v>
      </c>
      <c r="F664" s="2120"/>
      <c r="G664" s="2120"/>
      <c r="H664" s="2120"/>
      <c r="I664" s="2120"/>
      <c r="J664" s="2120"/>
    </row>
    <row r="665" ht="15.75" customHeight="1">
      <c r="A665" s="2085" t="s">
        <v>268</v>
      </c>
      <c r="B665" s="2048">
        <v>2.11657655E9</v>
      </c>
      <c r="C665" s="223">
        <v>6.110362961E9</v>
      </c>
      <c r="D665" s="224" t="s">
        <v>873</v>
      </c>
      <c r="E665" s="2049">
        <v>4.226691E8</v>
      </c>
      <c r="F665" s="2120"/>
      <c r="G665" s="2120"/>
      <c r="H665" s="2120"/>
      <c r="I665" s="2120"/>
      <c r="J665" s="2120"/>
    </row>
    <row r="666" ht="15.75" customHeight="1">
      <c r="A666" s="2085" t="s">
        <v>242</v>
      </c>
      <c r="B666" s="2048">
        <v>2.116576561E9</v>
      </c>
      <c r="C666" s="223">
        <v>6.11036295E9</v>
      </c>
      <c r="D666" s="224" t="s">
        <v>875</v>
      </c>
      <c r="E666" s="2049">
        <v>4.22752735E8</v>
      </c>
      <c r="F666" s="2118"/>
      <c r="G666" s="2118"/>
      <c r="H666" s="2118"/>
      <c r="I666" s="2118"/>
      <c r="J666" s="2118"/>
      <c r="L666" s="94">
        <f>(F666+G666+H666+I666+J666)+3</f>
        <v>3</v>
      </c>
    </row>
    <row r="667" ht="15.75" customHeight="1">
      <c r="A667" s="2085" t="s">
        <v>270</v>
      </c>
      <c r="B667" s="2048">
        <v>2.116576572E9</v>
      </c>
      <c r="C667" s="223">
        <v>6.110362942E9</v>
      </c>
      <c r="D667" s="224" t="s">
        <v>878</v>
      </c>
      <c r="E667" s="2049">
        <v>4.22320003E8</v>
      </c>
      <c r="F667" s="2120"/>
      <c r="G667" s="2120"/>
      <c r="H667" s="2120"/>
      <c r="I667" s="2120"/>
      <c r="J667" s="2120"/>
    </row>
    <row r="668" ht="15.75" customHeight="1">
      <c r="A668" s="2085" t="s">
        <v>272</v>
      </c>
      <c r="B668" s="2048">
        <v>2.116576583E9</v>
      </c>
      <c r="C668" s="223">
        <v>6.110362931E9</v>
      </c>
      <c r="D668" s="224" t="s">
        <v>881</v>
      </c>
      <c r="E668" s="2049">
        <v>4.22281971E8</v>
      </c>
      <c r="F668" s="2120"/>
      <c r="G668" s="2120"/>
      <c r="H668" s="2120"/>
      <c r="I668" s="2120"/>
      <c r="J668" s="2120"/>
    </row>
    <row r="669" ht="15.75" customHeight="1">
      <c r="A669" s="2085" t="s">
        <v>274</v>
      </c>
      <c r="B669" s="2048">
        <v>2.116576594E9</v>
      </c>
      <c r="C669" s="2087">
        <v>6.11036313E9</v>
      </c>
      <c r="D669" s="224" t="s">
        <v>884</v>
      </c>
      <c r="E669" s="2049">
        <v>4.22169558E8</v>
      </c>
      <c r="F669" s="2120"/>
      <c r="G669" s="2120"/>
      <c r="H669" s="2120"/>
      <c r="I669" s="2120"/>
      <c r="J669" s="2120"/>
    </row>
    <row r="670" ht="15.75" customHeight="1">
      <c r="A670" s="2085" t="s">
        <v>276</v>
      </c>
      <c r="B670" s="2048">
        <v>2.116576607E9</v>
      </c>
      <c r="C670" s="223">
        <v>6.110363111E9</v>
      </c>
      <c r="D670" s="224" t="s">
        <v>886</v>
      </c>
      <c r="E670" s="2049">
        <v>4.22196288E8</v>
      </c>
      <c r="F670" s="2120"/>
      <c r="G670" s="2120"/>
      <c r="H670" s="2120"/>
      <c r="I670" s="2120"/>
      <c r="J670" s="2120"/>
    </row>
    <row r="671" ht="15.75" customHeight="1">
      <c r="A671" s="2085" t="s">
        <v>278</v>
      </c>
      <c r="B671" s="2048">
        <v>2.116576618E9</v>
      </c>
      <c r="C671" s="223">
        <v>6.110363092E9</v>
      </c>
      <c r="D671" s="224" t="s">
        <v>888</v>
      </c>
      <c r="E671" s="2049">
        <v>4.22278289E8</v>
      </c>
      <c r="F671" s="2120"/>
      <c r="G671" s="2120"/>
      <c r="H671" s="2120"/>
      <c r="I671" s="2120"/>
      <c r="J671" s="2120"/>
    </row>
    <row r="672" ht="15.75" customHeight="1">
      <c r="A672" s="2085" t="s">
        <v>280</v>
      </c>
      <c r="B672" s="2048">
        <v>2.116576629E9</v>
      </c>
      <c r="C672" s="2087">
        <v>6.11036307E9</v>
      </c>
      <c r="D672" s="224" t="s">
        <v>891</v>
      </c>
      <c r="E672" s="2049">
        <v>4.22929242E8</v>
      </c>
      <c r="F672" s="2121"/>
      <c r="G672" s="2121"/>
      <c r="H672" s="2121"/>
      <c r="I672" s="2121"/>
      <c r="J672" s="2120"/>
    </row>
    <row r="673" ht="15.75" customHeight="1">
      <c r="A673" s="2085" t="s">
        <v>283</v>
      </c>
      <c r="B673" s="2048">
        <v>2.11657663E9</v>
      </c>
      <c r="C673" s="223">
        <v>6.110363062E9</v>
      </c>
      <c r="D673" s="224" t="s">
        <v>893</v>
      </c>
      <c r="E673" s="2049">
        <v>4.22720411E8</v>
      </c>
      <c r="F673" s="2120"/>
      <c r="G673" s="2120"/>
      <c r="H673" s="2120"/>
      <c r="I673" s="2120"/>
      <c r="J673" s="2120"/>
    </row>
    <row r="674" ht="15.75" customHeight="1">
      <c r="A674" s="2085" t="s">
        <v>286</v>
      </c>
      <c r="B674" s="2053">
        <v>2.116576641E9</v>
      </c>
      <c r="C674" s="2092">
        <v>6.110362991E9</v>
      </c>
      <c r="D674" s="2093" t="s">
        <v>897</v>
      </c>
      <c r="E674" s="2094">
        <v>4.22920502E8</v>
      </c>
      <c r="F674" s="2120"/>
      <c r="G674" s="2120"/>
      <c r="H674" s="2120"/>
      <c r="I674" s="2120"/>
      <c r="J674" s="2120"/>
    </row>
    <row r="675" ht="15.75" customHeight="1">
      <c r="A675" s="2085" t="s">
        <v>189</v>
      </c>
      <c r="B675" s="2122"/>
      <c r="C675" s="2104"/>
      <c r="D675" s="2104"/>
      <c r="E675" s="2105"/>
      <c r="F675" s="2106"/>
      <c r="G675" s="2106"/>
      <c r="H675" s="2106"/>
      <c r="I675" s="2106"/>
      <c r="J675" s="2106"/>
    </row>
    <row r="676" ht="15.75" customHeight="1">
      <c r="A676" s="2096" t="s">
        <v>235</v>
      </c>
      <c r="B676" s="2097">
        <v>2.116579553E9</v>
      </c>
      <c r="C676" s="2098">
        <v>6.110365522E9</v>
      </c>
      <c r="D676" s="2098" t="s">
        <v>1694</v>
      </c>
      <c r="E676" s="2099">
        <v>4.22732514E8</v>
      </c>
      <c r="F676" s="2113"/>
      <c r="G676" s="2113"/>
      <c r="H676" s="2113"/>
      <c r="I676" s="2113"/>
      <c r="J676" s="2113"/>
      <c r="L676" s="94">
        <f>(F676+G676+H676+I676+J676)+3</f>
        <v>3</v>
      </c>
    </row>
    <row r="677" ht="15.75" customHeight="1">
      <c r="C677" s="475"/>
    </row>
    <row r="678" ht="15.75" customHeight="1">
      <c r="C678" s="475"/>
    </row>
    <row r="679" ht="15.75" customHeight="1">
      <c r="C679" s="475"/>
    </row>
    <row r="680" ht="15.75" customHeight="1">
      <c r="C680" s="475"/>
    </row>
    <row r="681" ht="15.75" customHeight="1">
      <c r="C681" s="475"/>
    </row>
    <row r="682" ht="15.75" customHeight="1">
      <c r="C682" s="475"/>
    </row>
    <row r="683" ht="15.75" customHeight="1">
      <c r="C683" s="475"/>
    </row>
    <row r="684" ht="15.75" customHeight="1">
      <c r="C684" s="475"/>
    </row>
    <row r="685" ht="15.75" customHeight="1">
      <c r="C685" s="475"/>
    </row>
    <row r="686" ht="15.75" customHeight="1">
      <c r="C686" s="475"/>
    </row>
    <row r="687" ht="15.75" customHeight="1">
      <c r="C687" s="475"/>
    </row>
    <row r="688" ht="15.75" customHeight="1">
      <c r="C688" s="475"/>
    </row>
    <row r="689" ht="15.75" customHeight="1">
      <c r="C689" s="475"/>
    </row>
    <row r="690" ht="15.75" customHeight="1">
      <c r="C690" s="475"/>
    </row>
    <row r="691" ht="15.75" customHeight="1">
      <c r="C691" s="475"/>
    </row>
    <row r="692" ht="15.75" customHeight="1">
      <c r="C692" s="475"/>
    </row>
    <row r="693" ht="15.75" customHeight="1">
      <c r="C693" s="475"/>
    </row>
    <row r="694" ht="15.75" customHeight="1">
      <c r="C694" s="475"/>
    </row>
    <row r="695" ht="15.75" customHeight="1">
      <c r="C695" s="475"/>
    </row>
    <row r="696" ht="15.75" customHeight="1">
      <c r="C696" s="475"/>
    </row>
    <row r="697" ht="15.75" customHeight="1">
      <c r="C697" s="475"/>
    </row>
    <row r="698" ht="15.75" customHeight="1">
      <c r="C698" s="475"/>
    </row>
    <row r="699" ht="15.75" customHeight="1">
      <c r="C699" s="475"/>
    </row>
    <row r="700" ht="15.75" customHeight="1">
      <c r="C700" s="475"/>
    </row>
    <row r="701" ht="15.75" customHeight="1">
      <c r="C701" s="475"/>
    </row>
    <row r="702" ht="15.75" customHeight="1">
      <c r="C702" s="475"/>
    </row>
    <row r="703" ht="15.75" customHeight="1">
      <c r="C703" s="475"/>
    </row>
    <row r="704" ht="15.75" customHeight="1">
      <c r="C704" s="475"/>
    </row>
    <row r="705" ht="15.75" customHeight="1">
      <c r="C705" s="475"/>
    </row>
    <row r="706" ht="15.75" customHeight="1">
      <c r="C706" s="475"/>
    </row>
    <row r="707" ht="15.75" customHeight="1">
      <c r="C707" s="475"/>
    </row>
    <row r="708" ht="15.75" customHeight="1">
      <c r="C708" s="475"/>
    </row>
    <row r="709" ht="15.75" customHeight="1">
      <c r="C709" s="475"/>
    </row>
    <row r="710" ht="15.75" customHeight="1">
      <c r="C710" s="475"/>
    </row>
    <row r="711" ht="15.75" customHeight="1">
      <c r="C711" s="475"/>
    </row>
    <row r="712" ht="15.75" customHeight="1">
      <c r="C712" s="475"/>
    </row>
    <row r="713" ht="15.75" customHeight="1">
      <c r="C713" s="475"/>
    </row>
    <row r="714" ht="15.75" customHeight="1">
      <c r="C714" s="475"/>
    </row>
    <row r="715" ht="15.75" customHeight="1">
      <c r="C715" s="475"/>
    </row>
    <row r="716" ht="15.75" customHeight="1">
      <c r="C716" s="475"/>
    </row>
    <row r="717" ht="15.75" customHeight="1">
      <c r="C717" s="475"/>
    </row>
    <row r="718" ht="15.75" customHeight="1">
      <c r="C718" s="475"/>
    </row>
    <row r="719" ht="15.75" customHeight="1">
      <c r="C719" s="475"/>
    </row>
    <row r="720" ht="15.75" customHeight="1">
      <c r="C720" s="475"/>
    </row>
    <row r="721" ht="15.75" customHeight="1">
      <c r="C721" s="475"/>
    </row>
    <row r="722" ht="15.75" customHeight="1">
      <c r="C722" s="475"/>
    </row>
    <row r="723" ht="15.75" customHeight="1">
      <c r="C723" s="475"/>
    </row>
    <row r="724" ht="15.75" customHeight="1">
      <c r="C724" s="475"/>
    </row>
    <row r="725" ht="15.75" customHeight="1">
      <c r="C725" s="475"/>
    </row>
    <row r="726" ht="15.75" customHeight="1">
      <c r="C726" s="475"/>
    </row>
    <row r="727" ht="15.75" customHeight="1">
      <c r="C727" s="475"/>
    </row>
    <row r="728" ht="15.75" customHeight="1">
      <c r="C728" s="475"/>
    </row>
    <row r="729" ht="15.75" customHeight="1">
      <c r="C729" s="475"/>
    </row>
    <row r="730" ht="15.75" customHeight="1">
      <c r="C730" s="475"/>
    </row>
    <row r="731" ht="15.75" customHeight="1">
      <c r="C731" s="475"/>
    </row>
    <row r="732" ht="15.75" customHeight="1">
      <c r="C732" s="475"/>
    </row>
    <row r="733" ht="15.75" customHeight="1">
      <c r="C733" s="475"/>
    </row>
    <row r="734" ht="15.75" customHeight="1">
      <c r="C734" s="475"/>
    </row>
    <row r="735" ht="15.75" customHeight="1">
      <c r="C735" s="475"/>
    </row>
    <row r="736" ht="15.75" customHeight="1">
      <c r="C736" s="475"/>
    </row>
    <row r="737" ht="15.75" customHeight="1">
      <c r="C737" s="475"/>
    </row>
    <row r="738" ht="15.75" customHeight="1">
      <c r="C738" s="475"/>
    </row>
    <row r="739" ht="15.75" customHeight="1">
      <c r="C739" s="475"/>
    </row>
    <row r="740" ht="15.75" customHeight="1">
      <c r="C740" s="475"/>
    </row>
    <row r="741" ht="15.75" customHeight="1">
      <c r="C741" s="475"/>
    </row>
    <row r="742" ht="15.75" customHeight="1">
      <c r="C742" s="475"/>
    </row>
    <row r="743" ht="15.75" customHeight="1">
      <c r="C743" s="475"/>
    </row>
    <row r="744" ht="15.75" customHeight="1">
      <c r="C744" s="475"/>
    </row>
    <row r="745" ht="15.75" customHeight="1">
      <c r="C745" s="475"/>
    </row>
    <row r="746" ht="15.75" customHeight="1">
      <c r="C746" s="475"/>
    </row>
    <row r="747" ht="15.75" customHeight="1">
      <c r="C747" s="475"/>
    </row>
    <row r="748" ht="15.75" customHeight="1">
      <c r="C748" s="475"/>
    </row>
    <row r="749" ht="15.75" customHeight="1">
      <c r="C749" s="475"/>
    </row>
    <row r="750" ht="15.75" customHeight="1">
      <c r="C750" s="475"/>
    </row>
    <row r="751" ht="15.75" customHeight="1">
      <c r="C751" s="475"/>
    </row>
    <row r="752" ht="15.75" customHeight="1">
      <c r="C752" s="475"/>
    </row>
    <row r="753" ht="15.75" customHeight="1">
      <c r="C753" s="475"/>
    </row>
    <row r="754" ht="15.75" customHeight="1">
      <c r="C754" s="475"/>
    </row>
    <row r="755" ht="15.75" customHeight="1">
      <c r="C755" s="475"/>
    </row>
    <row r="756" ht="15.75" customHeight="1">
      <c r="C756" s="475"/>
    </row>
    <row r="757" ht="15.75" customHeight="1">
      <c r="C757" s="475"/>
    </row>
    <row r="758" ht="15.75" customHeight="1">
      <c r="C758" s="475"/>
    </row>
    <row r="759" ht="15.75" customHeight="1">
      <c r="C759" s="475"/>
    </row>
    <row r="760" ht="15.75" customHeight="1">
      <c r="C760" s="475"/>
    </row>
    <row r="761" ht="15.75" customHeight="1">
      <c r="C761" s="475"/>
    </row>
    <row r="762" ht="15.75" customHeight="1">
      <c r="C762" s="475"/>
    </row>
    <row r="763" ht="15.75" customHeight="1">
      <c r="C763" s="475"/>
    </row>
    <row r="764" ht="15.75" customHeight="1">
      <c r="C764" s="475"/>
    </row>
    <row r="765" ht="15.75" customHeight="1">
      <c r="C765" s="475"/>
    </row>
    <row r="766" ht="15.75" customHeight="1">
      <c r="C766" s="475"/>
    </row>
    <row r="767" ht="15.75" customHeight="1">
      <c r="C767" s="475"/>
    </row>
    <row r="768" ht="15.75" customHeight="1">
      <c r="C768" s="475"/>
    </row>
    <row r="769" ht="15.75" customHeight="1">
      <c r="C769" s="475"/>
    </row>
    <row r="770" ht="15.75" customHeight="1">
      <c r="C770" s="475"/>
    </row>
    <row r="771" ht="15.75" customHeight="1">
      <c r="C771" s="475"/>
    </row>
    <row r="772" ht="15.75" customHeight="1">
      <c r="C772" s="475"/>
    </row>
    <row r="773" ht="15.75" customHeight="1">
      <c r="C773" s="475"/>
    </row>
    <row r="774" ht="15.75" customHeight="1">
      <c r="C774" s="475"/>
    </row>
    <row r="775" ht="15.75" customHeight="1">
      <c r="C775" s="475"/>
    </row>
    <row r="776" ht="15.75" customHeight="1">
      <c r="C776" s="475"/>
    </row>
    <row r="777" ht="15.75" customHeight="1">
      <c r="C777" s="475"/>
    </row>
    <row r="778" ht="15.75" customHeight="1">
      <c r="C778" s="475"/>
    </row>
    <row r="779" ht="15.75" customHeight="1">
      <c r="C779" s="475"/>
    </row>
    <row r="780" ht="15.75" customHeight="1">
      <c r="C780" s="475"/>
    </row>
    <row r="781" ht="15.75" customHeight="1">
      <c r="C781" s="475"/>
    </row>
    <row r="782" ht="15.75" customHeight="1">
      <c r="C782" s="475"/>
    </row>
    <row r="783" ht="15.75" customHeight="1">
      <c r="C783" s="475"/>
    </row>
    <row r="784" ht="15.75" customHeight="1">
      <c r="C784" s="475"/>
    </row>
    <row r="785" ht="15.75" customHeight="1">
      <c r="C785" s="475"/>
    </row>
    <row r="786" ht="15.75" customHeight="1">
      <c r="C786" s="475"/>
    </row>
    <row r="787" ht="15.75" customHeight="1">
      <c r="C787" s="475"/>
    </row>
    <row r="788" ht="15.75" customHeight="1">
      <c r="C788" s="475"/>
    </row>
    <row r="789" ht="15.75" customHeight="1">
      <c r="C789" s="475"/>
    </row>
    <row r="790" ht="15.75" customHeight="1">
      <c r="C790" s="475"/>
    </row>
    <row r="791" ht="15.75" customHeight="1">
      <c r="C791" s="475"/>
    </row>
    <row r="792" ht="15.75" customHeight="1">
      <c r="C792" s="475"/>
    </row>
    <row r="793" ht="15.75" customHeight="1">
      <c r="C793" s="475"/>
    </row>
    <row r="794" ht="15.75" customHeight="1">
      <c r="C794" s="475"/>
    </row>
    <row r="795" ht="15.75" customHeight="1">
      <c r="C795" s="475"/>
    </row>
    <row r="796" ht="15.75" customHeight="1">
      <c r="C796" s="475"/>
    </row>
    <row r="797" ht="15.75" customHeight="1">
      <c r="C797" s="475"/>
    </row>
    <row r="798" ht="15.75" customHeight="1">
      <c r="C798" s="475"/>
    </row>
    <row r="799" ht="15.75" customHeight="1">
      <c r="C799" s="475"/>
    </row>
    <row r="800" ht="15.75" customHeight="1">
      <c r="C800" s="475"/>
    </row>
    <row r="801" ht="15.75" customHeight="1">
      <c r="C801" s="475"/>
    </row>
    <row r="802" ht="15.75" customHeight="1">
      <c r="C802" s="475"/>
    </row>
    <row r="803" ht="15.75" customHeight="1">
      <c r="C803" s="475"/>
    </row>
    <row r="804" ht="15.75" customHeight="1">
      <c r="C804" s="475"/>
    </row>
    <row r="805" ht="15.75" customHeight="1">
      <c r="C805" s="475"/>
    </row>
    <row r="806" ht="15.75" customHeight="1">
      <c r="C806" s="475"/>
    </row>
    <row r="807" ht="15.75" customHeight="1">
      <c r="C807" s="475"/>
    </row>
    <row r="808" ht="15.75" customHeight="1">
      <c r="C808" s="475"/>
    </row>
    <row r="809" ht="15.75" customHeight="1">
      <c r="C809" s="475"/>
    </row>
    <row r="810" ht="15.75" customHeight="1">
      <c r="C810" s="475"/>
    </row>
    <row r="811" ht="15.75" customHeight="1">
      <c r="C811" s="475"/>
    </row>
    <row r="812" ht="15.75" customHeight="1">
      <c r="C812" s="475"/>
    </row>
    <row r="813" ht="15.75" customHeight="1">
      <c r="C813" s="475"/>
    </row>
    <row r="814" ht="15.75" customHeight="1">
      <c r="C814" s="475"/>
    </row>
    <row r="815" ht="15.75" customHeight="1">
      <c r="C815" s="475"/>
    </row>
    <row r="816" ht="15.75" customHeight="1">
      <c r="C816" s="475"/>
    </row>
    <row r="817" ht="15.75" customHeight="1">
      <c r="C817" s="475"/>
    </row>
    <row r="818" ht="15.75" customHeight="1">
      <c r="C818" s="475"/>
    </row>
    <row r="819" ht="15.75" customHeight="1">
      <c r="C819" s="475"/>
    </row>
    <row r="820" ht="15.75" customHeight="1">
      <c r="C820" s="475"/>
    </row>
    <row r="821" ht="15.75" customHeight="1">
      <c r="C821" s="475"/>
    </row>
    <row r="822" ht="15.75" customHeight="1">
      <c r="C822" s="475"/>
    </row>
    <row r="823" ht="15.75" customHeight="1">
      <c r="C823" s="475"/>
    </row>
    <row r="824" ht="15.75" customHeight="1">
      <c r="C824" s="475"/>
    </row>
    <row r="825" ht="15.75" customHeight="1">
      <c r="C825" s="475"/>
    </row>
    <row r="826" ht="15.75" customHeight="1">
      <c r="C826" s="475"/>
    </row>
    <row r="827" ht="15.75" customHeight="1">
      <c r="C827" s="475"/>
    </row>
    <row r="828" ht="15.75" customHeight="1">
      <c r="C828" s="475"/>
    </row>
    <row r="829" ht="15.75" customHeight="1">
      <c r="C829" s="475"/>
    </row>
    <row r="830" ht="15.75" customHeight="1">
      <c r="C830" s="475"/>
    </row>
    <row r="831" ht="15.75" customHeight="1">
      <c r="C831" s="475"/>
    </row>
    <row r="832" ht="15.75" customHeight="1">
      <c r="C832" s="475"/>
    </row>
    <row r="833" ht="15.75" customHeight="1">
      <c r="C833" s="475"/>
    </row>
    <row r="834" ht="15.75" customHeight="1">
      <c r="C834" s="475"/>
    </row>
    <row r="835" ht="15.75" customHeight="1">
      <c r="C835" s="475"/>
    </row>
    <row r="836" ht="15.75" customHeight="1">
      <c r="C836" s="475"/>
    </row>
    <row r="837" ht="15.75" customHeight="1">
      <c r="C837" s="475"/>
    </row>
    <row r="838" ht="15.75" customHeight="1">
      <c r="C838" s="475"/>
    </row>
    <row r="839" ht="15.75" customHeight="1">
      <c r="C839" s="475"/>
    </row>
    <row r="840" ht="15.75" customHeight="1">
      <c r="C840" s="475"/>
    </row>
    <row r="841" ht="15.75" customHeight="1">
      <c r="C841" s="475"/>
    </row>
    <row r="842" ht="15.75" customHeight="1">
      <c r="C842" s="475"/>
    </row>
    <row r="843" ht="15.75" customHeight="1">
      <c r="C843" s="475"/>
    </row>
    <row r="844" ht="15.75" customHeight="1">
      <c r="C844" s="475"/>
    </row>
    <row r="845" ht="15.75" customHeight="1">
      <c r="C845" s="475"/>
    </row>
    <row r="846" ht="15.75" customHeight="1">
      <c r="C846" s="475"/>
    </row>
    <row r="847" ht="15.75" customHeight="1">
      <c r="C847" s="475"/>
    </row>
    <row r="848" ht="15.75" customHeight="1">
      <c r="C848" s="475"/>
    </row>
    <row r="849" ht="15.75" customHeight="1">
      <c r="C849" s="475"/>
    </row>
    <row r="850" ht="15.75" customHeight="1">
      <c r="C850" s="475"/>
    </row>
    <row r="851" ht="15.75" customHeight="1">
      <c r="C851" s="475"/>
    </row>
    <row r="852" ht="15.75" customHeight="1">
      <c r="C852" s="475"/>
    </row>
    <row r="853" ht="15.75" customHeight="1">
      <c r="C853" s="475"/>
    </row>
    <row r="854" ht="15.75" customHeight="1">
      <c r="C854" s="475"/>
    </row>
    <row r="855" ht="15.75" customHeight="1">
      <c r="C855" s="475"/>
    </row>
    <row r="856" ht="15.75" customHeight="1">
      <c r="C856" s="475"/>
    </row>
    <row r="857" ht="15.75" customHeight="1">
      <c r="C857" s="475"/>
    </row>
    <row r="858" ht="15.75" customHeight="1">
      <c r="C858" s="475"/>
    </row>
    <row r="859" ht="15.75" customHeight="1">
      <c r="C859" s="475"/>
    </row>
    <row r="860" ht="15.75" customHeight="1">
      <c r="C860" s="475"/>
    </row>
    <row r="861" ht="15.75" customHeight="1">
      <c r="C861" s="475"/>
    </row>
    <row r="862" ht="15.75" customHeight="1">
      <c r="C862" s="475"/>
    </row>
    <row r="863" ht="15.75" customHeight="1">
      <c r="C863" s="475"/>
    </row>
    <row r="864" ht="15.75" customHeight="1">
      <c r="C864" s="475"/>
    </row>
    <row r="865" ht="15.75" customHeight="1">
      <c r="C865" s="475"/>
    </row>
    <row r="866" ht="15.75" customHeight="1">
      <c r="C866" s="475"/>
    </row>
    <row r="867" ht="15.75" customHeight="1">
      <c r="C867" s="475"/>
    </row>
    <row r="868" ht="15.75" customHeight="1">
      <c r="C868" s="475"/>
    </row>
    <row r="869" ht="15.75" customHeight="1">
      <c r="C869" s="475"/>
    </row>
    <row r="870" ht="15.75" customHeight="1">
      <c r="C870" s="475"/>
    </row>
    <row r="871" ht="15.75" customHeight="1">
      <c r="C871" s="475"/>
    </row>
    <row r="872" ht="15.75" customHeight="1">
      <c r="C872" s="475"/>
    </row>
    <row r="873" ht="15.75" customHeight="1">
      <c r="C873" s="475"/>
    </row>
    <row r="874" ht="15.75" customHeight="1">
      <c r="C874" s="475"/>
    </row>
    <row r="875" ht="15.75" customHeight="1">
      <c r="C875" s="475"/>
    </row>
    <row r="876" ht="15.75" customHeight="1">
      <c r="C876" s="475"/>
    </row>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2:E2"/>
    <mergeCell ref="F2:J2"/>
    <mergeCell ref="E20:E21"/>
    <mergeCell ref="J20:J21"/>
    <mergeCell ref="A103:E103"/>
    <mergeCell ref="F103:J103"/>
    <mergeCell ref="F211:J211"/>
    <mergeCell ref="A560:E560"/>
    <mergeCell ref="F560:J560"/>
    <mergeCell ref="I589:I591"/>
    <mergeCell ref="A211:E211"/>
    <mergeCell ref="A319:E319"/>
    <mergeCell ref="F319:J319"/>
    <mergeCell ref="I348:I350"/>
    <mergeCell ref="A439:E439"/>
    <mergeCell ref="F439:J439"/>
    <mergeCell ref="I468:I470"/>
  </mergeCell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5.38"/>
    <col customWidth="1" min="2" max="3" width="12.63"/>
    <col customWidth="1" min="4" max="4" width="25.38"/>
    <col customWidth="1" min="5" max="5" width="11.88"/>
    <col customWidth="1" min="6" max="6" width="11.63"/>
  </cols>
  <sheetData>
    <row r="1" ht="15.75" customHeight="1">
      <c r="A1" s="2127" t="s">
        <v>1717</v>
      </c>
      <c r="B1" s="2128" t="s">
        <v>1718</v>
      </c>
      <c r="C1" s="2129" t="s">
        <v>1719</v>
      </c>
      <c r="D1" s="2130" t="s">
        <v>1720</v>
      </c>
      <c r="E1" s="2131" t="s">
        <v>1721</v>
      </c>
      <c r="F1" s="2131" t="s">
        <v>1722</v>
      </c>
      <c r="G1" s="2131" t="s">
        <v>1723</v>
      </c>
      <c r="H1" s="2131" t="s">
        <v>1017</v>
      </c>
      <c r="I1" s="2131" t="s">
        <v>23</v>
      </c>
      <c r="J1" s="2131" t="s">
        <v>1724</v>
      </c>
      <c r="K1" s="2131" t="s">
        <v>1725</v>
      </c>
      <c r="L1" s="2132" t="s">
        <v>99</v>
      </c>
      <c r="M1" s="94" t="s">
        <v>146</v>
      </c>
      <c r="N1" s="94" t="s">
        <v>58</v>
      </c>
      <c r="O1" s="94" t="s">
        <v>1726</v>
      </c>
    </row>
    <row r="2" ht="15.75" customHeight="1">
      <c r="A2" s="6">
        <v>1.0</v>
      </c>
      <c r="B2" s="2133" t="s">
        <v>24</v>
      </c>
      <c r="C2" s="2134" t="s">
        <v>25</v>
      </c>
      <c r="D2" s="2135" t="s">
        <v>1727</v>
      </c>
      <c r="E2" s="2136">
        <v>45947.0</v>
      </c>
      <c r="F2" s="94" t="s">
        <v>1728</v>
      </c>
      <c r="G2" s="2137">
        <v>46677.0</v>
      </c>
      <c r="H2" s="94" t="b">
        <v>1</v>
      </c>
      <c r="I2" s="94" t="b">
        <v>1</v>
      </c>
      <c r="J2" s="94" t="b">
        <v>1</v>
      </c>
      <c r="K2" s="94" t="b">
        <v>0</v>
      </c>
      <c r="L2" s="2138" t="b">
        <v>0</v>
      </c>
      <c r="M2" s="94" t="b">
        <v>0</v>
      </c>
      <c r="N2" s="94" t="b">
        <v>0</v>
      </c>
      <c r="O2" s="94" t="b">
        <v>0</v>
      </c>
    </row>
    <row r="3" ht="15.75" customHeight="1">
      <c r="A3" s="6">
        <v>2.0</v>
      </c>
      <c r="B3" s="19" t="s">
        <v>29</v>
      </c>
      <c r="C3" s="2139" t="s">
        <v>25</v>
      </c>
      <c r="D3" s="2135" t="s">
        <v>1729</v>
      </c>
      <c r="E3" s="2140">
        <v>46012.0</v>
      </c>
      <c r="G3" s="2137">
        <v>37976.0</v>
      </c>
      <c r="H3" s="94" t="b">
        <v>1</v>
      </c>
      <c r="I3" s="94" t="b">
        <v>1</v>
      </c>
      <c r="J3" s="94" t="b">
        <v>1</v>
      </c>
      <c r="K3" s="94" t="b">
        <v>1</v>
      </c>
      <c r="L3" s="2138" t="b">
        <v>0</v>
      </c>
      <c r="M3" s="94" t="b">
        <v>1</v>
      </c>
      <c r="N3" s="94" t="b">
        <v>1</v>
      </c>
      <c r="O3" s="94" t="b">
        <v>1</v>
      </c>
    </row>
    <row r="4" ht="15.75" customHeight="1">
      <c r="A4" s="6">
        <v>3.0</v>
      </c>
      <c r="B4" s="19" t="s">
        <v>32</v>
      </c>
      <c r="C4" s="2139" t="s">
        <v>25</v>
      </c>
      <c r="D4" s="2135"/>
      <c r="E4" s="2141"/>
      <c r="H4" s="94" t="b">
        <v>0</v>
      </c>
      <c r="I4" s="94" t="b">
        <v>0</v>
      </c>
      <c r="J4" s="94" t="b">
        <v>0</v>
      </c>
      <c r="K4" s="94" t="b">
        <v>0</v>
      </c>
      <c r="L4" s="2138" t="b">
        <v>0</v>
      </c>
      <c r="M4" s="94" t="b">
        <v>0</v>
      </c>
      <c r="N4" s="94" t="b">
        <v>0</v>
      </c>
      <c r="O4" s="94" t="b">
        <v>0</v>
      </c>
    </row>
    <row r="5" ht="15.75" customHeight="1">
      <c r="A5" s="6">
        <v>4.0</v>
      </c>
      <c r="B5" s="22" t="s">
        <v>35</v>
      </c>
      <c r="C5" s="2139" t="s">
        <v>25</v>
      </c>
      <c r="D5" s="2135"/>
      <c r="E5" s="2141"/>
      <c r="H5" s="94" t="b">
        <v>0</v>
      </c>
      <c r="I5" s="94" t="b">
        <v>0</v>
      </c>
      <c r="J5" s="94" t="b">
        <v>0</v>
      </c>
      <c r="K5" s="94" t="b">
        <v>0</v>
      </c>
      <c r="L5" s="2138" t="b">
        <v>0</v>
      </c>
      <c r="M5" s="94" t="b">
        <v>0</v>
      </c>
      <c r="N5" s="94" t="b">
        <v>0</v>
      </c>
      <c r="O5" s="94" t="b">
        <v>0</v>
      </c>
    </row>
    <row r="6" ht="15.75" customHeight="1">
      <c r="A6" s="6">
        <v>5.0</v>
      </c>
      <c r="B6" s="50" t="s">
        <v>37</v>
      </c>
      <c r="C6" s="2139" t="s">
        <v>25</v>
      </c>
      <c r="D6" s="2135" t="s">
        <v>1730</v>
      </c>
      <c r="E6" s="2142">
        <v>45994.0</v>
      </c>
      <c r="F6" s="94">
        <v>2.51646712E8</v>
      </c>
      <c r="G6" s="1436">
        <v>47820.0</v>
      </c>
      <c r="H6" s="94" t="b">
        <v>1</v>
      </c>
      <c r="I6" s="94" t="b">
        <v>1</v>
      </c>
      <c r="J6" s="94" t="b">
        <v>1</v>
      </c>
      <c r="K6" s="94" t="b">
        <v>1</v>
      </c>
      <c r="L6" s="2138" t="b">
        <v>0</v>
      </c>
      <c r="M6" s="94" t="b">
        <v>0</v>
      </c>
      <c r="N6" s="94" t="b">
        <v>0</v>
      </c>
      <c r="O6" s="94" t="b">
        <v>0</v>
      </c>
    </row>
    <row r="7" ht="15.75" customHeight="1">
      <c r="A7" s="6">
        <v>6.0</v>
      </c>
      <c r="B7" s="19" t="s">
        <v>39</v>
      </c>
      <c r="C7" s="2139" t="s">
        <v>25</v>
      </c>
      <c r="D7" s="2135"/>
      <c r="E7" s="2141"/>
      <c r="H7" s="94" t="b">
        <v>0</v>
      </c>
      <c r="I7" s="94" t="b">
        <v>0</v>
      </c>
      <c r="J7" s="94" t="b">
        <v>0</v>
      </c>
      <c r="K7" s="94" t="b">
        <v>0</v>
      </c>
      <c r="L7" s="2138" t="b">
        <v>0</v>
      </c>
      <c r="M7" s="94" t="b">
        <v>0</v>
      </c>
      <c r="N7" s="94" t="b">
        <v>1</v>
      </c>
      <c r="O7" s="94" t="b">
        <v>1</v>
      </c>
    </row>
    <row r="8" ht="15.75" customHeight="1">
      <c r="A8" s="6">
        <v>7.0</v>
      </c>
      <c r="B8" s="19" t="s">
        <v>41</v>
      </c>
      <c r="C8" s="2139" t="s">
        <v>25</v>
      </c>
      <c r="D8" s="2135"/>
      <c r="E8" s="2141"/>
      <c r="H8" s="94" t="b">
        <v>0</v>
      </c>
      <c r="I8" s="94" t="b">
        <v>0</v>
      </c>
      <c r="J8" s="94" t="b">
        <v>0</v>
      </c>
      <c r="K8" s="94" t="b">
        <v>0</v>
      </c>
      <c r="L8" s="2138" t="b">
        <v>0</v>
      </c>
      <c r="M8" s="94" t="b">
        <v>0</v>
      </c>
      <c r="N8" s="94" t="b">
        <v>0</v>
      </c>
      <c r="O8" s="94" t="b">
        <v>0</v>
      </c>
    </row>
    <row r="9" ht="15.75" customHeight="1">
      <c r="A9" s="6">
        <v>8.0</v>
      </c>
      <c r="B9" s="19" t="s">
        <v>43</v>
      </c>
      <c r="C9" s="2139" t="s">
        <v>25</v>
      </c>
      <c r="D9" s="2135" t="s">
        <v>1731</v>
      </c>
      <c r="E9" s="2143">
        <v>45676.0</v>
      </c>
      <c r="F9" s="1437">
        <v>10977.0</v>
      </c>
      <c r="H9" s="94" t="b">
        <v>1</v>
      </c>
      <c r="I9" s="94" t="b">
        <v>1</v>
      </c>
      <c r="J9" s="94" t="b">
        <v>1</v>
      </c>
      <c r="K9" s="94" t="b">
        <v>1</v>
      </c>
      <c r="L9" s="2138" t="b">
        <v>0</v>
      </c>
      <c r="M9" s="94" t="b">
        <v>1</v>
      </c>
      <c r="N9" s="94" t="b">
        <v>1</v>
      </c>
      <c r="O9" s="94" t="b">
        <v>1</v>
      </c>
    </row>
    <row r="10" ht="15.75" customHeight="1">
      <c r="A10" s="6">
        <v>9.0</v>
      </c>
      <c r="B10" s="19" t="s">
        <v>45</v>
      </c>
      <c r="C10" s="2139" t="s">
        <v>25</v>
      </c>
      <c r="D10" s="2135" t="s">
        <v>1732</v>
      </c>
      <c r="E10" s="2136">
        <v>45943.0</v>
      </c>
      <c r="F10" s="94" t="s">
        <v>1733</v>
      </c>
      <c r="G10" s="2137">
        <v>11244.0</v>
      </c>
      <c r="H10" s="94" t="b">
        <v>0</v>
      </c>
      <c r="I10" s="94" t="b">
        <v>1</v>
      </c>
      <c r="J10" s="94" t="b">
        <v>1</v>
      </c>
      <c r="K10" s="94" t="b">
        <v>0</v>
      </c>
      <c r="L10" s="2138" t="b">
        <v>0</v>
      </c>
      <c r="M10" s="94" t="b">
        <v>0</v>
      </c>
      <c r="N10" s="94" t="b">
        <v>0</v>
      </c>
      <c r="O10" s="94" t="b">
        <v>0</v>
      </c>
    </row>
    <row r="11" ht="15.75" customHeight="1">
      <c r="A11" s="6">
        <v>10.0</v>
      </c>
      <c r="B11" s="19" t="s">
        <v>48</v>
      </c>
      <c r="C11" s="2139" t="s">
        <v>25</v>
      </c>
      <c r="D11" s="2135" t="s">
        <v>1734</v>
      </c>
      <c r="E11" s="2144">
        <v>45616.0</v>
      </c>
      <c r="F11" s="94" t="s">
        <v>327</v>
      </c>
      <c r="G11" s="1439">
        <v>46711.0</v>
      </c>
      <c r="H11" s="94" t="b">
        <v>1</v>
      </c>
      <c r="I11" s="94" t="b">
        <v>1</v>
      </c>
      <c r="J11" s="94" t="b">
        <v>1</v>
      </c>
      <c r="K11" s="94" t="b">
        <v>1</v>
      </c>
      <c r="L11" s="2138" t="b">
        <v>0</v>
      </c>
      <c r="M11" s="94" t="b">
        <v>0</v>
      </c>
      <c r="N11" s="94" t="b">
        <v>0</v>
      </c>
      <c r="O11" s="94" t="b">
        <v>0</v>
      </c>
    </row>
    <row r="12" ht="15.75" customHeight="1">
      <c r="A12" s="6">
        <v>11.0</v>
      </c>
      <c r="B12" s="19" t="s">
        <v>50</v>
      </c>
      <c r="C12" s="2139" t="s">
        <v>25</v>
      </c>
      <c r="D12" s="2135"/>
      <c r="E12" s="2141"/>
      <c r="H12" s="94" t="b">
        <v>0</v>
      </c>
      <c r="I12" s="94" t="b">
        <v>0</v>
      </c>
      <c r="J12" s="94" t="b">
        <v>0</v>
      </c>
      <c r="K12" s="94" t="b">
        <v>0</v>
      </c>
      <c r="L12" s="2138" t="b">
        <v>0</v>
      </c>
      <c r="M12" s="94" t="b">
        <v>0</v>
      </c>
      <c r="N12" s="94" t="b">
        <v>0</v>
      </c>
      <c r="O12" s="94" t="b">
        <v>0</v>
      </c>
    </row>
    <row r="13" ht="15.75" customHeight="1">
      <c r="A13" s="6">
        <v>12.0</v>
      </c>
      <c r="B13" s="19" t="s">
        <v>52</v>
      </c>
      <c r="C13" s="2139" t="s">
        <v>25</v>
      </c>
      <c r="D13" s="2135" t="s">
        <v>1735</v>
      </c>
      <c r="E13" s="2144">
        <v>46017.0</v>
      </c>
      <c r="F13" s="94">
        <v>2.51764879E8</v>
      </c>
      <c r="G13" s="1439">
        <v>47843.0</v>
      </c>
      <c r="H13" s="94" t="b">
        <v>1</v>
      </c>
      <c r="I13" s="94" t="b">
        <v>1</v>
      </c>
      <c r="J13" s="94" t="b">
        <v>1</v>
      </c>
      <c r="K13" s="94" t="b">
        <v>1</v>
      </c>
      <c r="L13" s="2138" t="b">
        <v>0</v>
      </c>
      <c r="M13" s="94" t="b">
        <v>1</v>
      </c>
      <c r="N13" s="94" t="b">
        <v>1</v>
      </c>
      <c r="O13" s="94" t="b">
        <v>1</v>
      </c>
    </row>
    <row r="14" ht="15.75" customHeight="1">
      <c r="A14" s="6">
        <v>13.0</v>
      </c>
      <c r="B14" s="19" t="s">
        <v>54</v>
      </c>
      <c r="C14" s="2139" t="s">
        <v>25</v>
      </c>
      <c r="D14" s="2135" t="s">
        <v>1736</v>
      </c>
      <c r="E14" s="2142">
        <v>45999.0</v>
      </c>
      <c r="F14" s="94" t="s">
        <v>1737</v>
      </c>
      <c r="G14" s="1436">
        <v>47825.0</v>
      </c>
      <c r="H14" s="94" t="b">
        <v>1</v>
      </c>
      <c r="I14" s="94" t="b">
        <v>1</v>
      </c>
      <c r="J14" s="94" t="b">
        <v>1</v>
      </c>
      <c r="K14" s="94" t="b">
        <v>0</v>
      </c>
      <c r="L14" s="2138" t="b">
        <v>0</v>
      </c>
      <c r="M14" s="94" t="b">
        <v>0</v>
      </c>
      <c r="N14" s="94" t="b">
        <v>0</v>
      </c>
      <c r="O14" s="94" t="b">
        <v>0</v>
      </c>
    </row>
    <row r="15" ht="15.75" customHeight="1">
      <c r="A15" s="6">
        <v>14.0</v>
      </c>
      <c r="B15" s="19" t="s">
        <v>56</v>
      </c>
      <c r="C15" s="2139" t="s">
        <v>25</v>
      </c>
      <c r="D15" s="2135"/>
      <c r="E15" s="2141"/>
      <c r="H15" s="94" t="b">
        <v>0</v>
      </c>
      <c r="I15" s="94" t="b">
        <v>0</v>
      </c>
      <c r="J15" s="94" t="b">
        <v>0</v>
      </c>
      <c r="K15" s="94" t="b">
        <v>0</v>
      </c>
      <c r="L15" s="2138" t="b">
        <v>0</v>
      </c>
      <c r="M15" s="94" t="b">
        <v>0</v>
      </c>
      <c r="N15" s="94" t="b">
        <v>0</v>
      </c>
      <c r="O15" s="94" t="b">
        <v>0</v>
      </c>
    </row>
    <row r="16" ht="15.75" customHeight="1">
      <c r="A16" s="6">
        <v>15.0</v>
      </c>
      <c r="B16" s="22" t="s">
        <v>59</v>
      </c>
      <c r="C16" s="2139" t="s">
        <v>60</v>
      </c>
      <c r="D16" s="2135"/>
      <c r="E16" s="2141"/>
      <c r="H16" s="94" t="b">
        <v>0</v>
      </c>
      <c r="I16" s="94" t="b">
        <v>0</v>
      </c>
      <c r="J16" s="94" t="b">
        <v>0</v>
      </c>
      <c r="K16" s="94" t="b">
        <v>0</v>
      </c>
      <c r="L16" s="2138" t="b">
        <v>0</v>
      </c>
      <c r="M16" s="94" t="b">
        <v>0</v>
      </c>
      <c r="N16" s="94" t="b">
        <v>0</v>
      </c>
      <c r="O16" s="94" t="b">
        <v>0</v>
      </c>
    </row>
    <row r="17" ht="15.75" customHeight="1">
      <c r="A17" s="6">
        <v>16.0</v>
      </c>
      <c r="B17" s="2145" t="s">
        <v>62</v>
      </c>
      <c r="C17" s="2139" t="s">
        <v>60</v>
      </c>
      <c r="D17" s="2135"/>
      <c r="E17" s="2141"/>
      <c r="H17" s="94" t="b">
        <v>0</v>
      </c>
      <c r="I17" s="94" t="b">
        <v>0</v>
      </c>
      <c r="J17" s="94" t="b">
        <v>0</v>
      </c>
      <c r="K17" s="94" t="b">
        <v>0</v>
      </c>
      <c r="L17" s="2138" t="b">
        <v>0</v>
      </c>
      <c r="M17" s="94" t="b">
        <v>0</v>
      </c>
      <c r="N17" s="94" t="b">
        <v>0</v>
      </c>
      <c r="O17" s="94" t="b">
        <v>0</v>
      </c>
    </row>
    <row r="18" ht="15.75" customHeight="1">
      <c r="A18" s="6">
        <v>17.0</v>
      </c>
      <c r="B18" s="2146" t="s">
        <v>64</v>
      </c>
      <c r="C18" s="2139" t="s">
        <v>65</v>
      </c>
      <c r="D18" s="2135"/>
      <c r="E18" s="2141"/>
      <c r="H18" s="94" t="b">
        <v>0</v>
      </c>
      <c r="I18" s="94" t="b">
        <v>0</v>
      </c>
      <c r="J18" s="94" t="b">
        <v>0</v>
      </c>
      <c r="K18" s="94" t="b">
        <v>0</v>
      </c>
      <c r="L18" s="2138" t="b">
        <v>0</v>
      </c>
      <c r="M18" s="94" t="b">
        <v>0</v>
      </c>
      <c r="N18" s="94" t="b">
        <v>0</v>
      </c>
      <c r="O18" s="94" t="b">
        <v>0</v>
      </c>
    </row>
    <row r="19" ht="15.75" customHeight="1">
      <c r="A19" s="6">
        <v>18.0</v>
      </c>
      <c r="B19" s="1262" t="s">
        <v>67</v>
      </c>
      <c r="C19" s="2147" t="s">
        <v>68</v>
      </c>
      <c r="D19" s="2135"/>
      <c r="E19" s="2141"/>
      <c r="H19" s="94" t="b">
        <v>0</v>
      </c>
      <c r="I19" s="94" t="b">
        <v>0</v>
      </c>
      <c r="J19" s="94" t="b">
        <v>0</v>
      </c>
      <c r="K19" s="94" t="b">
        <v>0</v>
      </c>
      <c r="L19" s="2138" t="b">
        <v>0</v>
      </c>
      <c r="M19" s="94" t="b">
        <v>0</v>
      </c>
      <c r="N19" s="94" t="b">
        <v>0</v>
      </c>
      <c r="O19" s="94" t="b">
        <v>0</v>
      </c>
    </row>
    <row r="20" ht="15.75" customHeight="1">
      <c r="A20" s="6">
        <v>19.0</v>
      </c>
      <c r="B20" s="1262" t="s">
        <v>70</v>
      </c>
      <c r="C20" s="2147" t="s">
        <v>71</v>
      </c>
      <c r="D20" s="2135" t="s">
        <v>1738</v>
      </c>
      <c r="E20" s="2142">
        <v>45965.0</v>
      </c>
      <c r="F20" s="94">
        <v>2.51503206E8</v>
      </c>
      <c r="G20" s="1436">
        <v>47791.0</v>
      </c>
      <c r="H20" s="94" t="b">
        <v>1</v>
      </c>
      <c r="I20" s="94" t="b">
        <v>1</v>
      </c>
      <c r="J20" s="94" t="b">
        <v>1</v>
      </c>
      <c r="K20" s="94" t="b">
        <v>0</v>
      </c>
      <c r="L20" s="2138" t="b">
        <v>0</v>
      </c>
      <c r="M20" s="94" t="b">
        <v>0</v>
      </c>
      <c r="N20" s="94" t="b">
        <v>0</v>
      </c>
      <c r="O20" s="94" t="b">
        <v>0</v>
      </c>
    </row>
    <row r="21" ht="15.75" customHeight="1">
      <c r="A21" s="6">
        <v>20.0</v>
      </c>
      <c r="B21" s="1262" t="s">
        <v>73</v>
      </c>
      <c r="C21" s="2147" t="s">
        <v>71</v>
      </c>
      <c r="D21" s="236"/>
      <c r="E21" s="2148"/>
      <c r="H21" s="94" t="b">
        <v>0</v>
      </c>
      <c r="I21" s="94" t="b">
        <v>0</v>
      </c>
      <c r="J21" s="94" t="b">
        <v>0</v>
      </c>
      <c r="K21" s="94" t="b">
        <v>0</v>
      </c>
      <c r="L21" s="2138" t="b">
        <v>0</v>
      </c>
      <c r="M21" s="94" t="b">
        <v>0</v>
      </c>
      <c r="N21" s="94" t="b">
        <v>0</v>
      </c>
      <c r="O21" s="94" t="b">
        <v>0</v>
      </c>
    </row>
    <row r="22" ht="15.75" customHeight="1">
      <c r="A22" s="6">
        <v>21.0</v>
      </c>
      <c r="B22" s="1262" t="s">
        <v>75</v>
      </c>
      <c r="C22" s="2147" t="s">
        <v>71</v>
      </c>
      <c r="D22" s="236"/>
      <c r="E22" s="2148"/>
      <c r="H22" s="94" t="b">
        <v>0</v>
      </c>
      <c r="I22" s="94" t="b">
        <v>0</v>
      </c>
      <c r="J22" s="94" t="b">
        <v>0</v>
      </c>
      <c r="K22" s="94" t="b">
        <v>0</v>
      </c>
      <c r="L22" s="2138" t="b">
        <v>0</v>
      </c>
      <c r="M22" s="94" t="b">
        <v>0</v>
      </c>
      <c r="N22" s="94" t="b">
        <v>0</v>
      </c>
      <c r="O22" s="94" t="b">
        <v>0</v>
      </c>
    </row>
    <row r="23" ht="15.75" customHeight="1">
      <c r="A23" s="6">
        <v>22.0</v>
      </c>
      <c r="B23" s="1262" t="s">
        <v>1699</v>
      </c>
      <c r="C23" s="2147" t="s">
        <v>60</v>
      </c>
      <c r="D23" s="2135"/>
      <c r="E23" s="2141"/>
      <c r="H23" s="94" t="b">
        <v>0</v>
      </c>
      <c r="I23" s="94" t="b">
        <v>0</v>
      </c>
      <c r="J23" s="94" t="b">
        <v>0</v>
      </c>
      <c r="K23" s="94" t="b">
        <v>0</v>
      </c>
      <c r="L23" s="2138" t="b">
        <v>0</v>
      </c>
      <c r="M23" s="94" t="b">
        <v>0</v>
      </c>
      <c r="N23" s="94" t="b">
        <v>0</v>
      </c>
      <c r="O23" s="94" t="b">
        <v>0</v>
      </c>
    </row>
    <row r="24" ht="15.75" customHeight="1">
      <c r="A24" s="6">
        <v>23.0</v>
      </c>
      <c r="B24" s="1262" t="s">
        <v>1701</v>
      </c>
      <c r="C24" s="2147" t="s">
        <v>60</v>
      </c>
      <c r="D24" s="2135"/>
      <c r="E24" s="2141"/>
      <c r="H24" s="94" t="b">
        <v>0</v>
      </c>
      <c r="I24" s="94" t="b">
        <v>0</v>
      </c>
      <c r="J24" s="94" t="b">
        <v>0</v>
      </c>
      <c r="K24" s="94" t="b">
        <v>0</v>
      </c>
      <c r="L24" s="2138" t="b">
        <v>0</v>
      </c>
      <c r="M24" s="94" t="b">
        <v>0</v>
      </c>
      <c r="N24" s="94" t="b">
        <v>0</v>
      </c>
      <c r="O24" s="94" t="b">
        <v>0</v>
      </c>
    </row>
    <row r="25" ht="15.75" customHeight="1">
      <c r="A25" s="6">
        <v>24.0</v>
      </c>
      <c r="B25" s="1262" t="s">
        <v>1702</v>
      </c>
      <c r="C25" s="2147" t="s">
        <v>60</v>
      </c>
      <c r="D25" s="2135" t="s">
        <v>1739</v>
      </c>
      <c r="E25" s="2136">
        <v>45987.0</v>
      </c>
      <c r="F25" s="94">
        <v>2.51612424E8</v>
      </c>
      <c r="G25" s="2137">
        <v>11288.0</v>
      </c>
      <c r="H25" s="94" t="b">
        <v>1</v>
      </c>
      <c r="I25" s="94" t="b">
        <v>1</v>
      </c>
      <c r="J25" s="94" t="b">
        <v>1</v>
      </c>
      <c r="K25" s="94" t="b">
        <v>1</v>
      </c>
      <c r="L25" s="2138" t="b">
        <v>0</v>
      </c>
      <c r="M25" s="94" t="b">
        <v>0</v>
      </c>
      <c r="N25" s="94" t="b">
        <v>0</v>
      </c>
      <c r="O25" s="94" t="b">
        <v>0</v>
      </c>
    </row>
    <row r="26" ht="15.75" customHeight="1">
      <c r="A26" s="6">
        <v>25.0</v>
      </c>
      <c r="B26" s="1262" t="s">
        <v>1501</v>
      </c>
      <c r="C26" s="2147" t="s">
        <v>60</v>
      </c>
      <c r="D26" s="2135" t="s">
        <v>1740</v>
      </c>
      <c r="E26" s="2136">
        <v>45987.0</v>
      </c>
      <c r="F26" s="94">
        <v>2.51612813E8</v>
      </c>
      <c r="G26" s="2137">
        <v>11288.0</v>
      </c>
      <c r="H26" s="94" t="b">
        <v>1</v>
      </c>
      <c r="I26" s="94" t="b">
        <v>1</v>
      </c>
      <c r="J26" s="94" t="b">
        <v>1</v>
      </c>
      <c r="K26" s="94" t="b">
        <v>1</v>
      </c>
      <c r="L26" s="2138" t="b">
        <v>0</v>
      </c>
      <c r="M26" s="94" t="b">
        <v>0</v>
      </c>
      <c r="N26" s="94" t="b">
        <v>0</v>
      </c>
      <c r="O26" s="94" t="b">
        <v>0</v>
      </c>
    </row>
    <row r="27" ht="15.75" customHeight="1">
      <c r="A27" s="6">
        <v>26.0</v>
      </c>
      <c r="B27" s="1262" t="s">
        <v>1704</v>
      </c>
      <c r="C27" s="2147" t="s">
        <v>60</v>
      </c>
      <c r="D27" s="2135" t="s">
        <v>1741</v>
      </c>
      <c r="E27" s="2136">
        <v>45987.0</v>
      </c>
      <c r="F27" s="94">
        <v>2.51612649E8</v>
      </c>
      <c r="G27" s="2137">
        <v>11288.0</v>
      </c>
      <c r="H27" s="94" t="b">
        <v>1</v>
      </c>
      <c r="I27" s="94" t="b">
        <v>1</v>
      </c>
      <c r="J27" s="94" t="b">
        <v>1</v>
      </c>
      <c r="K27" s="94" t="b">
        <v>1</v>
      </c>
      <c r="L27" s="2138" t="b">
        <v>0</v>
      </c>
      <c r="M27" s="94" t="b">
        <v>0</v>
      </c>
      <c r="N27" s="94" t="b">
        <v>0</v>
      </c>
      <c r="O27" s="94" t="b">
        <v>0</v>
      </c>
    </row>
    <row r="28" ht="15.75" customHeight="1">
      <c r="A28" s="6">
        <v>27.0</v>
      </c>
      <c r="B28" s="1262" t="s">
        <v>1705</v>
      </c>
      <c r="C28" s="2147" t="s">
        <v>60</v>
      </c>
      <c r="D28" s="2135"/>
      <c r="E28" s="2141"/>
      <c r="H28" s="94" t="b">
        <v>0</v>
      </c>
      <c r="I28" s="94" t="b">
        <v>0</v>
      </c>
      <c r="J28" s="94" t="b">
        <v>0</v>
      </c>
      <c r="K28" s="94" t="b">
        <v>0</v>
      </c>
      <c r="L28" s="2138" t="b">
        <v>0</v>
      </c>
      <c r="M28" s="94" t="b">
        <v>0</v>
      </c>
      <c r="N28" s="94" t="b">
        <v>0</v>
      </c>
      <c r="O28" s="94" t="b">
        <v>0</v>
      </c>
    </row>
    <row r="29" ht="15.75" customHeight="1">
      <c r="A29" s="6">
        <v>28.0</v>
      </c>
      <c r="B29" s="1262" t="s">
        <v>1708</v>
      </c>
      <c r="C29" s="2147" t="s">
        <v>60</v>
      </c>
      <c r="D29" s="2135"/>
      <c r="E29" s="2141"/>
      <c r="H29" s="94" t="b">
        <v>0</v>
      </c>
      <c r="I29" s="94" t="b">
        <v>0</v>
      </c>
      <c r="J29" s="94" t="b">
        <v>0</v>
      </c>
      <c r="K29" s="94" t="b">
        <v>0</v>
      </c>
      <c r="L29" s="2138" t="b">
        <v>0</v>
      </c>
      <c r="M29" s="94" t="b">
        <v>0</v>
      </c>
      <c r="N29" s="94" t="b">
        <v>0</v>
      </c>
      <c r="O29" s="94" t="b">
        <v>0</v>
      </c>
    </row>
    <row r="30" ht="15.75" customHeight="1">
      <c r="A30" s="6">
        <v>29.0</v>
      </c>
      <c r="B30" s="2149" t="s">
        <v>1742</v>
      </c>
      <c r="C30" s="2150" t="s">
        <v>60</v>
      </c>
      <c r="D30" s="2135"/>
      <c r="E30" s="2141"/>
      <c r="H30" s="94" t="b">
        <v>0</v>
      </c>
      <c r="I30" s="94" t="b">
        <v>0</v>
      </c>
      <c r="J30" s="94" t="b">
        <v>0</v>
      </c>
      <c r="K30" s="94" t="b">
        <v>0</v>
      </c>
      <c r="L30" s="2138" t="b">
        <v>0</v>
      </c>
      <c r="M30" s="94" t="b">
        <v>0</v>
      </c>
      <c r="N30" s="94" t="b">
        <v>0</v>
      </c>
      <c r="O30" s="94" t="b">
        <v>0</v>
      </c>
    </row>
    <row r="31" ht="15.75" customHeight="1">
      <c r="A31" s="6">
        <v>30.0</v>
      </c>
      <c r="B31" s="37" t="s">
        <v>100</v>
      </c>
      <c r="C31" s="2134" t="s">
        <v>101</v>
      </c>
      <c r="D31" s="2135"/>
      <c r="E31" s="2141"/>
      <c r="H31" s="94" t="b">
        <v>0</v>
      </c>
      <c r="I31" s="94" t="b">
        <v>0</v>
      </c>
      <c r="J31" s="94" t="b">
        <v>0</v>
      </c>
      <c r="K31" s="94" t="b">
        <v>0</v>
      </c>
      <c r="L31" s="2138" t="b">
        <v>0</v>
      </c>
      <c r="M31" s="94" t="b">
        <v>0</v>
      </c>
      <c r="N31" s="94" t="b">
        <v>0</v>
      </c>
      <c r="O31" s="94" t="b">
        <v>0</v>
      </c>
    </row>
    <row r="32" ht="15.75" customHeight="1">
      <c r="A32" s="6">
        <v>31.0</v>
      </c>
      <c r="B32" s="41" t="s">
        <v>104</v>
      </c>
      <c r="C32" s="2139" t="s">
        <v>101</v>
      </c>
      <c r="D32" s="2135"/>
      <c r="E32" s="2141"/>
      <c r="H32" s="94" t="b">
        <v>0</v>
      </c>
      <c r="I32" s="94" t="b">
        <v>0</v>
      </c>
      <c r="J32" s="94" t="b">
        <v>0</v>
      </c>
      <c r="K32" s="94" t="b">
        <v>0</v>
      </c>
      <c r="L32" s="2138" t="b">
        <v>0</v>
      </c>
      <c r="M32" s="94" t="b">
        <v>0</v>
      </c>
      <c r="N32" s="94" t="b">
        <v>0</v>
      </c>
      <c r="O32" s="94" t="b">
        <v>0</v>
      </c>
    </row>
    <row r="33" ht="15.75" customHeight="1">
      <c r="A33" s="6">
        <v>32.0</v>
      </c>
      <c r="B33" s="41" t="s">
        <v>106</v>
      </c>
      <c r="C33" s="2139" t="s">
        <v>101</v>
      </c>
      <c r="D33" s="2135" t="s">
        <v>1743</v>
      </c>
      <c r="E33" s="2143">
        <v>45189.0</v>
      </c>
      <c r="F33" s="94">
        <v>2.31323565E8</v>
      </c>
      <c r="G33" s="2151">
        <v>46285.0</v>
      </c>
      <c r="H33" s="94" t="b">
        <v>0</v>
      </c>
      <c r="I33" s="94" t="b">
        <v>1</v>
      </c>
      <c r="J33" s="94" t="b">
        <v>0</v>
      </c>
      <c r="K33" s="94" t="b">
        <v>0</v>
      </c>
      <c r="L33" s="2138" t="b">
        <v>0</v>
      </c>
      <c r="M33" s="94" t="b">
        <v>0</v>
      </c>
      <c r="N33" s="94" t="b">
        <v>0</v>
      </c>
      <c r="O33" s="94" t="b">
        <v>0</v>
      </c>
    </row>
    <row r="34" ht="15.75" customHeight="1">
      <c r="A34" s="6">
        <v>33.0</v>
      </c>
      <c r="B34" s="41" t="s">
        <v>108</v>
      </c>
      <c r="C34" s="2139" t="s">
        <v>101</v>
      </c>
      <c r="D34" s="2135" t="s">
        <v>1744</v>
      </c>
      <c r="E34" s="2143">
        <v>45204.0</v>
      </c>
      <c r="F34" s="94">
        <v>2.31400513E8</v>
      </c>
      <c r="G34" s="2151">
        <v>46300.0</v>
      </c>
      <c r="H34" s="94" t="b">
        <v>0</v>
      </c>
      <c r="I34" s="94" t="b">
        <v>1</v>
      </c>
      <c r="J34" s="94" t="b">
        <v>0</v>
      </c>
      <c r="K34" s="94" t="b">
        <v>0</v>
      </c>
      <c r="L34" s="2138" t="b">
        <v>0</v>
      </c>
      <c r="M34" s="94" t="b">
        <v>0</v>
      </c>
      <c r="N34" s="94" t="b">
        <v>0</v>
      </c>
      <c r="O34" s="94" t="b">
        <v>0</v>
      </c>
    </row>
    <row r="35" ht="15.75" customHeight="1">
      <c r="A35" s="6">
        <v>34.0</v>
      </c>
      <c r="B35" s="41" t="s">
        <v>110</v>
      </c>
      <c r="C35" s="2139" t="s">
        <v>101</v>
      </c>
      <c r="D35" s="2135" t="s">
        <v>1745</v>
      </c>
      <c r="E35" s="2136">
        <v>45946.0</v>
      </c>
      <c r="F35" s="94" t="s">
        <v>327</v>
      </c>
      <c r="G35" s="2137">
        <v>47042.0</v>
      </c>
      <c r="H35" s="94" t="b">
        <v>1</v>
      </c>
      <c r="I35" s="94" t="b">
        <v>1</v>
      </c>
      <c r="J35" s="94" t="b">
        <v>1</v>
      </c>
      <c r="K35" s="94" t="b">
        <v>0</v>
      </c>
      <c r="L35" s="2138" t="b">
        <v>0</v>
      </c>
      <c r="M35" s="94" t="b">
        <v>0</v>
      </c>
      <c r="N35" s="94" t="b">
        <v>0</v>
      </c>
      <c r="O35" s="94" t="b">
        <v>0</v>
      </c>
    </row>
    <row r="36" ht="15.75" customHeight="1">
      <c r="A36" s="6">
        <v>35.0</v>
      </c>
      <c r="B36" s="41" t="s">
        <v>111</v>
      </c>
      <c r="C36" s="2139" t="s">
        <v>101</v>
      </c>
      <c r="D36" s="2135" t="s">
        <v>1746</v>
      </c>
      <c r="E36" s="2144">
        <v>45961.0</v>
      </c>
      <c r="F36" s="94" t="s">
        <v>327</v>
      </c>
      <c r="G36" s="1439">
        <v>47057.0</v>
      </c>
      <c r="H36" s="94" t="b">
        <v>0</v>
      </c>
      <c r="I36" s="94" t="b">
        <v>0</v>
      </c>
      <c r="J36" s="94" t="b">
        <v>1</v>
      </c>
      <c r="K36" s="94" t="b">
        <v>0</v>
      </c>
      <c r="L36" s="2138" t="b">
        <v>0</v>
      </c>
      <c r="M36" s="94" t="b">
        <v>0</v>
      </c>
      <c r="N36" s="94" t="b">
        <v>0</v>
      </c>
      <c r="O36" s="94" t="b">
        <v>0</v>
      </c>
    </row>
    <row r="37" ht="15.75" customHeight="1">
      <c r="A37" s="6">
        <v>36.0</v>
      </c>
      <c r="B37" s="41" t="s">
        <v>113</v>
      </c>
      <c r="C37" s="2139" t="s">
        <v>101</v>
      </c>
      <c r="D37" s="2135" t="s">
        <v>1747</v>
      </c>
      <c r="E37" s="2143">
        <v>45147.0</v>
      </c>
      <c r="F37" s="94">
        <v>2.31077405E8</v>
      </c>
      <c r="G37" s="2152">
        <v>46243.0</v>
      </c>
      <c r="H37" s="94" t="b">
        <v>0</v>
      </c>
      <c r="I37" s="94" t="b">
        <v>1</v>
      </c>
      <c r="J37" s="94" t="b">
        <v>0</v>
      </c>
      <c r="K37" s="94" t="b">
        <v>0</v>
      </c>
      <c r="L37" s="2138" t="b">
        <v>0</v>
      </c>
      <c r="M37" s="94" t="b">
        <v>0</v>
      </c>
      <c r="N37" s="94" t="b">
        <v>0</v>
      </c>
      <c r="O37" s="94" t="b">
        <v>0</v>
      </c>
    </row>
    <row r="38" ht="15.75" customHeight="1">
      <c r="A38" s="6">
        <v>37.0</v>
      </c>
      <c r="B38" s="41" t="s">
        <v>115</v>
      </c>
      <c r="C38" s="2139" t="s">
        <v>101</v>
      </c>
      <c r="D38" s="2135" t="s">
        <v>1748</v>
      </c>
      <c r="E38" s="2144">
        <v>46003.0</v>
      </c>
      <c r="F38" s="94" t="s">
        <v>1749</v>
      </c>
      <c r="G38" s="1439">
        <v>47829.0</v>
      </c>
      <c r="H38" s="94" t="b">
        <v>1</v>
      </c>
      <c r="I38" s="94" t="b">
        <v>1</v>
      </c>
      <c r="J38" s="94" t="b">
        <v>1</v>
      </c>
      <c r="K38" s="94" t="b">
        <v>1</v>
      </c>
      <c r="L38" s="2138" t="b">
        <v>0</v>
      </c>
      <c r="M38" s="94" t="b">
        <v>0</v>
      </c>
      <c r="N38" s="94" t="b">
        <v>0</v>
      </c>
      <c r="O38" s="94" t="b">
        <v>0</v>
      </c>
    </row>
    <row r="39" ht="15.75" customHeight="1">
      <c r="A39" s="6">
        <v>38.0</v>
      </c>
      <c r="B39" s="41" t="s">
        <v>117</v>
      </c>
      <c r="C39" s="2139" t="s">
        <v>101</v>
      </c>
      <c r="D39" s="2135" t="s">
        <v>1750</v>
      </c>
      <c r="E39" s="2142">
        <v>45600.0</v>
      </c>
      <c r="F39" s="94">
        <v>2.41468785E8</v>
      </c>
      <c r="G39" s="1436">
        <v>46695.0</v>
      </c>
      <c r="H39" s="94" t="b">
        <v>1</v>
      </c>
      <c r="I39" s="94" t="b">
        <v>1</v>
      </c>
      <c r="J39" s="94" t="b">
        <v>1</v>
      </c>
      <c r="K39" s="94" t="b">
        <v>1</v>
      </c>
      <c r="L39" s="2138" t="b">
        <v>0</v>
      </c>
      <c r="M39" s="94" t="b">
        <v>0</v>
      </c>
      <c r="N39" s="94" t="b">
        <v>0</v>
      </c>
      <c r="O39" s="94" t="b">
        <v>0</v>
      </c>
    </row>
    <row r="40" ht="15.75" customHeight="1">
      <c r="A40" s="6">
        <v>39.0</v>
      </c>
      <c r="B40" s="41" t="s">
        <v>119</v>
      </c>
      <c r="C40" s="2139" t="s">
        <v>101</v>
      </c>
      <c r="D40" s="2135"/>
      <c r="E40" s="2141"/>
      <c r="H40" s="94" t="b">
        <v>0</v>
      </c>
      <c r="I40" s="94" t="b">
        <v>0</v>
      </c>
      <c r="J40" s="94" t="b">
        <v>0</v>
      </c>
      <c r="K40" s="94" t="b">
        <v>0</v>
      </c>
      <c r="L40" s="2138" t="b">
        <v>0</v>
      </c>
      <c r="M40" s="94" t="b">
        <v>0</v>
      </c>
      <c r="N40" s="94" t="b">
        <v>0</v>
      </c>
      <c r="O40" s="94" t="b">
        <v>0</v>
      </c>
    </row>
    <row r="41" ht="15.75" customHeight="1">
      <c r="A41" s="6">
        <v>40.0</v>
      </c>
      <c r="B41" s="41" t="s">
        <v>121</v>
      </c>
      <c r="C41" s="2139" t="s">
        <v>101</v>
      </c>
      <c r="D41" s="2135" t="s">
        <v>1751</v>
      </c>
      <c r="E41" s="2143">
        <v>45827.0</v>
      </c>
      <c r="F41" s="94">
        <v>2.50752939E8</v>
      </c>
      <c r="G41" s="1437">
        <v>46923.0</v>
      </c>
      <c r="H41" s="94" t="b">
        <v>1</v>
      </c>
      <c r="I41" s="94" t="b">
        <v>1</v>
      </c>
      <c r="J41" s="94" t="b">
        <v>1</v>
      </c>
      <c r="K41" s="94" t="b">
        <v>0</v>
      </c>
      <c r="L41" s="2138" t="b">
        <v>1</v>
      </c>
      <c r="M41" s="94" t="b">
        <v>0</v>
      </c>
      <c r="N41" s="94" t="b">
        <v>0</v>
      </c>
      <c r="O41" s="94" t="b">
        <v>0</v>
      </c>
    </row>
    <row r="42" ht="15.75" customHeight="1">
      <c r="A42" s="6">
        <v>41.0</v>
      </c>
      <c r="B42" s="45" t="s">
        <v>124</v>
      </c>
      <c r="C42" s="2139" t="s">
        <v>125</v>
      </c>
      <c r="D42" s="2135"/>
      <c r="E42" s="2136"/>
      <c r="H42" s="94" t="b">
        <v>0</v>
      </c>
      <c r="I42" s="94" t="b">
        <v>0</v>
      </c>
      <c r="J42" s="94" t="b">
        <v>0</v>
      </c>
      <c r="K42" s="94" t="b">
        <v>0</v>
      </c>
      <c r="L42" s="2138" t="b">
        <v>0</v>
      </c>
      <c r="M42" s="94" t="b">
        <v>0</v>
      </c>
      <c r="N42" s="94" t="b">
        <v>0</v>
      </c>
      <c r="O42" s="94" t="b">
        <v>0</v>
      </c>
    </row>
    <row r="43" ht="15.75" customHeight="1">
      <c r="A43" s="6">
        <v>42.0</v>
      </c>
      <c r="B43" s="47" t="s">
        <v>127</v>
      </c>
      <c r="C43" s="2139" t="s">
        <v>125</v>
      </c>
      <c r="D43" s="2135"/>
      <c r="E43" s="2141"/>
      <c r="H43" s="94" t="b">
        <v>1</v>
      </c>
      <c r="I43" s="94" t="b">
        <v>0</v>
      </c>
      <c r="J43" s="94" t="b">
        <v>0</v>
      </c>
      <c r="K43" s="94" t="b">
        <v>0</v>
      </c>
      <c r="L43" s="2138" t="b">
        <v>0</v>
      </c>
      <c r="M43" s="94" t="b">
        <v>0</v>
      </c>
      <c r="N43" s="94" t="b">
        <v>0</v>
      </c>
      <c r="O43" s="94" t="b">
        <v>0</v>
      </c>
    </row>
    <row r="44" ht="15.75" customHeight="1">
      <c r="A44" s="6">
        <v>43.0</v>
      </c>
      <c r="B44" s="47" t="s">
        <v>129</v>
      </c>
      <c r="C44" s="2139" t="s">
        <v>125</v>
      </c>
      <c r="D44" s="2135" t="s">
        <v>1752</v>
      </c>
      <c r="E44" s="2136">
        <v>45947.0</v>
      </c>
      <c r="F44" s="94" t="s">
        <v>1753</v>
      </c>
      <c r="G44" s="2153">
        <v>46039.0</v>
      </c>
      <c r="H44" s="94" t="b">
        <v>1</v>
      </c>
      <c r="I44" s="94" t="b">
        <v>1</v>
      </c>
      <c r="J44" s="94" t="b">
        <v>1</v>
      </c>
      <c r="K44" s="94" t="b">
        <v>0</v>
      </c>
      <c r="L44" s="2138" t="b">
        <v>0</v>
      </c>
      <c r="M44" s="94" t="b">
        <v>0</v>
      </c>
      <c r="N44" s="94" t="b">
        <v>0</v>
      </c>
      <c r="O44" s="94" t="b">
        <v>0</v>
      </c>
    </row>
    <row r="45" ht="15.75" customHeight="1">
      <c r="A45" s="6">
        <v>44.0</v>
      </c>
      <c r="B45" s="47" t="s">
        <v>131</v>
      </c>
      <c r="C45" s="2139" t="s">
        <v>125</v>
      </c>
      <c r="D45" s="2135"/>
      <c r="E45" s="2141"/>
      <c r="H45" s="94" t="b">
        <v>0</v>
      </c>
      <c r="I45" s="94" t="b">
        <v>0</v>
      </c>
      <c r="J45" s="94" t="b">
        <v>0</v>
      </c>
      <c r="K45" s="94" t="b">
        <v>0</v>
      </c>
      <c r="L45" s="2138" t="b">
        <v>0</v>
      </c>
      <c r="M45" s="94" t="b">
        <v>0</v>
      </c>
      <c r="N45" s="94" t="b">
        <v>0</v>
      </c>
      <c r="O45" s="94" t="b">
        <v>0</v>
      </c>
    </row>
    <row r="46" ht="15.75" customHeight="1">
      <c r="A46" s="6">
        <v>45.0</v>
      </c>
      <c r="B46" s="50" t="s">
        <v>133</v>
      </c>
      <c r="C46" s="2139" t="s">
        <v>125</v>
      </c>
      <c r="D46" s="2135"/>
      <c r="E46" s="2141"/>
      <c r="H46" s="94" t="b">
        <v>0</v>
      </c>
      <c r="I46" s="94" t="b">
        <v>0</v>
      </c>
      <c r="J46" s="94" t="b">
        <v>0</v>
      </c>
      <c r="K46" s="94" t="b">
        <v>0</v>
      </c>
      <c r="L46" s="2138" t="b">
        <v>0</v>
      </c>
      <c r="M46" s="94" t="b">
        <v>0</v>
      </c>
      <c r="N46" s="94" t="b">
        <v>0</v>
      </c>
      <c r="O46" s="94" t="b">
        <v>0</v>
      </c>
    </row>
    <row r="47" ht="15.75" customHeight="1">
      <c r="A47" s="6">
        <v>46.0</v>
      </c>
      <c r="B47" s="47" t="s">
        <v>135</v>
      </c>
      <c r="C47" s="2139" t="s">
        <v>136</v>
      </c>
      <c r="D47" s="2135"/>
      <c r="E47" s="2141"/>
      <c r="H47" s="94" t="b">
        <v>0</v>
      </c>
      <c r="I47" s="94" t="b">
        <v>0</v>
      </c>
      <c r="J47" s="94" t="b">
        <v>0</v>
      </c>
      <c r="K47" s="94" t="b">
        <v>0</v>
      </c>
      <c r="L47" s="2138" t="b">
        <v>0</v>
      </c>
      <c r="M47" s="94" t="b">
        <v>0</v>
      </c>
      <c r="N47" s="94" t="b">
        <v>0</v>
      </c>
      <c r="O47" s="94" t="b">
        <v>0</v>
      </c>
    </row>
    <row r="48" ht="15.75" customHeight="1">
      <c r="A48" s="6">
        <v>47.0</v>
      </c>
      <c r="B48" s="47" t="s">
        <v>138</v>
      </c>
      <c r="C48" s="2139" t="s">
        <v>136</v>
      </c>
      <c r="D48" s="2135"/>
      <c r="E48" s="2141"/>
      <c r="H48" s="94" t="b">
        <v>0</v>
      </c>
      <c r="I48" s="94" t="b">
        <v>0</v>
      </c>
      <c r="J48" s="94" t="b">
        <v>0</v>
      </c>
      <c r="K48" s="94" t="b">
        <v>0</v>
      </c>
      <c r="L48" s="2138" t="b">
        <v>0</v>
      </c>
      <c r="M48" s="94" t="b">
        <v>0</v>
      </c>
      <c r="N48" s="94" t="b">
        <v>0</v>
      </c>
      <c r="O48" s="94" t="b">
        <v>0</v>
      </c>
    </row>
    <row r="49" ht="15.75" customHeight="1">
      <c r="A49" s="6">
        <v>48.0</v>
      </c>
      <c r="B49" s="47" t="s">
        <v>140</v>
      </c>
      <c r="C49" s="2139" t="s">
        <v>141</v>
      </c>
      <c r="D49" s="2135"/>
      <c r="E49" s="2141"/>
      <c r="H49" s="94" t="b">
        <v>0</v>
      </c>
      <c r="I49" s="94" t="b">
        <v>0</v>
      </c>
      <c r="J49" s="94" t="b">
        <v>0</v>
      </c>
      <c r="K49" s="94" t="b">
        <v>0</v>
      </c>
      <c r="L49" s="2138" t="b">
        <v>0</v>
      </c>
      <c r="M49" s="94" t="b">
        <v>0</v>
      </c>
      <c r="N49" s="94" t="b">
        <v>0</v>
      </c>
      <c r="O49" s="94" t="b">
        <v>0</v>
      </c>
    </row>
    <row r="50" ht="15.75" customHeight="1">
      <c r="A50" s="6">
        <v>49.0</v>
      </c>
      <c r="B50" s="1262" t="s">
        <v>144</v>
      </c>
      <c r="C50" s="2139" t="s">
        <v>141</v>
      </c>
      <c r="D50" s="2135"/>
      <c r="E50" s="2141"/>
      <c r="H50" s="94" t="b">
        <v>0</v>
      </c>
      <c r="I50" s="94" t="b">
        <v>0</v>
      </c>
      <c r="J50" s="94" t="b">
        <v>0</v>
      </c>
      <c r="K50" s="94" t="b">
        <v>0</v>
      </c>
      <c r="L50" s="2138" t="b">
        <v>0</v>
      </c>
      <c r="M50" s="94" t="b">
        <v>0</v>
      </c>
      <c r="N50" s="94" t="b">
        <v>0</v>
      </c>
      <c r="O50" s="94" t="b">
        <v>0</v>
      </c>
    </row>
    <row r="51" ht="15.75" customHeight="1">
      <c r="A51" s="6">
        <v>50.0</v>
      </c>
      <c r="B51" s="2154" t="s">
        <v>147</v>
      </c>
      <c r="C51" s="2155"/>
      <c r="D51" s="2135"/>
      <c r="E51" s="2141"/>
      <c r="H51" s="94" t="b">
        <v>0</v>
      </c>
      <c r="I51" s="94" t="b">
        <v>0</v>
      </c>
      <c r="J51" s="94" t="b">
        <v>0</v>
      </c>
      <c r="K51" s="94" t="b">
        <v>0</v>
      </c>
      <c r="L51" s="2138" t="b">
        <v>0</v>
      </c>
      <c r="M51" s="94" t="b">
        <v>0</v>
      </c>
      <c r="N51" s="94" t="b">
        <v>0</v>
      </c>
      <c r="O51" s="94" t="b">
        <v>0</v>
      </c>
    </row>
    <row r="52" ht="15.75" customHeight="1">
      <c r="A52" s="6">
        <v>51.0</v>
      </c>
      <c r="B52" s="1262" t="s">
        <v>969</v>
      </c>
      <c r="C52" s="2156"/>
      <c r="D52" s="2135"/>
      <c r="E52" s="2141"/>
      <c r="H52" s="94" t="b">
        <v>0</v>
      </c>
      <c r="I52" s="94" t="b">
        <v>0</v>
      </c>
      <c r="J52" s="94" t="b">
        <v>0</v>
      </c>
      <c r="K52" s="94" t="b">
        <v>0</v>
      </c>
      <c r="L52" s="2138" t="b">
        <v>0</v>
      </c>
      <c r="M52" s="94" t="b">
        <v>0</v>
      </c>
      <c r="N52" s="94" t="b">
        <v>0</v>
      </c>
      <c r="O52" s="94" t="b">
        <v>0</v>
      </c>
    </row>
    <row r="53" ht="15.75" customHeight="1">
      <c r="A53" s="6">
        <v>52.0</v>
      </c>
      <c r="B53" s="47" t="s">
        <v>152</v>
      </c>
      <c r="C53" s="2156"/>
      <c r="D53" s="2135"/>
      <c r="E53" s="2141"/>
      <c r="H53" s="94" t="b">
        <v>0</v>
      </c>
      <c r="I53" s="94" t="b">
        <v>0</v>
      </c>
      <c r="J53" s="94" t="b">
        <v>0</v>
      </c>
      <c r="K53" s="94" t="b">
        <v>0</v>
      </c>
      <c r="L53" s="2138" t="b">
        <v>0</v>
      </c>
      <c r="M53" s="94" t="b">
        <v>0</v>
      </c>
      <c r="N53" s="94" t="b">
        <v>0</v>
      </c>
      <c r="O53" s="94" t="b">
        <v>0</v>
      </c>
    </row>
    <row r="54" ht="15.75" customHeight="1">
      <c r="A54" s="6">
        <v>53.0</v>
      </c>
      <c r="B54" s="47" t="s">
        <v>154</v>
      </c>
      <c r="C54" s="2156"/>
      <c r="D54" s="2135"/>
      <c r="E54" s="2141"/>
      <c r="H54" s="94" t="b">
        <v>0</v>
      </c>
      <c r="I54" s="94" t="b">
        <v>0</v>
      </c>
      <c r="J54" s="94" t="b">
        <v>0</v>
      </c>
      <c r="K54" s="94" t="b">
        <v>0</v>
      </c>
      <c r="L54" s="2138" t="b">
        <v>0</v>
      </c>
      <c r="M54" s="94" t="b">
        <v>0</v>
      </c>
      <c r="N54" s="94" t="b">
        <v>0</v>
      </c>
      <c r="O54" s="94" t="b">
        <v>0</v>
      </c>
    </row>
    <row r="55" ht="15.75" customHeight="1">
      <c r="A55" s="6">
        <v>54.0</v>
      </c>
      <c r="B55" s="58" t="s">
        <v>156</v>
      </c>
      <c r="C55" s="2157"/>
      <c r="D55" s="2135"/>
      <c r="E55" s="2141"/>
      <c r="H55" s="94" t="b">
        <v>0</v>
      </c>
      <c r="I55" s="94" t="b">
        <v>0</v>
      </c>
      <c r="J55" s="94" t="b">
        <v>0</v>
      </c>
      <c r="K55" s="94" t="b">
        <v>0</v>
      </c>
      <c r="L55" s="2138" t="b">
        <v>0</v>
      </c>
      <c r="M55" s="94" t="b">
        <v>0</v>
      </c>
      <c r="N55" s="94" t="b">
        <v>0</v>
      </c>
      <c r="O55" s="94" t="b">
        <v>0</v>
      </c>
    </row>
    <row r="56" ht="15.75" customHeight="1">
      <c r="A56" s="6">
        <v>55.0</v>
      </c>
      <c r="B56" s="62" t="s">
        <v>157</v>
      </c>
      <c r="C56" s="2158" t="s">
        <v>158</v>
      </c>
      <c r="D56" s="2135" t="s">
        <v>1754</v>
      </c>
      <c r="E56" s="2136">
        <v>45943.0</v>
      </c>
      <c r="F56" s="94" t="s">
        <v>1755</v>
      </c>
      <c r="G56" s="2137">
        <v>11244.0</v>
      </c>
      <c r="H56" s="94" t="b">
        <v>1</v>
      </c>
      <c r="I56" s="94" t="b">
        <v>1</v>
      </c>
      <c r="J56" s="94" t="b">
        <v>1</v>
      </c>
      <c r="K56" s="94" t="b">
        <v>0</v>
      </c>
      <c r="L56" s="2138" t="b">
        <v>0</v>
      </c>
      <c r="M56" s="94" t="b">
        <v>0</v>
      </c>
      <c r="N56" s="94" t="b">
        <v>0</v>
      </c>
      <c r="O56" s="94" t="b">
        <v>0</v>
      </c>
    </row>
    <row r="57" ht="15.75" customHeight="1">
      <c r="A57" s="6">
        <v>56.0</v>
      </c>
      <c r="B57" s="1359" t="s">
        <v>244</v>
      </c>
      <c r="C57" s="1606" t="s">
        <v>158</v>
      </c>
      <c r="D57" s="2135"/>
      <c r="E57" s="2141"/>
      <c r="H57" s="94" t="b">
        <v>0</v>
      </c>
      <c r="I57" s="94" t="b">
        <v>0</v>
      </c>
      <c r="J57" s="94" t="b">
        <v>0</v>
      </c>
      <c r="K57" s="94" t="b">
        <v>0</v>
      </c>
      <c r="L57" s="2138" t="b">
        <v>0</v>
      </c>
      <c r="M57" s="94" t="b">
        <v>0</v>
      </c>
      <c r="N57" s="94" t="b">
        <v>0</v>
      </c>
      <c r="O57" s="94" t="b">
        <v>0</v>
      </c>
    </row>
    <row r="58" ht="15.75" customHeight="1">
      <c r="A58" s="6">
        <v>57.0</v>
      </c>
      <c r="B58" s="1359" t="s">
        <v>246</v>
      </c>
      <c r="C58" s="1606" t="s">
        <v>158</v>
      </c>
      <c r="D58" s="2135"/>
      <c r="E58" s="2141"/>
      <c r="H58" s="94" t="b">
        <v>0</v>
      </c>
      <c r="I58" s="94" t="b">
        <v>0</v>
      </c>
      <c r="J58" s="94" t="b">
        <v>0</v>
      </c>
      <c r="K58" s="94" t="b">
        <v>0</v>
      </c>
      <c r="L58" s="2138" t="b">
        <v>0</v>
      </c>
      <c r="M58" s="94" t="b">
        <v>0</v>
      </c>
      <c r="N58" s="94" t="b">
        <v>0</v>
      </c>
      <c r="O58" s="94" t="b">
        <v>0</v>
      </c>
    </row>
    <row r="59" ht="15.75" customHeight="1">
      <c r="A59" s="6">
        <v>58.0</v>
      </c>
      <c r="B59" s="1359" t="s">
        <v>248</v>
      </c>
      <c r="C59" s="1606" t="s">
        <v>158</v>
      </c>
      <c r="D59" s="2135" t="s">
        <v>1756</v>
      </c>
      <c r="E59" s="2136">
        <v>45944.0</v>
      </c>
      <c r="F59" s="94" t="s">
        <v>1757</v>
      </c>
      <c r="G59" s="2137">
        <v>11245.0</v>
      </c>
      <c r="H59" s="94" t="b">
        <v>1</v>
      </c>
      <c r="I59" s="94" t="b">
        <v>1</v>
      </c>
      <c r="J59" s="94" t="b">
        <v>1</v>
      </c>
      <c r="K59" s="94" t="b">
        <v>0</v>
      </c>
      <c r="L59" s="2138" t="b">
        <v>0</v>
      </c>
      <c r="M59" s="94" t="b">
        <v>0</v>
      </c>
      <c r="N59" s="94" t="b">
        <v>0</v>
      </c>
      <c r="O59" s="94" t="b">
        <v>0</v>
      </c>
    </row>
    <row r="60" ht="15.75" customHeight="1">
      <c r="A60" s="6">
        <v>59.0</v>
      </c>
      <c r="B60" s="64" t="s">
        <v>161</v>
      </c>
      <c r="C60" s="1606" t="s">
        <v>158</v>
      </c>
      <c r="D60" s="2135" t="s">
        <v>1758</v>
      </c>
      <c r="E60" s="2142">
        <v>45939.0</v>
      </c>
      <c r="F60" s="94" t="s">
        <v>1759</v>
      </c>
      <c r="G60" s="1436">
        <v>47765.0</v>
      </c>
      <c r="H60" s="94" t="b">
        <v>1</v>
      </c>
      <c r="I60" s="94" t="b">
        <v>1</v>
      </c>
      <c r="J60" s="94" t="b">
        <v>1</v>
      </c>
      <c r="K60" s="94" t="b">
        <v>0</v>
      </c>
      <c r="L60" s="2138" t="b">
        <v>0</v>
      </c>
      <c r="M60" s="94" t="b">
        <v>0</v>
      </c>
      <c r="N60" s="94" t="b">
        <v>0</v>
      </c>
      <c r="O60" s="94" t="b">
        <v>0</v>
      </c>
    </row>
    <row r="61" ht="15.75" customHeight="1">
      <c r="A61" s="6">
        <v>60.0</v>
      </c>
      <c r="B61" s="66" t="s">
        <v>163</v>
      </c>
      <c r="C61" s="2159" t="s">
        <v>164</v>
      </c>
      <c r="D61" s="2135"/>
      <c r="H61" s="94" t="b">
        <v>0</v>
      </c>
      <c r="I61" s="94" t="b">
        <v>0</v>
      </c>
      <c r="J61" s="94" t="b">
        <v>0</v>
      </c>
      <c r="K61" s="94" t="b">
        <v>0</v>
      </c>
      <c r="L61" s="2138" t="b">
        <v>0</v>
      </c>
      <c r="M61" s="94" t="b">
        <v>0</v>
      </c>
      <c r="N61" s="94" t="b">
        <v>0</v>
      </c>
      <c r="O61" s="94" t="b">
        <v>0</v>
      </c>
    </row>
    <row r="62" ht="15.75" customHeight="1">
      <c r="A62" s="6">
        <v>61.0</v>
      </c>
      <c r="B62" s="54" t="s">
        <v>165</v>
      </c>
      <c r="C62" s="2160" t="s">
        <v>166</v>
      </c>
      <c r="D62" s="2135" t="s">
        <v>1760</v>
      </c>
      <c r="E62" s="1436">
        <v>45995.0</v>
      </c>
      <c r="F62" s="94">
        <v>2.51654391E8</v>
      </c>
      <c r="G62" s="1436">
        <v>47821.0</v>
      </c>
      <c r="H62" s="94" t="b">
        <v>1</v>
      </c>
      <c r="I62" s="94" t="b">
        <v>1</v>
      </c>
      <c r="J62" s="94" t="b">
        <v>1</v>
      </c>
      <c r="K62" s="94" t="b">
        <v>1</v>
      </c>
      <c r="L62" s="2138" t="b">
        <v>0</v>
      </c>
      <c r="M62" s="94" t="b">
        <v>0</v>
      </c>
      <c r="N62" s="94" t="b">
        <v>0</v>
      </c>
      <c r="O62" s="94" t="b">
        <v>0</v>
      </c>
    </row>
    <row r="63" ht="15.75" customHeight="1">
      <c r="A63" s="6">
        <v>62.0</v>
      </c>
      <c r="B63" s="47" t="s">
        <v>169</v>
      </c>
      <c r="C63" s="2139" t="s">
        <v>166</v>
      </c>
      <c r="D63" s="2135" t="s">
        <v>1760</v>
      </c>
      <c r="E63" s="1436">
        <v>45995.0</v>
      </c>
      <c r="F63" s="94">
        <v>2.51654391E8</v>
      </c>
      <c r="G63" s="1436">
        <v>47821.0</v>
      </c>
      <c r="H63" s="94" t="b">
        <v>1</v>
      </c>
      <c r="I63" s="94" t="b">
        <v>1</v>
      </c>
      <c r="J63" s="94" t="b">
        <v>1</v>
      </c>
      <c r="K63" s="94" t="b">
        <v>1</v>
      </c>
      <c r="L63" s="2138" t="b">
        <v>0</v>
      </c>
      <c r="M63" s="94" t="b">
        <v>0</v>
      </c>
      <c r="N63" s="94" t="b">
        <v>0</v>
      </c>
      <c r="O63" s="94" t="b">
        <v>0</v>
      </c>
    </row>
    <row r="64" ht="15.75" customHeight="1">
      <c r="A64" s="6">
        <v>63.0</v>
      </c>
      <c r="B64" s="47" t="s">
        <v>171</v>
      </c>
      <c r="C64" s="2139" t="s">
        <v>166</v>
      </c>
      <c r="D64" s="2135"/>
      <c r="E64" s="2141"/>
      <c r="H64" s="94" t="b">
        <v>0</v>
      </c>
      <c r="I64" s="94" t="b">
        <v>0</v>
      </c>
      <c r="J64" s="94" t="b">
        <v>0</v>
      </c>
      <c r="K64" s="94" t="b">
        <v>0</v>
      </c>
      <c r="L64" s="2138" t="b">
        <v>0</v>
      </c>
      <c r="M64" s="94" t="b">
        <v>0</v>
      </c>
      <c r="N64" s="94" t="b">
        <v>0</v>
      </c>
      <c r="O64" s="94" t="b">
        <v>0</v>
      </c>
    </row>
    <row r="65" ht="15.75" customHeight="1">
      <c r="A65" s="6">
        <v>64.0</v>
      </c>
      <c r="B65" s="50" t="s">
        <v>173</v>
      </c>
      <c r="C65" s="2139" t="s">
        <v>166</v>
      </c>
      <c r="D65" s="2135"/>
      <c r="E65" s="2141"/>
      <c r="H65" s="94" t="b">
        <v>0</v>
      </c>
      <c r="I65" s="94" t="b">
        <v>0</v>
      </c>
      <c r="J65" s="94" t="b">
        <v>0</v>
      </c>
      <c r="K65" s="94" t="b">
        <v>0</v>
      </c>
      <c r="L65" s="2138" t="b">
        <v>0</v>
      </c>
      <c r="M65" s="94" t="b">
        <v>0</v>
      </c>
      <c r="N65" s="94" t="b">
        <v>0</v>
      </c>
      <c r="O65" s="94" t="b">
        <v>0</v>
      </c>
    </row>
    <row r="66" ht="15.75" customHeight="1">
      <c r="A66" s="6">
        <v>65.0</v>
      </c>
      <c r="B66" s="58" t="s">
        <v>175</v>
      </c>
      <c r="C66" s="2161" t="s">
        <v>166</v>
      </c>
      <c r="D66" s="2135" t="s">
        <v>1761</v>
      </c>
      <c r="E66" s="2142">
        <v>45993.0</v>
      </c>
      <c r="F66" s="94">
        <v>2.51640309E8</v>
      </c>
      <c r="G66" s="1436">
        <v>47819.0</v>
      </c>
      <c r="H66" s="94" t="b">
        <v>1</v>
      </c>
      <c r="I66" s="94" t="b">
        <v>1</v>
      </c>
      <c r="J66" s="94" t="b">
        <v>1</v>
      </c>
      <c r="K66" s="94" t="b">
        <v>1</v>
      </c>
      <c r="L66" s="2138" t="b">
        <v>0</v>
      </c>
      <c r="M66" s="94" t="b">
        <v>0</v>
      </c>
      <c r="N66" s="94" t="b">
        <v>0</v>
      </c>
      <c r="O66" s="94" t="b">
        <v>0</v>
      </c>
    </row>
    <row r="67" ht="15.75" customHeight="1">
      <c r="A67" s="6">
        <v>66.0</v>
      </c>
      <c r="B67" s="73" t="s">
        <v>178</v>
      </c>
      <c r="C67" s="2162" t="s">
        <v>179</v>
      </c>
      <c r="D67" s="2135" t="s">
        <v>1762</v>
      </c>
      <c r="E67" s="2144">
        <v>45953.0</v>
      </c>
      <c r="F67" s="94" t="s">
        <v>1763</v>
      </c>
      <c r="G67" s="1439">
        <v>47779.0</v>
      </c>
      <c r="H67" s="94" t="b">
        <v>1</v>
      </c>
      <c r="I67" s="94" t="b">
        <v>1</v>
      </c>
      <c r="J67" s="94" t="b">
        <v>1</v>
      </c>
      <c r="K67" s="94" t="b">
        <v>0</v>
      </c>
      <c r="L67" s="2138" t="b">
        <v>0</v>
      </c>
      <c r="M67" s="94" t="b">
        <v>0</v>
      </c>
      <c r="N67" s="94" t="b">
        <v>0</v>
      </c>
      <c r="O67" s="94" t="b">
        <v>0</v>
      </c>
    </row>
    <row r="68" ht="15.75" customHeight="1">
      <c r="A68" s="6">
        <v>67.0</v>
      </c>
      <c r="B68" s="76" t="s">
        <v>181</v>
      </c>
      <c r="C68" s="2163" t="s">
        <v>179</v>
      </c>
      <c r="D68" s="2135"/>
      <c r="E68" s="2141"/>
      <c r="H68" s="94" t="b">
        <v>0</v>
      </c>
      <c r="I68" s="94" t="b">
        <v>0</v>
      </c>
      <c r="J68" s="94" t="b">
        <v>0</v>
      </c>
      <c r="K68" s="94" t="b">
        <v>0</v>
      </c>
      <c r="L68" s="2138" t="b">
        <v>0</v>
      </c>
      <c r="M68" s="94" t="b">
        <v>0</v>
      </c>
      <c r="N68" s="94" t="b">
        <v>0</v>
      </c>
      <c r="O68" s="94" t="b">
        <v>0</v>
      </c>
    </row>
    <row r="69" ht="15.75" customHeight="1">
      <c r="A69" s="6">
        <v>68.0</v>
      </c>
      <c r="B69" s="76" t="s">
        <v>183</v>
      </c>
      <c r="C69" s="2163" t="s">
        <v>184</v>
      </c>
      <c r="D69" s="2135" t="s">
        <v>1764</v>
      </c>
      <c r="E69" s="2143">
        <v>45665.0</v>
      </c>
      <c r="F69" s="94">
        <v>2.50006119E8</v>
      </c>
      <c r="G69" s="1437">
        <v>46760.0</v>
      </c>
      <c r="H69" s="94" t="b">
        <v>1</v>
      </c>
      <c r="I69" s="94" t="b">
        <v>1</v>
      </c>
      <c r="J69" s="94" t="b">
        <v>1</v>
      </c>
      <c r="K69" s="94" t="b">
        <v>1</v>
      </c>
      <c r="L69" s="2138" t="b">
        <v>0</v>
      </c>
      <c r="M69" s="94" t="b">
        <v>0</v>
      </c>
      <c r="N69" s="94" t="b">
        <v>0</v>
      </c>
      <c r="O69" s="94" t="b">
        <v>0</v>
      </c>
    </row>
    <row r="70" ht="15.75" customHeight="1">
      <c r="A70" s="6">
        <v>69.0</v>
      </c>
      <c r="B70" s="76" t="s">
        <v>186</v>
      </c>
      <c r="C70" s="2163" t="s">
        <v>184</v>
      </c>
      <c r="D70" s="2135" t="s">
        <v>1764</v>
      </c>
      <c r="E70" s="2143">
        <v>45665.0</v>
      </c>
      <c r="F70" s="94">
        <v>2.50006119E8</v>
      </c>
      <c r="G70" s="1437">
        <v>46760.0</v>
      </c>
      <c r="H70" s="94" t="b">
        <v>1</v>
      </c>
      <c r="I70" s="94" t="b">
        <v>1</v>
      </c>
      <c r="J70" s="94" t="b">
        <v>1</v>
      </c>
      <c r="K70" s="94" t="b">
        <v>1</v>
      </c>
      <c r="L70" s="2138" t="b">
        <v>0</v>
      </c>
      <c r="M70" s="94" t="b">
        <v>0</v>
      </c>
      <c r="N70" s="94" t="b">
        <v>0</v>
      </c>
      <c r="O70" s="94" t="b">
        <v>0</v>
      </c>
    </row>
    <row r="71" ht="15.75" customHeight="1">
      <c r="A71" s="6">
        <v>70.0</v>
      </c>
      <c r="B71" s="76" t="s">
        <v>188</v>
      </c>
      <c r="C71" s="2163" t="s">
        <v>184</v>
      </c>
      <c r="D71" s="2135" t="s">
        <v>1764</v>
      </c>
      <c r="E71" s="2143">
        <v>45665.0</v>
      </c>
      <c r="F71" s="94">
        <v>2.50006119E8</v>
      </c>
      <c r="G71" s="1437">
        <v>46760.0</v>
      </c>
      <c r="H71" s="94" t="b">
        <v>1</v>
      </c>
      <c r="I71" s="94" t="b">
        <v>1</v>
      </c>
      <c r="J71" s="94" t="b">
        <v>1</v>
      </c>
      <c r="K71" s="94" t="b">
        <v>1</v>
      </c>
      <c r="L71" s="2138" t="b">
        <v>0</v>
      </c>
      <c r="M71" s="94" t="b">
        <v>0</v>
      </c>
      <c r="N71" s="94" t="b">
        <v>0</v>
      </c>
      <c r="O71" s="94" t="b">
        <v>0</v>
      </c>
    </row>
    <row r="72" ht="15.75" customHeight="1">
      <c r="A72" s="6">
        <v>71.0</v>
      </c>
      <c r="B72" s="81" t="s">
        <v>191</v>
      </c>
      <c r="C72" s="2164" t="s">
        <v>141</v>
      </c>
      <c r="D72" s="2135"/>
      <c r="E72" s="2141"/>
      <c r="H72" s="94" t="b">
        <v>0</v>
      </c>
      <c r="I72" s="94" t="b">
        <v>0</v>
      </c>
      <c r="J72" s="94" t="b">
        <v>0</v>
      </c>
      <c r="K72" s="94" t="b">
        <v>0</v>
      </c>
      <c r="L72" s="2138" t="b">
        <v>0</v>
      </c>
      <c r="M72" s="94" t="b">
        <v>0</v>
      </c>
      <c r="N72" s="94" t="b">
        <v>0</v>
      </c>
      <c r="O72" s="94" t="b">
        <v>0</v>
      </c>
    </row>
    <row r="73" ht="15.75" customHeight="1">
      <c r="A73" s="6">
        <v>72.0</v>
      </c>
      <c r="B73" s="85" t="s">
        <v>192</v>
      </c>
      <c r="C73" s="2165" t="s">
        <v>193</v>
      </c>
      <c r="D73" s="2135"/>
      <c r="E73" s="2141"/>
      <c r="H73" s="94" t="b">
        <v>0</v>
      </c>
      <c r="I73" s="94" t="b">
        <v>0</v>
      </c>
      <c r="J73" s="94" t="b">
        <v>0</v>
      </c>
      <c r="K73" s="94" t="b">
        <v>0</v>
      </c>
      <c r="L73" s="2138" t="b">
        <v>0</v>
      </c>
      <c r="M73" s="94" t="b">
        <v>0</v>
      </c>
      <c r="N73" s="94" t="b">
        <v>0</v>
      </c>
      <c r="O73" s="94" t="b">
        <v>0</v>
      </c>
    </row>
    <row r="74" ht="15.75" customHeight="1">
      <c r="A74" s="6">
        <v>73.0</v>
      </c>
      <c r="B74" s="87" t="s">
        <v>195</v>
      </c>
      <c r="C74" s="2163" t="s">
        <v>193</v>
      </c>
      <c r="D74" s="2135"/>
      <c r="E74" s="2141"/>
      <c r="H74" s="94" t="b">
        <v>0</v>
      </c>
      <c r="I74" s="94" t="b">
        <v>0</v>
      </c>
      <c r="J74" s="94" t="b">
        <v>0</v>
      </c>
      <c r="K74" s="94" t="b">
        <v>0</v>
      </c>
      <c r="L74" s="2138" t="b">
        <v>0</v>
      </c>
      <c r="M74" s="94" t="b">
        <v>0</v>
      </c>
      <c r="N74" s="94" t="b">
        <v>0</v>
      </c>
      <c r="O74" s="94" t="b">
        <v>0</v>
      </c>
    </row>
    <row r="75" ht="15.75" customHeight="1">
      <c r="A75" s="6">
        <v>74.0</v>
      </c>
      <c r="B75" s="87" t="s">
        <v>197</v>
      </c>
      <c r="C75" s="2163" t="s">
        <v>193</v>
      </c>
      <c r="D75" s="2135"/>
      <c r="E75" s="2141"/>
      <c r="H75" s="94" t="b">
        <v>0</v>
      </c>
      <c r="I75" s="94" t="b">
        <v>0</v>
      </c>
      <c r="J75" s="94" t="b">
        <v>0</v>
      </c>
      <c r="K75" s="94" t="b">
        <v>0</v>
      </c>
      <c r="L75" s="2138" t="b">
        <v>0</v>
      </c>
      <c r="M75" s="94" t="b">
        <v>0</v>
      </c>
      <c r="N75" s="94" t="b">
        <v>0</v>
      </c>
      <c r="O75" s="94" t="b">
        <v>0</v>
      </c>
    </row>
    <row r="76" ht="15.75" customHeight="1">
      <c r="A76" s="6">
        <v>75.0</v>
      </c>
      <c r="B76" s="87" t="s">
        <v>199</v>
      </c>
      <c r="C76" s="2163" t="s">
        <v>193</v>
      </c>
      <c r="D76" s="2135" t="s">
        <v>1765</v>
      </c>
      <c r="E76" s="2136">
        <v>45947.0</v>
      </c>
      <c r="F76" s="94" t="s">
        <v>1766</v>
      </c>
      <c r="G76" s="2137">
        <v>11248.0</v>
      </c>
      <c r="H76" s="94" t="b">
        <v>1</v>
      </c>
      <c r="I76" s="94" t="b">
        <v>1</v>
      </c>
      <c r="J76" s="94" t="b">
        <v>1</v>
      </c>
      <c r="K76" s="94" t="b">
        <v>0</v>
      </c>
      <c r="L76" s="2138" t="b">
        <v>0</v>
      </c>
      <c r="M76" s="94" t="b">
        <v>0</v>
      </c>
      <c r="N76" s="94" t="b">
        <v>0</v>
      </c>
      <c r="O76" s="94" t="b">
        <v>0</v>
      </c>
    </row>
    <row r="77" ht="15.75" customHeight="1">
      <c r="A77" s="6">
        <v>76.0</v>
      </c>
      <c r="B77" s="87" t="s">
        <v>201</v>
      </c>
      <c r="C77" s="2163" t="s">
        <v>193</v>
      </c>
      <c r="D77" s="2135"/>
      <c r="E77" s="2141"/>
      <c r="H77" s="94" t="b">
        <v>0</v>
      </c>
      <c r="I77" s="94" t="b">
        <v>0</v>
      </c>
      <c r="J77" s="94" t="b">
        <v>0</v>
      </c>
      <c r="K77" s="94" t="b">
        <v>0</v>
      </c>
      <c r="L77" s="2138" t="b">
        <v>0</v>
      </c>
      <c r="M77" s="94" t="b">
        <v>0</v>
      </c>
      <c r="N77" s="94" t="b">
        <v>0</v>
      </c>
      <c r="O77" s="94" t="b">
        <v>0</v>
      </c>
    </row>
    <row r="78" ht="15.75" customHeight="1">
      <c r="A78" s="6">
        <v>77.0</v>
      </c>
      <c r="B78" s="87" t="s">
        <v>203</v>
      </c>
      <c r="C78" s="2163" t="s">
        <v>193</v>
      </c>
      <c r="D78" s="2135"/>
      <c r="E78" s="2141"/>
      <c r="H78" s="94" t="b">
        <v>0</v>
      </c>
      <c r="I78" s="94" t="b">
        <v>0</v>
      </c>
      <c r="J78" s="94" t="b">
        <v>0</v>
      </c>
      <c r="K78" s="94" t="b">
        <v>0</v>
      </c>
      <c r="L78" s="2138" t="b">
        <v>0</v>
      </c>
      <c r="M78" s="94" t="b">
        <v>0</v>
      </c>
      <c r="N78" s="94" t="b">
        <v>0</v>
      </c>
      <c r="O78" s="94" t="b">
        <v>0</v>
      </c>
    </row>
    <row r="79" ht="15.75" customHeight="1">
      <c r="A79" s="6">
        <v>78.0</v>
      </c>
      <c r="B79" s="87" t="s">
        <v>205</v>
      </c>
      <c r="C79" s="2163" t="s">
        <v>193</v>
      </c>
      <c r="D79" s="2135"/>
      <c r="E79" s="2141"/>
      <c r="H79" s="94" t="b">
        <v>0</v>
      </c>
      <c r="I79" s="94" t="b">
        <v>0</v>
      </c>
      <c r="J79" s="94" t="b">
        <v>0</v>
      </c>
      <c r="K79" s="94" t="b">
        <v>0</v>
      </c>
      <c r="L79" s="2138" t="b">
        <v>0</v>
      </c>
      <c r="M79" s="94" t="b">
        <v>0</v>
      </c>
      <c r="N79" s="94" t="b">
        <v>0</v>
      </c>
      <c r="O79" s="94" t="b">
        <v>0</v>
      </c>
    </row>
    <row r="80" ht="15.75" customHeight="1">
      <c r="A80" s="6">
        <v>79.0</v>
      </c>
      <c r="B80" s="87" t="s">
        <v>207</v>
      </c>
      <c r="C80" s="2163" t="s">
        <v>193</v>
      </c>
      <c r="D80" s="2135" t="s">
        <v>1767</v>
      </c>
      <c r="E80" s="2136">
        <v>45956.0</v>
      </c>
      <c r="F80" s="94" t="s">
        <v>1768</v>
      </c>
      <c r="G80" s="2137">
        <v>11257.0</v>
      </c>
      <c r="H80" s="94" t="b">
        <v>1</v>
      </c>
      <c r="I80" s="94" t="b">
        <v>1</v>
      </c>
      <c r="J80" s="94" t="b">
        <v>1</v>
      </c>
      <c r="K80" s="94" t="b">
        <v>0</v>
      </c>
      <c r="L80" s="2138" t="b">
        <v>0</v>
      </c>
      <c r="M80" s="94" t="b">
        <v>0</v>
      </c>
      <c r="N80" s="94" t="b">
        <v>0</v>
      </c>
      <c r="O80" s="94" t="b">
        <v>0</v>
      </c>
    </row>
    <row r="81" ht="15.75" customHeight="1">
      <c r="A81" s="6">
        <v>80.0</v>
      </c>
      <c r="B81" s="87" t="s">
        <v>209</v>
      </c>
      <c r="C81" s="2163" t="s">
        <v>193</v>
      </c>
      <c r="D81" s="2135"/>
      <c r="E81" s="2141"/>
      <c r="H81" s="94" t="b">
        <v>0</v>
      </c>
      <c r="I81" s="94" t="b">
        <v>0</v>
      </c>
      <c r="J81" s="94" t="b">
        <v>0</v>
      </c>
      <c r="K81" s="94" t="b">
        <v>0</v>
      </c>
      <c r="L81" s="2138" t="b">
        <v>0</v>
      </c>
      <c r="M81" s="94" t="b">
        <v>0</v>
      </c>
      <c r="N81" s="94" t="b">
        <v>0</v>
      </c>
      <c r="O81" s="94" t="b">
        <v>0</v>
      </c>
    </row>
    <row r="82" ht="15.75" customHeight="1">
      <c r="A82" s="6">
        <v>81.0</v>
      </c>
      <c r="B82" s="87" t="s">
        <v>211</v>
      </c>
      <c r="C82" s="2163" t="s">
        <v>193</v>
      </c>
      <c r="D82" s="2135"/>
      <c r="E82" s="2141"/>
      <c r="H82" s="94" t="b">
        <v>0</v>
      </c>
      <c r="I82" s="94" t="b">
        <v>0</v>
      </c>
      <c r="J82" s="94" t="b">
        <v>0</v>
      </c>
      <c r="K82" s="94" t="b">
        <v>0</v>
      </c>
      <c r="L82" s="2138" t="b">
        <v>0</v>
      </c>
      <c r="M82" s="94" t="b">
        <v>0</v>
      </c>
      <c r="N82" s="94" t="b">
        <v>0</v>
      </c>
      <c r="O82" s="94" t="b">
        <v>0</v>
      </c>
    </row>
    <row r="83" ht="15.75" customHeight="1">
      <c r="A83" s="6">
        <v>82.0</v>
      </c>
      <c r="B83" s="87" t="s">
        <v>1769</v>
      </c>
      <c r="C83" s="2164" t="s">
        <v>141</v>
      </c>
      <c r="D83" s="2135" t="s">
        <v>1770</v>
      </c>
      <c r="E83" s="2136">
        <v>45945.0</v>
      </c>
      <c r="F83" s="94" t="s">
        <v>327</v>
      </c>
      <c r="G83" s="2137">
        <v>47041.0</v>
      </c>
      <c r="H83" s="94" t="b">
        <v>1</v>
      </c>
      <c r="I83" s="94" t="b">
        <v>1</v>
      </c>
      <c r="J83" s="94" t="b">
        <v>1</v>
      </c>
      <c r="K83" s="94" t="b">
        <v>0</v>
      </c>
      <c r="L83" s="2138" t="b">
        <v>0</v>
      </c>
      <c r="M83" s="94" t="b">
        <v>0</v>
      </c>
      <c r="N83" s="94" t="b">
        <v>0</v>
      </c>
      <c r="O83" s="94" t="b">
        <v>0</v>
      </c>
    </row>
    <row r="84" ht="15.75" customHeight="1">
      <c r="A84" s="6">
        <v>83.0</v>
      </c>
      <c r="B84" s="87" t="s">
        <v>214</v>
      </c>
      <c r="C84" s="2163" t="s">
        <v>193</v>
      </c>
      <c r="D84" s="2135"/>
      <c r="E84" s="2141"/>
      <c r="H84" s="94" t="b">
        <v>0</v>
      </c>
      <c r="I84" s="94" t="b">
        <v>0</v>
      </c>
      <c r="J84" s="94" t="b">
        <v>0</v>
      </c>
      <c r="K84" s="94" t="b">
        <v>0</v>
      </c>
      <c r="L84" s="2138" t="b">
        <v>0</v>
      </c>
      <c r="M84" s="94" t="b">
        <v>0</v>
      </c>
      <c r="N84" s="94" t="b">
        <v>0</v>
      </c>
      <c r="O84" s="94" t="b">
        <v>0</v>
      </c>
    </row>
    <row r="85" ht="15.75" customHeight="1">
      <c r="A85" s="6">
        <v>84.0</v>
      </c>
      <c r="B85" s="87" t="s">
        <v>216</v>
      </c>
      <c r="C85" s="2163" t="s">
        <v>193</v>
      </c>
      <c r="D85" s="2135"/>
      <c r="E85" s="2141"/>
      <c r="H85" s="94" t="b">
        <v>0</v>
      </c>
      <c r="I85" s="94" t="b">
        <v>0</v>
      </c>
      <c r="J85" s="94" t="b">
        <v>0</v>
      </c>
      <c r="K85" s="94" t="b">
        <v>0</v>
      </c>
      <c r="L85" s="2138" t="b">
        <v>0</v>
      </c>
      <c r="M85" s="94" t="b">
        <v>0</v>
      </c>
      <c r="N85" s="94" t="b">
        <v>0</v>
      </c>
      <c r="O85" s="94" t="b">
        <v>0</v>
      </c>
    </row>
    <row r="86" ht="15.75" customHeight="1">
      <c r="A86" s="6">
        <v>85.0</v>
      </c>
      <c r="B86" s="87" t="s">
        <v>218</v>
      </c>
      <c r="C86" s="2163" t="s">
        <v>193</v>
      </c>
      <c r="D86" s="2135"/>
      <c r="E86" s="2141"/>
      <c r="H86" s="94" t="b">
        <v>0</v>
      </c>
      <c r="I86" s="94" t="b">
        <v>0</v>
      </c>
      <c r="J86" s="94" t="b">
        <v>0</v>
      </c>
      <c r="K86" s="94" t="b">
        <v>0</v>
      </c>
      <c r="L86" s="2138" t="b">
        <v>0</v>
      </c>
      <c r="M86" s="94" t="b">
        <v>0</v>
      </c>
      <c r="N86" s="94" t="b">
        <v>0</v>
      </c>
      <c r="O86" s="94" t="b">
        <v>0</v>
      </c>
    </row>
    <row r="87" ht="15.75" customHeight="1">
      <c r="A87" s="6">
        <v>86.0</v>
      </c>
      <c r="B87" s="87" t="s">
        <v>220</v>
      </c>
      <c r="C87" s="2163" t="s">
        <v>193</v>
      </c>
      <c r="D87" s="2135" t="s">
        <v>1771</v>
      </c>
      <c r="E87" s="2144">
        <v>45945.0</v>
      </c>
      <c r="F87" s="94" t="s">
        <v>1772</v>
      </c>
      <c r="G87" s="2166">
        <v>46310.0</v>
      </c>
      <c r="H87" s="94" t="b">
        <v>1</v>
      </c>
      <c r="I87" s="94" t="b">
        <v>1</v>
      </c>
      <c r="J87" s="94" t="b">
        <v>1</v>
      </c>
      <c r="K87" s="94" t="b">
        <v>0</v>
      </c>
      <c r="L87" s="2138" t="b">
        <v>0</v>
      </c>
      <c r="M87" s="94" t="b">
        <v>0</v>
      </c>
      <c r="N87" s="94" t="b">
        <v>0</v>
      </c>
      <c r="O87" s="94" t="b">
        <v>0</v>
      </c>
    </row>
    <row r="88" ht="15.75" customHeight="1">
      <c r="A88" s="6">
        <v>87.0</v>
      </c>
      <c r="B88" s="87" t="s">
        <v>223</v>
      </c>
      <c r="C88" s="2163" t="s">
        <v>193</v>
      </c>
      <c r="D88" s="2135"/>
      <c r="E88" s="2141"/>
      <c r="H88" s="94" t="b">
        <v>0</v>
      </c>
      <c r="I88" s="94" t="b">
        <v>0</v>
      </c>
      <c r="J88" s="94" t="b">
        <v>0</v>
      </c>
      <c r="K88" s="94" t="b">
        <v>0</v>
      </c>
      <c r="L88" s="2138" t="b">
        <v>0</v>
      </c>
      <c r="M88" s="94" t="b">
        <v>0</v>
      </c>
      <c r="N88" s="94" t="b">
        <v>0</v>
      </c>
      <c r="O88" s="94" t="b">
        <v>0</v>
      </c>
    </row>
    <row r="89" ht="15.75" customHeight="1">
      <c r="A89" s="6">
        <v>88.0</v>
      </c>
      <c r="B89" s="87" t="s">
        <v>226</v>
      </c>
      <c r="C89" s="2163" t="s">
        <v>193</v>
      </c>
      <c r="D89" s="2135"/>
      <c r="E89" s="2141"/>
      <c r="H89" s="94" t="b">
        <v>0</v>
      </c>
      <c r="I89" s="94" t="b">
        <v>0</v>
      </c>
      <c r="J89" s="94" t="b">
        <v>0</v>
      </c>
      <c r="K89" s="94" t="b">
        <v>0</v>
      </c>
      <c r="L89" s="2138" t="b">
        <v>0</v>
      </c>
      <c r="M89" s="94" t="b">
        <v>0</v>
      </c>
      <c r="N89" s="94" t="b">
        <v>0</v>
      </c>
      <c r="O89" s="94" t="b">
        <v>0</v>
      </c>
    </row>
    <row r="90" ht="15.75" customHeight="1">
      <c r="A90" s="6">
        <v>89.0</v>
      </c>
      <c r="B90" s="87" t="s">
        <v>227</v>
      </c>
      <c r="C90" s="2163" t="s">
        <v>193</v>
      </c>
      <c r="D90" s="2135"/>
      <c r="E90" s="2141"/>
      <c r="H90" s="94" t="b">
        <v>0</v>
      </c>
      <c r="I90" s="94" t="b">
        <v>0</v>
      </c>
      <c r="J90" s="94" t="b">
        <v>0</v>
      </c>
      <c r="K90" s="94" t="b">
        <v>0</v>
      </c>
      <c r="L90" s="2138" t="b">
        <v>0</v>
      </c>
      <c r="M90" s="94" t="b">
        <v>0</v>
      </c>
      <c r="N90" s="94" t="b">
        <v>0</v>
      </c>
      <c r="O90" s="94" t="b">
        <v>0</v>
      </c>
    </row>
    <row r="91" ht="15.75" customHeight="1">
      <c r="A91" s="6">
        <v>90.0</v>
      </c>
      <c r="B91" s="87" t="s">
        <v>229</v>
      </c>
      <c r="C91" s="2163" t="s">
        <v>193</v>
      </c>
      <c r="D91" s="2135"/>
      <c r="E91" s="2141"/>
      <c r="H91" s="94" t="b">
        <v>0</v>
      </c>
      <c r="I91" s="94" t="b">
        <v>0</v>
      </c>
      <c r="J91" s="94" t="b">
        <v>0</v>
      </c>
      <c r="K91" s="94" t="b">
        <v>0</v>
      </c>
      <c r="L91" s="2138" t="b">
        <v>0</v>
      </c>
      <c r="M91" s="94" t="b">
        <v>0</v>
      </c>
      <c r="N91" s="94" t="b">
        <v>0</v>
      </c>
      <c r="O91" s="94" t="b">
        <v>0</v>
      </c>
    </row>
    <row r="92" ht="15.75" customHeight="1">
      <c r="A92" s="6">
        <v>91.0</v>
      </c>
      <c r="B92" s="87" t="s">
        <v>231</v>
      </c>
      <c r="C92" s="2163" t="s">
        <v>193</v>
      </c>
      <c r="D92" s="2135"/>
      <c r="E92" s="2141"/>
      <c r="H92" s="94" t="b">
        <v>0</v>
      </c>
      <c r="I92" s="94" t="b">
        <v>0</v>
      </c>
      <c r="J92" s="94" t="b">
        <v>0</v>
      </c>
      <c r="K92" s="94" t="b">
        <v>0</v>
      </c>
      <c r="L92" s="2138" t="b">
        <v>0</v>
      </c>
      <c r="M92" s="94" t="b">
        <v>0</v>
      </c>
      <c r="N92" s="94" t="b">
        <v>0</v>
      </c>
      <c r="O92" s="94" t="b">
        <v>0</v>
      </c>
    </row>
    <row r="93" ht="15.75" customHeight="1">
      <c r="A93" s="6">
        <v>92.0</v>
      </c>
      <c r="B93" s="87" t="s">
        <v>232</v>
      </c>
      <c r="C93" s="2163" t="s">
        <v>193</v>
      </c>
      <c r="D93" s="2135"/>
      <c r="E93" s="2141"/>
      <c r="H93" s="94" t="b">
        <v>0</v>
      </c>
      <c r="I93" s="94" t="b">
        <v>0</v>
      </c>
      <c r="J93" s="94" t="b">
        <v>0</v>
      </c>
      <c r="K93" s="94" t="b">
        <v>0</v>
      </c>
      <c r="L93" s="2138" t="b">
        <v>0</v>
      </c>
      <c r="M93" s="94" t="b">
        <v>0</v>
      </c>
      <c r="N93" s="94" t="b">
        <v>0</v>
      </c>
      <c r="O93" s="94" t="b">
        <v>0</v>
      </c>
    </row>
    <row r="94" ht="15.75" customHeight="1">
      <c r="A94" s="6">
        <v>93.0</v>
      </c>
      <c r="B94" s="87" t="s">
        <v>1773</v>
      </c>
      <c r="C94" s="2163" t="s">
        <v>193</v>
      </c>
      <c r="D94" s="2135"/>
      <c r="E94" s="2141"/>
      <c r="H94" s="94" t="b">
        <v>0</v>
      </c>
      <c r="I94" s="94" t="b">
        <v>0</v>
      </c>
      <c r="J94" s="94" t="b">
        <v>0</v>
      </c>
      <c r="K94" s="94" t="b">
        <v>0</v>
      </c>
      <c r="L94" s="2138" t="b">
        <v>0</v>
      </c>
      <c r="M94" s="94" t="b">
        <v>0</v>
      </c>
      <c r="N94" s="94" t="b">
        <v>0</v>
      </c>
      <c r="O94" s="94" t="b">
        <v>0</v>
      </c>
    </row>
    <row r="95" ht="15.75" customHeight="1">
      <c r="A95" s="6">
        <v>94.0</v>
      </c>
      <c r="B95" s="87" t="s">
        <v>1774</v>
      </c>
      <c r="C95" s="2163" t="s">
        <v>193</v>
      </c>
      <c r="D95" s="2135"/>
      <c r="E95" s="2141"/>
      <c r="H95" s="94" t="b">
        <v>0</v>
      </c>
      <c r="I95" s="94" t="b">
        <v>0</v>
      </c>
      <c r="J95" s="94" t="b">
        <v>0</v>
      </c>
      <c r="K95" s="94" t="b">
        <v>0</v>
      </c>
      <c r="L95" s="2138" t="b">
        <v>0</v>
      </c>
      <c r="M95" s="94" t="b">
        <v>0</v>
      </c>
      <c r="N95" s="94" t="b">
        <v>0</v>
      </c>
      <c r="O95" s="94" t="b">
        <v>0</v>
      </c>
    </row>
    <row r="96" ht="15.75" customHeight="1">
      <c r="A96" s="6">
        <v>95.0</v>
      </c>
      <c r="B96" s="87" t="s">
        <v>233</v>
      </c>
      <c r="C96" s="2163" t="s">
        <v>193</v>
      </c>
      <c r="D96" s="2135"/>
      <c r="E96" s="2141"/>
      <c r="H96" s="94" t="b">
        <v>0</v>
      </c>
      <c r="I96" s="94" t="b">
        <v>0</v>
      </c>
      <c r="J96" s="94" t="b">
        <v>0</v>
      </c>
      <c r="K96" s="94" t="b">
        <v>0</v>
      </c>
      <c r="L96" s="2138" t="b">
        <v>0</v>
      </c>
      <c r="M96" s="94" t="b">
        <v>0</v>
      </c>
      <c r="N96" s="94" t="b">
        <v>0</v>
      </c>
      <c r="O96" s="94" t="b">
        <v>0</v>
      </c>
    </row>
    <row r="97" ht="15.75" customHeight="1">
      <c r="A97" s="6">
        <v>96.0</v>
      </c>
      <c r="B97" s="103" t="s">
        <v>250</v>
      </c>
      <c r="C97" s="2163" t="s">
        <v>236</v>
      </c>
      <c r="D97" s="2135"/>
      <c r="E97" s="2141"/>
      <c r="H97" s="94" t="b">
        <v>0</v>
      </c>
      <c r="I97" s="94" t="b">
        <v>0</v>
      </c>
      <c r="J97" s="94" t="b">
        <v>0</v>
      </c>
      <c r="K97" s="94" t="b">
        <v>0</v>
      </c>
      <c r="L97" s="2138" t="b">
        <v>0</v>
      </c>
      <c r="M97" s="94" t="b">
        <v>0</v>
      </c>
      <c r="N97" s="94" t="b">
        <v>0</v>
      </c>
      <c r="O97" s="94" t="b">
        <v>0</v>
      </c>
    </row>
    <row r="98" ht="15.75" customHeight="1">
      <c r="A98" s="6">
        <v>97.0</v>
      </c>
      <c r="B98" s="103" t="s">
        <v>238</v>
      </c>
      <c r="C98" s="2163" t="s">
        <v>236</v>
      </c>
      <c r="D98" s="2135"/>
      <c r="E98" s="2141"/>
      <c r="H98" s="94" t="b">
        <v>0</v>
      </c>
      <c r="I98" s="94" t="b">
        <v>0</v>
      </c>
      <c r="J98" s="94" t="b">
        <v>0</v>
      </c>
      <c r="K98" s="94" t="b">
        <v>0</v>
      </c>
      <c r="L98" s="2138" t="b">
        <v>0</v>
      </c>
      <c r="M98" s="94" t="b">
        <v>0</v>
      </c>
      <c r="N98" s="94" t="b">
        <v>0</v>
      </c>
      <c r="O98" s="94" t="b">
        <v>0</v>
      </c>
    </row>
    <row r="99" ht="15.75" customHeight="1">
      <c r="A99" s="6">
        <v>98.0</v>
      </c>
      <c r="B99" s="103" t="s">
        <v>252</v>
      </c>
      <c r="C99" s="2163" t="s">
        <v>236</v>
      </c>
      <c r="D99" s="2135"/>
      <c r="E99" s="2141"/>
      <c r="H99" s="94" t="b">
        <v>0</v>
      </c>
      <c r="I99" s="94" t="b">
        <v>0</v>
      </c>
      <c r="J99" s="94" t="b">
        <v>0</v>
      </c>
      <c r="K99" s="94" t="b">
        <v>0</v>
      </c>
      <c r="L99" s="2138" t="b">
        <v>0</v>
      </c>
      <c r="M99" s="94" t="b">
        <v>0</v>
      </c>
      <c r="N99" s="94" t="b">
        <v>0</v>
      </c>
      <c r="O99" s="94" t="b">
        <v>0</v>
      </c>
    </row>
    <row r="100" ht="15.75" customHeight="1">
      <c r="A100" s="6">
        <v>99.0</v>
      </c>
      <c r="B100" s="103" t="s">
        <v>254</v>
      </c>
      <c r="C100" s="2163" t="s">
        <v>236</v>
      </c>
      <c r="D100" s="2135"/>
      <c r="E100" s="2141"/>
      <c r="H100" s="94" t="b">
        <v>0</v>
      </c>
      <c r="I100" s="94" t="b">
        <v>0</v>
      </c>
      <c r="J100" s="94" t="b">
        <v>0</v>
      </c>
      <c r="K100" s="94" t="b">
        <v>0</v>
      </c>
      <c r="L100" s="2138" t="b">
        <v>0</v>
      </c>
      <c r="M100" s="94" t="b">
        <v>0</v>
      </c>
      <c r="N100" s="94" t="b">
        <v>0</v>
      </c>
      <c r="O100" s="94" t="b">
        <v>0</v>
      </c>
    </row>
    <row r="101" ht="15.75" customHeight="1">
      <c r="A101" s="6">
        <v>100.0</v>
      </c>
      <c r="B101" s="103" t="s">
        <v>256</v>
      </c>
      <c r="C101" s="2163" t="s">
        <v>236</v>
      </c>
      <c r="D101" s="2135"/>
      <c r="E101" s="2141"/>
      <c r="H101" s="94" t="b">
        <v>0</v>
      </c>
      <c r="I101" s="94" t="b">
        <v>0</v>
      </c>
      <c r="J101" s="94" t="b">
        <v>0</v>
      </c>
      <c r="K101" s="94" t="b">
        <v>0</v>
      </c>
      <c r="L101" s="2138" t="b">
        <v>0</v>
      </c>
      <c r="M101" s="94" t="b">
        <v>0</v>
      </c>
      <c r="N101" s="94" t="b">
        <v>0</v>
      </c>
      <c r="O101" s="94" t="b">
        <v>0</v>
      </c>
    </row>
    <row r="102" ht="15.75" customHeight="1">
      <c r="A102" s="6">
        <v>101.0</v>
      </c>
      <c r="B102" s="103" t="s">
        <v>258</v>
      </c>
      <c r="C102" s="2163" t="s">
        <v>236</v>
      </c>
      <c r="D102" s="2135"/>
      <c r="E102" s="2141"/>
      <c r="H102" s="94" t="b">
        <v>0</v>
      </c>
      <c r="I102" s="94" t="b">
        <v>0</v>
      </c>
      <c r="J102" s="94" t="b">
        <v>0</v>
      </c>
      <c r="K102" s="94" t="b">
        <v>0</v>
      </c>
      <c r="L102" s="2138" t="b">
        <v>0</v>
      </c>
      <c r="M102" s="94" t="b">
        <v>0</v>
      </c>
      <c r="N102" s="94" t="b">
        <v>0</v>
      </c>
      <c r="O102" s="94" t="b">
        <v>0</v>
      </c>
    </row>
    <row r="103" ht="15.75" customHeight="1">
      <c r="A103" s="6">
        <v>102.0</v>
      </c>
      <c r="B103" s="103" t="s">
        <v>260</v>
      </c>
      <c r="C103" s="2163" t="s">
        <v>236</v>
      </c>
      <c r="D103" s="2135"/>
      <c r="E103" s="2141"/>
      <c r="H103" s="94" t="b">
        <v>0</v>
      </c>
      <c r="I103" s="94" t="b">
        <v>0</v>
      </c>
      <c r="J103" s="94" t="b">
        <v>0</v>
      </c>
      <c r="K103" s="94" t="b">
        <v>0</v>
      </c>
      <c r="L103" s="2138" t="b">
        <v>0</v>
      </c>
      <c r="M103" s="94" t="b">
        <v>0</v>
      </c>
      <c r="N103" s="94" t="b">
        <v>0</v>
      </c>
      <c r="O103" s="94" t="b">
        <v>0</v>
      </c>
    </row>
    <row r="104" ht="15.75" customHeight="1">
      <c r="A104" s="6">
        <v>103.0</v>
      </c>
      <c r="B104" s="103" t="s">
        <v>262</v>
      </c>
      <c r="C104" s="2163" t="s">
        <v>236</v>
      </c>
      <c r="D104" s="2135"/>
      <c r="E104" s="2141"/>
      <c r="H104" s="94" t="b">
        <v>0</v>
      </c>
      <c r="I104" s="94" t="b">
        <v>0</v>
      </c>
      <c r="J104" s="94" t="b">
        <v>0</v>
      </c>
      <c r="K104" s="94" t="b">
        <v>0</v>
      </c>
      <c r="L104" s="2138" t="b">
        <v>0</v>
      </c>
      <c r="M104" s="94" t="b">
        <v>0</v>
      </c>
      <c r="N104" s="94" t="b">
        <v>0</v>
      </c>
      <c r="O104" s="94" t="b">
        <v>0</v>
      </c>
    </row>
    <row r="105" ht="15.75" customHeight="1">
      <c r="A105" s="6">
        <v>104.0</v>
      </c>
      <c r="B105" s="103" t="s">
        <v>240</v>
      </c>
      <c r="C105" s="2163" t="s">
        <v>236</v>
      </c>
      <c r="D105" s="2135"/>
      <c r="E105" s="2141"/>
      <c r="H105" s="94" t="b">
        <v>0</v>
      </c>
      <c r="I105" s="94" t="b">
        <v>0</v>
      </c>
      <c r="J105" s="94" t="b">
        <v>0</v>
      </c>
      <c r="K105" s="94" t="b">
        <v>0</v>
      </c>
      <c r="L105" s="2138" t="b">
        <v>0</v>
      </c>
      <c r="M105" s="94" t="b">
        <v>0</v>
      </c>
      <c r="N105" s="94" t="b">
        <v>0</v>
      </c>
      <c r="O105" s="94" t="b">
        <v>0</v>
      </c>
    </row>
    <row r="106" ht="15.75" customHeight="1">
      <c r="A106" s="6">
        <v>105.0</v>
      </c>
      <c r="B106" s="103" t="s">
        <v>264</v>
      </c>
      <c r="C106" s="2163" t="s">
        <v>236</v>
      </c>
      <c r="D106" s="2135"/>
      <c r="E106" s="2141"/>
      <c r="H106" s="94" t="b">
        <v>0</v>
      </c>
      <c r="I106" s="94" t="b">
        <v>0</v>
      </c>
      <c r="J106" s="94" t="b">
        <v>0</v>
      </c>
      <c r="K106" s="94" t="b">
        <v>0</v>
      </c>
      <c r="L106" s="2138" t="b">
        <v>0</v>
      </c>
      <c r="M106" s="94" t="b">
        <v>0</v>
      </c>
      <c r="N106" s="94" t="b">
        <v>0</v>
      </c>
      <c r="O106" s="94" t="b">
        <v>0</v>
      </c>
    </row>
    <row r="107" ht="15.75" customHeight="1">
      <c r="A107" s="6">
        <v>106.0</v>
      </c>
      <c r="B107" s="103" t="s">
        <v>266</v>
      </c>
      <c r="C107" s="2163" t="s">
        <v>236</v>
      </c>
      <c r="D107" s="2135"/>
      <c r="E107" s="2141"/>
      <c r="H107" s="94" t="b">
        <v>0</v>
      </c>
      <c r="I107" s="94" t="b">
        <v>0</v>
      </c>
      <c r="J107" s="94" t="b">
        <v>0</v>
      </c>
      <c r="K107" s="94" t="b">
        <v>0</v>
      </c>
      <c r="L107" s="2138" t="b">
        <v>0</v>
      </c>
      <c r="M107" s="94" t="b">
        <v>0</v>
      </c>
      <c r="N107" s="94" t="b">
        <v>0</v>
      </c>
      <c r="O107" s="94" t="b">
        <v>0</v>
      </c>
    </row>
    <row r="108" ht="15.75" customHeight="1">
      <c r="A108" s="6">
        <v>107.0</v>
      </c>
      <c r="B108" s="103" t="s">
        <v>268</v>
      </c>
      <c r="C108" s="2163" t="s">
        <v>236</v>
      </c>
      <c r="D108" s="2135"/>
      <c r="E108" s="2141"/>
      <c r="H108" s="94" t="b">
        <v>0</v>
      </c>
      <c r="I108" s="94" t="b">
        <v>0</v>
      </c>
      <c r="J108" s="94" t="b">
        <v>0</v>
      </c>
      <c r="K108" s="94" t="b">
        <v>0</v>
      </c>
      <c r="L108" s="2138" t="b">
        <v>0</v>
      </c>
      <c r="M108" s="94" t="b">
        <v>0</v>
      </c>
      <c r="N108" s="94" t="b">
        <v>0</v>
      </c>
      <c r="O108" s="94" t="b">
        <v>0</v>
      </c>
    </row>
    <row r="109" ht="15.75" customHeight="1">
      <c r="A109" s="6">
        <v>108.0</v>
      </c>
      <c r="B109" s="103" t="s">
        <v>242</v>
      </c>
      <c r="C109" s="2163" t="s">
        <v>236</v>
      </c>
      <c r="D109" s="2135"/>
      <c r="E109" s="2141"/>
      <c r="H109" s="94" t="b">
        <v>0</v>
      </c>
      <c r="I109" s="94" t="b">
        <v>0</v>
      </c>
      <c r="J109" s="94" t="b">
        <v>0</v>
      </c>
      <c r="K109" s="94" t="b">
        <v>0</v>
      </c>
      <c r="L109" s="2138" t="b">
        <v>0</v>
      </c>
      <c r="M109" s="94" t="b">
        <v>0</v>
      </c>
      <c r="N109" s="94" t="b">
        <v>0</v>
      </c>
      <c r="O109" s="94" t="b">
        <v>0</v>
      </c>
    </row>
    <row r="110" ht="15.75" customHeight="1">
      <c r="A110" s="6">
        <v>109.0</v>
      </c>
      <c r="B110" s="103" t="s">
        <v>270</v>
      </c>
      <c r="C110" s="2163" t="s">
        <v>236</v>
      </c>
      <c r="D110" s="2135"/>
      <c r="E110" s="2141"/>
      <c r="H110" s="94" t="b">
        <v>0</v>
      </c>
      <c r="I110" s="94" t="b">
        <v>0</v>
      </c>
      <c r="J110" s="94" t="b">
        <v>0</v>
      </c>
      <c r="K110" s="94" t="b">
        <v>0</v>
      </c>
      <c r="L110" s="2138" t="b">
        <v>0</v>
      </c>
      <c r="M110" s="94" t="b">
        <v>0</v>
      </c>
      <c r="N110" s="94" t="b">
        <v>0</v>
      </c>
      <c r="O110" s="94" t="b">
        <v>0</v>
      </c>
    </row>
    <row r="111" ht="15.75" customHeight="1">
      <c r="A111" s="6">
        <v>110.0</v>
      </c>
      <c r="B111" s="103" t="s">
        <v>272</v>
      </c>
      <c r="C111" s="2163" t="s">
        <v>236</v>
      </c>
      <c r="D111" s="2135"/>
      <c r="E111" s="2141"/>
      <c r="H111" s="94" t="b">
        <v>0</v>
      </c>
      <c r="I111" s="94" t="b">
        <v>0</v>
      </c>
      <c r="J111" s="94" t="b">
        <v>0</v>
      </c>
      <c r="K111" s="94" t="b">
        <v>0</v>
      </c>
      <c r="L111" s="2138" t="b">
        <v>0</v>
      </c>
      <c r="M111" s="94" t="b">
        <v>0</v>
      </c>
      <c r="N111" s="94" t="b">
        <v>0</v>
      </c>
      <c r="O111" s="94" t="b">
        <v>0</v>
      </c>
    </row>
    <row r="112" ht="15.75" customHeight="1">
      <c r="A112" s="6">
        <v>111.0</v>
      </c>
      <c r="B112" s="103" t="s">
        <v>274</v>
      </c>
      <c r="C112" s="2163" t="s">
        <v>236</v>
      </c>
      <c r="D112" s="2135"/>
      <c r="E112" s="2141"/>
      <c r="H112" s="94" t="b">
        <v>0</v>
      </c>
      <c r="I112" s="94" t="b">
        <v>0</v>
      </c>
      <c r="J112" s="94" t="b">
        <v>0</v>
      </c>
      <c r="K112" s="94" t="b">
        <v>0</v>
      </c>
      <c r="L112" s="2138" t="b">
        <v>0</v>
      </c>
      <c r="M112" s="94" t="b">
        <v>0</v>
      </c>
      <c r="N112" s="94" t="b">
        <v>0</v>
      </c>
      <c r="O112" s="94" t="b">
        <v>0</v>
      </c>
    </row>
    <row r="113" ht="15.75" customHeight="1">
      <c r="A113" s="6">
        <v>112.0</v>
      </c>
      <c r="B113" s="103" t="s">
        <v>276</v>
      </c>
      <c r="C113" s="2163" t="s">
        <v>236</v>
      </c>
      <c r="D113" s="2135"/>
      <c r="E113" s="2141"/>
      <c r="H113" s="94" t="b">
        <v>0</v>
      </c>
      <c r="I113" s="94" t="b">
        <v>0</v>
      </c>
      <c r="J113" s="94" t="b">
        <v>0</v>
      </c>
      <c r="K113" s="94" t="b">
        <v>0</v>
      </c>
      <c r="L113" s="2138" t="b">
        <v>0</v>
      </c>
      <c r="M113" s="94" t="b">
        <v>0</v>
      </c>
      <c r="N113" s="94" t="b">
        <v>0</v>
      </c>
      <c r="O113" s="94" t="b">
        <v>0</v>
      </c>
    </row>
    <row r="114" ht="15.75" customHeight="1">
      <c r="A114" s="6">
        <v>113.0</v>
      </c>
      <c r="B114" s="103" t="s">
        <v>278</v>
      </c>
      <c r="C114" s="2163" t="s">
        <v>236</v>
      </c>
      <c r="D114" s="2135"/>
      <c r="E114" s="2141"/>
      <c r="H114" s="94" t="b">
        <v>0</v>
      </c>
      <c r="I114" s="94" t="b">
        <v>0</v>
      </c>
      <c r="J114" s="94" t="b">
        <v>0</v>
      </c>
      <c r="K114" s="94" t="b">
        <v>0</v>
      </c>
      <c r="L114" s="2138" t="b">
        <v>0</v>
      </c>
      <c r="M114" s="94" t="b">
        <v>0</v>
      </c>
      <c r="N114" s="94" t="b">
        <v>0</v>
      </c>
      <c r="O114" s="94" t="b">
        <v>0</v>
      </c>
    </row>
    <row r="115" ht="15.75" customHeight="1">
      <c r="A115" s="6">
        <v>114.0</v>
      </c>
      <c r="B115" s="103" t="s">
        <v>280</v>
      </c>
      <c r="C115" s="2163" t="s">
        <v>236</v>
      </c>
      <c r="D115" s="2135"/>
      <c r="E115" s="2141"/>
      <c r="H115" s="94" t="b">
        <v>0</v>
      </c>
      <c r="I115" s="94" t="b">
        <v>0</v>
      </c>
      <c r="J115" s="94" t="b">
        <v>0</v>
      </c>
      <c r="K115" s="94" t="b">
        <v>0</v>
      </c>
      <c r="L115" s="2138" t="b">
        <v>0</v>
      </c>
      <c r="M115" s="94" t="b">
        <v>0</v>
      </c>
      <c r="N115" s="94" t="b">
        <v>0</v>
      </c>
      <c r="O115" s="94" t="b">
        <v>0</v>
      </c>
    </row>
    <row r="116" ht="15.75" customHeight="1">
      <c r="A116" s="6">
        <v>115.0</v>
      </c>
      <c r="B116" s="103" t="s">
        <v>283</v>
      </c>
      <c r="C116" s="2163" t="s">
        <v>236</v>
      </c>
      <c r="D116" s="2135"/>
      <c r="E116" s="2141"/>
      <c r="H116" s="94" t="b">
        <v>0</v>
      </c>
      <c r="I116" s="94" t="b">
        <v>0</v>
      </c>
      <c r="J116" s="94" t="b">
        <v>0</v>
      </c>
      <c r="K116" s="94" t="b">
        <v>0</v>
      </c>
      <c r="L116" s="2138" t="b">
        <v>0</v>
      </c>
      <c r="M116" s="94" t="b">
        <v>0</v>
      </c>
      <c r="N116" s="94" t="b">
        <v>0</v>
      </c>
      <c r="O116" s="94" t="b">
        <v>0</v>
      </c>
    </row>
    <row r="117" ht="15.75" customHeight="1">
      <c r="A117" s="6">
        <v>116.0</v>
      </c>
      <c r="B117" s="103" t="s">
        <v>286</v>
      </c>
      <c r="C117" s="2163" t="s">
        <v>236</v>
      </c>
      <c r="D117" s="2135"/>
      <c r="E117" s="2141"/>
      <c r="H117" s="94" t="b">
        <v>0</v>
      </c>
      <c r="I117" s="94" t="b">
        <v>0</v>
      </c>
      <c r="J117" s="94" t="b">
        <v>0</v>
      </c>
      <c r="K117" s="94" t="b">
        <v>0</v>
      </c>
      <c r="L117" s="2138" t="b">
        <v>0</v>
      </c>
      <c r="M117" s="94" t="b">
        <v>0</v>
      </c>
      <c r="N117" s="94" t="b">
        <v>0</v>
      </c>
      <c r="O117" s="94" t="b">
        <v>0</v>
      </c>
    </row>
    <row r="118" ht="15.75" customHeight="1">
      <c r="A118" s="6">
        <v>117.0</v>
      </c>
      <c r="B118" s="103" t="s">
        <v>235</v>
      </c>
      <c r="C118" s="2163" t="s">
        <v>236</v>
      </c>
      <c r="D118" s="2135"/>
      <c r="E118" s="2141"/>
      <c r="H118" s="94" t="b">
        <v>0</v>
      </c>
      <c r="I118" s="94" t="b">
        <v>0</v>
      </c>
      <c r="J118" s="94" t="b">
        <v>0</v>
      </c>
      <c r="K118" s="94" t="b">
        <v>0</v>
      </c>
      <c r="L118" s="2138" t="b">
        <v>0</v>
      </c>
      <c r="M118" s="94" t="b">
        <v>0</v>
      </c>
      <c r="N118" s="94" t="b">
        <v>0</v>
      </c>
      <c r="O118" s="94" t="b">
        <v>0</v>
      </c>
    </row>
    <row r="119" ht="15.75" customHeight="1">
      <c r="A119" s="6">
        <v>118.0</v>
      </c>
      <c r="B119" s="81" t="s">
        <v>189</v>
      </c>
      <c r="C119" s="2164" t="s">
        <v>184</v>
      </c>
      <c r="D119" s="2167"/>
      <c r="E119" s="2168"/>
      <c r="F119" s="2169"/>
      <c r="G119" s="2169"/>
      <c r="H119" s="2169" t="b">
        <v>0</v>
      </c>
      <c r="I119" s="2169" t="b">
        <v>0</v>
      </c>
      <c r="J119" s="2169" t="b">
        <v>0</v>
      </c>
      <c r="K119" s="2169" t="b">
        <v>0</v>
      </c>
      <c r="L119" s="2170" t="b">
        <v>0</v>
      </c>
      <c r="M119" s="94" t="b">
        <v>0</v>
      </c>
      <c r="N119" s="94" t="b">
        <v>0</v>
      </c>
      <c r="O119" s="94" t="b">
        <v>0</v>
      </c>
    </row>
    <row r="120" ht="15.75" customHeight="1">
      <c r="D120" s="2171"/>
    </row>
    <row r="121" ht="15.75" customHeight="1">
      <c r="D121" s="2171"/>
    </row>
    <row r="122" ht="15.75" customHeight="1">
      <c r="D122" s="2171"/>
    </row>
    <row r="123" ht="15.75" customHeight="1">
      <c r="D123" s="2171"/>
    </row>
    <row r="124" ht="15.75" customHeight="1">
      <c r="D124" s="2171"/>
    </row>
    <row r="125" ht="15.75" customHeight="1">
      <c r="D125" s="2171"/>
    </row>
    <row r="126" ht="15.75" customHeight="1">
      <c r="D126" s="2171"/>
    </row>
    <row r="127" ht="15.75" customHeight="1">
      <c r="D127" s="2171"/>
    </row>
    <row r="128" ht="15.75" customHeight="1">
      <c r="D128" s="2171"/>
    </row>
    <row r="129" ht="15.75" customHeight="1">
      <c r="D129" s="2171"/>
    </row>
    <row r="130" ht="15.75" customHeight="1">
      <c r="D130" s="2171"/>
    </row>
    <row r="131" ht="15.75" customHeight="1">
      <c r="D131" s="2171"/>
    </row>
    <row r="132" ht="15.75" customHeight="1">
      <c r="D132" s="2171"/>
    </row>
    <row r="133" ht="15.75" customHeight="1">
      <c r="D133" s="2171"/>
    </row>
    <row r="134" ht="15.75" customHeight="1">
      <c r="D134" s="2171"/>
    </row>
    <row r="135" ht="15.75" customHeight="1">
      <c r="D135" s="2171"/>
    </row>
    <row r="136" ht="15.75" customHeight="1">
      <c r="D136" s="2171"/>
    </row>
    <row r="137" ht="15.75" customHeight="1">
      <c r="D137" s="2171"/>
    </row>
    <row r="138" ht="15.75" customHeight="1">
      <c r="D138" s="2171"/>
    </row>
    <row r="139" ht="15.75" customHeight="1">
      <c r="D139" s="2171"/>
    </row>
    <row r="140" ht="15.75" customHeight="1">
      <c r="D140" s="2171"/>
    </row>
    <row r="141" ht="15.75" customHeight="1">
      <c r="D141" s="2171"/>
    </row>
    <row r="142" ht="15.75" customHeight="1">
      <c r="D142" s="2171"/>
    </row>
    <row r="143" ht="15.75" customHeight="1">
      <c r="D143" s="2171"/>
    </row>
    <row r="144" ht="15.75" customHeight="1">
      <c r="D144" s="2171"/>
    </row>
    <row r="145" ht="15.75" customHeight="1">
      <c r="D145" s="2171"/>
    </row>
    <row r="146" ht="15.75" customHeight="1">
      <c r="D146" s="2171"/>
    </row>
    <row r="147" ht="15.75" customHeight="1">
      <c r="D147" s="2171"/>
    </row>
    <row r="148" ht="15.75" customHeight="1">
      <c r="D148" s="2171"/>
    </row>
    <row r="149" ht="15.75" customHeight="1">
      <c r="D149" s="2171"/>
    </row>
    <row r="150" ht="15.75" customHeight="1">
      <c r="D150" s="2171"/>
    </row>
    <row r="151" ht="15.75" customHeight="1">
      <c r="D151" s="2171"/>
    </row>
    <row r="152" ht="15.75" customHeight="1">
      <c r="D152" s="2171"/>
    </row>
    <row r="153" ht="15.75" customHeight="1">
      <c r="D153" s="2171"/>
    </row>
    <row r="154" ht="15.75" customHeight="1">
      <c r="D154" s="2171"/>
    </row>
    <row r="155" ht="15.75" customHeight="1">
      <c r="D155" s="2171"/>
    </row>
    <row r="156" ht="15.75" customHeight="1">
      <c r="D156" s="2171"/>
    </row>
    <row r="157" ht="15.75" customHeight="1">
      <c r="D157" s="2171"/>
    </row>
    <row r="158" ht="15.75" customHeight="1">
      <c r="D158" s="2171"/>
    </row>
    <row r="159" ht="15.75" customHeight="1">
      <c r="D159" s="2171"/>
    </row>
    <row r="160" ht="15.75" customHeight="1">
      <c r="D160" s="2171"/>
    </row>
    <row r="161" ht="15.75" customHeight="1">
      <c r="D161" s="2171"/>
    </row>
    <row r="162" ht="15.75" customHeight="1">
      <c r="D162" s="2171"/>
    </row>
    <row r="163" ht="15.75" customHeight="1">
      <c r="D163" s="2171"/>
    </row>
    <row r="164" ht="15.75" customHeight="1">
      <c r="D164" s="2171"/>
    </row>
    <row r="165" ht="15.75" customHeight="1">
      <c r="D165" s="2171"/>
    </row>
    <row r="166" ht="15.75" customHeight="1">
      <c r="D166" s="2171"/>
    </row>
    <row r="167" ht="15.75" customHeight="1">
      <c r="D167" s="2171"/>
    </row>
    <row r="168" ht="15.75" customHeight="1">
      <c r="D168" s="2171"/>
    </row>
    <row r="169" ht="15.75" customHeight="1">
      <c r="D169" s="2171"/>
    </row>
    <row r="170" ht="15.75" customHeight="1">
      <c r="D170" s="2171"/>
    </row>
    <row r="171" ht="15.75" customHeight="1">
      <c r="D171" s="2171"/>
    </row>
    <row r="172" ht="15.75" customHeight="1">
      <c r="D172" s="2171"/>
    </row>
    <row r="173" ht="15.75" customHeight="1">
      <c r="D173" s="2171"/>
    </row>
    <row r="174" ht="15.75" customHeight="1">
      <c r="D174" s="2171"/>
    </row>
    <row r="175" ht="15.75" customHeight="1">
      <c r="D175" s="2171"/>
    </row>
    <row r="176" ht="15.75" customHeight="1">
      <c r="D176" s="2171"/>
    </row>
    <row r="177" ht="15.75" customHeight="1">
      <c r="D177" s="2171"/>
    </row>
    <row r="178" ht="15.75" customHeight="1">
      <c r="D178" s="2171"/>
    </row>
    <row r="179" ht="15.75" customHeight="1">
      <c r="D179" s="2171"/>
    </row>
    <row r="180" ht="15.75" customHeight="1">
      <c r="D180" s="2171"/>
    </row>
    <row r="181" ht="15.75" customHeight="1">
      <c r="D181" s="2171"/>
    </row>
    <row r="182" ht="15.75" customHeight="1">
      <c r="D182" s="2171"/>
    </row>
    <row r="183" ht="15.75" customHeight="1">
      <c r="D183" s="2171"/>
    </row>
    <row r="184" ht="15.75" customHeight="1">
      <c r="D184" s="2171"/>
    </row>
    <row r="185" ht="15.75" customHeight="1">
      <c r="D185" s="2171"/>
    </row>
    <row r="186" ht="15.75" customHeight="1">
      <c r="D186" s="2171"/>
    </row>
    <row r="187" ht="15.75" customHeight="1">
      <c r="D187" s="2171"/>
    </row>
    <row r="188" ht="15.75" customHeight="1">
      <c r="D188" s="2171"/>
    </row>
    <row r="189" ht="15.75" customHeight="1">
      <c r="D189" s="2171"/>
    </row>
    <row r="190" ht="15.75" customHeight="1">
      <c r="D190" s="2171"/>
    </row>
    <row r="191" ht="15.75" customHeight="1">
      <c r="D191" s="2171"/>
    </row>
    <row r="192" ht="15.75" customHeight="1">
      <c r="D192" s="2171"/>
    </row>
    <row r="193" ht="15.75" customHeight="1">
      <c r="D193" s="2171"/>
    </row>
    <row r="194" ht="15.75" customHeight="1">
      <c r="D194" s="2171"/>
    </row>
    <row r="195" ht="15.75" customHeight="1">
      <c r="D195" s="2171"/>
    </row>
    <row r="196" ht="15.75" customHeight="1">
      <c r="D196" s="2171"/>
    </row>
    <row r="197" ht="15.75" customHeight="1">
      <c r="D197" s="2171"/>
    </row>
    <row r="198" ht="15.75" customHeight="1">
      <c r="D198" s="2171"/>
    </row>
    <row r="199" ht="15.75" customHeight="1">
      <c r="D199" s="2171"/>
    </row>
    <row r="200" ht="15.75" customHeight="1">
      <c r="D200" s="2171"/>
    </row>
    <row r="201" ht="15.75" customHeight="1">
      <c r="D201" s="2171"/>
    </row>
    <row r="202" ht="15.75" customHeight="1">
      <c r="D202" s="2171"/>
    </row>
    <row r="203" ht="15.75" customHeight="1">
      <c r="D203" s="2171"/>
    </row>
    <row r="204" ht="15.75" customHeight="1">
      <c r="D204" s="2171"/>
    </row>
    <row r="205" ht="15.75" customHeight="1">
      <c r="D205" s="2171"/>
    </row>
    <row r="206" ht="15.75" customHeight="1">
      <c r="D206" s="2171"/>
    </row>
    <row r="207" ht="15.75" customHeight="1">
      <c r="D207" s="2171"/>
    </row>
    <row r="208" ht="15.75" customHeight="1">
      <c r="D208" s="2171"/>
    </row>
    <row r="209" ht="15.75" customHeight="1">
      <c r="D209" s="2171"/>
    </row>
    <row r="210" ht="15.75" customHeight="1">
      <c r="D210" s="2171"/>
    </row>
    <row r="211" ht="15.75" customHeight="1">
      <c r="D211" s="2171"/>
    </row>
    <row r="212" ht="15.75" customHeight="1">
      <c r="D212" s="2171"/>
    </row>
    <row r="213" ht="15.75" customHeight="1">
      <c r="D213" s="2171"/>
    </row>
    <row r="214" ht="15.75" customHeight="1">
      <c r="D214" s="2171"/>
    </row>
    <row r="215" ht="15.75" customHeight="1">
      <c r="D215" s="2171"/>
    </row>
    <row r="216" ht="15.75" customHeight="1">
      <c r="D216" s="2171"/>
    </row>
    <row r="217" ht="15.75" customHeight="1">
      <c r="D217" s="2171"/>
    </row>
    <row r="218" ht="15.75" customHeight="1">
      <c r="D218" s="2171"/>
    </row>
    <row r="219" ht="15.75" customHeight="1">
      <c r="D219" s="2171"/>
    </row>
    <row r="220" ht="15.75" customHeight="1">
      <c r="D220" s="2171"/>
    </row>
    <row r="221" ht="15.75" customHeight="1">
      <c r="D221" s="2171"/>
    </row>
    <row r="222" ht="15.75" customHeight="1">
      <c r="D222" s="2171"/>
    </row>
    <row r="223" ht="15.75" customHeight="1">
      <c r="D223" s="2171"/>
    </row>
    <row r="224" ht="15.75" customHeight="1">
      <c r="D224" s="2171"/>
    </row>
    <row r="225" ht="15.75" customHeight="1">
      <c r="D225" s="2171"/>
    </row>
    <row r="226" ht="15.75" customHeight="1">
      <c r="D226" s="2171"/>
    </row>
    <row r="227" ht="15.75" customHeight="1">
      <c r="D227" s="2171"/>
    </row>
    <row r="228" ht="15.75" customHeight="1">
      <c r="D228" s="2171"/>
    </row>
    <row r="229" ht="15.75" customHeight="1">
      <c r="D229" s="2171"/>
    </row>
    <row r="230" ht="15.75" customHeight="1">
      <c r="D230" s="2171"/>
    </row>
    <row r="231" ht="15.75" customHeight="1">
      <c r="D231" s="2171"/>
    </row>
    <row r="232" ht="15.75" customHeight="1">
      <c r="D232" s="2171"/>
    </row>
    <row r="233" ht="15.75" customHeight="1">
      <c r="D233" s="2171"/>
    </row>
    <row r="234" ht="15.75" customHeight="1">
      <c r="D234" s="2171"/>
    </row>
    <row r="235" ht="15.75" customHeight="1">
      <c r="D235" s="2171"/>
    </row>
    <row r="236" ht="15.75" customHeight="1">
      <c r="D236" s="2171"/>
    </row>
    <row r="237" ht="15.75" customHeight="1">
      <c r="D237" s="2171"/>
    </row>
    <row r="238" ht="15.75" customHeight="1">
      <c r="D238" s="2171"/>
    </row>
    <row r="239" ht="15.75" customHeight="1">
      <c r="D239" s="2171"/>
    </row>
    <row r="240" ht="15.75" customHeight="1">
      <c r="D240" s="2171"/>
    </row>
    <row r="241" ht="15.75" customHeight="1">
      <c r="D241" s="2171"/>
    </row>
    <row r="242" ht="15.75" customHeight="1">
      <c r="D242" s="2171"/>
    </row>
    <row r="243" ht="15.75" customHeight="1">
      <c r="D243" s="2171"/>
    </row>
    <row r="244" ht="15.75" customHeight="1">
      <c r="D244" s="2171"/>
    </row>
    <row r="245" ht="15.75" customHeight="1">
      <c r="D245" s="2171"/>
    </row>
    <row r="246" ht="15.75" customHeight="1">
      <c r="D246" s="2171"/>
    </row>
    <row r="247" ht="15.75" customHeight="1">
      <c r="D247" s="2171"/>
    </row>
    <row r="248" ht="15.75" customHeight="1">
      <c r="D248" s="2171"/>
    </row>
    <row r="249" ht="15.75" customHeight="1">
      <c r="D249" s="2171"/>
    </row>
    <row r="250" ht="15.75" customHeight="1">
      <c r="D250" s="2171"/>
    </row>
    <row r="251" ht="15.75" customHeight="1">
      <c r="D251" s="2171"/>
    </row>
    <row r="252" ht="15.75" customHeight="1">
      <c r="D252" s="2171"/>
    </row>
    <row r="253" ht="15.75" customHeight="1">
      <c r="D253" s="2171"/>
    </row>
    <row r="254" ht="15.75" customHeight="1">
      <c r="D254" s="2171"/>
    </row>
    <row r="255" ht="15.75" customHeight="1">
      <c r="D255" s="2171"/>
    </row>
    <row r="256" ht="15.75" customHeight="1">
      <c r="D256" s="2171"/>
    </row>
    <row r="257" ht="15.75" customHeight="1">
      <c r="D257" s="2171"/>
    </row>
    <row r="258" ht="15.75" customHeight="1">
      <c r="D258" s="2171"/>
    </row>
    <row r="259" ht="15.75" customHeight="1">
      <c r="D259" s="2171"/>
    </row>
    <row r="260" ht="15.75" customHeight="1">
      <c r="D260" s="2171"/>
    </row>
    <row r="261" ht="15.75" customHeight="1">
      <c r="D261" s="2171"/>
    </row>
    <row r="262" ht="15.75" customHeight="1">
      <c r="D262" s="2171"/>
    </row>
    <row r="263" ht="15.75" customHeight="1">
      <c r="D263" s="2171"/>
    </row>
    <row r="264" ht="15.75" customHeight="1">
      <c r="D264" s="2171"/>
    </row>
    <row r="265" ht="15.75" customHeight="1">
      <c r="D265" s="2171"/>
    </row>
    <row r="266" ht="15.75" customHeight="1">
      <c r="D266" s="2171"/>
    </row>
    <row r="267" ht="15.75" customHeight="1">
      <c r="D267" s="2171"/>
    </row>
    <row r="268" ht="15.75" customHeight="1">
      <c r="D268" s="2171"/>
    </row>
    <row r="269" ht="15.75" customHeight="1">
      <c r="D269" s="2171"/>
    </row>
    <row r="270" ht="15.75" customHeight="1">
      <c r="D270" s="2171"/>
    </row>
    <row r="271" ht="15.75" customHeight="1">
      <c r="D271" s="2171"/>
    </row>
    <row r="272" ht="15.75" customHeight="1">
      <c r="D272" s="2171"/>
    </row>
    <row r="273" ht="15.75" customHeight="1">
      <c r="D273" s="2171"/>
    </row>
    <row r="274" ht="15.75" customHeight="1">
      <c r="D274" s="2171"/>
    </row>
    <row r="275" ht="15.75" customHeight="1">
      <c r="D275" s="2171"/>
    </row>
    <row r="276" ht="15.75" customHeight="1">
      <c r="D276" s="2171"/>
    </row>
    <row r="277" ht="15.75" customHeight="1">
      <c r="D277" s="2171"/>
    </row>
    <row r="278" ht="15.75" customHeight="1">
      <c r="D278" s="2171"/>
    </row>
    <row r="279" ht="15.75" customHeight="1">
      <c r="D279" s="2171"/>
    </row>
    <row r="280" ht="15.75" customHeight="1">
      <c r="D280" s="2171"/>
    </row>
    <row r="281" ht="15.75" customHeight="1">
      <c r="D281" s="2171"/>
    </row>
    <row r="282" ht="15.75" customHeight="1">
      <c r="D282" s="2171"/>
    </row>
    <row r="283" ht="15.75" customHeight="1">
      <c r="D283" s="2171"/>
    </row>
    <row r="284" ht="15.75" customHeight="1">
      <c r="D284" s="2171"/>
    </row>
    <row r="285" ht="15.75" customHeight="1">
      <c r="D285" s="2171"/>
    </row>
    <row r="286" ht="15.75" customHeight="1">
      <c r="D286" s="2171"/>
    </row>
    <row r="287" ht="15.75" customHeight="1">
      <c r="D287" s="2171"/>
    </row>
    <row r="288" ht="15.75" customHeight="1">
      <c r="D288" s="2171"/>
    </row>
    <row r="289" ht="15.75" customHeight="1">
      <c r="D289" s="2171"/>
    </row>
    <row r="290" ht="15.75" customHeight="1">
      <c r="D290" s="2171"/>
    </row>
    <row r="291" ht="15.75" customHeight="1">
      <c r="D291" s="2171"/>
    </row>
    <row r="292" ht="15.75" customHeight="1">
      <c r="D292" s="2171"/>
    </row>
    <row r="293" ht="15.75" customHeight="1">
      <c r="D293" s="2171"/>
    </row>
    <row r="294" ht="15.75" customHeight="1">
      <c r="D294" s="2171"/>
    </row>
    <row r="295" ht="15.75" customHeight="1">
      <c r="D295" s="2171"/>
    </row>
    <row r="296" ht="15.75" customHeight="1">
      <c r="D296" s="2171"/>
    </row>
    <row r="297" ht="15.75" customHeight="1">
      <c r="D297" s="2171"/>
    </row>
    <row r="298" ht="15.75" customHeight="1">
      <c r="D298" s="2171"/>
    </row>
    <row r="299" ht="15.75" customHeight="1">
      <c r="D299" s="2171"/>
    </row>
    <row r="300" ht="15.75" customHeight="1">
      <c r="D300" s="2171"/>
    </row>
    <row r="301" ht="15.75" customHeight="1">
      <c r="D301" s="2171"/>
    </row>
    <row r="302" ht="15.75" customHeight="1">
      <c r="D302" s="2171"/>
    </row>
    <row r="303" ht="15.75" customHeight="1">
      <c r="D303" s="2171"/>
    </row>
    <row r="304" ht="15.75" customHeight="1">
      <c r="D304" s="2171"/>
    </row>
    <row r="305" ht="15.75" customHeight="1">
      <c r="D305" s="2171"/>
    </row>
    <row r="306" ht="15.75" customHeight="1">
      <c r="D306" s="2171"/>
    </row>
    <row r="307" ht="15.75" customHeight="1">
      <c r="D307" s="2171"/>
    </row>
    <row r="308" ht="15.75" customHeight="1">
      <c r="D308" s="2171"/>
    </row>
    <row r="309" ht="15.75" customHeight="1">
      <c r="D309" s="2171"/>
    </row>
    <row r="310" ht="15.75" customHeight="1">
      <c r="D310" s="2171"/>
    </row>
    <row r="311" ht="15.75" customHeight="1">
      <c r="D311" s="2171"/>
    </row>
    <row r="312" ht="15.75" customHeight="1">
      <c r="D312" s="2171"/>
    </row>
    <row r="313" ht="15.75" customHeight="1">
      <c r="D313" s="2171"/>
    </row>
    <row r="314" ht="15.75" customHeight="1">
      <c r="D314" s="2171"/>
    </row>
    <row r="315" ht="15.75" customHeight="1">
      <c r="D315" s="2171"/>
    </row>
    <row r="316" ht="15.75" customHeight="1">
      <c r="D316" s="2171"/>
    </row>
    <row r="317" ht="15.75" customHeight="1">
      <c r="D317" s="2171"/>
    </row>
    <row r="318" ht="15.75" customHeight="1">
      <c r="D318" s="2171"/>
    </row>
    <row r="319" ht="15.75" customHeight="1">
      <c r="D319" s="2171"/>
    </row>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C$119"/>
  <mergeCells count="4">
    <mergeCell ref="D20:D22"/>
    <mergeCell ref="E20:E22"/>
    <mergeCell ref="F20:F22"/>
    <mergeCell ref="G20:G22"/>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0" customHeight="1">
      <c r="A1" s="94" t="str">
        <f>IFERROR(__xludf.DUMMYFUNCTION("IMPORTRANGE(""13HXKq-mK3SXEcNexcSOTZY0F7_-LPPGpQHkkVE5LR0Y"",""mavi!A1:X"")"),"#REF!")</f>
        <v>#REF!</v>
      </c>
      <c r="B1" s="94"/>
      <c r="C1" s="1164"/>
      <c r="D1" s="94"/>
      <c r="E1" s="94"/>
      <c r="F1" s="1429"/>
      <c r="G1" s="1429"/>
      <c r="H1" s="1430"/>
      <c r="I1" s="1430"/>
      <c r="J1" s="1164"/>
      <c r="K1" s="94"/>
      <c r="L1" s="1430"/>
      <c r="M1" s="1430"/>
      <c r="N1" s="94"/>
      <c r="O1" s="94"/>
      <c r="P1" s="94"/>
      <c r="Q1" s="1431"/>
      <c r="R1" s="1430"/>
      <c r="S1" s="1164"/>
      <c r="T1" s="1164"/>
      <c r="U1" s="1164"/>
      <c r="V1" s="1164"/>
      <c r="W1" s="1164"/>
      <c r="X1" s="2172"/>
    </row>
    <row r="2" ht="15.75" customHeight="1">
      <c r="A2" s="94"/>
      <c r="B2" s="94"/>
      <c r="C2" s="94"/>
      <c r="D2" s="94"/>
      <c r="E2" s="94"/>
      <c r="F2" s="94"/>
      <c r="G2" s="94"/>
      <c r="H2" s="94"/>
      <c r="I2" s="94"/>
      <c r="J2" s="94"/>
      <c r="K2" s="94"/>
      <c r="L2" s="94"/>
      <c r="M2" s="94"/>
      <c r="N2" s="94"/>
      <c r="O2" s="94"/>
      <c r="P2" s="94"/>
      <c r="Q2" s="94"/>
      <c r="R2" s="94"/>
      <c r="S2" s="94"/>
      <c r="T2" s="94"/>
      <c r="U2" s="2173"/>
      <c r="V2" s="2173"/>
      <c r="W2" s="2173"/>
      <c r="X2" s="94"/>
    </row>
    <row r="3" ht="15.75" customHeight="1">
      <c r="A3" s="94"/>
      <c r="B3" s="94"/>
      <c r="C3" s="1164"/>
      <c r="D3" s="1429"/>
      <c r="E3" s="1429"/>
      <c r="F3" s="1429"/>
      <c r="G3" s="1429"/>
      <c r="H3" s="1430"/>
      <c r="I3" s="1430"/>
      <c r="J3" s="94"/>
      <c r="K3" s="94"/>
      <c r="L3" s="94"/>
      <c r="M3" s="94"/>
      <c r="N3" s="94"/>
      <c r="O3" s="94"/>
      <c r="P3" s="94"/>
      <c r="Q3" s="1431"/>
      <c r="R3" s="1430"/>
      <c r="S3" s="1164"/>
      <c r="T3" s="1164"/>
      <c r="U3" s="94"/>
      <c r="V3" s="94"/>
      <c r="W3" s="94"/>
      <c r="X3" s="1164"/>
    </row>
    <row r="4" ht="15.75" customHeight="1">
      <c r="A4" s="94"/>
      <c r="B4" s="94"/>
      <c r="C4" s="1164"/>
      <c r="D4" s="1429"/>
      <c r="E4" s="1429"/>
      <c r="F4" s="1429"/>
      <c r="G4" s="1429"/>
      <c r="H4" s="1430"/>
      <c r="I4" s="1430"/>
      <c r="J4" s="94"/>
      <c r="K4" s="94"/>
      <c r="L4" s="94"/>
      <c r="M4" s="94"/>
      <c r="N4" s="94"/>
      <c r="O4" s="94"/>
      <c r="P4" s="94"/>
      <c r="Q4" s="1431"/>
      <c r="R4" s="1430"/>
      <c r="S4" s="1164"/>
      <c r="T4" s="1164"/>
      <c r="U4" s="94"/>
      <c r="V4" s="94"/>
      <c r="W4" s="94"/>
      <c r="X4" s="1164"/>
    </row>
    <row r="5" ht="15.75" customHeight="1">
      <c r="A5" s="94"/>
      <c r="B5" s="94"/>
      <c r="C5" s="1164"/>
      <c r="D5" s="1429"/>
      <c r="E5" s="1429"/>
      <c r="F5" s="1429"/>
      <c r="G5" s="1429"/>
      <c r="H5" s="1430"/>
      <c r="I5" s="1430"/>
      <c r="J5" s="94"/>
      <c r="K5" s="94"/>
      <c r="L5" s="94"/>
      <c r="M5" s="1430"/>
      <c r="N5" s="1430"/>
      <c r="O5" s="1430"/>
      <c r="P5" s="94"/>
      <c r="Q5" s="1431"/>
      <c r="R5" s="1430"/>
      <c r="S5" s="1164"/>
      <c r="T5" s="1164"/>
      <c r="U5" s="2174"/>
      <c r="V5" s="2174"/>
      <c r="W5" s="2174"/>
      <c r="X5" s="1164"/>
    </row>
    <row r="6" ht="15.75" customHeight="1">
      <c r="A6" s="94"/>
      <c r="B6" s="94"/>
      <c r="C6" s="1164"/>
      <c r="D6" s="1429"/>
      <c r="E6" s="1429"/>
      <c r="F6" s="1429"/>
      <c r="G6" s="1429"/>
      <c r="H6" s="1430"/>
      <c r="I6" s="1430"/>
      <c r="J6" s="94"/>
      <c r="K6" s="94"/>
      <c r="L6" s="94"/>
      <c r="M6" s="1430"/>
      <c r="N6" s="1430"/>
      <c r="O6" s="1430"/>
      <c r="P6" s="94"/>
      <c r="Q6" s="1431"/>
      <c r="R6" s="1430"/>
      <c r="S6" s="1164"/>
      <c r="T6" s="1164"/>
      <c r="U6" s="2174"/>
      <c r="V6" s="2174"/>
      <c r="W6" s="2174"/>
      <c r="X6" s="1164"/>
    </row>
    <row r="7" ht="15.75" customHeight="1">
      <c r="A7" s="94"/>
      <c r="B7" s="94"/>
      <c r="C7" s="1164"/>
      <c r="D7" s="1429"/>
      <c r="E7" s="1429"/>
      <c r="F7" s="1429"/>
      <c r="G7" s="1429"/>
      <c r="H7" s="1430"/>
      <c r="I7" s="1430"/>
      <c r="J7" s="94"/>
      <c r="K7" s="94"/>
      <c r="L7" s="94"/>
      <c r="M7" s="1430"/>
      <c r="N7" s="1430"/>
      <c r="O7" s="1430"/>
      <c r="P7" s="94"/>
      <c r="Q7" s="1431"/>
      <c r="R7" s="1430"/>
      <c r="S7" s="1164"/>
      <c r="T7" s="1164"/>
      <c r="U7" s="2174"/>
      <c r="V7" s="2174"/>
      <c r="W7" s="2174"/>
      <c r="X7" s="1164"/>
    </row>
    <row r="8" ht="15.75" customHeight="1">
      <c r="A8" s="94"/>
      <c r="B8" s="94"/>
      <c r="C8" s="1164"/>
      <c r="D8" s="1429"/>
      <c r="E8" s="1429"/>
      <c r="F8" s="1429"/>
      <c r="G8" s="1429"/>
      <c r="H8" s="1430"/>
      <c r="I8" s="94"/>
      <c r="J8" s="1164"/>
      <c r="K8" s="94"/>
      <c r="L8" s="94"/>
      <c r="M8" s="1430"/>
      <c r="N8" s="1430"/>
      <c r="O8" s="1430"/>
      <c r="P8" s="94"/>
      <c r="Q8" s="1431"/>
      <c r="R8" s="1430"/>
      <c r="S8" s="1164"/>
      <c r="T8" s="1164"/>
      <c r="U8" s="2174"/>
      <c r="V8" s="2174"/>
      <c r="W8" s="94"/>
      <c r="X8" s="1164"/>
    </row>
    <row r="9" ht="15.75" customHeight="1">
      <c r="A9" s="94"/>
      <c r="B9" s="94"/>
      <c r="C9" s="1164"/>
      <c r="D9" s="1429"/>
      <c r="E9" s="1429"/>
      <c r="F9" s="1429"/>
      <c r="G9" s="1429"/>
      <c r="H9" s="1430"/>
      <c r="I9" s="1430"/>
      <c r="J9" s="94"/>
      <c r="K9" s="94"/>
      <c r="L9" s="94"/>
      <c r="M9" s="1430"/>
      <c r="N9" s="1430"/>
      <c r="O9" s="1430"/>
      <c r="P9" s="94"/>
      <c r="Q9" s="1431"/>
      <c r="R9" s="1430"/>
      <c r="S9" s="1164"/>
      <c r="T9" s="1164"/>
      <c r="U9" s="2174"/>
      <c r="V9" s="2174"/>
      <c r="W9" s="2174"/>
      <c r="X9" s="1164"/>
    </row>
    <row r="10" ht="15.75" customHeight="1">
      <c r="A10" s="94"/>
      <c r="B10" s="94"/>
      <c r="C10" s="1164"/>
      <c r="D10" s="1429"/>
      <c r="E10" s="1429"/>
      <c r="F10" s="1429"/>
      <c r="G10" s="1429"/>
      <c r="H10" s="1430"/>
      <c r="I10" s="94"/>
      <c r="J10" s="1164"/>
      <c r="K10" s="94"/>
      <c r="L10" s="94"/>
      <c r="M10" s="1430"/>
      <c r="N10" s="1430"/>
      <c r="O10" s="1430"/>
      <c r="P10" s="94"/>
      <c r="Q10" s="1431"/>
      <c r="R10" s="1430"/>
      <c r="S10" s="1164"/>
      <c r="T10" s="1164"/>
      <c r="U10" s="2174"/>
      <c r="V10" s="2174"/>
      <c r="W10" s="94"/>
      <c r="X10" s="1164"/>
    </row>
    <row r="11" ht="15.75" customHeight="1">
      <c r="A11" s="94"/>
      <c r="B11" s="94"/>
      <c r="C11" s="1164"/>
      <c r="D11" s="1429"/>
      <c r="E11" s="1429"/>
      <c r="F11" s="1429"/>
      <c r="G11" s="1429"/>
      <c r="H11" s="1430"/>
      <c r="I11" s="1430"/>
      <c r="J11" s="94"/>
      <c r="K11" s="94"/>
      <c r="L11" s="94"/>
      <c r="M11" s="1430"/>
      <c r="N11" s="1430"/>
      <c r="O11" s="1430"/>
      <c r="P11" s="94"/>
      <c r="Q11" s="1431"/>
      <c r="R11" s="1430"/>
      <c r="S11" s="1164"/>
      <c r="T11" s="1164"/>
      <c r="U11" s="2174"/>
      <c r="V11" s="2174"/>
      <c r="W11" s="2174"/>
      <c r="X11" s="1164"/>
    </row>
    <row r="12" ht="15.75" customHeight="1">
      <c r="A12" s="94"/>
      <c r="B12" s="94"/>
      <c r="C12" s="1164"/>
      <c r="D12" s="1429"/>
      <c r="E12" s="1429"/>
      <c r="F12" s="1429"/>
      <c r="G12" s="1429"/>
      <c r="H12" s="1430"/>
      <c r="I12" s="1430"/>
      <c r="J12" s="94"/>
      <c r="K12" s="94"/>
      <c r="L12" s="94"/>
      <c r="M12" s="1430"/>
      <c r="N12" s="1430"/>
      <c r="O12" s="1430"/>
      <c r="P12" s="94"/>
      <c r="Q12" s="1431"/>
      <c r="R12" s="1430"/>
      <c r="S12" s="1164"/>
      <c r="T12" s="1164"/>
      <c r="U12" s="2174"/>
      <c r="V12" s="2174"/>
      <c r="W12" s="2174"/>
      <c r="X12" s="1164"/>
    </row>
    <row r="13" ht="15.75" customHeight="1">
      <c r="A13" s="94"/>
      <c r="B13" s="94"/>
      <c r="C13" s="94"/>
      <c r="D13" s="94"/>
      <c r="E13" s="94"/>
      <c r="F13" s="94"/>
      <c r="G13" s="94"/>
      <c r="H13" s="1164"/>
      <c r="I13" s="1164"/>
      <c r="J13" s="1164"/>
      <c r="K13" s="1430"/>
      <c r="L13" s="1430"/>
      <c r="M13" s="2174"/>
      <c r="N13" s="1430"/>
      <c r="O13" s="1430"/>
      <c r="P13" s="1430"/>
      <c r="Q13" s="94"/>
      <c r="R13" s="1430"/>
      <c r="S13" s="94"/>
      <c r="T13" s="1164"/>
      <c r="U13" s="94"/>
      <c r="V13" s="94"/>
      <c r="W13" s="94"/>
      <c r="X13" s="1430"/>
    </row>
    <row r="14" ht="15.75" customHeight="1">
      <c r="A14" s="94"/>
      <c r="B14" s="94"/>
      <c r="C14" s="1164"/>
      <c r="D14" s="1429"/>
      <c r="E14" s="1429"/>
      <c r="F14" s="1429"/>
      <c r="G14" s="1429"/>
      <c r="H14" s="1430"/>
      <c r="I14" s="1430"/>
      <c r="J14" s="94"/>
      <c r="K14" s="94"/>
      <c r="L14" s="94"/>
      <c r="M14" s="94"/>
      <c r="N14" s="94"/>
      <c r="O14" s="94"/>
      <c r="P14" s="94"/>
      <c r="Q14" s="1431"/>
      <c r="R14" s="1430"/>
      <c r="S14" s="1164"/>
      <c r="T14" s="1164"/>
      <c r="U14" s="94"/>
      <c r="V14" s="94"/>
      <c r="W14" s="94"/>
      <c r="X14" s="1164"/>
    </row>
    <row r="15" ht="15.75" customHeight="1">
      <c r="A15" s="94"/>
      <c r="B15" s="94"/>
      <c r="C15" s="1164"/>
      <c r="D15" s="1429"/>
      <c r="E15" s="1429"/>
      <c r="F15" s="1429"/>
      <c r="G15" s="1429"/>
      <c r="H15" s="1430"/>
      <c r="I15" s="1430"/>
      <c r="J15" s="94"/>
      <c r="K15" s="94"/>
      <c r="L15" s="94"/>
      <c r="M15" s="94"/>
      <c r="N15" s="94"/>
      <c r="O15" s="94"/>
      <c r="P15" s="94"/>
      <c r="Q15" s="1431"/>
      <c r="R15" s="1430"/>
      <c r="S15" s="1164"/>
      <c r="T15" s="1164"/>
      <c r="U15" s="94"/>
      <c r="V15" s="94"/>
      <c r="W15" s="94"/>
      <c r="X15" s="1164"/>
    </row>
    <row r="16" ht="15.75" customHeight="1">
      <c r="A16" s="94"/>
      <c r="B16" s="94"/>
      <c r="C16" s="1164"/>
      <c r="D16" s="1429"/>
      <c r="E16" s="1429"/>
      <c r="F16" s="1429"/>
      <c r="G16" s="1429"/>
      <c r="H16" s="1430"/>
      <c r="I16" s="94"/>
      <c r="J16" s="1164"/>
      <c r="K16" s="94"/>
      <c r="L16" s="94"/>
      <c r="M16" s="1430"/>
      <c r="N16" s="1430"/>
      <c r="O16" s="1430"/>
      <c r="P16" s="94"/>
      <c r="Q16" s="1431"/>
      <c r="R16" s="1430"/>
      <c r="S16" s="1164"/>
      <c r="T16" s="1164"/>
      <c r="U16" s="2174"/>
      <c r="V16" s="2174"/>
      <c r="W16" s="94"/>
      <c r="X16" s="1164"/>
    </row>
    <row r="17" ht="15.75" customHeight="1">
      <c r="A17" s="94"/>
      <c r="B17" s="94"/>
      <c r="C17" s="1164"/>
      <c r="D17" s="1429"/>
      <c r="E17" s="1429"/>
      <c r="F17" s="1429"/>
      <c r="G17" s="1429"/>
      <c r="H17" s="1430"/>
      <c r="I17" s="94"/>
      <c r="J17" s="1164"/>
      <c r="K17" s="94"/>
      <c r="L17" s="94"/>
      <c r="M17" s="1430"/>
      <c r="N17" s="1430"/>
      <c r="O17" s="1430"/>
      <c r="P17" s="94"/>
      <c r="Q17" s="1431"/>
      <c r="R17" s="1430"/>
      <c r="S17" s="1164"/>
      <c r="T17" s="1164"/>
      <c r="U17" s="2174"/>
      <c r="V17" s="2174"/>
      <c r="W17" s="94"/>
      <c r="X17" s="1164"/>
    </row>
    <row r="18" ht="15.75" customHeight="1">
      <c r="A18" s="94"/>
      <c r="B18" s="94"/>
      <c r="C18" s="1164"/>
      <c r="D18" s="1429"/>
      <c r="E18" s="1429"/>
      <c r="F18" s="1429"/>
      <c r="G18" s="1429"/>
      <c r="H18" s="1430"/>
      <c r="I18" s="94"/>
      <c r="J18" s="1164"/>
      <c r="K18" s="94"/>
      <c r="L18" s="94"/>
      <c r="M18" s="1430"/>
      <c r="N18" s="1430"/>
      <c r="O18" s="1430"/>
      <c r="P18" s="94"/>
      <c r="Q18" s="1431"/>
      <c r="R18" s="1430"/>
      <c r="S18" s="1164"/>
      <c r="T18" s="1164"/>
      <c r="U18" s="2174"/>
      <c r="V18" s="2174"/>
      <c r="W18" s="2174"/>
      <c r="X18" s="1164"/>
    </row>
    <row r="19" ht="15.75" customHeight="1">
      <c r="A19" s="94"/>
      <c r="B19" s="94"/>
      <c r="C19" s="1164"/>
      <c r="D19" s="1429"/>
      <c r="E19" s="1429"/>
      <c r="F19" s="1429"/>
      <c r="G19" s="1429"/>
      <c r="H19" s="1430"/>
      <c r="I19" s="1430"/>
      <c r="J19" s="94"/>
      <c r="K19" s="94"/>
      <c r="L19" s="94"/>
      <c r="M19" s="1430"/>
      <c r="N19" s="1430"/>
      <c r="O19" s="1430"/>
      <c r="P19" s="94"/>
      <c r="Q19" s="1431"/>
      <c r="R19" s="1430"/>
      <c r="S19" s="1164"/>
      <c r="T19" s="1164"/>
      <c r="U19" s="2174"/>
      <c r="V19" s="2174"/>
      <c r="W19" s="2174"/>
      <c r="X19" s="1164"/>
    </row>
    <row r="20" ht="15.75" customHeight="1">
      <c r="A20" s="94"/>
      <c r="B20" s="94"/>
      <c r="C20" s="1164"/>
      <c r="D20" s="1429"/>
      <c r="E20" s="1429"/>
      <c r="F20" s="1429"/>
      <c r="G20" s="1429"/>
      <c r="H20" s="1430"/>
      <c r="I20" s="1430"/>
      <c r="J20" s="94"/>
      <c r="K20" s="94"/>
      <c r="L20" s="94"/>
      <c r="M20" s="94"/>
      <c r="N20" s="94"/>
      <c r="O20" s="94"/>
      <c r="P20" s="94"/>
      <c r="Q20" s="1431"/>
      <c r="R20" s="1430"/>
      <c r="S20" s="1164"/>
      <c r="T20" s="1164"/>
      <c r="U20" s="94"/>
      <c r="V20" s="94"/>
      <c r="W20" s="94"/>
      <c r="X20" s="1164"/>
    </row>
    <row r="21" ht="15.75" customHeight="1">
      <c r="A21" s="94"/>
      <c r="B21" s="94"/>
      <c r="C21" s="1164"/>
      <c r="D21" s="1429"/>
      <c r="E21" s="1429"/>
      <c r="F21" s="1429"/>
      <c r="G21" s="1429"/>
      <c r="H21" s="1430"/>
      <c r="I21" s="1430"/>
      <c r="J21" s="94"/>
      <c r="K21" s="94"/>
      <c r="L21" s="94"/>
      <c r="M21" s="1430"/>
      <c r="N21" s="1430"/>
      <c r="O21" s="1430"/>
      <c r="P21" s="94"/>
      <c r="Q21" s="1431"/>
      <c r="R21" s="1430"/>
      <c r="S21" s="1164"/>
      <c r="T21" s="1164"/>
      <c r="U21" s="2174"/>
      <c r="V21" s="2174"/>
      <c r="W21" s="2174"/>
      <c r="X21" s="1164"/>
    </row>
    <row r="22" ht="15.75" customHeight="1">
      <c r="A22" s="94"/>
      <c r="B22" s="94"/>
      <c r="C22" s="1164"/>
      <c r="D22" s="1429"/>
      <c r="E22" s="1429"/>
      <c r="F22" s="1429"/>
      <c r="G22" s="1429"/>
      <c r="H22" s="1430"/>
      <c r="I22" s="94"/>
      <c r="J22" s="1164"/>
      <c r="K22" s="94"/>
      <c r="L22" s="94"/>
      <c r="M22" s="1430"/>
      <c r="N22" s="1430"/>
      <c r="O22" s="1430"/>
      <c r="P22" s="94"/>
      <c r="Q22" s="1431"/>
      <c r="R22" s="1430"/>
      <c r="S22" s="1164"/>
      <c r="T22" s="1164"/>
      <c r="U22" s="2174"/>
      <c r="V22" s="2174"/>
      <c r="W22" s="94"/>
      <c r="X22" s="1164"/>
    </row>
    <row r="23" ht="15.75" customHeight="1">
      <c r="A23" s="94"/>
      <c r="B23" s="94"/>
      <c r="C23" s="1164"/>
      <c r="D23" s="1429"/>
      <c r="E23" s="1429"/>
      <c r="F23" s="1429"/>
      <c r="G23" s="1429"/>
      <c r="H23" s="1430"/>
      <c r="I23" s="1430"/>
      <c r="J23" s="94"/>
      <c r="K23" s="94"/>
      <c r="L23" s="94"/>
      <c r="M23" s="1430"/>
      <c r="N23" s="1430"/>
      <c r="O23" s="1430"/>
      <c r="P23" s="94"/>
      <c r="Q23" s="1431"/>
      <c r="R23" s="1430"/>
      <c r="S23" s="1164"/>
      <c r="T23" s="1164"/>
      <c r="U23" s="2174"/>
      <c r="V23" s="2174"/>
      <c r="W23" s="2174"/>
      <c r="X23" s="1164"/>
    </row>
    <row r="24" ht="15.75" customHeight="1">
      <c r="A24" s="94"/>
      <c r="B24" s="94"/>
      <c r="C24" s="1164"/>
      <c r="D24" s="1429"/>
      <c r="E24" s="1429"/>
      <c r="F24" s="1429"/>
      <c r="G24" s="1429"/>
      <c r="H24" s="1430"/>
      <c r="I24" s="1430"/>
      <c r="J24" s="94"/>
      <c r="K24" s="94"/>
      <c r="L24" s="94"/>
      <c r="M24" s="1430"/>
      <c r="N24" s="1430"/>
      <c r="O24" s="1430"/>
      <c r="P24" s="94"/>
      <c r="Q24" s="1431"/>
      <c r="R24" s="1430"/>
      <c r="S24" s="1164"/>
      <c r="T24" s="1164"/>
      <c r="U24" s="2174"/>
      <c r="V24" s="2174"/>
      <c r="W24" s="2174"/>
      <c r="X24" s="1164"/>
    </row>
    <row r="25" ht="15.75" customHeight="1">
      <c r="A25" s="94"/>
      <c r="B25" s="94"/>
      <c r="C25" s="1164"/>
      <c r="D25" s="1429"/>
      <c r="E25" s="1429"/>
      <c r="F25" s="1429"/>
      <c r="G25" s="1429"/>
      <c r="H25" s="1430"/>
      <c r="I25" s="1430"/>
      <c r="J25" s="94"/>
      <c r="K25" s="94"/>
      <c r="L25" s="94"/>
      <c r="M25" s="94"/>
      <c r="N25" s="94"/>
      <c r="O25" s="94"/>
      <c r="P25" s="94"/>
      <c r="Q25" s="1431"/>
      <c r="R25" s="1430"/>
      <c r="S25" s="1164"/>
      <c r="T25" s="1164"/>
      <c r="U25" s="94"/>
      <c r="V25" s="94"/>
      <c r="W25" s="94"/>
      <c r="X25" s="1164"/>
    </row>
    <row r="26" ht="15.75" customHeight="1">
      <c r="A26" s="94"/>
      <c r="B26" s="94"/>
      <c r="C26" s="94"/>
      <c r="D26" s="94"/>
      <c r="E26" s="94"/>
      <c r="F26" s="94"/>
      <c r="G26" s="94"/>
      <c r="H26" s="1164"/>
      <c r="I26" s="1164"/>
      <c r="J26" s="1164"/>
      <c r="K26" s="1430"/>
      <c r="L26" s="1430"/>
      <c r="M26" s="1430"/>
      <c r="N26" s="1430"/>
      <c r="O26" s="1430"/>
      <c r="P26" s="1430"/>
      <c r="Q26" s="1430"/>
      <c r="R26" s="1430"/>
      <c r="S26" s="94"/>
      <c r="T26" s="1164"/>
      <c r="U26" s="94"/>
      <c r="V26" s="94"/>
      <c r="W26" s="94"/>
      <c r="X26" s="1430"/>
    </row>
    <row r="27" ht="15.75" customHeight="1">
      <c r="A27" s="94"/>
      <c r="B27" s="94"/>
      <c r="C27" s="1164"/>
      <c r="D27" s="1429"/>
      <c r="E27" s="1429"/>
      <c r="F27" s="1429"/>
      <c r="G27" s="1429"/>
      <c r="H27" s="1430"/>
      <c r="I27" s="1430"/>
      <c r="J27" s="94"/>
      <c r="K27" s="94"/>
      <c r="L27" s="94"/>
      <c r="M27" s="1430"/>
      <c r="N27" s="1430"/>
      <c r="O27" s="1430"/>
      <c r="P27" s="94"/>
      <c r="Q27" s="1431"/>
      <c r="R27" s="1430"/>
      <c r="S27" s="1164"/>
      <c r="T27" s="1164"/>
      <c r="U27" s="2174"/>
      <c r="V27" s="2174"/>
      <c r="W27" s="2174"/>
      <c r="X27" s="1164"/>
    </row>
    <row r="28" ht="15.75" customHeight="1">
      <c r="A28" s="94"/>
      <c r="B28" s="94"/>
      <c r="C28" s="1164"/>
      <c r="D28" s="1429"/>
      <c r="E28" s="1429"/>
      <c r="F28" s="1429"/>
      <c r="G28" s="1436"/>
      <c r="H28" s="1430"/>
      <c r="I28" s="94"/>
      <c r="J28" s="1164"/>
      <c r="K28" s="94"/>
      <c r="L28" s="94"/>
      <c r="M28" s="94"/>
      <c r="N28" s="94"/>
      <c r="O28" s="1430"/>
      <c r="P28" s="94"/>
      <c r="Q28" s="1431"/>
      <c r="R28" s="1430"/>
      <c r="S28" s="1164"/>
      <c r="T28" s="1164"/>
      <c r="U28" s="94"/>
      <c r="V28" s="94"/>
      <c r="W28" s="94"/>
      <c r="X28" s="1164"/>
    </row>
    <row r="29" ht="15.75" customHeight="1">
      <c r="A29" s="94"/>
      <c r="B29" s="94"/>
      <c r="C29" s="1164"/>
      <c r="D29" s="1429"/>
      <c r="E29" s="1429"/>
      <c r="F29" s="1429"/>
      <c r="G29" s="1436"/>
      <c r="H29" s="1430"/>
      <c r="I29" s="1430"/>
      <c r="J29" s="94"/>
      <c r="K29" s="94"/>
      <c r="L29" s="94"/>
      <c r="M29" s="1430"/>
      <c r="N29" s="1430"/>
      <c r="O29" s="1430"/>
      <c r="P29" s="94"/>
      <c r="Q29" s="1431"/>
      <c r="R29" s="1430"/>
      <c r="S29" s="1164"/>
      <c r="T29" s="1164"/>
      <c r="U29" s="2174"/>
      <c r="V29" s="2174"/>
      <c r="W29" s="2174"/>
      <c r="X29" s="1164"/>
    </row>
    <row r="30" ht="15.75" customHeight="1">
      <c r="A30" s="94"/>
      <c r="B30" s="94"/>
      <c r="C30" s="1164"/>
      <c r="D30" s="1429"/>
      <c r="E30" s="1429"/>
      <c r="F30" s="1429"/>
      <c r="G30" s="1436"/>
      <c r="H30" s="1430"/>
      <c r="I30" s="1430"/>
      <c r="J30" s="94"/>
      <c r="K30" s="94"/>
      <c r="L30" s="94"/>
      <c r="M30" s="1430"/>
      <c r="N30" s="1430"/>
      <c r="O30" s="1430"/>
      <c r="P30" s="94"/>
      <c r="Q30" s="1431"/>
      <c r="R30" s="1430"/>
      <c r="S30" s="1164"/>
      <c r="T30" s="1164"/>
      <c r="U30" s="2174"/>
      <c r="V30" s="2174"/>
      <c r="W30" s="2174"/>
      <c r="X30" s="1164"/>
    </row>
    <row r="31" ht="15.75" customHeight="1">
      <c r="A31" s="94"/>
      <c r="B31" s="94"/>
      <c r="C31" s="1164"/>
      <c r="D31" s="1429"/>
      <c r="E31" s="1429"/>
      <c r="F31" s="1429"/>
      <c r="G31" s="1436"/>
      <c r="H31" s="1430"/>
      <c r="I31" s="1430"/>
      <c r="J31" s="94"/>
      <c r="K31" s="94"/>
      <c r="L31" s="94"/>
      <c r="M31" s="1430"/>
      <c r="N31" s="1430"/>
      <c r="O31" s="1430"/>
      <c r="P31" s="94"/>
      <c r="Q31" s="1431"/>
      <c r="R31" s="1430"/>
      <c r="S31" s="1164"/>
      <c r="T31" s="1164"/>
      <c r="U31" s="2174"/>
      <c r="V31" s="2174"/>
      <c r="W31" s="2174"/>
      <c r="X31" s="1164"/>
    </row>
    <row r="32" ht="15.75" customHeight="1">
      <c r="A32" s="94"/>
      <c r="B32" s="94"/>
      <c r="C32" s="1164"/>
      <c r="D32" s="1429"/>
      <c r="E32" s="1429"/>
      <c r="F32" s="1429"/>
      <c r="G32" s="1436"/>
      <c r="H32" s="1430"/>
      <c r="I32" s="1430"/>
      <c r="J32" s="94"/>
      <c r="K32" s="94"/>
      <c r="L32" s="94"/>
      <c r="M32" s="1430"/>
      <c r="N32" s="1430"/>
      <c r="O32" s="1430"/>
      <c r="P32" s="94"/>
      <c r="Q32" s="1431"/>
      <c r="R32" s="1430"/>
      <c r="S32" s="1164"/>
      <c r="T32" s="1164"/>
      <c r="U32" s="2174"/>
      <c r="V32" s="2174"/>
      <c r="W32" s="2174"/>
      <c r="X32" s="1164"/>
    </row>
    <row r="33" ht="15.75" customHeight="1">
      <c r="A33" s="94"/>
      <c r="B33" s="94"/>
      <c r="C33" s="1164"/>
      <c r="D33" s="1429"/>
      <c r="E33" s="1429"/>
      <c r="F33" s="1429"/>
      <c r="G33" s="1436"/>
      <c r="H33" s="1430"/>
      <c r="I33" s="1430"/>
      <c r="J33" s="94"/>
      <c r="K33" s="94"/>
      <c r="L33" s="94"/>
      <c r="M33" s="1430"/>
      <c r="N33" s="1430"/>
      <c r="O33" s="1430"/>
      <c r="P33" s="94"/>
      <c r="Q33" s="1431"/>
      <c r="R33" s="1430"/>
      <c r="S33" s="1164"/>
      <c r="T33" s="1164"/>
      <c r="U33" s="2174"/>
      <c r="V33" s="2174"/>
      <c r="W33" s="2174"/>
      <c r="X33" s="1164"/>
    </row>
    <row r="34" ht="15.75" customHeight="1">
      <c r="A34" s="94"/>
      <c r="B34" s="94"/>
      <c r="C34" s="1164"/>
      <c r="D34" s="1429"/>
      <c r="E34" s="1429"/>
      <c r="F34" s="1429"/>
      <c r="G34" s="1436"/>
      <c r="H34" s="1430"/>
      <c r="I34" s="1430"/>
      <c r="J34" s="94"/>
      <c r="K34" s="94"/>
      <c r="L34" s="94"/>
      <c r="M34" s="1430"/>
      <c r="N34" s="1430"/>
      <c r="O34" s="1430"/>
      <c r="P34" s="94"/>
      <c r="Q34" s="1431"/>
      <c r="R34" s="1430"/>
      <c r="S34" s="1164"/>
      <c r="T34" s="1164"/>
      <c r="U34" s="2174"/>
      <c r="V34" s="2174"/>
      <c r="W34" s="2174"/>
      <c r="X34" s="1164"/>
    </row>
    <row r="35" ht="15.75" customHeight="1">
      <c r="A35" s="94"/>
      <c r="B35" s="94"/>
      <c r="C35" s="1164"/>
      <c r="D35" s="1429"/>
      <c r="E35" s="1429"/>
      <c r="F35" s="1429"/>
      <c r="G35" s="1436"/>
      <c r="H35" s="1430"/>
      <c r="I35" s="1430"/>
      <c r="J35" s="94"/>
      <c r="K35" s="94"/>
      <c r="L35" s="94"/>
      <c r="M35" s="1430"/>
      <c r="N35" s="1430"/>
      <c r="O35" s="1430"/>
      <c r="P35" s="94"/>
      <c r="Q35" s="1431"/>
      <c r="R35" s="1430"/>
      <c r="S35" s="1164"/>
      <c r="T35" s="1164"/>
      <c r="U35" s="2174"/>
      <c r="V35" s="2174"/>
      <c r="W35" s="2174"/>
      <c r="X35" s="1164"/>
    </row>
    <row r="36" ht="15.75" customHeight="1">
      <c r="A36" s="94"/>
      <c r="B36" s="94"/>
      <c r="C36" s="1164"/>
      <c r="D36" s="1429"/>
      <c r="E36" s="1429"/>
      <c r="F36" s="1429"/>
      <c r="G36" s="1429"/>
      <c r="H36" s="1430"/>
      <c r="I36" s="1430"/>
      <c r="J36" s="94"/>
      <c r="K36" s="94"/>
      <c r="L36" s="94"/>
      <c r="M36" s="1430"/>
      <c r="N36" s="1430"/>
      <c r="O36" s="1430"/>
      <c r="P36" s="94"/>
      <c r="Q36" s="1431"/>
      <c r="R36" s="1430"/>
      <c r="S36" s="1164"/>
      <c r="T36" s="1164"/>
      <c r="U36" s="2174"/>
      <c r="V36" s="2174"/>
      <c r="W36" s="2174"/>
      <c r="X36" s="1164"/>
    </row>
    <row r="37" ht="15.75" customHeight="1">
      <c r="A37" s="94"/>
      <c r="B37" s="94"/>
      <c r="C37" s="1164"/>
      <c r="D37" s="1429"/>
      <c r="E37" s="1429"/>
      <c r="F37" s="1429"/>
      <c r="G37" s="1429"/>
      <c r="H37" s="1430"/>
      <c r="I37" s="1430"/>
      <c r="J37" s="94"/>
      <c r="K37" s="94"/>
      <c r="L37" s="94"/>
      <c r="M37" s="1430"/>
      <c r="N37" s="1430"/>
      <c r="O37" s="1430"/>
      <c r="P37" s="94"/>
      <c r="Q37" s="1431"/>
      <c r="R37" s="1430"/>
      <c r="S37" s="1164"/>
      <c r="T37" s="1164"/>
      <c r="U37" s="2174"/>
      <c r="V37" s="2174"/>
      <c r="W37" s="2174"/>
      <c r="X37" s="1164"/>
    </row>
    <row r="38" ht="15.75" customHeight="1">
      <c r="A38" s="94"/>
      <c r="B38" s="94"/>
      <c r="C38" s="94"/>
      <c r="D38" s="94"/>
      <c r="E38" s="94"/>
      <c r="F38" s="94"/>
      <c r="G38" s="94"/>
      <c r="H38" s="1164"/>
      <c r="I38" s="1164"/>
      <c r="J38" s="1164"/>
      <c r="K38" s="1430"/>
      <c r="L38" s="1430"/>
      <c r="M38" s="1430"/>
      <c r="N38" s="1430"/>
      <c r="O38" s="1430"/>
      <c r="P38" s="1430"/>
      <c r="Q38" s="94"/>
      <c r="R38" s="1430"/>
      <c r="S38" s="94"/>
      <c r="T38" s="1164"/>
      <c r="U38" s="94"/>
      <c r="V38" s="94"/>
      <c r="W38" s="94"/>
      <c r="X38" s="1430"/>
    </row>
    <row r="39" ht="15.75" customHeight="1">
      <c r="A39" s="94"/>
      <c r="B39" s="94"/>
      <c r="C39" s="1164"/>
      <c r="D39" s="1429"/>
      <c r="E39" s="1429"/>
      <c r="F39" s="1429"/>
      <c r="G39" s="1429"/>
      <c r="H39" s="1430"/>
      <c r="I39" s="1430"/>
      <c r="J39" s="94"/>
      <c r="K39" s="94"/>
      <c r="L39" s="94"/>
      <c r="M39" s="1430"/>
      <c r="N39" s="1430"/>
      <c r="O39" s="1430"/>
      <c r="P39" s="94"/>
      <c r="Q39" s="1431"/>
      <c r="R39" s="1430"/>
      <c r="S39" s="1164"/>
      <c r="T39" s="1164"/>
      <c r="U39" s="2174"/>
      <c r="V39" s="2174"/>
      <c r="W39" s="2174"/>
      <c r="X39" s="1164"/>
    </row>
    <row r="40" ht="15.75" customHeight="1">
      <c r="A40" s="94"/>
      <c r="B40" s="94"/>
      <c r="C40" s="1164"/>
      <c r="D40" s="1429"/>
      <c r="E40" s="1429"/>
      <c r="F40" s="1429"/>
      <c r="G40" s="1429"/>
      <c r="H40" s="1430"/>
      <c r="I40" s="1430"/>
      <c r="J40" s="94"/>
      <c r="K40" s="94"/>
      <c r="L40" s="94"/>
      <c r="M40" s="1430"/>
      <c r="N40" s="1430"/>
      <c r="O40" s="1430"/>
      <c r="P40" s="94"/>
      <c r="Q40" s="1431"/>
      <c r="R40" s="1430"/>
      <c r="S40" s="1164"/>
      <c r="T40" s="1164"/>
      <c r="U40" s="2174"/>
      <c r="V40" s="2174"/>
      <c r="W40" s="2174"/>
      <c r="X40" s="1164"/>
    </row>
    <row r="41" ht="15.75" customHeight="1">
      <c r="A41" s="94"/>
      <c r="B41" s="94"/>
      <c r="C41" s="1164"/>
      <c r="D41" s="1429"/>
      <c r="E41" s="1429"/>
      <c r="F41" s="1429"/>
      <c r="G41" s="1429"/>
      <c r="H41" s="1430"/>
      <c r="I41" s="94"/>
      <c r="J41" s="1164"/>
      <c r="K41" s="94"/>
      <c r="L41" s="94"/>
      <c r="M41" s="94"/>
      <c r="N41" s="94"/>
      <c r="O41" s="1430"/>
      <c r="P41" s="94"/>
      <c r="Q41" s="1431"/>
      <c r="R41" s="1430"/>
      <c r="S41" s="1164"/>
      <c r="T41" s="1164"/>
      <c r="U41" s="94"/>
      <c r="V41" s="94"/>
      <c r="W41" s="94"/>
      <c r="X41" s="1164"/>
    </row>
    <row r="42" ht="15.75" customHeight="1">
      <c r="A42" s="94"/>
      <c r="B42" s="94"/>
      <c r="C42" s="1164"/>
      <c r="D42" s="1429"/>
      <c r="E42" s="1429"/>
      <c r="F42" s="1429"/>
      <c r="G42" s="1429"/>
      <c r="H42" s="1430"/>
      <c r="I42" s="1430"/>
      <c r="J42" s="94"/>
      <c r="K42" s="94"/>
      <c r="L42" s="94"/>
      <c r="M42" s="1430"/>
      <c r="N42" s="1430"/>
      <c r="O42" s="1430"/>
      <c r="P42" s="94"/>
      <c r="Q42" s="1431"/>
      <c r="R42" s="1430"/>
      <c r="S42" s="1164"/>
      <c r="T42" s="1164"/>
      <c r="U42" s="2174"/>
      <c r="V42" s="2174"/>
      <c r="W42" s="2174"/>
      <c r="X42" s="1164"/>
    </row>
    <row r="43" ht="15.75" customHeight="1">
      <c r="A43" s="94"/>
      <c r="B43" s="94"/>
      <c r="C43" s="94"/>
      <c r="D43" s="94"/>
      <c r="E43" s="94"/>
      <c r="F43" s="94"/>
      <c r="G43" s="94"/>
      <c r="H43" s="1164"/>
      <c r="I43" s="1164"/>
      <c r="J43" s="1164"/>
      <c r="K43" s="1430"/>
      <c r="L43" s="1430"/>
      <c r="M43" s="1430"/>
      <c r="N43" s="1430"/>
      <c r="O43" s="1430"/>
      <c r="P43" s="1430"/>
      <c r="Q43" s="1430"/>
      <c r="R43" s="1430"/>
      <c r="S43" s="94"/>
      <c r="T43" s="1164"/>
      <c r="U43" s="94"/>
      <c r="V43" s="94"/>
      <c r="W43" s="94"/>
      <c r="X43" s="1430"/>
    </row>
    <row r="44" ht="15.75" customHeight="1">
      <c r="A44" s="94"/>
      <c r="B44" s="94"/>
      <c r="C44" s="1164"/>
      <c r="D44" s="1429"/>
      <c r="E44" s="1429"/>
      <c r="F44" s="1429"/>
      <c r="G44" s="1429"/>
      <c r="H44" s="1430"/>
      <c r="I44" s="1430"/>
      <c r="J44" s="94"/>
      <c r="K44" s="94"/>
      <c r="L44" s="94"/>
      <c r="M44" s="1430"/>
      <c r="N44" s="1430"/>
      <c r="O44" s="1430"/>
      <c r="P44" s="94"/>
      <c r="Q44" s="1431"/>
      <c r="R44" s="1430"/>
      <c r="S44" s="1164"/>
      <c r="T44" s="1164"/>
      <c r="U44" s="2174"/>
      <c r="V44" s="2174"/>
      <c r="W44" s="2174"/>
      <c r="X44" s="1164"/>
    </row>
    <row r="45" ht="15.75" customHeight="1">
      <c r="A45" s="94"/>
      <c r="B45" s="94"/>
      <c r="C45" s="1164"/>
      <c r="D45" s="1429"/>
      <c r="E45" s="1429"/>
      <c r="F45" s="1429"/>
      <c r="G45" s="1429"/>
      <c r="H45" s="1430"/>
      <c r="I45" s="1430"/>
      <c r="J45" s="94"/>
      <c r="K45" s="94"/>
      <c r="L45" s="94"/>
      <c r="M45" s="1430"/>
      <c r="N45" s="1430"/>
      <c r="O45" s="1430"/>
      <c r="P45" s="94"/>
      <c r="Q45" s="1431"/>
      <c r="R45" s="1430"/>
      <c r="S45" s="1164"/>
      <c r="T45" s="1164"/>
      <c r="U45" s="2174"/>
      <c r="V45" s="2174"/>
      <c r="W45" s="2174"/>
      <c r="X45" s="1164"/>
    </row>
    <row r="46" ht="15.75" customHeight="1">
      <c r="A46" s="94"/>
      <c r="B46" s="94"/>
      <c r="C46" s="1164"/>
      <c r="D46" s="1429"/>
      <c r="E46" s="1429"/>
      <c r="F46" s="1429"/>
      <c r="G46" s="1429"/>
      <c r="H46" s="1430"/>
      <c r="I46" s="1430"/>
      <c r="J46" s="94"/>
      <c r="K46" s="94"/>
      <c r="L46" s="94"/>
      <c r="M46" s="1430"/>
      <c r="N46" s="1430"/>
      <c r="O46" s="1430"/>
      <c r="P46" s="94"/>
      <c r="Q46" s="1431"/>
      <c r="R46" s="1430"/>
      <c r="S46" s="1164"/>
      <c r="T46" s="1164"/>
      <c r="U46" s="2174"/>
      <c r="V46" s="2174"/>
      <c r="W46" s="2174"/>
      <c r="X46" s="1164"/>
    </row>
    <row r="47" ht="15.75" customHeight="1">
      <c r="A47" s="94"/>
      <c r="B47" s="94"/>
      <c r="C47" s="1164"/>
      <c r="D47" s="1429"/>
      <c r="E47" s="1429"/>
      <c r="F47" s="1429"/>
      <c r="G47" s="1429"/>
      <c r="H47" s="1430"/>
      <c r="I47" s="94"/>
      <c r="J47" s="1164"/>
      <c r="K47" s="94"/>
      <c r="L47" s="94"/>
      <c r="M47" s="1430"/>
      <c r="N47" s="1430"/>
      <c r="O47" s="1430"/>
      <c r="P47" s="94"/>
      <c r="Q47" s="1431"/>
      <c r="R47" s="1430"/>
      <c r="S47" s="1164"/>
      <c r="T47" s="1164"/>
      <c r="U47" s="2174"/>
      <c r="V47" s="2174"/>
      <c r="W47" s="2174"/>
      <c r="X47" s="1164"/>
    </row>
    <row r="48" ht="15.75" customHeight="1">
      <c r="A48" s="94"/>
      <c r="B48" s="94"/>
      <c r="C48" s="1164"/>
      <c r="D48" s="1429"/>
      <c r="E48" s="1429"/>
      <c r="F48" s="1429"/>
      <c r="G48" s="1429"/>
      <c r="H48" s="1430"/>
      <c r="I48" s="1430"/>
      <c r="J48" s="94"/>
      <c r="K48" s="94"/>
      <c r="L48" s="94"/>
      <c r="M48" s="1430"/>
      <c r="N48" s="1430"/>
      <c r="O48" s="1430"/>
      <c r="P48" s="94"/>
      <c r="Q48" s="1431"/>
      <c r="R48" s="1430"/>
      <c r="S48" s="1164"/>
      <c r="T48" s="1164"/>
      <c r="U48" s="2174"/>
      <c r="V48" s="2174"/>
      <c r="W48" s="2174"/>
      <c r="X48" s="1164"/>
    </row>
    <row r="49" ht="15.75" customHeight="1">
      <c r="A49" s="94"/>
      <c r="B49" s="94"/>
      <c r="C49" s="1164"/>
      <c r="D49" s="1429"/>
      <c r="E49" s="1429"/>
      <c r="F49" s="1429"/>
      <c r="G49" s="1429"/>
      <c r="H49" s="1430"/>
      <c r="I49" s="1430"/>
      <c r="J49" s="94"/>
      <c r="K49" s="94"/>
      <c r="L49" s="94"/>
      <c r="M49" s="1430"/>
      <c r="N49" s="1430"/>
      <c r="O49" s="1430"/>
      <c r="P49" s="94"/>
      <c r="Q49" s="1431"/>
      <c r="R49" s="1430"/>
      <c r="S49" s="1164"/>
      <c r="T49" s="1164"/>
      <c r="U49" s="2174"/>
      <c r="V49" s="2174"/>
      <c r="W49" s="2174"/>
      <c r="X49" s="1164"/>
    </row>
    <row r="50" ht="15.75" customHeight="1">
      <c r="A50" s="94"/>
      <c r="B50" s="94"/>
      <c r="C50" s="1164"/>
      <c r="D50" s="1429"/>
      <c r="E50" s="1429"/>
      <c r="F50" s="1429"/>
      <c r="G50" s="1429"/>
      <c r="H50" s="1430"/>
      <c r="I50" s="1430"/>
      <c r="J50" s="94"/>
      <c r="K50" s="94"/>
      <c r="L50" s="94"/>
      <c r="M50" s="1430"/>
      <c r="N50" s="1430"/>
      <c r="O50" s="1430"/>
      <c r="P50" s="94"/>
      <c r="Q50" s="1431"/>
      <c r="R50" s="1430"/>
      <c r="S50" s="1164"/>
      <c r="T50" s="1164"/>
      <c r="U50" s="2174"/>
      <c r="V50" s="2174"/>
      <c r="W50" s="2174"/>
      <c r="X50" s="1164"/>
    </row>
    <row r="51" ht="15.75" customHeight="1">
      <c r="A51" s="94"/>
      <c r="B51" s="94"/>
      <c r="C51" s="1164"/>
      <c r="D51" s="1429"/>
      <c r="E51" s="1429"/>
      <c r="F51" s="1429"/>
      <c r="G51" s="1436"/>
      <c r="H51" s="1430"/>
      <c r="I51" s="1430"/>
      <c r="J51" s="94"/>
      <c r="K51" s="94"/>
      <c r="L51" s="94"/>
      <c r="M51" s="94"/>
      <c r="N51" s="94"/>
      <c r="O51" s="94"/>
      <c r="P51" s="94"/>
      <c r="Q51" s="1431"/>
      <c r="R51" s="1430"/>
      <c r="S51" s="1164"/>
      <c r="T51" s="1164"/>
      <c r="U51" s="2174"/>
      <c r="V51" s="94"/>
      <c r="W51" s="94"/>
      <c r="X51" s="1164"/>
    </row>
    <row r="52" ht="15.75" customHeight="1">
      <c r="A52" s="94"/>
      <c r="B52" s="94"/>
      <c r="C52" s="1164"/>
      <c r="D52" s="1429"/>
      <c r="E52" s="1429"/>
      <c r="F52" s="1429"/>
      <c r="G52" s="1429"/>
      <c r="H52" s="1430"/>
      <c r="I52" s="94"/>
      <c r="J52" s="1164"/>
      <c r="K52" s="94"/>
      <c r="L52" s="94"/>
      <c r="M52" s="94"/>
      <c r="N52" s="94"/>
      <c r="O52" s="1430"/>
      <c r="P52" s="94"/>
      <c r="Q52" s="1431"/>
      <c r="R52" s="1430"/>
      <c r="S52" s="1164"/>
      <c r="T52" s="1164"/>
      <c r="U52" s="2174"/>
      <c r="V52" s="2174"/>
      <c r="W52" s="2174"/>
      <c r="X52" s="1164"/>
    </row>
    <row r="53" ht="15.75" customHeight="1">
      <c r="A53" s="94"/>
      <c r="B53" s="94"/>
      <c r="C53" s="1164"/>
      <c r="D53" s="1429"/>
      <c r="E53" s="1429"/>
      <c r="F53" s="1429"/>
      <c r="G53" s="1429"/>
      <c r="H53" s="1430"/>
      <c r="I53" s="1430"/>
      <c r="J53" s="94"/>
      <c r="K53" s="94"/>
      <c r="L53" s="94"/>
      <c r="M53" s="94"/>
      <c r="N53" s="94"/>
      <c r="O53" s="94"/>
      <c r="P53" s="94"/>
      <c r="Q53" s="1431"/>
      <c r="R53" s="1430"/>
      <c r="S53" s="1164"/>
      <c r="T53" s="1164"/>
      <c r="U53" s="2174"/>
      <c r="V53" s="2174"/>
      <c r="W53" s="2174"/>
      <c r="X53" s="1164"/>
    </row>
    <row r="54" ht="15.75" customHeight="1">
      <c r="A54" s="94"/>
      <c r="B54" s="94"/>
      <c r="C54" s="1164"/>
      <c r="D54" s="1429"/>
      <c r="E54" s="1429"/>
      <c r="F54" s="1429"/>
      <c r="G54" s="1429"/>
      <c r="H54" s="1430"/>
      <c r="I54" s="1430"/>
      <c r="J54" s="94"/>
      <c r="K54" s="94"/>
      <c r="L54" s="94"/>
      <c r="M54" s="1430"/>
      <c r="N54" s="1430"/>
      <c r="O54" s="1430"/>
      <c r="P54" s="94"/>
      <c r="Q54" s="1431"/>
      <c r="R54" s="1430"/>
      <c r="S54" s="1164"/>
      <c r="T54" s="1164"/>
      <c r="U54" s="2174"/>
      <c r="V54" s="2174"/>
      <c r="W54" s="2174"/>
      <c r="X54" s="1164"/>
    </row>
    <row r="55" ht="15.75" customHeight="1">
      <c r="A55" s="94"/>
      <c r="B55" s="94"/>
      <c r="C55" s="1164"/>
      <c r="D55" s="1429"/>
      <c r="E55" s="1429"/>
      <c r="F55" s="1429"/>
      <c r="G55" s="1429"/>
      <c r="H55" s="1430"/>
      <c r="I55" s="1430"/>
      <c r="J55" s="94"/>
      <c r="K55" s="94"/>
      <c r="L55" s="94"/>
      <c r="M55" s="1430"/>
      <c r="N55" s="1430"/>
      <c r="O55" s="1430"/>
      <c r="P55" s="94"/>
      <c r="Q55" s="1431"/>
      <c r="R55" s="1430"/>
      <c r="S55" s="1164"/>
      <c r="T55" s="1164"/>
      <c r="U55" s="2174"/>
      <c r="V55" s="2174"/>
      <c r="W55" s="2174"/>
      <c r="X55" s="1164"/>
    </row>
    <row r="56" ht="15.75" customHeight="1">
      <c r="A56" s="94"/>
      <c r="B56" s="94"/>
      <c r="C56" s="1164"/>
      <c r="D56" s="1429"/>
      <c r="E56" s="1429"/>
      <c r="F56" s="1429"/>
      <c r="G56" s="1429"/>
      <c r="H56" s="1430"/>
      <c r="I56" s="1430"/>
      <c r="J56" s="94"/>
      <c r="K56" s="94"/>
      <c r="L56" s="94"/>
      <c r="M56" s="94"/>
      <c r="N56" s="94"/>
      <c r="O56" s="1430"/>
      <c r="P56" s="94"/>
      <c r="Q56" s="1431"/>
      <c r="R56" s="1430"/>
      <c r="S56" s="1164"/>
      <c r="T56" s="1164"/>
      <c r="U56" s="2174"/>
      <c r="V56" s="94"/>
      <c r="W56" s="94"/>
      <c r="X56" s="1164"/>
    </row>
    <row r="57" ht="15.75" customHeight="1">
      <c r="A57" s="94"/>
      <c r="B57" s="94"/>
      <c r="C57" s="1164"/>
      <c r="D57" s="1429"/>
      <c r="E57" s="1429"/>
      <c r="F57" s="1429"/>
      <c r="G57" s="1429"/>
      <c r="H57" s="1430"/>
      <c r="I57" s="1430"/>
      <c r="J57" s="94"/>
      <c r="K57" s="94"/>
      <c r="L57" s="94"/>
      <c r="M57" s="94"/>
      <c r="N57" s="94"/>
      <c r="O57" s="1430"/>
      <c r="P57" s="94"/>
      <c r="Q57" s="1431"/>
      <c r="R57" s="1430"/>
      <c r="S57" s="1164"/>
      <c r="T57" s="1164"/>
      <c r="U57" s="2174"/>
      <c r="V57" s="94"/>
      <c r="W57" s="94"/>
      <c r="X57" s="1164"/>
    </row>
    <row r="58" ht="15.75" customHeight="1">
      <c r="A58" s="94"/>
      <c r="B58" s="94"/>
      <c r="C58" s="94"/>
      <c r="D58" s="94"/>
      <c r="E58" s="94"/>
      <c r="F58" s="94"/>
      <c r="G58" s="94"/>
      <c r="H58" s="1164"/>
      <c r="I58" s="1164"/>
      <c r="J58" s="1164"/>
      <c r="K58" s="1430"/>
      <c r="L58" s="1430"/>
      <c r="M58" s="1430"/>
      <c r="N58" s="1430"/>
      <c r="O58" s="1430"/>
      <c r="P58" s="1430"/>
      <c r="Q58" s="1430"/>
      <c r="R58" s="1430"/>
      <c r="S58" s="94"/>
      <c r="T58" s="1164"/>
      <c r="U58" s="94"/>
      <c r="V58" s="94"/>
      <c r="W58" s="94"/>
      <c r="X58" s="1430"/>
    </row>
    <row r="59" ht="15.75" customHeight="1">
      <c r="A59" s="94"/>
      <c r="B59" s="94"/>
      <c r="C59" s="1164"/>
      <c r="D59" s="1429"/>
      <c r="E59" s="1429"/>
      <c r="F59" s="1429"/>
      <c r="G59" s="1429"/>
      <c r="H59" s="1430"/>
      <c r="I59" s="1430"/>
      <c r="J59" s="94"/>
      <c r="K59" s="94"/>
      <c r="L59" s="94"/>
      <c r="M59" s="94"/>
      <c r="N59" s="94"/>
      <c r="O59" s="94"/>
      <c r="P59" s="94"/>
      <c r="Q59" s="1431"/>
      <c r="R59" s="1430"/>
      <c r="S59" s="1164"/>
      <c r="T59" s="1164"/>
      <c r="U59" s="2174"/>
      <c r="V59" s="94"/>
      <c r="W59" s="94"/>
      <c r="X59" s="1164"/>
    </row>
    <row r="60" ht="15.75" customHeight="1">
      <c r="A60" s="94"/>
      <c r="B60" s="94"/>
      <c r="C60" s="1164"/>
      <c r="D60" s="1429"/>
      <c r="E60" s="1429"/>
      <c r="F60" s="1429"/>
      <c r="G60" s="1429"/>
      <c r="H60" s="1430"/>
      <c r="I60" s="1430"/>
      <c r="J60" s="94"/>
      <c r="K60" s="94"/>
      <c r="L60" s="94"/>
      <c r="M60" s="1430"/>
      <c r="N60" s="1430"/>
      <c r="O60" s="1430"/>
      <c r="P60" s="94"/>
      <c r="Q60" s="1431"/>
      <c r="R60" s="1430"/>
      <c r="S60" s="1164"/>
      <c r="T60" s="1164"/>
      <c r="U60" s="2174"/>
      <c r="V60" s="2174"/>
      <c r="W60" s="2174"/>
      <c r="X60" s="1164"/>
    </row>
    <row r="61" ht="15.75" customHeight="1">
      <c r="A61" s="94"/>
      <c r="B61" s="94"/>
      <c r="C61" s="1164"/>
      <c r="D61" s="1429"/>
      <c r="E61" s="1429"/>
      <c r="F61" s="1429"/>
      <c r="G61" s="1429"/>
      <c r="H61" s="1430"/>
      <c r="I61" s="1430"/>
      <c r="J61" s="94"/>
      <c r="K61" s="94"/>
      <c r="L61" s="94"/>
      <c r="M61" s="1430"/>
      <c r="N61" s="1430"/>
      <c r="O61" s="1430"/>
      <c r="P61" s="94"/>
      <c r="Q61" s="1431"/>
      <c r="R61" s="1430"/>
      <c r="S61" s="1164"/>
      <c r="T61" s="1164"/>
      <c r="U61" s="2174"/>
      <c r="V61" s="2174"/>
      <c r="W61" s="2174"/>
      <c r="X61" s="1164"/>
    </row>
    <row r="62" ht="15.75" customHeight="1">
      <c r="A62" s="94"/>
      <c r="B62" s="94"/>
      <c r="C62" s="1164"/>
      <c r="D62" s="1429"/>
      <c r="E62" s="1429"/>
      <c r="F62" s="1429"/>
      <c r="G62" s="1429"/>
      <c r="H62" s="1430"/>
      <c r="I62" s="1430"/>
      <c r="J62" s="94"/>
      <c r="K62" s="94"/>
      <c r="L62" s="94"/>
      <c r="M62" s="1430"/>
      <c r="N62" s="1430"/>
      <c r="O62" s="1430"/>
      <c r="P62" s="94"/>
      <c r="Q62" s="1431"/>
      <c r="R62" s="1430"/>
      <c r="S62" s="1164"/>
      <c r="T62" s="1164"/>
      <c r="U62" s="2174"/>
      <c r="V62" s="2174"/>
      <c r="W62" s="2174"/>
      <c r="X62" s="1164"/>
    </row>
    <row r="63" ht="15.75" customHeight="1">
      <c r="A63" s="94"/>
      <c r="B63" s="94"/>
      <c r="C63" s="1164"/>
      <c r="D63" s="1429"/>
      <c r="E63" s="1429"/>
      <c r="F63" s="1429"/>
      <c r="G63" s="1429"/>
      <c r="H63" s="1430"/>
      <c r="I63" s="1430"/>
      <c r="J63" s="94"/>
      <c r="K63" s="94"/>
      <c r="L63" s="94"/>
      <c r="M63" s="1430"/>
      <c r="N63" s="1430"/>
      <c r="O63" s="1430"/>
      <c r="P63" s="94"/>
      <c r="Q63" s="1431"/>
      <c r="R63" s="1430"/>
      <c r="S63" s="1164"/>
      <c r="T63" s="1164"/>
      <c r="U63" s="2174"/>
      <c r="V63" s="2174"/>
      <c r="W63" s="2174"/>
      <c r="X63" s="1164"/>
    </row>
    <row r="64" ht="15.75" customHeight="1">
      <c r="A64" s="94"/>
      <c r="B64" s="94"/>
      <c r="C64" s="1164"/>
      <c r="D64" s="1429"/>
      <c r="E64" s="1429"/>
      <c r="F64" s="1429"/>
      <c r="G64" s="1429"/>
      <c r="H64" s="1430"/>
      <c r="I64" s="1430"/>
      <c r="J64" s="94"/>
      <c r="K64" s="94"/>
      <c r="L64" s="94"/>
      <c r="M64" s="1430"/>
      <c r="N64" s="1430"/>
      <c r="O64" s="1430"/>
      <c r="P64" s="94"/>
      <c r="Q64" s="1431"/>
      <c r="R64" s="1430"/>
      <c r="S64" s="1164"/>
      <c r="T64" s="1164"/>
      <c r="U64" s="2174"/>
      <c r="V64" s="2174"/>
      <c r="W64" s="2174"/>
      <c r="X64" s="1164"/>
    </row>
    <row r="65" ht="15.75" customHeight="1">
      <c r="A65" s="94"/>
      <c r="B65" s="94"/>
      <c r="C65" s="1164"/>
      <c r="D65" s="1429"/>
      <c r="E65" s="1429"/>
      <c r="F65" s="1429"/>
      <c r="G65" s="1429"/>
      <c r="H65" s="1430"/>
      <c r="I65" s="1430"/>
      <c r="J65" s="94"/>
      <c r="K65" s="94"/>
      <c r="L65" s="94"/>
      <c r="M65" s="1430"/>
      <c r="N65" s="1430"/>
      <c r="O65" s="1430"/>
      <c r="P65" s="94"/>
      <c r="Q65" s="1431"/>
      <c r="R65" s="1430"/>
      <c r="S65" s="1164"/>
      <c r="T65" s="1164"/>
      <c r="U65" s="2174"/>
      <c r="V65" s="2174"/>
      <c r="W65" s="2174"/>
      <c r="X65" s="1164"/>
    </row>
    <row r="66" ht="15.75" customHeight="1">
      <c r="A66" s="94"/>
      <c r="B66" s="94"/>
      <c r="C66" s="1164"/>
      <c r="D66" s="1429"/>
      <c r="E66" s="1429"/>
      <c r="F66" s="1429"/>
      <c r="G66" s="1429"/>
      <c r="H66" s="1430"/>
      <c r="I66" s="94"/>
      <c r="J66" s="1164"/>
      <c r="K66" s="94"/>
      <c r="L66" s="94"/>
      <c r="M66" s="1430"/>
      <c r="N66" s="1430"/>
      <c r="O66" s="1430"/>
      <c r="P66" s="94"/>
      <c r="Q66" s="1431"/>
      <c r="R66" s="1430"/>
      <c r="S66" s="1164"/>
      <c r="T66" s="1164"/>
      <c r="U66" s="2174"/>
      <c r="V66" s="2174"/>
      <c r="W66" s="2174"/>
      <c r="X66" s="1164"/>
    </row>
    <row r="67" ht="15.75" customHeight="1">
      <c r="A67" s="94"/>
      <c r="B67" s="94"/>
      <c r="C67" s="1164"/>
      <c r="D67" s="1429"/>
      <c r="E67" s="1429"/>
      <c r="F67" s="1429"/>
      <c r="G67" s="1429"/>
      <c r="H67" s="1430"/>
      <c r="I67" s="94"/>
      <c r="J67" s="1164"/>
      <c r="K67" s="94"/>
      <c r="L67" s="94"/>
      <c r="M67" s="1430"/>
      <c r="N67" s="1430"/>
      <c r="O67" s="1430"/>
      <c r="P67" s="94"/>
      <c r="Q67" s="1431"/>
      <c r="R67" s="1430"/>
      <c r="S67" s="1164"/>
      <c r="T67" s="1164"/>
      <c r="U67" s="2174"/>
      <c r="V67" s="2174"/>
      <c r="W67" s="2174"/>
      <c r="X67" s="1164"/>
    </row>
    <row r="68" ht="15.75" customHeight="1">
      <c r="A68" s="94"/>
      <c r="B68" s="94"/>
      <c r="C68" s="1164"/>
      <c r="D68" s="1429"/>
      <c r="E68" s="1429"/>
      <c r="F68" s="1429"/>
      <c r="G68" s="1429"/>
      <c r="H68" s="1430"/>
      <c r="I68" s="1430"/>
      <c r="J68" s="94"/>
      <c r="K68" s="94"/>
      <c r="L68" s="94"/>
      <c r="M68" s="94"/>
      <c r="N68" s="94"/>
      <c r="O68" s="94"/>
      <c r="P68" s="94"/>
      <c r="Q68" s="1431"/>
      <c r="R68" s="1430"/>
      <c r="S68" s="1164"/>
      <c r="T68" s="1164"/>
      <c r="U68" s="2174"/>
      <c r="V68" s="94"/>
      <c r="W68" s="94"/>
      <c r="X68" s="1164"/>
    </row>
    <row r="69" ht="15.75" customHeight="1">
      <c r="A69" s="94"/>
      <c r="B69" s="94"/>
      <c r="C69" s="1164"/>
      <c r="D69" s="1429"/>
      <c r="E69" s="1429"/>
      <c r="F69" s="1429"/>
      <c r="G69" s="1429"/>
      <c r="H69" s="1430"/>
      <c r="I69" s="1430"/>
      <c r="J69" s="94"/>
      <c r="K69" s="94"/>
      <c r="L69" s="94"/>
      <c r="M69" s="94"/>
      <c r="N69" s="94"/>
      <c r="O69" s="94"/>
      <c r="P69" s="94"/>
      <c r="Q69" s="1431"/>
      <c r="R69" s="1430"/>
      <c r="S69" s="1164"/>
      <c r="T69" s="1164"/>
      <c r="U69" s="2174"/>
      <c r="V69" s="94"/>
      <c r="W69" s="94"/>
      <c r="X69" s="1164"/>
    </row>
    <row r="70" ht="15.75" customHeight="1">
      <c r="A70" s="94"/>
      <c r="B70" s="94"/>
      <c r="C70" s="1164"/>
      <c r="D70" s="1429"/>
      <c r="E70" s="1429"/>
      <c r="F70" s="1429"/>
      <c r="G70" s="1429"/>
      <c r="H70" s="1430"/>
      <c r="I70" s="1430"/>
      <c r="J70" s="94"/>
      <c r="K70" s="94"/>
      <c r="L70" s="94"/>
      <c r="M70" s="1430"/>
      <c r="N70" s="1430"/>
      <c r="O70" s="1430"/>
      <c r="P70" s="94"/>
      <c r="Q70" s="1431"/>
      <c r="R70" s="1430"/>
      <c r="S70" s="1164"/>
      <c r="T70" s="1164"/>
      <c r="U70" s="2174"/>
      <c r="V70" s="2174"/>
      <c r="W70" s="2174"/>
      <c r="X70" s="1164"/>
    </row>
    <row r="71" ht="15.75" customHeight="1">
      <c r="A71" s="94"/>
      <c r="B71" s="94"/>
      <c r="C71" s="94"/>
      <c r="D71" s="94"/>
      <c r="E71" s="94"/>
      <c r="F71" s="94"/>
      <c r="G71" s="94"/>
      <c r="H71" s="1164"/>
      <c r="I71" s="1164"/>
      <c r="J71" s="1164"/>
      <c r="K71" s="1430"/>
      <c r="L71" s="1430"/>
      <c r="M71" s="1430"/>
      <c r="N71" s="1430"/>
      <c r="O71" s="1430"/>
      <c r="P71" s="1430"/>
      <c r="Q71" s="1430"/>
      <c r="R71" s="1430"/>
      <c r="S71" s="94"/>
      <c r="T71" s="1164"/>
      <c r="U71" s="94"/>
      <c r="V71" s="94"/>
      <c r="W71" s="94"/>
      <c r="X71" s="1430"/>
    </row>
    <row r="72" ht="15.75" customHeight="1">
      <c r="A72" s="94"/>
      <c r="B72" s="94"/>
      <c r="C72" s="1164"/>
      <c r="D72" s="1429"/>
      <c r="E72" s="1429"/>
      <c r="F72" s="1429"/>
      <c r="G72" s="1429"/>
      <c r="H72" s="1430"/>
      <c r="I72" s="1430"/>
      <c r="J72" s="94"/>
      <c r="K72" s="94"/>
      <c r="L72" s="94"/>
      <c r="M72" s="94"/>
      <c r="N72" s="94"/>
      <c r="O72" s="94"/>
      <c r="P72" s="94"/>
      <c r="Q72" s="94"/>
      <c r="R72" s="94"/>
      <c r="S72" s="1164"/>
      <c r="T72" s="1164"/>
      <c r="U72" s="94"/>
      <c r="V72" s="94"/>
      <c r="W72" s="94"/>
      <c r="X72" s="1164"/>
    </row>
    <row r="73" ht="15.75" customHeight="1">
      <c r="A73" s="94"/>
      <c r="B73" s="94"/>
      <c r="C73" s="1164"/>
      <c r="D73" s="1429"/>
      <c r="E73" s="1429"/>
      <c r="F73" s="1429"/>
      <c r="G73" s="1429"/>
      <c r="H73" s="1430"/>
      <c r="I73" s="1430"/>
      <c r="J73" s="94"/>
      <c r="K73" s="94"/>
      <c r="L73" s="94"/>
      <c r="M73" s="1430"/>
      <c r="N73" s="1430"/>
      <c r="O73" s="1430"/>
      <c r="P73" s="94"/>
      <c r="Q73" s="1431"/>
      <c r="R73" s="1430"/>
      <c r="S73" s="1164"/>
      <c r="T73" s="1164"/>
      <c r="U73" s="2174"/>
      <c r="V73" s="2174"/>
      <c r="W73" s="2174"/>
      <c r="X73" s="1164"/>
    </row>
    <row r="74" ht="15.75" customHeight="1">
      <c r="A74" s="94"/>
      <c r="B74" s="94"/>
      <c r="C74" s="1164"/>
      <c r="D74" s="1429"/>
      <c r="E74" s="1429"/>
      <c r="F74" s="1429"/>
      <c r="G74" s="1429"/>
      <c r="H74" s="1430"/>
      <c r="I74" s="1430"/>
      <c r="J74" s="94"/>
      <c r="K74" s="94"/>
      <c r="L74" s="94"/>
      <c r="M74" s="1430"/>
      <c r="N74" s="1430"/>
      <c r="O74" s="1430"/>
      <c r="P74" s="94"/>
      <c r="Q74" s="1431"/>
      <c r="R74" s="1430"/>
      <c r="S74" s="1164"/>
      <c r="T74" s="1164"/>
      <c r="U74" s="2174"/>
      <c r="V74" s="2174"/>
      <c r="W74" s="2174"/>
      <c r="X74" s="1164"/>
    </row>
    <row r="75" ht="15.75" customHeight="1">
      <c r="A75" s="94"/>
      <c r="B75" s="94"/>
      <c r="C75" s="1164"/>
      <c r="D75" s="1429"/>
      <c r="E75" s="1429"/>
      <c r="F75" s="1429"/>
      <c r="G75" s="1429"/>
      <c r="H75" s="1430"/>
      <c r="I75" s="1430"/>
      <c r="J75" s="94"/>
      <c r="K75" s="94"/>
      <c r="L75" s="94"/>
      <c r="M75" s="1430"/>
      <c r="N75" s="1430"/>
      <c r="O75" s="1430"/>
      <c r="P75" s="94"/>
      <c r="Q75" s="1431"/>
      <c r="R75" s="1430"/>
      <c r="S75" s="1164"/>
      <c r="T75" s="1164"/>
      <c r="U75" s="2174"/>
      <c r="V75" s="2174"/>
      <c r="W75" s="2174"/>
      <c r="X75" s="1164"/>
    </row>
    <row r="76" ht="15.75" customHeight="1">
      <c r="A76" s="94"/>
      <c r="B76" s="94"/>
      <c r="C76" s="1164"/>
      <c r="D76" s="1429"/>
      <c r="E76" s="1429"/>
      <c r="F76" s="1429"/>
      <c r="G76" s="1429"/>
      <c r="H76" s="1430"/>
      <c r="I76" s="1430"/>
      <c r="J76" s="94"/>
      <c r="K76" s="94"/>
      <c r="L76" s="94"/>
      <c r="M76" s="1430"/>
      <c r="N76" s="1430"/>
      <c r="O76" s="1430"/>
      <c r="P76" s="94"/>
      <c r="Q76" s="1431"/>
      <c r="R76" s="1430"/>
      <c r="S76" s="1164"/>
      <c r="T76" s="1164"/>
      <c r="U76" s="2174"/>
      <c r="V76" s="2174"/>
      <c r="W76" s="2174"/>
      <c r="X76" s="1164"/>
    </row>
    <row r="77" ht="15.75" customHeight="1">
      <c r="A77" s="94"/>
      <c r="B77" s="94"/>
      <c r="C77" s="1164"/>
      <c r="D77" s="1429"/>
      <c r="E77" s="1429"/>
      <c r="F77" s="1429"/>
      <c r="G77" s="1429"/>
      <c r="H77" s="1430"/>
      <c r="I77" s="1430"/>
      <c r="J77" s="94"/>
      <c r="K77" s="94"/>
      <c r="L77" s="94"/>
      <c r="M77" s="1430"/>
      <c r="N77" s="1430"/>
      <c r="O77" s="1430"/>
      <c r="P77" s="94"/>
      <c r="Q77" s="1431"/>
      <c r="R77" s="1430"/>
      <c r="S77" s="1164"/>
      <c r="T77" s="1164"/>
      <c r="U77" s="2174"/>
      <c r="V77" s="2174"/>
      <c r="W77" s="2174"/>
      <c r="X77" s="1164"/>
    </row>
    <row r="78" ht="15.75" customHeight="1">
      <c r="A78" s="94"/>
      <c r="B78" s="94"/>
      <c r="C78" s="1164"/>
      <c r="D78" s="1429"/>
      <c r="E78" s="1429"/>
      <c r="F78" s="1429"/>
      <c r="G78" s="1429"/>
      <c r="H78" s="1430"/>
      <c r="I78" s="1430"/>
      <c r="J78" s="94"/>
      <c r="K78" s="94"/>
      <c r="L78" s="94"/>
      <c r="M78" s="1430"/>
      <c r="N78" s="1430"/>
      <c r="O78" s="1430"/>
      <c r="P78" s="94"/>
      <c r="Q78" s="1431"/>
      <c r="R78" s="1430"/>
      <c r="S78" s="1164"/>
      <c r="T78" s="1164"/>
      <c r="U78" s="2174"/>
      <c r="V78" s="2174"/>
      <c r="W78" s="2174"/>
      <c r="X78" s="1164"/>
    </row>
    <row r="79" ht="15.75" customHeight="1">
      <c r="A79" s="94"/>
      <c r="B79" s="94"/>
      <c r="C79" s="1164"/>
      <c r="D79" s="1429"/>
      <c r="E79" s="1429"/>
      <c r="F79" s="1429"/>
      <c r="G79" s="1429"/>
      <c r="H79" s="1430"/>
      <c r="I79" s="1430"/>
      <c r="J79" s="94"/>
      <c r="K79" s="94"/>
      <c r="L79" s="94"/>
      <c r="M79" s="1430"/>
      <c r="N79" s="1430"/>
      <c r="O79" s="1430"/>
      <c r="P79" s="94"/>
      <c r="Q79" s="1431"/>
      <c r="R79" s="1430"/>
      <c r="S79" s="1164"/>
      <c r="T79" s="1164"/>
      <c r="U79" s="2174"/>
      <c r="V79" s="2174"/>
      <c r="W79" s="2174"/>
      <c r="X79" s="1164"/>
    </row>
    <row r="80" ht="15.75" customHeight="1">
      <c r="A80" s="94"/>
      <c r="B80" s="94"/>
      <c r="C80" s="1164"/>
      <c r="D80" s="1429"/>
      <c r="E80" s="1429"/>
      <c r="F80" s="1429"/>
      <c r="G80" s="1429"/>
      <c r="H80" s="1430"/>
      <c r="I80" s="1430"/>
      <c r="J80" s="94"/>
      <c r="K80" s="94"/>
      <c r="L80" s="94"/>
      <c r="M80" s="1430"/>
      <c r="N80" s="1430"/>
      <c r="O80" s="1430"/>
      <c r="P80" s="94"/>
      <c r="Q80" s="1431"/>
      <c r="R80" s="1430"/>
      <c r="S80" s="1164"/>
      <c r="T80" s="1164"/>
      <c r="U80" s="2174"/>
      <c r="V80" s="2174"/>
      <c r="W80" s="2174"/>
      <c r="X80" s="1164"/>
    </row>
    <row r="81" ht="15.75" customHeight="1">
      <c r="A81" s="94"/>
      <c r="B81" s="94"/>
      <c r="C81" s="1164"/>
      <c r="D81" s="1429"/>
      <c r="E81" s="1429"/>
      <c r="F81" s="1429"/>
      <c r="G81" s="1429"/>
      <c r="H81" s="1430"/>
      <c r="I81" s="1430"/>
      <c r="J81" s="94"/>
      <c r="K81" s="94"/>
      <c r="L81" s="94"/>
      <c r="M81" s="1430"/>
      <c r="N81" s="1430"/>
      <c r="O81" s="1430"/>
      <c r="P81" s="94"/>
      <c r="Q81" s="1431"/>
      <c r="R81" s="1430"/>
      <c r="S81" s="1164"/>
      <c r="T81" s="1164"/>
      <c r="U81" s="2174"/>
      <c r="V81" s="2174"/>
      <c r="W81" s="2174"/>
      <c r="X81" s="1164"/>
    </row>
    <row r="82" ht="15.75" customHeight="1">
      <c r="A82" s="94"/>
      <c r="B82" s="94"/>
      <c r="C82" s="94"/>
      <c r="D82" s="94"/>
      <c r="E82" s="94"/>
      <c r="F82" s="94"/>
      <c r="G82" s="94"/>
      <c r="H82" s="1164"/>
      <c r="I82" s="1164"/>
      <c r="J82" s="1164"/>
      <c r="K82" s="1430"/>
      <c r="L82" s="1430"/>
      <c r="M82" s="1430"/>
      <c r="N82" s="1430"/>
      <c r="O82" s="1430"/>
      <c r="P82" s="1430"/>
      <c r="Q82" s="1430"/>
      <c r="R82" s="1430"/>
      <c r="S82" s="94"/>
      <c r="T82" s="1164"/>
      <c r="U82" s="94"/>
      <c r="V82" s="94"/>
      <c r="W82" s="94"/>
      <c r="X82" s="1430"/>
    </row>
    <row r="83" ht="15.75" customHeight="1">
      <c r="A83" s="94"/>
      <c r="B83" s="94"/>
      <c r="C83" s="1164"/>
      <c r="D83" s="1429"/>
      <c r="E83" s="1429"/>
      <c r="F83" s="1429"/>
      <c r="G83" s="1429"/>
      <c r="H83" s="1430"/>
      <c r="I83" s="1430"/>
      <c r="J83" s="94"/>
      <c r="K83" s="94"/>
      <c r="L83" s="94"/>
      <c r="M83" s="1430"/>
      <c r="N83" s="1430"/>
      <c r="O83" s="1430"/>
      <c r="P83" s="94"/>
      <c r="Q83" s="1431"/>
      <c r="R83" s="1430"/>
      <c r="S83" s="1164"/>
      <c r="T83" s="1164"/>
      <c r="U83" s="2174"/>
      <c r="V83" s="2174"/>
      <c r="W83" s="2174"/>
      <c r="X83" s="1164"/>
    </row>
    <row r="84" ht="15.75" customHeight="1">
      <c r="A84" s="94"/>
      <c r="B84" s="94"/>
      <c r="C84" s="1164"/>
      <c r="D84" s="1429"/>
      <c r="E84" s="1429"/>
      <c r="F84" s="1429"/>
      <c r="G84" s="1429"/>
      <c r="H84" s="1430"/>
      <c r="I84" s="1430"/>
      <c r="J84" s="94"/>
      <c r="K84" s="94"/>
      <c r="L84" s="94"/>
      <c r="M84" s="1430"/>
      <c r="N84" s="1430"/>
      <c r="O84" s="1430"/>
      <c r="P84" s="94"/>
      <c r="Q84" s="1431"/>
      <c r="R84" s="1430"/>
      <c r="S84" s="1164"/>
      <c r="T84" s="1164"/>
      <c r="U84" s="2174"/>
      <c r="V84" s="2174"/>
      <c r="W84" s="2174"/>
      <c r="X84" s="1164"/>
    </row>
    <row r="85" ht="15.75" customHeight="1">
      <c r="A85" s="94"/>
      <c r="B85" s="94"/>
      <c r="C85" s="1164"/>
      <c r="D85" s="1429"/>
      <c r="E85" s="1429"/>
      <c r="F85" s="1429"/>
      <c r="G85" s="1429"/>
      <c r="H85" s="1430"/>
      <c r="I85" s="94"/>
      <c r="J85" s="1164"/>
      <c r="K85" s="94"/>
      <c r="L85" s="94"/>
      <c r="M85" s="1430"/>
      <c r="N85" s="1430"/>
      <c r="O85" s="1430"/>
      <c r="P85" s="94"/>
      <c r="Q85" s="1431"/>
      <c r="R85" s="1430"/>
      <c r="S85" s="1164"/>
      <c r="T85" s="1164"/>
      <c r="U85" s="2174"/>
      <c r="V85" s="2174"/>
      <c r="W85" s="94"/>
      <c r="X85" s="1164"/>
    </row>
    <row r="86" ht="15.75" customHeight="1">
      <c r="A86" s="94"/>
      <c r="B86" s="94"/>
      <c r="C86" s="1164"/>
      <c r="D86" s="1429"/>
      <c r="E86" s="1429"/>
      <c r="F86" s="1429"/>
      <c r="G86" s="1429"/>
      <c r="H86" s="1430"/>
      <c r="I86" s="1430"/>
      <c r="J86" s="94"/>
      <c r="K86" s="94"/>
      <c r="L86" s="94"/>
      <c r="M86" s="1430"/>
      <c r="N86" s="1430"/>
      <c r="O86" s="1430"/>
      <c r="P86" s="94"/>
      <c r="Q86" s="1431"/>
      <c r="R86" s="1430"/>
      <c r="S86" s="1164"/>
      <c r="T86" s="1164"/>
      <c r="U86" s="2174"/>
      <c r="V86" s="2174"/>
      <c r="W86" s="2174"/>
      <c r="X86" s="1164"/>
    </row>
    <row r="87" ht="15.75" customHeight="1">
      <c r="A87" s="94"/>
      <c r="B87" s="94"/>
      <c r="C87" s="1164"/>
      <c r="D87" s="1429"/>
      <c r="E87" s="1429"/>
      <c r="F87" s="1429"/>
      <c r="G87" s="1429"/>
      <c r="H87" s="1430"/>
      <c r="I87" s="1430"/>
      <c r="J87" s="94"/>
      <c r="K87" s="94"/>
      <c r="L87" s="94"/>
      <c r="M87" s="1430"/>
      <c r="N87" s="1430"/>
      <c r="O87" s="1430"/>
      <c r="P87" s="94"/>
      <c r="Q87" s="1431"/>
      <c r="R87" s="1430"/>
      <c r="S87" s="1164"/>
      <c r="T87" s="1164"/>
      <c r="U87" s="2174"/>
      <c r="V87" s="2174"/>
      <c r="W87" s="2174"/>
      <c r="X87" s="1164"/>
    </row>
    <row r="88" ht="15.75" customHeight="1">
      <c r="A88" s="94"/>
      <c r="B88" s="94"/>
      <c r="C88" s="1164"/>
      <c r="D88" s="1429"/>
      <c r="E88" s="1429"/>
      <c r="F88" s="1429"/>
      <c r="G88" s="1429"/>
      <c r="H88" s="1430"/>
      <c r="I88" s="1430"/>
      <c r="J88" s="94"/>
      <c r="K88" s="94"/>
      <c r="L88" s="94"/>
      <c r="M88" s="1430"/>
      <c r="N88" s="1430"/>
      <c r="O88" s="1430"/>
      <c r="P88" s="94"/>
      <c r="Q88" s="1431"/>
      <c r="R88" s="1430"/>
      <c r="S88" s="1164"/>
      <c r="T88" s="1164"/>
      <c r="U88" s="2174"/>
      <c r="V88" s="2174"/>
      <c r="W88" s="2174"/>
      <c r="X88" s="1164"/>
    </row>
    <row r="89" ht="15.75" customHeight="1">
      <c r="A89" s="94"/>
      <c r="B89" s="94"/>
      <c r="C89" s="1164"/>
      <c r="D89" s="1429"/>
      <c r="E89" s="1429"/>
      <c r="F89" s="1429"/>
      <c r="G89" s="1429"/>
      <c r="H89" s="1430"/>
      <c r="I89" s="94"/>
      <c r="J89" s="1164"/>
      <c r="K89" s="94"/>
      <c r="L89" s="94"/>
      <c r="M89" s="1430"/>
      <c r="N89" s="1430"/>
      <c r="O89" s="1430"/>
      <c r="P89" s="94"/>
      <c r="Q89" s="1431"/>
      <c r="R89" s="1430"/>
      <c r="S89" s="1164"/>
      <c r="T89" s="1164"/>
      <c r="U89" s="2174"/>
      <c r="V89" s="2174"/>
      <c r="W89" s="94"/>
      <c r="X89" s="1164"/>
    </row>
    <row r="90" ht="15.75" customHeight="1">
      <c r="A90" s="94"/>
      <c r="B90" s="94"/>
      <c r="C90" s="1164"/>
      <c r="D90" s="1429"/>
      <c r="E90" s="1429"/>
      <c r="F90" s="1429"/>
      <c r="G90" s="1429"/>
      <c r="H90" s="1430"/>
      <c r="I90" s="1430"/>
      <c r="J90" s="94"/>
      <c r="K90" s="94"/>
      <c r="L90" s="94"/>
      <c r="M90" s="1430"/>
      <c r="N90" s="1430"/>
      <c r="O90" s="1430"/>
      <c r="P90" s="94"/>
      <c r="Q90" s="1431"/>
      <c r="R90" s="1430"/>
      <c r="S90" s="1164"/>
      <c r="T90" s="1164"/>
      <c r="U90" s="2174"/>
      <c r="V90" s="2174"/>
      <c r="W90" s="2174"/>
      <c r="X90" s="1164"/>
    </row>
    <row r="91" ht="15.75" customHeight="1">
      <c r="A91" s="94"/>
      <c r="B91" s="94"/>
      <c r="C91" s="1164"/>
      <c r="D91" s="1429"/>
      <c r="E91" s="1429"/>
      <c r="F91" s="1429"/>
      <c r="G91" s="1429"/>
      <c r="H91" s="1430"/>
      <c r="I91" s="1430"/>
      <c r="J91" s="94"/>
      <c r="K91" s="94"/>
      <c r="L91" s="94"/>
      <c r="M91" s="1430"/>
      <c r="N91" s="1430"/>
      <c r="O91" s="1430"/>
      <c r="P91" s="94"/>
      <c r="Q91" s="1431"/>
      <c r="R91" s="1430"/>
      <c r="S91" s="1164"/>
      <c r="T91" s="1164"/>
      <c r="U91" s="2174"/>
      <c r="V91" s="2174"/>
      <c r="W91" s="2174"/>
      <c r="X91" s="1164"/>
    </row>
    <row r="92" ht="15.75" customHeight="1">
      <c r="A92" s="94"/>
      <c r="B92" s="94"/>
      <c r="C92" s="1164"/>
      <c r="D92" s="1429"/>
      <c r="E92" s="1429"/>
      <c r="F92" s="1429"/>
      <c r="G92" s="1429"/>
      <c r="H92" s="1430"/>
      <c r="I92" s="1430"/>
      <c r="J92" s="94"/>
      <c r="K92" s="94"/>
      <c r="L92" s="94"/>
      <c r="M92" s="1430"/>
      <c r="N92" s="1430"/>
      <c r="O92" s="1430"/>
      <c r="P92" s="94"/>
      <c r="Q92" s="1431"/>
      <c r="R92" s="1430"/>
      <c r="S92" s="1164"/>
      <c r="T92" s="1164"/>
      <c r="U92" s="2174"/>
      <c r="V92" s="2174"/>
      <c r="W92" s="2174"/>
      <c r="X92" s="1164"/>
    </row>
    <row r="93" ht="15.75" customHeight="1">
      <c r="A93" s="94"/>
      <c r="B93" s="94"/>
      <c r="C93" s="1164"/>
      <c r="D93" s="1429"/>
      <c r="E93" s="1429"/>
      <c r="F93" s="1429"/>
      <c r="G93" s="1429"/>
      <c r="H93" s="1430"/>
      <c r="I93" s="1430"/>
      <c r="J93" s="94"/>
      <c r="K93" s="94"/>
      <c r="L93" s="94"/>
      <c r="M93" s="1430"/>
      <c r="N93" s="1430"/>
      <c r="O93" s="1430"/>
      <c r="P93" s="94"/>
      <c r="Q93" s="1431"/>
      <c r="R93" s="1430"/>
      <c r="S93" s="1164"/>
      <c r="T93" s="1164"/>
      <c r="U93" s="2174"/>
      <c r="V93" s="2174"/>
      <c r="W93" s="2174"/>
      <c r="X93" s="1164"/>
    </row>
    <row r="94" ht="15.75" customHeight="1">
      <c r="A94" s="94"/>
      <c r="B94" s="94"/>
      <c r="C94" s="1164"/>
      <c r="D94" s="1429"/>
      <c r="E94" s="1429"/>
      <c r="F94" s="1429"/>
      <c r="G94" s="1429"/>
      <c r="H94" s="1430"/>
      <c r="I94" s="1430"/>
      <c r="J94" s="94"/>
      <c r="K94" s="94"/>
      <c r="L94" s="94"/>
      <c r="M94" s="1430"/>
      <c r="N94" s="1430"/>
      <c r="O94" s="1430"/>
      <c r="P94" s="94"/>
      <c r="Q94" s="1431"/>
      <c r="R94" s="1430"/>
      <c r="S94" s="1164"/>
      <c r="T94" s="1164"/>
      <c r="U94" s="2174"/>
      <c r="V94" s="2174"/>
      <c r="W94" s="2174"/>
      <c r="X94" s="1164"/>
    </row>
    <row r="95" ht="15.75" customHeight="1">
      <c r="A95" s="94"/>
      <c r="B95" s="94"/>
      <c r="C95" s="1164"/>
      <c r="D95" s="1429"/>
      <c r="E95" s="1429"/>
      <c r="F95" s="1429"/>
      <c r="G95" s="1429"/>
      <c r="H95" s="1430"/>
      <c r="I95" s="1430"/>
      <c r="J95" s="94"/>
      <c r="K95" s="94"/>
      <c r="L95" s="94"/>
      <c r="M95" s="1430"/>
      <c r="N95" s="1430"/>
      <c r="O95" s="1430"/>
      <c r="P95" s="94"/>
      <c r="Q95" s="1431"/>
      <c r="R95" s="1430"/>
      <c r="S95" s="1164"/>
      <c r="T95" s="1164"/>
      <c r="U95" s="2174"/>
      <c r="V95" s="2174"/>
      <c r="W95" s="2174"/>
      <c r="X95" s="1164"/>
    </row>
    <row r="96" ht="15.75" customHeight="1">
      <c r="A96" s="94"/>
      <c r="B96" s="94"/>
      <c r="C96" s="1164"/>
      <c r="D96" s="1429"/>
      <c r="E96" s="1429"/>
      <c r="F96" s="1429"/>
      <c r="G96" s="1429"/>
      <c r="H96" s="1430"/>
      <c r="I96" s="94"/>
      <c r="J96" s="1164"/>
      <c r="K96" s="94"/>
      <c r="L96" s="94"/>
      <c r="M96" s="1430"/>
      <c r="N96" s="1430"/>
      <c r="O96" s="1430"/>
      <c r="P96" s="94"/>
      <c r="Q96" s="1431"/>
      <c r="R96" s="1430"/>
      <c r="S96" s="1164"/>
      <c r="T96" s="1164"/>
      <c r="U96" s="2174"/>
      <c r="V96" s="2174"/>
      <c r="W96" s="94"/>
      <c r="X96" s="1164"/>
    </row>
    <row r="97" ht="15.75" customHeight="1">
      <c r="A97" s="94"/>
      <c r="B97" s="94"/>
      <c r="C97" s="94"/>
      <c r="D97" s="94"/>
      <c r="E97" s="94"/>
      <c r="F97" s="94"/>
      <c r="G97" s="94"/>
      <c r="H97" s="1164"/>
      <c r="I97" s="1164"/>
      <c r="J97" s="1164"/>
      <c r="K97" s="1430"/>
      <c r="L97" s="1430"/>
      <c r="M97" s="1430"/>
      <c r="N97" s="1430"/>
      <c r="O97" s="1430"/>
      <c r="P97" s="1430"/>
      <c r="Q97" s="1430"/>
      <c r="R97" s="1430"/>
      <c r="S97" s="94"/>
      <c r="T97" s="1164"/>
      <c r="U97" s="94"/>
      <c r="V97" s="94"/>
      <c r="W97" s="94"/>
      <c r="X97" s="1430"/>
    </row>
    <row r="98" ht="15.75" customHeight="1">
      <c r="A98" s="94"/>
      <c r="B98" s="94"/>
      <c r="C98" s="1164"/>
      <c r="D98" s="1429"/>
      <c r="E98" s="1429"/>
      <c r="F98" s="1429"/>
      <c r="G98" s="1429"/>
      <c r="H98" s="1430"/>
      <c r="I98" s="1430"/>
      <c r="J98" s="94"/>
      <c r="K98" s="94"/>
      <c r="L98" s="94"/>
      <c r="M98" s="1430"/>
      <c r="N98" s="1430"/>
      <c r="O98" s="1430"/>
      <c r="P98" s="94"/>
      <c r="Q98" s="1431"/>
      <c r="R98" s="1430"/>
      <c r="S98" s="1164"/>
      <c r="T98" s="1164"/>
      <c r="U98" s="2174"/>
      <c r="V98" s="2174"/>
      <c r="W98" s="2174"/>
      <c r="X98" s="1164"/>
    </row>
    <row r="99" ht="15.75" customHeight="1">
      <c r="A99" s="94"/>
      <c r="B99" s="94"/>
      <c r="C99" s="1164"/>
      <c r="D99" s="1429"/>
      <c r="E99" s="1429"/>
      <c r="F99" s="1429"/>
      <c r="G99" s="1429"/>
      <c r="H99" s="1430"/>
      <c r="I99" s="1430"/>
      <c r="J99" s="94"/>
      <c r="K99" s="94"/>
      <c r="L99" s="94"/>
      <c r="M99" s="1430"/>
      <c r="N99" s="1430"/>
      <c r="O99" s="1430"/>
      <c r="P99" s="94"/>
      <c r="Q99" s="1431"/>
      <c r="R99" s="1430"/>
      <c r="S99" s="1164"/>
      <c r="T99" s="1164"/>
      <c r="U99" s="2174"/>
      <c r="V99" s="2174"/>
      <c r="W99" s="2174"/>
      <c r="X99" s="1164"/>
    </row>
    <row r="100" ht="15.75" customHeight="1">
      <c r="A100" s="94"/>
      <c r="B100" s="94"/>
      <c r="C100" s="1164"/>
      <c r="D100" s="1429"/>
      <c r="E100" s="1429"/>
      <c r="F100" s="1429"/>
      <c r="G100" s="1429"/>
      <c r="H100" s="1430"/>
      <c r="I100" s="1430"/>
      <c r="J100" s="94"/>
      <c r="K100" s="94"/>
      <c r="L100" s="94"/>
      <c r="M100" s="1430"/>
      <c r="N100" s="1430"/>
      <c r="O100" s="1430"/>
      <c r="P100" s="94"/>
      <c r="Q100" s="1431"/>
      <c r="R100" s="1430"/>
      <c r="S100" s="1164"/>
      <c r="T100" s="1164"/>
      <c r="U100" s="2174"/>
      <c r="V100" s="2174"/>
      <c r="W100" s="2174"/>
      <c r="X100" s="1164"/>
    </row>
    <row r="101" ht="15.75" customHeight="1">
      <c r="A101" s="94"/>
      <c r="B101" s="94"/>
      <c r="C101" s="1164"/>
      <c r="D101" s="1429"/>
      <c r="E101" s="1429"/>
      <c r="F101" s="1429"/>
      <c r="G101" s="1429"/>
      <c r="H101" s="1430"/>
      <c r="I101" s="1430"/>
      <c r="J101" s="94"/>
      <c r="K101" s="94"/>
      <c r="L101" s="94"/>
      <c r="M101" s="1430"/>
      <c r="N101" s="1430"/>
      <c r="O101" s="1430"/>
      <c r="P101" s="94"/>
      <c r="Q101" s="1431"/>
      <c r="R101" s="1430"/>
      <c r="S101" s="1164"/>
      <c r="T101" s="1164"/>
      <c r="U101" s="2174"/>
      <c r="V101" s="2174"/>
      <c r="W101" s="2174"/>
      <c r="X101" s="1164"/>
    </row>
    <row r="102" ht="15.75" customHeight="1">
      <c r="A102" s="94"/>
      <c r="B102" s="94"/>
      <c r="C102" s="1164"/>
      <c r="D102" s="1429"/>
      <c r="E102" s="1429"/>
      <c r="F102" s="1429"/>
      <c r="G102" s="1429"/>
      <c r="H102" s="1430"/>
      <c r="I102" s="1430"/>
      <c r="J102" s="94"/>
      <c r="K102" s="94"/>
      <c r="L102" s="94"/>
      <c r="M102" s="94"/>
      <c r="N102" s="94"/>
      <c r="O102" s="94"/>
      <c r="P102" s="94"/>
      <c r="Q102" s="1431"/>
      <c r="R102" s="1430"/>
      <c r="S102" s="1164"/>
      <c r="T102" s="1164"/>
      <c r="U102" s="2174"/>
      <c r="V102" s="94"/>
      <c r="W102" s="94"/>
      <c r="X102" s="1164"/>
    </row>
    <row r="103" ht="15.75" customHeight="1">
      <c r="A103" s="94"/>
      <c r="B103" s="94"/>
      <c r="C103" s="1164"/>
      <c r="D103" s="1429"/>
      <c r="E103" s="1429"/>
      <c r="F103" s="1429"/>
      <c r="G103" s="1429"/>
      <c r="H103" s="1430"/>
      <c r="I103" s="1430"/>
      <c r="J103" s="94"/>
      <c r="K103" s="94"/>
      <c r="L103" s="94"/>
      <c r="M103" s="1430"/>
      <c r="N103" s="1430"/>
      <c r="O103" s="1430"/>
      <c r="P103" s="94"/>
      <c r="Q103" s="1431"/>
      <c r="R103" s="1430"/>
      <c r="S103" s="1164"/>
      <c r="T103" s="1164"/>
      <c r="U103" s="2174"/>
      <c r="V103" s="2174"/>
      <c r="W103" s="2174"/>
      <c r="X103" s="1164"/>
    </row>
    <row r="104" ht="15.75" customHeight="1">
      <c r="A104" s="94"/>
      <c r="B104" s="94"/>
      <c r="C104" s="1164"/>
      <c r="D104" s="1429"/>
      <c r="E104" s="1429"/>
      <c r="F104" s="1429"/>
      <c r="G104" s="1429"/>
      <c r="H104" s="1430"/>
      <c r="I104" s="1430"/>
      <c r="J104" s="94"/>
      <c r="K104" s="94"/>
      <c r="L104" s="94"/>
      <c r="M104" s="1430"/>
      <c r="N104" s="1430"/>
      <c r="O104" s="1430"/>
      <c r="P104" s="94"/>
      <c r="Q104" s="1431"/>
      <c r="R104" s="1430"/>
      <c r="S104" s="1164"/>
      <c r="T104" s="1164"/>
      <c r="U104" s="2174"/>
      <c r="V104" s="2174"/>
      <c r="W104" s="2174"/>
      <c r="X104" s="1164"/>
    </row>
    <row r="105" ht="15.75" customHeight="1">
      <c r="A105" s="94"/>
      <c r="B105" s="94"/>
      <c r="C105" s="1164"/>
      <c r="D105" s="1429"/>
      <c r="E105" s="1429"/>
      <c r="F105" s="1429"/>
      <c r="G105" s="1429"/>
      <c r="H105" s="1430"/>
      <c r="I105" s="1430"/>
      <c r="J105" s="94"/>
      <c r="K105" s="94"/>
      <c r="L105" s="94"/>
      <c r="M105" s="1430"/>
      <c r="N105" s="1430"/>
      <c r="O105" s="1430"/>
      <c r="P105" s="94"/>
      <c r="Q105" s="1431"/>
      <c r="R105" s="1430"/>
      <c r="S105" s="1164"/>
      <c r="T105" s="1164"/>
      <c r="U105" s="2174"/>
      <c r="V105" s="2174"/>
      <c r="W105" s="2174"/>
      <c r="X105" s="1164"/>
    </row>
    <row r="106" ht="15.75" customHeight="1">
      <c r="A106" s="94"/>
      <c r="B106" s="94"/>
      <c r="C106" s="1164"/>
      <c r="D106" s="1429"/>
      <c r="E106" s="1429"/>
      <c r="F106" s="1429"/>
      <c r="G106" s="1429"/>
      <c r="H106" s="1430"/>
      <c r="I106" s="1430"/>
      <c r="J106" s="94"/>
      <c r="K106" s="94"/>
      <c r="L106" s="94"/>
      <c r="M106" s="94"/>
      <c r="N106" s="94"/>
      <c r="O106" s="94"/>
      <c r="P106" s="94"/>
      <c r="Q106" s="1431"/>
      <c r="R106" s="1430"/>
      <c r="S106" s="1164"/>
      <c r="T106" s="1164"/>
      <c r="U106" s="2174"/>
      <c r="V106" s="94"/>
      <c r="W106" s="94"/>
      <c r="X106" s="1164"/>
    </row>
    <row r="107" ht="15.75" customHeight="1">
      <c r="A107" s="94"/>
      <c r="B107" s="94"/>
      <c r="C107" s="1164"/>
      <c r="D107" s="1429"/>
      <c r="E107" s="1429"/>
      <c r="F107" s="1429"/>
      <c r="G107" s="1429"/>
      <c r="H107" s="1430"/>
      <c r="I107" s="1430"/>
      <c r="J107" s="94"/>
      <c r="K107" s="94"/>
      <c r="L107" s="94"/>
      <c r="M107" s="94"/>
      <c r="N107" s="94"/>
      <c r="O107" s="94"/>
      <c r="P107" s="94"/>
      <c r="Q107" s="1431"/>
      <c r="R107" s="1430"/>
      <c r="S107" s="1164"/>
      <c r="T107" s="1164"/>
      <c r="U107" s="2174"/>
      <c r="V107" s="94"/>
      <c r="W107" s="94"/>
      <c r="X107" s="1164"/>
    </row>
    <row r="108" ht="15.75" customHeight="1">
      <c r="A108" s="94"/>
      <c r="B108" s="94"/>
      <c r="C108" s="1164"/>
      <c r="D108" s="1429"/>
      <c r="E108" s="1429"/>
      <c r="F108" s="1429"/>
      <c r="G108" s="1429"/>
      <c r="H108" s="1430"/>
      <c r="I108" s="1430"/>
      <c r="J108" s="94"/>
      <c r="K108" s="94"/>
      <c r="L108" s="94"/>
      <c r="M108" s="1430"/>
      <c r="N108" s="1430"/>
      <c r="O108" s="1430"/>
      <c r="P108" s="94"/>
      <c r="Q108" s="1431"/>
      <c r="R108" s="1430"/>
      <c r="S108" s="1164"/>
      <c r="T108" s="1164"/>
      <c r="U108" s="2174"/>
      <c r="V108" s="2174"/>
      <c r="W108" s="2174"/>
      <c r="X108" s="1164"/>
    </row>
    <row r="109" ht="15.75" customHeight="1">
      <c r="A109" s="94"/>
      <c r="B109" s="94"/>
      <c r="C109" s="1164"/>
      <c r="D109" s="1429"/>
      <c r="E109" s="1429"/>
      <c r="F109" s="1429"/>
      <c r="G109" s="1429"/>
      <c r="H109" s="1430"/>
      <c r="I109" s="1430"/>
      <c r="J109" s="94"/>
      <c r="K109" s="94"/>
      <c r="L109" s="94"/>
      <c r="M109" s="1430"/>
      <c r="N109" s="1430"/>
      <c r="O109" s="1430"/>
      <c r="P109" s="94"/>
      <c r="Q109" s="1431"/>
      <c r="R109" s="1430"/>
      <c r="S109" s="1164"/>
      <c r="T109" s="1164"/>
      <c r="U109" s="2174"/>
      <c r="V109" s="2174"/>
      <c r="W109" s="2174"/>
      <c r="X109" s="1164"/>
    </row>
    <row r="110" ht="15.75" customHeight="1">
      <c r="A110" s="94"/>
      <c r="B110" s="94"/>
      <c r="C110" s="1164"/>
      <c r="D110" s="1429"/>
      <c r="E110" s="1429"/>
      <c r="F110" s="1429"/>
      <c r="G110" s="1429"/>
      <c r="H110" s="1430"/>
      <c r="I110" s="1430"/>
      <c r="J110" s="94"/>
      <c r="K110" s="94"/>
      <c r="L110" s="94"/>
      <c r="M110" s="1430"/>
      <c r="N110" s="1430"/>
      <c r="O110" s="1430"/>
      <c r="P110" s="94"/>
      <c r="Q110" s="1431"/>
      <c r="R110" s="1430"/>
      <c r="S110" s="1164"/>
      <c r="T110" s="1164"/>
      <c r="U110" s="2174"/>
      <c r="V110" s="2174"/>
      <c r="W110" s="2174"/>
      <c r="X110" s="1164"/>
    </row>
    <row r="111" ht="15.75" customHeight="1">
      <c r="A111" s="94"/>
      <c r="B111" s="94"/>
      <c r="C111" s="1164"/>
      <c r="D111" s="1429"/>
      <c r="E111" s="1429"/>
      <c r="F111" s="1429"/>
      <c r="G111" s="1429"/>
      <c r="H111" s="1430"/>
      <c r="I111" s="1430"/>
      <c r="J111" s="94"/>
      <c r="K111" s="94"/>
      <c r="L111" s="94"/>
      <c r="M111" s="1430"/>
      <c r="N111" s="1430"/>
      <c r="O111" s="1430"/>
      <c r="P111" s="94"/>
      <c r="Q111" s="1431"/>
      <c r="R111" s="1430"/>
      <c r="S111" s="1164"/>
      <c r="T111" s="1164"/>
      <c r="U111" s="2174"/>
      <c r="V111" s="2174"/>
      <c r="W111" s="2174"/>
      <c r="X111" s="1164"/>
    </row>
    <row r="112" ht="15.75" customHeight="1">
      <c r="A112" s="94"/>
      <c r="B112" s="94"/>
      <c r="C112" s="94"/>
      <c r="D112" s="94"/>
      <c r="E112" s="94"/>
      <c r="F112" s="94"/>
      <c r="G112" s="94"/>
      <c r="H112" s="1164"/>
      <c r="I112" s="1164"/>
      <c r="J112" s="1164"/>
      <c r="K112" s="1430"/>
      <c r="L112" s="1430"/>
      <c r="M112" s="1430"/>
      <c r="N112" s="1430"/>
      <c r="O112" s="1430"/>
      <c r="P112" s="1430"/>
      <c r="Q112" s="1430"/>
      <c r="R112" s="1430"/>
      <c r="S112" s="94"/>
      <c r="T112" s="1164"/>
      <c r="U112" s="94"/>
      <c r="V112" s="94"/>
      <c r="W112" s="94"/>
      <c r="X112" s="1430"/>
    </row>
    <row r="113" ht="15.75" customHeight="1">
      <c r="A113" s="94"/>
      <c r="B113" s="94"/>
      <c r="C113" s="1164"/>
      <c r="D113" s="1429"/>
      <c r="E113" s="1429"/>
      <c r="F113" s="1429"/>
      <c r="G113" s="1429"/>
      <c r="H113" s="1430"/>
      <c r="I113" s="1430"/>
      <c r="J113" s="94"/>
      <c r="K113" s="94"/>
      <c r="L113" s="94"/>
      <c r="M113" s="94"/>
      <c r="N113" s="94"/>
      <c r="O113" s="94"/>
      <c r="P113" s="94"/>
      <c r="Q113" s="1431"/>
      <c r="R113" s="1430"/>
      <c r="S113" s="1164"/>
      <c r="T113" s="1164"/>
      <c r="U113" s="2174"/>
      <c r="V113" s="94"/>
      <c r="W113" s="94"/>
      <c r="X113" s="1164"/>
    </row>
    <row r="114" ht="15.75" customHeight="1">
      <c r="A114" s="94"/>
      <c r="B114" s="94"/>
      <c r="C114" s="1164"/>
      <c r="D114" s="1429"/>
      <c r="E114" s="1429"/>
      <c r="F114" s="1429"/>
      <c r="G114" s="1429"/>
      <c r="H114" s="1430"/>
      <c r="I114" s="1430"/>
      <c r="J114" s="94"/>
      <c r="K114" s="94"/>
      <c r="L114" s="94"/>
      <c r="M114" s="1430"/>
      <c r="N114" s="1430"/>
      <c r="O114" s="1430"/>
      <c r="P114" s="94"/>
      <c r="Q114" s="1431"/>
      <c r="R114" s="1430"/>
      <c r="S114" s="1164"/>
      <c r="T114" s="1164"/>
      <c r="U114" s="2174"/>
      <c r="V114" s="2174"/>
      <c r="W114" s="2174"/>
      <c r="X114" s="1164"/>
    </row>
    <row r="115" ht="15.75" customHeight="1">
      <c r="A115" s="94"/>
      <c r="B115" s="94"/>
      <c r="C115" s="1164"/>
      <c r="D115" s="1429"/>
      <c r="E115" s="1429"/>
      <c r="F115" s="1429"/>
      <c r="G115" s="1429"/>
      <c r="H115" s="1430"/>
      <c r="I115" s="1430"/>
      <c r="J115" s="94"/>
      <c r="K115" s="94"/>
      <c r="L115" s="94"/>
      <c r="M115" s="1430"/>
      <c r="N115" s="1430"/>
      <c r="O115" s="1430"/>
      <c r="P115" s="94"/>
      <c r="Q115" s="1431"/>
      <c r="R115" s="1430"/>
      <c r="S115" s="1164"/>
      <c r="T115" s="1164"/>
      <c r="U115" s="2174"/>
      <c r="V115" s="2174"/>
      <c r="W115" s="2174"/>
      <c r="X115" s="1164"/>
    </row>
    <row r="116" ht="15.75" customHeight="1">
      <c r="A116" s="94"/>
      <c r="B116" s="94"/>
      <c r="C116" s="1164"/>
      <c r="D116" s="1429"/>
      <c r="E116" s="1429"/>
      <c r="F116" s="1429"/>
      <c r="G116" s="1429"/>
      <c r="H116" s="1430"/>
      <c r="I116" s="1430"/>
      <c r="J116" s="94"/>
      <c r="K116" s="94"/>
      <c r="L116" s="94"/>
      <c r="M116" s="1430"/>
      <c r="N116" s="1430"/>
      <c r="O116" s="1430"/>
      <c r="P116" s="94"/>
      <c r="Q116" s="1431"/>
      <c r="R116" s="1430"/>
      <c r="S116" s="1164"/>
      <c r="T116" s="1164"/>
      <c r="U116" s="2174"/>
      <c r="V116" s="2174"/>
      <c r="W116" s="2174"/>
      <c r="X116" s="1164"/>
    </row>
    <row r="117" ht="15.75" customHeight="1">
      <c r="A117" s="94"/>
      <c r="B117" s="94"/>
      <c r="C117" s="1164"/>
      <c r="D117" s="1429"/>
      <c r="E117" s="1429"/>
      <c r="F117" s="1429"/>
      <c r="G117" s="1429"/>
      <c r="H117" s="1430"/>
      <c r="I117" s="94"/>
      <c r="J117" s="1164"/>
      <c r="K117" s="94"/>
      <c r="L117" s="94"/>
      <c r="M117" s="1430"/>
      <c r="N117" s="1430"/>
      <c r="O117" s="1430"/>
      <c r="P117" s="94"/>
      <c r="Q117" s="1431"/>
      <c r="R117" s="1430"/>
      <c r="S117" s="1164"/>
      <c r="T117" s="1164"/>
      <c r="U117" s="2174"/>
      <c r="V117" s="2174"/>
      <c r="W117" s="94"/>
      <c r="X117" s="1164"/>
    </row>
    <row r="118" ht="15.75" customHeight="1">
      <c r="A118" s="94"/>
      <c r="B118" s="94"/>
      <c r="C118" s="1164"/>
      <c r="D118" s="1429"/>
      <c r="E118" s="1429"/>
      <c r="F118" s="1429"/>
      <c r="G118" s="1429"/>
      <c r="H118" s="1430"/>
      <c r="I118" s="94"/>
      <c r="J118" s="1164"/>
      <c r="K118" s="94"/>
      <c r="L118" s="94"/>
      <c r="M118" s="94"/>
      <c r="N118" s="94"/>
      <c r="O118" s="94"/>
      <c r="P118" s="94"/>
      <c r="Q118" s="94"/>
      <c r="R118" s="1430"/>
      <c r="S118" s="1164"/>
      <c r="T118" s="1164"/>
      <c r="U118" s="2174"/>
      <c r="V118" s="94"/>
      <c r="W118" s="94"/>
      <c r="X118" s="1164"/>
    </row>
    <row r="119" ht="15.75" customHeight="1">
      <c r="A119" s="94"/>
      <c r="B119" s="94"/>
      <c r="C119" s="1164"/>
      <c r="D119" s="1429"/>
      <c r="E119" s="1429"/>
      <c r="F119" s="1429"/>
      <c r="G119" s="1429"/>
      <c r="H119" s="1430"/>
      <c r="I119" s="1430"/>
      <c r="J119" s="94"/>
      <c r="K119" s="94"/>
      <c r="L119" s="94"/>
      <c r="M119" s="1430"/>
      <c r="N119" s="1430"/>
      <c r="O119" s="1430"/>
      <c r="P119" s="94"/>
      <c r="Q119" s="1431"/>
      <c r="R119" s="1430"/>
      <c r="S119" s="1164"/>
      <c r="T119" s="1164"/>
      <c r="U119" s="2174"/>
      <c r="V119" s="2174"/>
      <c r="W119" s="2174"/>
      <c r="X119" s="1164"/>
    </row>
    <row r="120" ht="15.75" customHeight="1">
      <c r="A120" s="94"/>
      <c r="B120" s="94"/>
      <c r="C120" s="1164"/>
      <c r="D120" s="1429"/>
      <c r="E120" s="1429"/>
      <c r="F120" s="1429"/>
      <c r="G120" s="1429"/>
      <c r="H120" s="1430"/>
      <c r="I120" s="1430"/>
      <c r="J120" s="94"/>
      <c r="K120" s="94"/>
      <c r="L120" s="94"/>
      <c r="M120" s="1430"/>
      <c r="N120" s="1430"/>
      <c r="O120" s="1430"/>
      <c r="P120" s="94"/>
      <c r="Q120" s="1431"/>
      <c r="R120" s="1430"/>
      <c r="S120" s="1164"/>
      <c r="T120" s="1164"/>
      <c r="U120" s="2174"/>
      <c r="V120" s="2174"/>
      <c r="W120" s="2174"/>
      <c r="X120" s="1164"/>
    </row>
    <row r="121" ht="15.75" customHeight="1">
      <c r="A121" s="94"/>
      <c r="B121" s="94"/>
      <c r="C121" s="1164"/>
      <c r="D121" s="1429"/>
      <c r="E121" s="1429"/>
      <c r="F121" s="1429"/>
      <c r="G121" s="1429"/>
      <c r="H121" s="1430"/>
      <c r="I121" s="1430"/>
      <c r="J121" s="94"/>
      <c r="K121" s="94"/>
      <c r="L121" s="94"/>
      <c r="M121" s="1430"/>
      <c r="N121" s="1430"/>
      <c r="O121" s="1430"/>
      <c r="P121" s="94"/>
      <c r="Q121" s="1431"/>
      <c r="R121" s="1430"/>
      <c r="S121" s="1164"/>
      <c r="T121" s="1164"/>
      <c r="U121" s="2174"/>
      <c r="V121" s="2174"/>
      <c r="W121" s="2174"/>
      <c r="X121" s="1164"/>
    </row>
    <row r="122" ht="15.75" customHeight="1">
      <c r="A122" s="94"/>
      <c r="B122" s="94"/>
      <c r="C122" s="1164"/>
      <c r="D122" s="1429"/>
      <c r="E122" s="1429"/>
      <c r="F122" s="1429"/>
      <c r="G122" s="1429"/>
      <c r="H122" s="1430"/>
      <c r="I122" s="1430"/>
      <c r="J122" s="94"/>
      <c r="K122" s="94"/>
      <c r="L122" s="94"/>
      <c r="M122" s="94"/>
      <c r="N122" s="94"/>
      <c r="O122" s="94"/>
      <c r="P122" s="94"/>
      <c r="Q122" s="1431"/>
      <c r="R122" s="1430"/>
      <c r="S122" s="1164"/>
      <c r="T122" s="1164"/>
      <c r="U122" s="2174"/>
      <c r="V122" s="94"/>
      <c r="W122" s="94"/>
      <c r="X122" s="1164"/>
    </row>
    <row r="123" ht="15.75" customHeight="1">
      <c r="A123" s="94"/>
      <c r="B123" s="94"/>
      <c r="C123" s="1164"/>
      <c r="D123" s="1429"/>
      <c r="E123" s="1429"/>
      <c r="F123" s="1429"/>
      <c r="G123" s="1429"/>
      <c r="H123" s="1430"/>
      <c r="I123" s="1430"/>
      <c r="J123" s="94"/>
      <c r="K123" s="94"/>
      <c r="L123" s="94"/>
      <c r="M123" s="1430"/>
      <c r="N123" s="1430"/>
      <c r="O123" s="1430"/>
      <c r="P123" s="94"/>
      <c r="Q123" s="1431"/>
      <c r="R123" s="1430"/>
      <c r="S123" s="1164"/>
      <c r="T123" s="1164"/>
      <c r="U123" s="2174"/>
      <c r="V123" s="2174"/>
      <c r="W123" s="2174"/>
      <c r="X123" s="1164"/>
    </row>
    <row r="124" ht="15.75" customHeight="1">
      <c r="A124" s="94"/>
      <c r="B124" s="94"/>
      <c r="C124" s="1164"/>
      <c r="D124" s="1429"/>
      <c r="E124" s="1429"/>
      <c r="F124" s="1429"/>
      <c r="G124" s="1429"/>
      <c r="H124" s="1430"/>
      <c r="I124" s="1430"/>
      <c r="J124" s="94"/>
      <c r="K124" s="94"/>
      <c r="L124" s="94"/>
      <c r="M124" s="1430"/>
      <c r="N124" s="1430"/>
      <c r="O124" s="1430"/>
      <c r="P124" s="94"/>
      <c r="Q124" s="1431"/>
      <c r="R124" s="1430"/>
      <c r="S124" s="1164"/>
      <c r="T124" s="1164"/>
      <c r="U124" s="2174"/>
      <c r="V124" s="2174"/>
      <c r="W124" s="2174"/>
      <c r="X124" s="1164"/>
    </row>
    <row r="125" ht="15.75" customHeight="1">
      <c r="A125" s="94"/>
      <c r="B125" s="94"/>
      <c r="C125" s="1164"/>
      <c r="D125" s="1429"/>
      <c r="E125" s="1429"/>
      <c r="F125" s="1429"/>
      <c r="G125" s="1429"/>
      <c r="H125" s="1430"/>
      <c r="I125" s="1430"/>
      <c r="J125" s="94"/>
      <c r="K125" s="94"/>
      <c r="L125" s="94"/>
      <c r="M125" s="1430"/>
      <c r="N125" s="1430"/>
      <c r="O125" s="1430"/>
      <c r="P125" s="94"/>
      <c r="Q125" s="1431"/>
      <c r="R125" s="1430"/>
      <c r="S125" s="1164"/>
      <c r="T125" s="1164"/>
      <c r="U125" s="2174"/>
      <c r="V125" s="2174"/>
      <c r="W125" s="2174"/>
      <c r="X125" s="1164"/>
    </row>
    <row r="126" ht="15.75" customHeight="1">
      <c r="A126" s="94"/>
      <c r="B126" s="94"/>
      <c r="C126" s="1164"/>
      <c r="D126" s="1429"/>
      <c r="E126" s="1429"/>
      <c r="F126" s="1429"/>
      <c r="G126" s="1429"/>
      <c r="H126" s="1430"/>
      <c r="I126" s="1430"/>
      <c r="J126" s="94"/>
      <c r="K126" s="94"/>
      <c r="L126" s="94"/>
      <c r="M126" s="94"/>
      <c r="N126" s="94"/>
      <c r="O126" s="94"/>
      <c r="P126" s="94"/>
      <c r="Q126" s="1431"/>
      <c r="R126" s="1430"/>
      <c r="S126" s="1164"/>
      <c r="T126" s="1164"/>
      <c r="U126" s="2174"/>
      <c r="V126" s="94"/>
      <c r="W126" s="94"/>
      <c r="X126" s="1164"/>
    </row>
    <row r="127" ht="15.75" customHeight="1">
      <c r="A127" s="94"/>
      <c r="B127" s="94"/>
      <c r="C127" s="94"/>
      <c r="D127" s="94"/>
      <c r="E127" s="94"/>
      <c r="F127" s="94"/>
      <c r="G127" s="94"/>
      <c r="H127" s="1164"/>
      <c r="I127" s="1164"/>
      <c r="J127" s="1164"/>
      <c r="K127" s="1430"/>
      <c r="L127" s="1430"/>
      <c r="M127" s="1430"/>
      <c r="N127" s="1430"/>
      <c r="O127" s="1430"/>
      <c r="P127" s="94"/>
      <c r="Q127" s="94"/>
      <c r="R127" s="1430"/>
      <c r="S127" s="94"/>
      <c r="T127" s="1164"/>
      <c r="U127" s="94"/>
      <c r="V127" s="94"/>
      <c r="W127" s="94"/>
      <c r="X127" s="1430"/>
    </row>
    <row r="128" ht="15.75" customHeight="1">
      <c r="A128" s="94"/>
      <c r="B128" s="94"/>
      <c r="C128" s="1164"/>
      <c r="D128" s="1429"/>
      <c r="E128" s="1429"/>
      <c r="F128" s="1429"/>
      <c r="G128" s="1429"/>
      <c r="H128" s="1430"/>
      <c r="I128" s="1430"/>
      <c r="J128" s="94"/>
      <c r="K128" s="94"/>
      <c r="L128" s="94"/>
      <c r="M128" s="94"/>
      <c r="N128" s="94"/>
      <c r="O128" s="1430"/>
      <c r="P128" s="94"/>
      <c r="Q128" s="1431"/>
      <c r="R128" s="1430"/>
      <c r="S128" s="1164"/>
      <c r="T128" s="1164"/>
      <c r="U128" s="2174"/>
      <c r="V128" s="94"/>
      <c r="W128" s="94"/>
      <c r="X128" s="1164"/>
    </row>
    <row r="129" ht="15.75" customHeight="1">
      <c r="A129" s="94"/>
      <c r="B129" s="94"/>
      <c r="C129" s="1164"/>
      <c r="D129" s="1429"/>
      <c r="E129" s="1429"/>
      <c r="F129" s="1429"/>
      <c r="G129" s="1429"/>
      <c r="H129" s="1430"/>
      <c r="I129" s="1430"/>
      <c r="J129" s="94"/>
      <c r="K129" s="94"/>
      <c r="L129" s="94"/>
      <c r="M129" s="1430"/>
      <c r="N129" s="1430"/>
      <c r="O129" s="1430"/>
      <c r="P129" s="94"/>
      <c r="Q129" s="1431"/>
      <c r="R129" s="1430"/>
      <c r="S129" s="1164"/>
      <c r="T129" s="1164"/>
      <c r="U129" s="2174"/>
      <c r="V129" s="2174"/>
      <c r="W129" s="2174"/>
      <c r="X129" s="1164"/>
    </row>
    <row r="130" ht="15.75" customHeight="1">
      <c r="A130" s="94"/>
      <c r="B130" s="94"/>
      <c r="C130" s="1164"/>
      <c r="D130" s="1429"/>
      <c r="E130" s="1429"/>
      <c r="F130" s="1429"/>
      <c r="G130" s="1429"/>
      <c r="H130" s="1430"/>
      <c r="I130" s="1430"/>
      <c r="J130" s="94"/>
      <c r="K130" s="94"/>
      <c r="L130" s="94"/>
      <c r="M130" s="94"/>
      <c r="N130" s="94"/>
      <c r="O130" s="1430"/>
      <c r="P130" s="94"/>
      <c r="Q130" s="1431"/>
      <c r="R130" s="1430"/>
      <c r="S130" s="1164"/>
      <c r="T130" s="1164"/>
      <c r="U130" s="2174"/>
      <c r="V130" s="94"/>
      <c r="W130" s="94"/>
      <c r="X130" s="1164"/>
    </row>
    <row r="131" ht="15.75" customHeight="1">
      <c r="A131" s="94"/>
      <c r="B131" s="94"/>
      <c r="C131" s="1164"/>
      <c r="D131" s="1429"/>
      <c r="E131" s="1429"/>
      <c r="F131" s="1429"/>
      <c r="G131" s="1429"/>
      <c r="H131" s="1430"/>
      <c r="I131" s="1430"/>
      <c r="J131" s="94"/>
      <c r="K131" s="94"/>
      <c r="L131" s="94"/>
      <c r="M131" s="94"/>
      <c r="N131" s="94"/>
      <c r="O131" s="1430"/>
      <c r="P131" s="94"/>
      <c r="Q131" s="1431"/>
      <c r="R131" s="1430"/>
      <c r="S131" s="1164"/>
      <c r="T131" s="1164"/>
      <c r="U131" s="2174"/>
      <c r="V131" s="94"/>
      <c r="W131" s="94"/>
      <c r="X131" s="1164"/>
    </row>
    <row r="132" ht="15.75" customHeight="1">
      <c r="A132" s="94"/>
      <c r="B132" s="94"/>
      <c r="C132" s="1164"/>
      <c r="D132" s="1429"/>
      <c r="E132" s="1429"/>
      <c r="F132" s="1429"/>
      <c r="G132" s="1429"/>
      <c r="H132" s="1430"/>
      <c r="I132" s="1430"/>
      <c r="J132" s="94"/>
      <c r="K132" s="94"/>
      <c r="L132" s="94"/>
      <c r="M132" s="1430"/>
      <c r="N132" s="1430"/>
      <c r="O132" s="1430"/>
      <c r="P132" s="94"/>
      <c r="Q132" s="1431"/>
      <c r="R132" s="1430"/>
      <c r="S132" s="1164"/>
      <c r="T132" s="1164"/>
      <c r="U132" s="2174"/>
      <c r="V132" s="2174"/>
      <c r="W132" s="2174"/>
      <c r="X132" s="1164"/>
    </row>
    <row r="133" ht="15.75" customHeight="1">
      <c r="A133" s="94"/>
      <c r="B133" s="94"/>
      <c r="C133" s="1164"/>
      <c r="D133" s="1429"/>
      <c r="E133" s="1429"/>
      <c r="F133" s="1429"/>
      <c r="G133" s="1429"/>
      <c r="H133" s="1430"/>
      <c r="I133" s="1430"/>
      <c r="J133" s="94"/>
      <c r="K133" s="94"/>
      <c r="L133" s="94"/>
      <c r="M133" s="1430"/>
      <c r="N133" s="1430"/>
      <c r="O133" s="1430"/>
      <c r="P133" s="94"/>
      <c r="Q133" s="1431"/>
      <c r="R133" s="1430"/>
      <c r="S133" s="1164"/>
      <c r="T133" s="1164"/>
      <c r="U133" s="2174"/>
      <c r="V133" s="2174"/>
      <c r="W133" s="2174"/>
      <c r="X133" s="1164"/>
    </row>
    <row r="134" ht="15.75" customHeight="1">
      <c r="A134" s="94"/>
      <c r="B134" s="94"/>
      <c r="C134" s="1164"/>
      <c r="D134" s="1429"/>
      <c r="E134" s="1429"/>
      <c r="F134" s="1429"/>
      <c r="G134" s="1429"/>
      <c r="H134" s="1430"/>
      <c r="I134" s="1430"/>
      <c r="J134" s="94"/>
      <c r="K134" s="94"/>
      <c r="L134" s="94"/>
      <c r="M134" s="1430"/>
      <c r="N134" s="1430"/>
      <c r="O134" s="1430"/>
      <c r="P134" s="94"/>
      <c r="Q134" s="1431"/>
      <c r="R134" s="1430"/>
      <c r="S134" s="1164"/>
      <c r="T134" s="1164"/>
      <c r="U134" s="2174"/>
      <c r="V134" s="2174"/>
      <c r="W134" s="2174"/>
      <c r="X134" s="1164"/>
    </row>
    <row r="135" ht="15.75" customHeight="1">
      <c r="A135" s="94"/>
      <c r="B135" s="94"/>
      <c r="C135" s="1164"/>
      <c r="D135" s="1429"/>
      <c r="E135" s="1429"/>
      <c r="F135" s="1429"/>
      <c r="G135" s="1429"/>
      <c r="H135" s="1430"/>
      <c r="I135" s="94"/>
      <c r="J135" s="1164"/>
      <c r="K135" s="94"/>
      <c r="L135" s="94"/>
      <c r="M135" s="1430"/>
      <c r="N135" s="1430"/>
      <c r="O135" s="1430"/>
      <c r="P135" s="94"/>
      <c r="Q135" s="1431"/>
      <c r="R135" s="1430"/>
      <c r="S135" s="1164"/>
      <c r="T135" s="1164"/>
      <c r="U135" s="2174"/>
      <c r="V135" s="2174"/>
      <c r="W135" s="94"/>
      <c r="X135" s="1164"/>
    </row>
    <row r="136" ht="15.75" customHeight="1">
      <c r="A136" s="94"/>
      <c r="B136" s="94"/>
      <c r="C136" s="94"/>
      <c r="D136" s="94"/>
      <c r="E136" s="94"/>
      <c r="F136" s="94"/>
      <c r="G136" s="94"/>
      <c r="H136" s="1164"/>
      <c r="I136" s="1164"/>
      <c r="J136" s="1164"/>
      <c r="K136" s="1430"/>
      <c r="L136" s="1430"/>
      <c r="M136" s="1430"/>
      <c r="N136" s="1430"/>
      <c r="O136" s="1430"/>
      <c r="P136" s="1430"/>
      <c r="Q136" s="1430"/>
      <c r="R136" s="1430"/>
      <c r="S136" s="94"/>
      <c r="T136" s="1164"/>
      <c r="U136" s="94"/>
      <c r="V136" s="94"/>
      <c r="W136" s="94"/>
      <c r="X136" s="1430"/>
    </row>
    <row r="137" ht="15.75" customHeight="1">
      <c r="A137" s="94"/>
      <c r="B137" s="94"/>
      <c r="C137" s="1164"/>
      <c r="D137" s="1429"/>
      <c r="E137" s="1429"/>
      <c r="F137" s="1429"/>
      <c r="G137" s="1429"/>
      <c r="H137" s="1430"/>
      <c r="I137" s="1430"/>
      <c r="J137" s="94"/>
      <c r="K137" s="94"/>
      <c r="L137" s="94"/>
      <c r="M137" s="94"/>
      <c r="N137" s="94"/>
      <c r="O137" s="94"/>
      <c r="P137" s="94"/>
      <c r="Q137" s="1431"/>
      <c r="R137" s="1430"/>
      <c r="S137" s="1164"/>
      <c r="T137" s="1164"/>
      <c r="U137" s="2174"/>
      <c r="V137" s="94"/>
      <c r="W137" s="94"/>
      <c r="X137" s="1164"/>
    </row>
    <row r="138" ht="15.75" customHeight="1">
      <c r="A138" s="94"/>
      <c r="B138" s="94"/>
      <c r="C138" s="1164"/>
      <c r="D138" s="1429"/>
      <c r="E138" s="1429"/>
      <c r="F138" s="1429"/>
      <c r="G138" s="1429"/>
      <c r="H138" s="1430"/>
      <c r="I138" s="1430"/>
      <c r="J138" s="94"/>
      <c r="K138" s="94"/>
      <c r="L138" s="94"/>
      <c r="M138" s="1430"/>
      <c r="N138" s="1430"/>
      <c r="O138" s="1430"/>
      <c r="P138" s="94"/>
      <c r="Q138" s="1431"/>
      <c r="R138" s="1430"/>
      <c r="S138" s="1164"/>
      <c r="T138" s="1164"/>
      <c r="U138" s="2174"/>
      <c r="V138" s="2174"/>
      <c r="W138" s="2174"/>
      <c r="X138" s="1164"/>
    </row>
    <row r="139" ht="15.75" customHeight="1">
      <c r="A139" s="94"/>
      <c r="B139" s="94"/>
      <c r="C139" s="1164"/>
      <c r="D139" s="1429"/>
      <c r="E139" s="1429"/>
      <c r="F139" s="1429"/>
      <c r="G139" s="1429"/>
      <c r="H139" s="1430"/>
      <c r="I139" s="1430"/>
      <c r="J139" s="94"/>
      <c r="K139" s="94"/>
      <c r="L139" s="94"/>
      <c r="M139" s="1430"/>
      <c r="N139" s="1430"/>
      <c r="O139" s="1430"/>
      <c r="P139" s="94"/>
      <c r="Q139" s="1431"/>
      <c r="R139" s="1430"/>
      <c r="S139" s="1164"/>
      <c r="T139" s="1164"/>
      <c r="U139" s="2174"/>
      <c r="V139" s="2174"/>
      <c r="W139" s="2174"/>
      <c r="X139" s="1164"/>
    </row>
    <row r="140" ht="15.75" customHeight="1">
      <c r="A140" s="94"/>
      <c r="B140" s="94"/>
      <c r="C140" s="1164"/>
      <c r="D140" s="1429"/>
      <c r="E140" s="1429"/>
      <c r="F140" s="1429"/>
      <c r="G140" s="1429"/>
      <c r="H140" s="1430"/>
      <c r="I140" s="1430"/>
      <c r="J140" s="94"/>
      <c r="K140" s="94"/>
      <c r="L140" s="94"/>
      <c r="M140" s="1430"/>
      <c r="N140" s="1430"/>
      <c r="O140" s="1430"/>
      <c r="P140" s="94"/>
      <c r="Q140" s="1431"/>
      <c r="R140" s="1430"/>
      <c r="S140" s="1164"/>
      <c r="T140" s="1164"/>
      <c r="U140" s="2174"/>
      <c r="V140" s="2174"/>
      <c r="W140" s="2174"/>
      <c r="X140" s="1164"/>
    </row>
    <row r="141" ht="15.75" customHeight="1">
      <c r="A141" s="94"/>
      <c r="B141" s="94"/>
      <c r="C141" s="1164"/>
      <c r="D141" s="1429"/>
      <c r="E141" s="1429"/>
      <c r="F141" s="1429"/>
      <c r="G141" s="1429"/>
      <c r="H141" s="1430"/>
      <c r="I141" s="94"/>
      <c r="J141" s="1164"/>
      <c r="K141" s="94"/>
      <c r="L141" s="94"/>
      <c r="M141" s="1430"/>
      <c r="N141" s="1430"/>
      <c r="O141" s="1430"/>
      <c r="P141" s="94"/>
      <c r="Q141" s="1431"/>
      <c r="R141" s="1430"/>
      <c r="S141" s="1164"/>
      <c r="T141" s="1164"/>
      <c r="U141" s="2174"/>
      <c r="V141" s="2174"/>
      <c r="W141" s="94"/>
      <c r="X141" s="1164"/>
    </row>
    <row r="142" ht="15.75" customHeight="1">
      <c r="A142" s="94"/>
      <c r="B142" s="94"/>
      <c r="C142" s="1164"/>
      <c r="D142" s="1429"/>
      <c r="E142" s="1429"/>
      <c r="F142" s="1429"/>
      <c r="G142" s="1429"/>
      <c r="H142" s="1430"/>
      <c r="I142" s="1430"/>
      <c r="J142" s="94"/>
      <c r="K142" s="94"/>
      <c r="L142" s="94"/>
      <c r="M142" s="1430"/>
      <c r="N142" s="1430"/>
      <c r="O142" s="1430"/>
      <c r="P142" s="94"/>
      <c r="Q142" s="1431"/>
      <c r="R142" s="1430"/>
      <c r="S142" s="1164"/>
      <c r="T142" s="1164"/>
      <c r="U142" s="2174"/>
      <c r="V142" s="2174"/>
      <c r="W142" s="2174"/>
      <c r="X142" s="1164"/>
    </row>
    <row r="143" ht="15.75" customHeight="1">
      <c r="A143" s="94"/>
      <c r="B143" s="94"/>
      <c r="C143" s="1164"/>
      <c r="D143" s="1429"/>
      <c r="E143" s="1429"/>
      <c r="F143" s="1429"/>
      <c r="G143" s="1429"/>
      <c r="H143" s="1430"/>
      <c r="I143" s="1430"/>
      <c r="J143" s="94"/>
      <c r="K143" s="94"/>
      <c r="L143" s="94"/>
      <c r="M143" s="1430"/>
      <c r="N143" s="1430"/>
      <c r="O143" s="1430"/>
      <c r="P143" s="94"/>
      <c r="Q143" s="1431"/>
      <c r="R143" s="1430"/>
      <c r="S143" s="1164"/>
      <c r="T143" s="1164"/>
      <c r="U143" s="2174"/>
      <c r="V143" s="2174"/>
      <c r="W143" s="2174"/>
      <c r="X143" s="1164"/>
    </row>
    <row r="144" ht="15.75" customHeight="1">
      <c r="A144" s="94"/>
      <c r="B144" s="94"/>
      <c r="C144" s="1164"/>
      <c r="D144" s="1429"/>
      <c r="E144" s="1429"/>
      <c r="F144" s="1429"/>
      <c r="G144" s="1429"/>
      <c r="H144" s="1430"/>
      <c r="I144" s="1430"/>
      <c r="J144" s="94"/>
      <c r="K144" s="94"/>
      <c r="L144" s="94"/>
      <c r="M144" s="1430"/>
      <c r="N144" s="1430"/>
      <c r="O144" s="1430"/>
      <c r="P144" s="94"/>
      <c r="Q144" s="1431"/>
      <c r="R144" s="1430"/>
      <c r="S144" s="1164"/>
      <c r="T144" s="1164"/>
      <c r="U144" s="2174"/>
      <c r="V144" s="2174"/>
      <c r="W144" s="2174"/>
      <c r="X144" s="1164"/>
    </row>
    <row r="145" ht="15.75" customHeight="1">
      <c r="A145" s="94"/>
      <c r="B145" s="94"/>
      <c r="C145" s="1164"/>
      <c r="D145" s="1429"/>
      <c r="E145" s="1429"/>
      <c r="F145" s="1429"/>
      <c r="G145" s="1429"/>
      <c r="H145" s="1430"/>
      <c r="I145" s="1430"/>
      <c r="J145" s="94"/>
      <c r="K145" s="94"/>
      <c r="L145" s="94"/>
      <c r="M145" s="1430"/>
      <c r="N145" s="1430"/>
      <c r="O145" s="1430"/>
      <c r="P145" s="94"/>
      <c r="Q145" s="1431"/>
      <c r="R145" s="1430"/>
      <c r="S145" s="1164"/>
      <c r="T145" s="1164"/>
      <c r="U145" s="2174"/>
      <c r="V145" s="2174"/>
      <c r="W145" s="2174"/>
      <c r="X145" s="1164"/>
    </row>
    <row r="146" ht="15.75" customHeight="1">
      <c r="A146" s="94"/>
      <c r="B146" s="94"/>
      <c r="C146" s="1164"/>
      <c r="D146" s="1429"/>
      <c r="E146" s="1429"/>
      <c r="F146" s="1429"/>
      <c r="G146" s="1429"/>
      <c r="H146" s="1430"/>
      <c r="I146" s="1430"/>
      <c r="J146" s="94"/>
      <c r="K146" s="94"/>
      <c r="L146" s="94"/>
      <c r="M146" s="1430"/>
      <c r="N146" s="1430"/>
      <c r="O146" s="1430"/>
      <c r="P146" s="94"/>
      <c r="Q146" s="1431"/>
      <c r="R146" s="1430"/>
      <c r="S146" s="1164"/>
      <c r="T146" s="1164"/>
      <c r="U146" s="2174"/>
      <c r="V146" s="2174"/>
      <c r="W146" s="2174"/>
      <c r="X146" s="1164"/>
    </row>
    <row r="147" ht="15.75" customHeight="1">
      <c r="A147" s="94"/>
      <c r="B147" s="94"/>
      <c r="C147" s="1164"/>
      <c r="D147" s="1429"/>
      <c r="E147" s="1429"/>
      <c r="F147" s="1429"/>
      <c r="G147" s="1429"/>
      <c r="H147" s="1430"/>
      <c r="I147" s="1430"/>
      <c r="J147" s="94"/>
      <c r="K147" s="94"/>
      <c r="L147" s="94"/>
      <c r="M147" s="1430"/>
      <c r="N147" s="1430"/>
      <c r="O147" s="1430"/>
      <c r="P147" s="94"/>
      <c r="Q147" s="1431"/>
      <c r="R147" s="1430"/>
      <c r="S147" s="1164"/>
      <c r="T147" s="1164"/>
      <c r="U147" s="2174"/>
      <c r="V147" s="2174"/>
      <c r="W147" s="2174"/>
      <c r="X147" s="1164"/>
    </row>
    <row r="148" ht="15.75" customHeight="1">
      <c r="A148" s="94"/>
      <c r="B148" s="94"/>
      <c r="C148" s="94"/>
      <c r="D148" s="94"/>
      <c r="E148" s="94"/>
      <c r="F148" s="94"/>
      <c r="G148" s="94"/>
      <c r="H148" s="1164"/>
      <c r="I148" s="1164"/>
      <c r="J148" s="1164"/>
      <c r="K148" s="1430"/>
      <c r="L148" s="1430"/>
      <c r="M148" s="1430"/>
      <c r="N148" s="1430"/>
      <c r="O148" s="1430"/>
      <c r="P148" s="94"/>
      <c r="Q148" s="94"/>
      <c r="R148" s="1430"/>
      <c r="S148" s="94"/>
      <c r="T148" s="1164"/>
      <c r="U148" s="94"/>
      <c r="V148" s="94"/>
      <c r="W148" s="94"/>
      <c r="X148" s="1430"/>
    </row>
    <row r="149" ht="15.75" customHeight="1">
      <c r="A149" s="94"/>
      <c r="B149" s="94"/>
      <c r="C149" s="1164"/>
      <c r="D149" s="1429"/>
      <c r="E149" s="1429"/>
      <c r="F149" s="1429"/>
      <c r="G149" s="1429"/>
      <c r="H149" s="1430"/>
      <c r="I149" s="1430"/>
      <c r="J149" s="94"/>
      <c r="K149" s="94"/>
      <c r="L149" s="94"/>
      <c r="M149" s="1430"/>
      <c r="N149" s="1430"/>
      <c r="O149" s="1430"/>
      <c r="P149" s="94"/>
      <c r="Q149" s="1431"/>
      <c r="R149" s="1430"/>
      <c r="S149" s="1164"/>
      <c r="T149" s="1164"/>
      <c r="U149" s="2174"/>
      <c r="V149" s="2174"/>
      <c r="W149" s="2174"/>
      <c r="X149" s="1164"/>
    </row>
    <row r="150" ht="15.75" customHeight="1">
      <c r="A150" s="94"/>
      <c r="B150" s="94"/>
      <c r="C150" s="1164"/>
      <c r="D150" s="1429"/>
      <c r="E150" s="1429"/>
      <c r="F150" s="1429"/>
      <c r="G150" s="1429"/>
      <c r="H150" s="1430"/>
      <c r="I150" s="1430"/>
      <c r="J150" s="94"/>
      <c r="K150" s="94"/>
      <c r="L150" s="94"/>
      <c r="M150" s="94"/>
      <c r="N150" s="94"/>
      <c r="O150" s="94"/>
      <c r="P150" s="94"/>
      <c r="Q150" s="1431"/>
      <c r="R150" s="1430"/>
      <c r="S150" s="1164"/>
      <c r="T150" s="1164"/>
      <c r="U150" s="2174"/>
      <c r="V150" s="2174"/>
      <c r="W150" s="2174"/>
      <c r="X150" s="1164"/>
    </row>
    <row r="151" ht="15.75" customHeight="1">
      <c r="A151" s="94"/>
      <c r="B151" s="94"/>
      <c r="C151" s="1164"/>
      <c r="D151" s="1429"/>
      <c r="E151" s="1429"/>
      <c r="F151" s="1429"/>
      <c r="G151" s="1429"/>
      <c r="H151" s="1430"/>
      <c r="I151" s="94"/>
      <c r="J151" s="1164"/>
      <c r="K151" s="94"/>
      <c r="L151" s="94"/>
      <c r="M151" s="1430"/>
      <c r="N151" s="1430"/>
      <c r="O151" s="1430"/>
      <c r="P151" s="94"/>
      <c r="Q151" s="1431"/>
      <c r="R151" s="1430"/>
      <c r="S151" s="1164"/>
      <c r="T151" s="1164"/>
      <c r="U151" s="2174"/>
      <c r="V151" s="2174"/>
      <c r="W151" s="2174"/>
      <c r="X151" s="1164"/>
    </row>
    <row r="152" ht="15.75" customHeight="1">
      <c r="A152" s="94"/>
      <c r="B152" s="94"/>
      <c r="C152" s="1164"/>
      <c r="D152" s="1429"/>
      <c r="E152" s="1429"/>
      <c r="F152" s="1429"/>
      <c r="G152" s="1429"/>
      <c r="H152" s="1430"/>
      <c r="I152" s="1430"/>
      <c r="J152" s="94"/>
      <c r="K152" s="94"/>
      <c r="L152" s="94"/>
      <c r="M152" s="1430"/>
      <c r="N152" s="1430"/>
      <c r="O152" s="1430"/>
      <c r="P152" s="94"/>
      <c r="Q152" s="1431"/>
      <c r="R152" s="1430"/>
      <c r="S152" s="1164"/>
      <c r="T152" s="1164"/>
      <c r="U152" s="2174"/>
      <c r="V152" s="2174"/>
      <c r="W152" s="94"/>
      <c r="X152" s="1164"/>
    </row>
    <row r="153" ht="15.75" customHeight="1">
      <c r="A153" s="94"/>
      <c r="B153" s="94"/>
      <c r="C153" s="1164"/>
      <c r="D153" s="1429"/>
      <c r="E153" s="1429"/>
      <c r="F153" s="1429"/>
      <c r="G153" s="1429"/>
      <c r="H153" s="1430"/>
      <c r="I153" s="1430"/>
      <c r="J153" s="94"/>
      <c r="K153" s="94"/>
      <c r="L153" s="94"/>
      <c r="M153" s="1430"/>
      <c r="N153" s="1430"/>
      <c r="O153" s="94"/>
      <c r="P153" s="94"/>
      <c r="Q153" s="1431"/>
      <c r="R153" s="1430"/>
      <c r="S153" s="1164"/>
      <c r="T153" s="1164"/>
      <c r="U153" s="2174"/>
      <c r="V153" s="2174"/>
      <c r="W153" s="2174"/>
      <c r="X153" s="1164"/>
    </row>
    <row r="154" ht="15.75" customHeight="1">
      <c r="A154" s="94"/>
      <c r="B154" s="94"/>
      <c r="C154" s="1164"/>
      <c r="D154" s="1429"/>
      <c r="E154" s="1429"/>
      <c r="F154" s="1429"/>
      <c r="G154" s="1429"/>
      <c r="H154" s="1430"/>
      <c r="I154" s="1430"/>
      <c r="J154" s="94"/>
      <c r="K154" s="94"/>
      <c r="L154" s="94"/>
      <c r="M154" s="1430"/>
      <c r="N154" s="1430"/>
      <c r="O154" s="94"/>
      <c r="P154" s="94"/>
      <c r="Q154" s="1431"/>
      <c r="R154" s="1430"/>
      <c r="S154" s="1164"/>
      <c r="T154" s="1164"/>
      <c r="U154" s="2174"/>
      <c r="V154" s="2174"/>
      <c r="W154" s="2174"/>
      <c r="X154" s="1164"/>
    </row>
    <row r="155" ht="15.75" customHeight="1">
      <c r="A155" s="94"/>
      <c r="B155" s="94"/>
      <c r="C155" s="1164"/>
      <c r="D155" s="1429"/>
      <c r="E155" s="1429"/>
      <c r="F155" s="1429"/>
      <c r="G155" s="1429"/>
      <c r="H155" s="1430"/>
      <c r="I155" s="1430"/>
      <c r="J155" s="94"/>
      <c r="K155" s="94"/>
      <c r="L155" s="94"/>
      <c r="M155" s="1430"/>
      <c r="N155" s="1430"/>
      <c r="O155" s="1430"/>
      <c r="P155" s="94"/>
      <c r="Q155" s="1431"/>
      <c r="R155" s="1430"/>
      <c r="S155" s="1164"/>
      <c r="T155" s="1164"/>
      <c r="U155" s="2174"/>
      <c r="V155" s="2174"/>
      <c r="W155" s="2174"/>
      <c r="X155" s="1164"/>
    </row>
    <row r="156" ht="15.75" customHeight="1">
      <c r="A156" s="94"/>
      <c r="B156" s="94"/>
      <c r="C156" s="1164"/>
      <c r="D156" s="1429"/>
      <c r="E156" s="1429"/>
      <c r="F156" s="1429"/>
      <c r="G156" s="1429"/>
      <c r="H156" s="1430"/>
      <c r="I156" s="1430"/>
      <c r="J156" s="94"/>
      <c r="K156" s="94"/>
      <c r="L156" s="94"/>
      <c r="M156" s="1430"/>
      <c r="N156" s="1430"/>
      <c r="O156" s="1430"/>
      <c r="P156" s="94"/>
      <c r="Q156" s="1431"/>
      <c r="R156" s="1430"/>
      <c r="S156" s="1164"/>
      <c r="T156" s="1164"/>
      <c r="U156" s="2174"/>
      <c r="V156" s="2174"/>
      <c r="W156" s="2174"/>
      <c r="X156" s="1164"/>
    </row>
    <row r="157" ht="15.75" customHeight="1">
      <c r="A157" s="94"/>
      <c r="B157" s="94"/>
      <c r="C157" s="1164"/>
      <c r="D157" s="1429"/>
      <c r="E157" s="1429"/>
      <c r="F157" s="1429"/>
      <c r="G157" s="1429"/>
      <c r="H157" s="1430"/>
      <c r="I157" s="1430"/>
      <c r="J157" s="94"/>
      <c r="K157" s="94"/>
      <c r="L157" s="94"/>
      <c r="M157" s="1430"/>
      <c r="N157" s="1430"/>
      <c r="O157" s="1430"/>
      <c r="P157" s="94"/>
      <c r="Q157" s="1431"/>
      <c r="R157" s="1430"/>
      <c r="S157" s="1164"/>
      <c r="T157" s="1164"/>
      <c r="U157" s="2174"/>
      <c r="V157" s="2174"/>
      <c r="W157" s="2174"/>
      <c r="X157" s="1164"/>
    </row>
    <row r="158" ht="15.75" customHeight="1">
      <c r="A158" s="94"/>
      <c r="B158" s="94"/>
      <c r="C158" s="1164"/>
      <c r="D158" s="1429"/>
      <c r="E158" s="1429"/>
      <c r="F158" s="1429"/>
      <c r="G158" s="1429"/>
      <c r="H158" s="1430"/>
      <c r="I158" s="1430"/>
      <c r="J158" s="94"/>
      <c r="K158" s="94"/>
      <c r="L158" s="94"/>
      <c r="M158" s="1430"/>
      <c r="N158" s="1430"/>
      <c r="O158" s="1430"/>
      <c r="P158" s="94"/>
      <c r="Q158" s="1431"/>
      <c r="R158" s="1430"/>
      <c r="S158" s="1164"/>
      <c r="T158" s="1164"/>
      <c r="U158" s="2174"/>
      <c r="V158" s="2174"/>
      <c r="W158" s="2174"/>
      <c r="X158" s="1164"/>
    </row>
    <row r="159" ht="15.75" customHeight="1">
      <c r="A159" s="94"/>
      <c r="B159" s="94"/>
      <c r="C159" s="1164"/>
      <c r="D159" s="1429"/>
      <c r="E159" s="1429"/>
      <c r="F159" s="1429"/>
      <c r="G159" s="1429"/>
      <c r="H159" s="1430"/>
      <c r="I159" s="1430"/>
      <c r="J159" s="94"/>
      <c r="K159" s="94"/>
      <c r="L159" s="94"/>
      <c r="M159" s="94"/>
      <c r="N159" s="94"/>
      <c r="O159" s="94"/>
      <c r="P159" s="94"/>
      <c r="Q159" s="1431"/>
      <c r="R159" s="1430"/>
      <c r="S159" s="1164"/>
      <c r="T159" s="1164"/>
      <c r="U159" s="2174"/>
      <c r="V159" s="94"/>
      <c r="W159" s="94"/>
      <c r="X159" s="1164"/>
    </row>
    <row r="160" ht="15.75" customHeight="1">
      <c r="A160" s="94"/>
      <c r="B160" s="94"/>
      <c r="C160" s="94"/>
      <c r="D160" s="94"/>
      <c r="E160" s="94"/>
      <c r="F160" s="94"/>
      <c r="G160" s="94"/>
      <c r="H160" s="1164"/>
      <c r="I160" s="1164"/>
      <c r="J160" s="1164"/>
      <c r="K160" s="1430"/>
      <c r="L160" s="1430"/>
      <c r="M160" s="1430"/>
      <c r="N160" s="1430"/>
      <c r="O160" s="1430"/>
      <c r="P160" s="94"/>
      <c r="Q160" s="94"/>
      <c r="R160" s="1430"/>
      <c r="S160" s="94"/>
      <c r="T160" s="1164"/>
      <c r="U160" s="94"/>
      <c r="V160" s="94"/>
      <c r="W160" s="94"/>
      <c r="X160" s="1430"/>
    </row>
    <row r="161" ht="15.75" customHeight="1">
      <c r="A161" s="94"/>
      <c r="B161" s="94"/>
      <c r="C161" s="1164"/>
      <c r="D161" s="1429"/>
      <c r="E161" s="1429"/>
      <c r="F161" s="1429"/>
      <c r="G161" s="1429"/>
      <c r="H161" s="1430"/>
      <c r="I161" s="1430"/>
      <c r="J161" s="94"/>
      <c r="K161" s="94"/>
      <c r="L161" s="94"/>
      <c r="M161" s="1430"/>
      <c r="N161" s="1430"/>
      <c r="O161" s="1430"/>
      <c r="P161" s="94"/>
      <c r="Q161" s="1431"/>
      <c r="R161" s="1430"/>
      <c r="S161" s="1164"/>
      <c r="T161" s="1164"/>
      <c r="U161" s="2174"/>
      <c r="V161" s="2174"/>
      <c r="W161" s="2174"/>
      <c r="X161" s="1164"/>
    </row>
    <row r="162" ht="15.75" customHeight="1">
      <c r="A162" s="94"/>
      <c r="B162" s="94"/>
      <c r="C162" s="1164"/>
      <c r="D162" s="1429"/>
      <c r="E162" s="1429"/>
      <c r="F162" s="1429"/>
      <c r="G162" s="1429"/>
      <c r="H162" s="1430"/>
      <c r="I162" s="1430"/>
      <c r="J162" s="94"/>
      <c r="K162" s="94"/>
      <c r="L162" s="94"/>
      <c r="M162" s="94"/>
      <c r="N162" s="94"/>
      <c r="O162" s="94"/>
      <c r="P162" s="94"/>
      <c r="Q162" s="1431"/>
      <c r="R162" s="1430"/>
      <c r="S162" s="1164"/>
      <c r="T162" s="1164"/>
      <c r="U162" s="2174"/>
      <c r="V162" s="94"/>
      <c r="W162" s="94"/>
      <c r="X162" s="1164"/>
    </row>
    <row r="163" ht="15.75" customHeight="1">
      <c r="A163" s="94"/>
      <c r="B163" s="94"/>
      <c r="C163" s="1164"/>
      <c r="D163" s="1429"/>
      <c r="E163" s="1429"/>
      <c r="F163" s="1429"/>
      <c r="G163" s="1429"/>
      <c r="H163" s="1430"/>
      <c r="I163" s="1430"/>
      <c r="J163" s="94"/>
      <c r="K163" s="94"/>
      <c r="L163" s="94"/>
      <c r="M163" s="94"/>
      <c r="N163" s="94"/>
      <c r="O163" s="94"/>
      <c r="P163" s="94"/>
      <c r="Q163" s="1431"/>
      <c r="R163" s="1430"/>
      <c r="S163" s="1164"/>
      <c r="T163" s="1164"/>
      <c r="U163" s="2174"/>
      <c r="V163" s="94"/>
      <c r="W163" s="94"/>
      <c r="X163" s="1164"/>
    </row>
    <row r="164" ht="15.75" customHeight="1">
      <c r="A164" s="94"/>
      <c r="B164" s="94"/>
      <c r="C164" s="1164"/>
      <c r="D164" s="1429"/>
      <c r="E164" s="1429"/>
      <c r="F164" s="1429"/>
      <c r="G164" s="1429"/>
      <c r="H164" s="1430"/>
      <c r="I164" s="1430"/>
      <c r="J164" s="94"/>
      <c r="K164" s="94"/>
      <c r="L164" s="94"/>
      <c r="M164" s="1430"/>
      <c r="N164" s="1430"/>
      <c r="O164" s="1430"/>
      <c r="P164" s="94"/>
      <c r="Q164" s="1431"/>
      <c r="R164" s="1430"/>
      <c r="S164" s="1164"/>
      <c r="T164" s="1164"/>
      <c r="U164" s="2174"/>
      <c r="V164" s="2174"/>
      <c r="W164" s="2174"/>
      <c r="X164" s="1164"/>
    </row>
    <row r="165" ht="15.75" customHeight="1">
      <c r="A165" s="94"/>
      <c r="B165" s="94"/>
      <c r="C165" s="1164"/>
      <c r="D165" s="1429"/>
      <c r="E165" s="1429"/>
      <c r="F165" s="1429"/>
      <c r="G165" s="1429"/>
      <c r="H165" s="1430"/>
      <c r="I165" s="1430"/>
      <c r="J165" s="94"/>
      <c r="K165" s="94"/>
      <c r="L165" s="94"/>
      <c r="M165" s="1430"/>
      <c r="N165" s="1430"/>
      <c r="O165" s="1430"/>
      <c r="P165" s="94"/>
      <c r="Q165" s="1431"/>
      <c r="R165" s="1430"/>
      <c r="S165" s="1164"/>
      <c r="T165" s="1164"/>
      <c r="U165" s="2174"/>
      <c r="V165" s="2174"/>
      <c r="W165" s="2174"/>
      <c r="X165" s="1164"/>
    </row>
    <row r="166" ht="15.75" customHeight="1">
      <c r="A166" s="94"/>
      <c r="B166" s="94"/>
      <c r="C166" s="1164"/>
      <c r="D166" s="1429"/>
      <c r="E166" s="1429"/>
      <c r="F166" s="1429"/>
      <c r="G166" s="1429"/>
      <c r="H166" s="1430"/>
      <c r="I166" s="1430"/>
      <c r="J166" s="94"/>
      <c r="K166" s="94"/>
      <c r="L166" s="94"/>
      <c r="M166" s="1430"/>
      <c r="N166" s="1430"/>
      <c r="O166" s="1430"/>
      <c r="P166" s="94"/>
      <c r="Q166" s="1431"/>
      <c r="R166" s="1430"/>
      <c r="S166" s="1164"/>
      <c r="T166" s="1164"/>
      <c r="U166" s="2174"/>
      <c r="V166" s="2174"/>
      <c r="W166" s="2174"/>
      <c r="X166" s="1164"/>
    </row>
    <row r="167" ht="15.75" customHeight="1">
      <c r="A167" s="94"/>
      <c r="B167" s="94"/>
      <c r="C167" s="1164"/>
      <c r="D167" s="1429"/>
      <c r="E167" s="1429"/>
      <c r="F167" s="1429"/>
      <c r="G167" s="1429"/>
      <c r="H167" s="1430"/>
      <c r="I167" s="1430"/>
      <c r="J167" s="94"/>
      <c r="K167" s="94"/>
      <c r="L167" s="94"/>
      <c r="M167" s="1430"/>
      <c r="N167" s="1430"/>
      <c r="O167" s="1430"/>
      <c r="P167" s="94"/>
      <c r="Q167" s="1431"/>
      <c r="R167" s="1430"/>
      <c r="S167" s="1164"/>
      <c r="T167" s="1164"/>
      <c r="U167" s="2174"/>
      <c r="V167" s="2174"/>
      <c r="W167" s="2174"/>
      <c r="X167" s="1164"/>
    </row>
    <row r="168" ht="15.75" customHeight="1">
      <c r="A168" s="94"/>
      <c r="B168" s="94"/>
      <c r="C168" s="1164"/>
      <c r="D168" s="1429"/>
      <c r="E168" s="1429"/>
      <c r="F168" s="1429"/>
      <c r="G168" s="1429"/>
      <c r="H168" s="1430"/>
      <c r="I168" s="1430"/>
      <c r="J168" s="94"/>
      <c r="K168" s="94"/>
      <c r="L168" s="94"/>
      <c r="M168" s="1430"/>
      <c r="N168" s="1430"/>
      <c r="O168" s="1430"/>
      <c r="P168" s="94"/>
      <c r="Q168" s="1431"/>
      <c r="R168" s="1430"/>
      <c r="S168" s="1164"/>
      <c r="T168" s="1164"/>
      <c r="U168" s="2174"/>
      <c r="V168" s="2174"/>
      <c r="W168" s="2174"/>
      <c r="X168" s="1164"/>
    </row>
    <row r="169" ht="15.75" customHeight="1">
      <c r="A169" s="94"/>
      <c r="B169" s="94"/>
      <c r="C169" s="1164"/>
      <c r="D169" s="1429"/>
      <c r="E169" s="1429"/>
      <c r="F169" s="1429"/>
      <c r="G169" s="1429"/>
      <c r="H169" s="1430"/>
      <c r="I169" s="1430"/>
      <c r="J169" s="94"/>
      <c r="K169" s="94"/>
      <c r="L169" s="94"/>
      <c r="M169" s="1430"/>
      <c r="N169" s="1430"/>
      <c r="O169" s="1430"/>
      <c r="P169" s="94"/>
      <c r="Q169" s="1431"/>
      <c r="R169" s="1430"/>
      <c r="S169" s="1164"/>
      <c r="T169" s="1164"/>
      <c r="U169" s="2174"/>
      <c r="V169" s="2174"/>
      <c r="W169" s="2174"/>
      <c r="X169" s="1164"/>
    </row>
    <row r="170" ht="15.75" customHeight="1">
      <c r="A170" s="94"/>
      <c r="B170" s="94"/>
      <c r="C170" s="1164"/>
      <c r="D170" s="1429"/>
      <c r="E170" s="1429"/>
      <c r="F170" s="1429"/>
      <c r="G170" s="1429"/>
      <c r="H170" s="1430"/>
      <c r="I170" s="1430"/>
      <c r="J170" s="94"/>
      <c r="K170" s="94"/>
      <c r="L170" s="94"/>
      <c r="M170" s="1430"/>
      <c r="N170" s="1430"/>
      <c r="O170" s="1430"/>
      <c r="P170" s="94"/>
      <c r="Q170" s="1431"/>
      <c r="R170" s="1430"/>
      <c r="S170" s="1164"/>
      <c r="T170" s="1164"/>
      <c r="U170" s="2174"/>
      <c r="V170" s="2174"/>
      <c r="W170" s="2174"/>
      <c r="X170" s="1164"/>
    </row>
    <row r="171" ht="15.75" customHeight="1">
      <c r="A171" s="94"/>
      <c r="B171" s="94"/>
      <c r="C171" s="1164"/>
      <c r="D171" s="1429"/>
      <c r="E171" s="1429"/>
      <c r="F171" s="1429"/>
      <c r="G171" s="1429"/>
      <c r="H171" s="1430"/>
      <c r="I171" s="1430"/>
      <c r="J171" s="94"/>
      <c r="K171" s="94"/>
      <c r="L171" s="94"/>
      <c r="M171" s="1430"/>
      <c r="N171" s="1430"/>
      <c r="O171" s="1430"/>
      <c r="P171" s="94"/>
      <c r="Q171" s="1431"/>
      <c r="R171" s="1430"/>
      <c r="S171" s="1164"/>
      <c r="T171" s="1164"/>
      <c r="U171" s="2174"/>
      <c r="V171" s="2174"/>
      <c r="W171" s="2174"/>
      <c r="X171" s="1164"/>
    </row>
    <row r="172" ht="15.75" customHeight="1">
      <c r="A172" s="94"/>
      <c r="B172" s="94"/>
      <c r="C172" s="1164"/>
      <c r="D172" s="1429"/>
      <c r="E172" s="1429"/>
      <c r="F172" s="1429"/>
      <c r="G172" s="1429"/>
      <c r="H172" s="1430"/>
      <c r="I172" s="1430"/>
      <c r="J172" s="94"/>
      <c r="K172" s="94"/>
      <c r="L172" s="94"/>
      <c r="M172" s="1430"/>
      <c r="N172" s="1430"/>
      <c r="O172" s="1430"/>
      <c r="P172" s="94"/>
      <c r="Q172" s="1431"/>
      <c r="R172" s="1430"/>
      <c r="S172" s="1164"/>
      <c r="T172" s="1164"/>
      <c r="U172" s="2174"/>
      <c r="V172" s="2174"/>
      <c r="W172" s="2174"/>
      <c r="X172" s="1164"/>
    </row>
    <row r="173" ht="15.75" customHeight="1">
      <c r="A173" s="94"/>
      <c r="B173" s="94"/>
      <c r="C173" s="1164"/>
      <c r="D173" s="1429"/>
      <c r="E173" s="1429"/>
      <c r="F173" s="1429"/>
      <c r="G173" s="1429"/>
      <c r="H173" s="1430"/>
      <c r="I173" s="1430"/>
      <c r="J173" s="94"/>
      <c r="K173" s="94"/>
      <c r="L173" s="94"/>
      <c r="M173" s="1430"/>
      <c r="N173" s="1430"/>
      <c r="O173" s="1430"/>
      <c r="P173" s="94"/>
      <c r="Q173" s="1431"/>
      <c r="R173" s="1430"/>
      <c r="S173" s="1164"/>
      <c r="T173" s="1164"/>
      <c r="U173" s="2174"/>
      <c r="V173" s="2174"/>
      <c r="W173" s="2174"/>
      <c r="X173" s="1164"/>
    </row>
    <row r="174" ht="15.75" customHeight="1">
      <c r="A174" s="94"/>
      <c r="B174" s="94"/>
      <c r="C174" s="1164"/>
      <c r="D174" s="1429"/>
      <c r="E174" s="1429"/>
      <c r="F174" s="1429"/>
      <c r="G174" s="1429"/>
      <c r="H174" s="1430"/>
      <c r="I174" s="1430"/>
      <c r="J174" s="94"/>
      <c r="K174" s="94"/>
      <c r="L174" s="94"/>
      <c r="M174" s="1430"/>
      <c r="N174" s="1430"/>
      <c r="O174" s="1430"/>
      <c r="P174" s="94"/>
      <c r="Q174" s="1431"/>
      <c r="R174" s="1430"/>
      <c r="S174" s="1164"/>
      <c r="T174" s="1164"/>
      <c r="U174" s="2174"/>
      <c r="V174" s="2174"/>
      <c r="W174" s="2174"/>
      <c r="X174" s="1164"/>
    </row>
    <row r="175" ht="15.75" customHeight="1">
      <c r="A175" s="94"/>
      <c r="B175" s="94"/>
      <c r="C175" s="1164"/>
      <c r="D175" s="1429"/>
      <c r="E175" s="1429"/>
      <c r="F175" s="1429"/>
      <c r="G175" s="1429"/>
      <c r="H175" s="1430"/>
      <c r="I175" s="1430"/>
      <c r="J175" s="94"/>
      <c r="K175" s="94"/>
      <c r="L175" s="94"/>
      <c r="M175" s="1430"/>
      <c r="N175" s="1430"/>
      <c r="O175" s="1430"/>
      <c r="P175" s="94"/>
      <c r="Q175" s="1431"/>
      <c r="R175" s="1430"/>
      <c r="S175" s="1164"/>
      <c r="T175" s="1164"/>
      <c r="U175" s="2174"/>
      <c r="V175" s="2174"/>
      <c r="W175" s="2174"/>
      <c r="X175" s="1164"/>
    </row>
    <row r="176" ht="15.75" customHeight="1">
      <c r="A176" s="94"/>
      <c r="B176" s="94"/>
      <c r="C176" s="1164"/>
      <c r="D176" s="1429"/>
      <c r="E176" s="1429"/>
      <c r="F176" s="1429"/>
      <c r="G176" s="1429"/>
      <c r="H176" s="1430"/>
      <c r="I176" s="1430"/>
      <c r="J176" s="94"/>
      <c r="K176" s="94"/>
      <c r="L176" s="94"/>
      <c r="M176" s="1430"/>
      <c r="N176" s="1430"/>
      <c r="O176" s="1430"/>
      <c r="P176" s="94"/>
      <c r="Q176" s="1431"/>
      <c r="R176" s="1430"/>
      <c r="S176" s="1164"/>
      <c r="T176" s="1164"/>
      <c r="U176" s="2174"/>
      <c r="V176" s="2174"/>
      <c r="W176" s="2174"/>
      <c r="X176" s="1164"/>
    </row>
    <row r="177" ht="15.75" customHeight="1">
      <c r="A177" s="94"/>
      <c r="B177" s="94"/>
      <c r="C177" s="1164"/>
      <c r="D177" s="1429"/>
      <c r="E177" s="1429"/>
      <c r="F177" s="1429"/>
      <c r="G177" s="1429"/>
      <c r="H177" s="1430"/>
      <c r="I177" s="1430"/>
      <c r="J177" s="94"/>
      <c r="K177" s="94"/>
      <c r="L177" s="94"/>
      <c r="M177" s="1430"/>
      <c r="N177" s="1430"/>
      <c r="O177" s="1430"/>
      <c r="P177" s="94"/>
      <c r="Q177" s="1431"/>
      <c r="R177" s="1430"/>
      <c r="S177" s="1164"/>
      <c r="T177" s="1164"/>
      <c r="U177" s="2174"/>
      <c r="V177" s="2174"/>
      <c r="W177" s="2174"/>
      <c r="X177" s="1164"/>
    </row>
    <row r="178" ht="15.75" customHeight="1">
      <c r="A178" s="94"/>
      <c r="B178" s="94"/>
      <c r="C178" s="1164"/>
      <c r="D178" s="1429"/>
      <c r="E178" s="1429"/>
      <c r="F178" s="1429"/>
      <c r="G178" s="1429"/>
      <c r="H178" s="1430"/>
      <c r="I178" s="1430"/>
      <c r="J178" s="94"/>
      <c r="K178" s="94"/>
      <c r="L178" s="94"/>
      <c r="M178" s="1430"/>
      <c r="N178" s="1430"/>
      <c r="O178" s="1430"/>
      <c r="P178" s="94"/>
      <c r="Q178" s="1431"/>
      <c r="R178" s="1430"/>
      <c r="S178" s="1164"/>
      <c r="T178" s="1164"/>
      <c r="U178" s="2174"/>
      <c r="V178" s="2174"/>
      <c r="W178" s="2174"/>
      <c r="X178" s="1164"/>
    </row>
    <row r="179" ht="15.75" customHeight="1">
      <c r="A179" s="94"/>
      <c r="B179" s="94"/>
      <c r="C179" s="1164"/>
      <c r="D179" s="1429"/>
      <c r="E179" s="1429"/>
      <c r="F179" s="1429"/>
      <c r="G179" s="1429"/>
      <c r="H179" s="1430"/>
      <c r="I179" s="1430"/>
      <c r="J179" s="94"/>
      <c r="K179" s="94"/>
      <c r="L179" s="94"/>
      <c r="M179" s="94"/>
      <c r="N179" s="94"/>
      <c r="O179" s="94"/>
      <c r="P179" s="94"/>
      <c r="Q179" s="1431"/>
      <c r="R179" s="1430"/>
      <c r="S179" s="1164"/>
      <c r="T179" s="1164"/>
      <c r="U179" s="2174"/>
      <c r="V179" s="2174"/>
      <c r="W179" s="2174"/>
      <c r="X179" s="1164"/>
    </row>
    <row r="180" ht="15.75" customHeight="1">
      <c r="A180" s="94"/>
      <c r="B180" s="94"/>
      <c r="C180" s="94"/>
      <c r="D180" s="94"/>
      <c r="E180" s="94"/>
      <c r="F180" s="94"/>
      <c r="G180" s="94"/>
      <c r="H180" s="1164"/>
      <c r="I180" s="1164"/>
      <c r="J180" s="1164"/>
      <c r="K180" s="1430"/>
      <c r="L180" s="1430"/>
      <c r="M180" s="1430"/>
      <c r="N180" s="1430"/>
      <c r="O180" s="1430"/>
      <c r="P180" s="1430"/>
      <c r="Q180" s="1430"/>
      <c r="R180" s="1430"/>
      <c r="S180" s="94"/>
      <c r="T180" s="1164"/>
      <c r="U180" s="94"/>
      <c r="V180" s="94"/>
      <c r="W180" s="94"/>
      <c r="X180" s="1430"/>
    </row>
    <row r="181" ht="15.75" customHeight="1">
      <c r="A181" s="94"/>
      <c r="B181" s="94"/>
      <c r="C181" s="1164"/>
      <c r="D181" s="1429"/>
      <c r="E181" s="1429"/>
      <c r="F181" s="1429"/>
      <c r="G181" s="1429"/>
      <c r="H181" s="1430"/>
      <c r="I181" s="1430"/>
      <c r="J181" s="94"/>
      <c r="K181" s="94"/>
      <c r="L181" s="94"/>
      <c r="M181" s="94"/>
      <c r="N181" s="94"/>
      <c r="O181" s="1430"/>
      <c r="P181" s="94"/>
      <c r="Q181" s="1431"/>
      <c r="R181" s="1430"/>
      <c r="S181" s="1164"/>
      <c r="T181" s="1164"/>
      <c r="U181" s="2174"/>
      <c r="V181" s="94"/>
      <c r="W181" s="94"/>
      <c r="X181" s="1164"/>
    </row>
    <row r="182" ht="15.75" customHeight="1">
      <c r="A182" s="94"/>
      <c r="B182" s="94"/>
      <c r="C182" s="1164"/>
      <c r="D182" s="1429"/>
      <c r="E182" s="1429"/>
      <c r="F182" s="1434"/>
      <c r="G182" s="1429"/>
      <c r="H182" s="1430"/>
      <c r="I182" s="1430"/>
      <c r="J182" s="94"/>
      <c r="K182" s="94"/>
      <c r="L182" s="94"/>
      <c r="M182" s="94"/>
      <c r="N182" s="94"/>
      <c r="O182" s="1430"/>
      <c r="P182" s="94"/>
      <c r="Q182" s="1431"/>
      <c r="R182" s="1430"/>
      <c r="S182" s="1164"/>
      <c r="T182" s="1164"/>
      <c r="U182" s="2174"/>
      <c r="V182" s="94"/>
      <c r="W182" s="94"/>
      <c r="X182" s="1164"/>
    </row>
    <row r="183" ht="15.75" customHeight="1">
      <c r="A183" s="94"/>
      <c r="B183" s="94"/>
      <c r="C183" s="1164"/>
      <c r="D183" s="1429"/>
      <c r="E183" s="1429"/>
      <c r="F183" s="1429"/>
      <c r="G183" s="1429"/>
      <c r="H183" s="1430"/>
      <c r="I183" s="1430"/>
      <c r="J183" s="94"/>
      <c r="K183" s="94"/>
      <c r="L183" s="94"/>
      <c r="M183" s="1430"/>
      <c r="N183" s="1430"/>
      <c r="O183" s="1430"/>
      <c r="P183" s="94"/>
      <c r="Q183" s="1431"/>
      <c r="R183" s="1430"/>
      <c r="S183" s="1164"/>
      <c r="T183" s="1164"/>
      <c r="U183" s="2174"/>
      <c r="V183" s="2174"/>
      <c r="W183" s="2174"/>
      <c r="X183" s="1164"/>
    </row>
    <row r="184" ht="15.75" customHeight="1">
      <c r="A184" s="94"/>
      <c r="B184" s="94"/>
      <c r="C184" s="1164"/>
      <c r="D184" s="1429"/>
      <c r="E184" s="1429"/>
      <c r="F184" s="1429"/>
      <c r="G184" s="1429"/>
      <c r="H184" s="1430"/>
      <c r="I184" s="1430"/>
      <c r="J184" s="94"/>
      <c r="K184" s="94"/>
      <c r="L184" s="94"/>
      <c r="M184" s="94"/>
      <c r="N184" s="94"/>
      <c r="O184" s="1430"/>
      <c r="P184" s="94"/>
      <c r="Q184" s="1431"/>
      <c r="R184" s="1430"/>
      <c r="S184" s="94"/>
      <c r="T184" s="94"/>
      <c r="U184" s="2174"/>
      <c r="V184" s="94"/>
      <c r="W184" s="94"/>
      <c r="X184" s="94"/>
    </row>
    <row r="185" ht="15.75" customHeight="1">
      <c r="A185" s="94"/>
      <c r="B185" s="94"/>
      <c r="C185" s="1164"/>
      <c r="D185" s="1429"/>
      <c r="E185" s="1429"/>
      <c r="F185" s="1429"/>
      <c r="G185" s="1429"/>
      <c r="H185" s="1430"/>
      <c r="I185" s="1430"/>
      <c r="J185" s="94"/>
      <c r="K185" s="94"/>
      <c r="L185" s="94"/>
      <c r="M185" s="1430"/>
      <c r="N185" s="1430"/>
      <c r="O185" s="1430"/>
      <c r="P185" s="94"/>
      <c r="Q185" s="1431"/>
      <c r="R185" s="1430"/>
      <c r="S185" s="1164"/>
      <c r="T185" s="1164"/>
      <c r="U185" s="2174"/>
      <c r="V185" s="2174"/>
      <c r="W185" s="2174"/>
      <c r="X185" s="1164"/>
    </row>
    <row r="186" ht="15.75" customHeight="1">
      <c r="A186" s="94"/>
      <c r="B186" s="94"/>
      <c r="C186" s="1164"/>
      <c r="D186" s="1429"/>
      <c r="E186" s="1429"/>
      <c r="F186" s="1429"/>
      <c r="G186" s="1429"/>
      <c r="H186" s="1430"/>
      <c r="I186" s="1430"/>
      <c r="J186" s="94"/>
      <c r="K186" s="94"/>
      <c r="L186" s="94"/>
      <c r="M186" s="1430"/>
      <c r="N186" s="1430"/>
      <c r="O186" s="1430"/>
      <c r="P186" s="94"/>
      <c r="Q186" s="1431"/>
      <c r="R186" s="1430"/>
      <c r="S186" s="1164"/>
      <c r="T186" s="1164"/>
      <c r="U186" s="2174"/>
      <c r="V186" s="2174"/>
      <c r="W186" s="2174"/>
      <c r="X186" s="1164"/>
    </row>
    <row r="187" ht="15.75" customHeight="1">
      <c r="A187" s="94"/>
      <c r="B187" s="94"/>
      <c r="C187" s="1164"/>
      <c r="D187" s="1429"/>
      <c r="E187" s="1429"/>
      <c r="F187" s="1429"/>
      <c r="G187" s="1429"/>
      <c r="H187" s="1430"/>
      <c r="I187" s="94"/>
      <c r="J187" s="1164"/>
      <c r="K187" s="94"/>
      <c r="L187" s="94"/>
      <c r="M187" s="1430"/>
      <c r="N187" s="1430"/>
      <c r="O187" s="1430"/>
      <c r="P187" s="94"/>
      <c r="Q187" s="1431"/>
      <c r="R187" s="1430"/>
      <c r="S187" s="1164"/>
      <c r="T187" s="1164"/>
      <c r="U187" s="2174"/>
      <c r="V187" s="2174"/>
      <c r="W187" s="2174"/>
      <c r="X187" s="1164"/>
    </row>
    <row r="188" ht="15.75" customHeight="1">
      <c r="A188" s="94"/>
      <c r="B188" s="94"/>
      <c r="C188" s="1164"/>
      <c r="D188" s="1429"/>
      <c r="E188" s="1429"/>
      <c r="F188" s="1429"/>
      <c r="G188" s="1429"/>
      <c r="H188" s="1430"/>
      <c r="I188" s="1430"/>
      <c r="J188" s="94"/>
      <c r="K188" s="94"/>
      <c r="L188" s="94"/>
      <c r="M188" s="94"/>
      <c r="N188" s="94"/>
      <c r="O188" s="1430"/>
      <c r="P188" s="94"/>
      <c r="Q188" s="1431"/>
      <c r="R188" s="1430"/>
      <c r="S188" s="1164"/>
      <c r="T188" s="1164"/>
      <c r="U188" s="2174"/>
      <c r="V188" s="94"/>
      <c r="W188" s="94"/>
      <c r="X188" s="1164"/>
    </row>
    <row r="189" ht="15.75" customHeight="1">
      <c r="A189" s="94"/>
      <c r="B189" s="94"/>
      <c r="C189" s="1164"/>
      <c r="D189" s="1429"/>
      <c r="E189" s="1429"/>
      <c r="F189" s="1429"/>
      <c r="G189" s="1429"/>
      <c r="H189" s="1430"/>
      <c r="I189" s="1430"/>
      <c r="J189" s="94"/>
      <c r="K189" s="94"/>
      <c r="L189" s="94"/>
      <c r="M189" s="1430"/>
      <c r="N189" s="1430"/>
      <c r="O189" s="1430"/>
      <c r="P189" s="94"/>
      <c r="Q189" s="1431"/>
      <c r="R189" s="1430"/>
      <c r="S189" s="1164"/>
      <c r="T189" s="1164"/>
      <c r="U189" s="2174"/>
      <c r="V189" s="2174"/>
      <c r="W189" s="2174"/>
      <c r="X189" s="1164"/>
    </row>
    <row r="190" ht="15.75" customHeight="1">
      <c r="A190" s="94"/>
      <c r="B190" s="94"/>
      <c r="C190" s="1164"/>
      <c r="D190" s="1429"/>
      <c r="E190" s="1429"/>
      <c r="F190" s="1429"/>
      <c r="G190" s="1429"/>
      <c r="H190" s="1430"/>
      <c r="I190" s="1430"/>
      <c r="J190" s="94"/>
      <c r="K190" s="94"/>
      <c r="L190" s="94"/>
      <c r="M190" s="1430"/>
      <c r="N190" s="1430"/>
      <c r="O190" s="1430"/>
      <c r="P190" s="94"/>
      <c r="Q190" s="1431"/>
      <c r="R190" s="1430"/>
      <c r="S190" s="1164"/>
      <c r="T190" s="1164"/>
      <c r="U190" s="2174"/>
      <c r="V190" s="2174"/>
      <c r="W190" s="2174"/>
      <c r="X190" s="1164"/>
    </row>
    <row r="191" ht="15.75" customHeight="1">
      <c r="A191" s="94"/>
      <c r="B191" s="94"/>
      <c r="C191" s="1164"/>
      <c r="D191" s="1429"/>
      <c r="E191" s="1429"/>
      <c r="F191" s="1429"/>
      <c r="G191" s="1429"/>
      <c r="H191" s="1430"/>
      <c r="I191" s="94"/>
      <c r="J191" s="94"/>
      <c r="K191" s="94"/>
      <c r="L191" s="94"/>
      <c r="M191" s="1430"/>
      <c r="N191" s="1430"/>
      <c r="O191" s="1430"/>
      <c r="P191" s="94"/>
      <c r="Q191" s="1431"/>
      <c r="R191" s="1430"/>
      <c r="S191" s="1164"/>
      <c r="T191" s="1164"/>
      <c r="U191" s="2174"/>
      <c r="V191" s="94"/>
      <c r="W191" s="94"/>
      <c r="X191" s="1164"/>
    </row>
    <row r="192" ht="15.75" customHeight="1">
      <c r="A192" s="94"/>
      <c r="B192" s="94"/>
      <c r="C192" s="1164"/>
      <c r="D192" s="1429"/>
      <c r="E192" s="1429"/>
      <c r="F192" s="1429"/>
      <c r="G192" s="1429"/>
      <c r="H192" s="1430"/>
      <c r="I192" s="1430"/>
      <c r="J192" s="94"/>
      <c r="K192" s="94"/>
      <c r="L192" s="94"/>
      <c r="M192" s="1430"/>
      <c r="N192" s="1430"/>
      <c r="O192" s="1430"/>
      <c r="P192" s="94"/>
      <c r="Q192" s="1431"/>
      <c r="R192" s="1430"/>
      <c r="S192" s="1164"/>
      <c r="T192" s="1164"/>
      <c r="U192" s="2174"/>
      <c r="V192" s="2174"/>
      <c r="W192" s="2174"/>
      <c r="X192" s="1164"/>
    </row>
    <row r="193" ht="15.75" customHeight="1">
      <c r="A193" s="94"/>
      <c r="B193" s="94"/>
      <c r="C193" s="94"/>
      <c r="D193" s="94"/>
      <c r="E193" s="94"/>
      <c r="F193" s="94"/>
      <c r="G193" s="94"/>
      <c r="H193" s="1164"/>
      <c r="I193" s="1164"/>
      <c r="J193" s="1164"/>
      <c r="K193" s="1430"/>
      <c r="L193" s="1430"/>
      <c r="M193" s="1430"/>
      <c r="N193" s="1430"/>
      <c r="O193" s="1430"/>
      <c r="P193" s="1430"/>
      <c r="Q193" s="1430"/>
      <c r="R193" s="1430"/>
      <c r="S193" s="94"/>
      <c r="T193" s="1164"/>
      <c r="U193" s="94"/>
      <c r="V193" s="94"/>
      <c r="W193" s="94"/>
      <c r="X193" s="1430"/>
    </row>
    <row r="194" ht="15.75" customHeight="1">
      <c r="A194" s="94"/>
      <c r="B194" s="94"/>
      <c r="C194" s="1164"/>
      <c r="D194" s="1429"/>
      <c r="E194" s="1429"/>
      <c r="F194" s="1429"/>
      <c r="G194" s="1429"/>
      <c r="H194" s="1430"/>
      <c r="I194" s="1430"/>
      <c r="J194" s="94"/>
      <c r="K194" s="94"/>
      <c r="L194" s="94"/>
      <c r="M194" s="1430"/>
      <c r="N194" s="1430"/>
      <c r="O194" s="1430"/>
      <c r="P194" s="94"/>
      <c r="Q194" s="1431"/>
      <c r="R194" s="1430"/>
      <c r="S194" s="1164"/>
      <c r="T194" s="1164"/>
      <c r="U194" s="2174"/>
      <c r="V194" s="2174"/>
      <c r="W194" s="2174"/>
      <c r="X194" s="1164"/>
    </row>
    <row r="195" ht="15.75" customHeight="1">
      <c r="A195" s="94"/>
      <c r="B195" s="94"/>
      <c r="C195" s="1164"/>
      <c r="D195" s="1429"/>
      <c r="E195" s="1429"/>
      <c r="F195" s="1429"/>
      <c r="G195" s="1429"/>
      <c r="H195" s="1430"/>
      <c r="I195" s="1430"/>
      <c r="J195" s="94"/>
      <c r="K195" s="94"/>
      <c r="L195" s="94"/>
      <c r="M195" s="1430"/>
      <c r="N195" s="1430"/>
      <c r="O195" s="1430"/>
      <c r="P195" s="94"/>
      <c r="Q195" s="1431"/>
      <c r="R195" s="1430"/>
      <c r="S195" s="1164"/>
      <c r="T195" s="1164"/>
      <c r="U195" s="2174"/>
      <c r="V195" s="2174"/>
      <c r="W195" s="2174"/>
      <c r="X195" s="1164"/>
    </row>
    <row r="196" ht="15.75" customHeight="1">
      <c r="A196" s="94"/>
      <c r="B196" s="94"/>
      <c r="C196" s="1164"/>
      <c r="D196" s="1429"/>
      <c r="E196" s="1429"/>
      <c r="F196" s="1429"/>
      <c r="G196" s="1429"/>
      <c r="H196" s="1430"/>
      <c r="I196" s="94"/>
      <c r="J196" s="1164"/>
      <c r="K196" s="94"/>
      <c r="L196" s="94"/>
      <c r="M196" s="1430"/>
      <c r="N196" s="1430"/>
      <c r="O196" s="1430"/>
      <c r="P196" s="94"/>
      <c r="Q196" s="1431"/>
      <c r="R196" s="1430"/>
      <c r="S196" s="1164"/>
      <c r="T196" s="1164"/>
      <c r="U196" s="2174"/>
      <c r="V196" s="2174"/>
      <c r="W196" s="2174"/>
      <c r="X196" s="1164"/>
    </row>
    <row r="197" ht="15.75" customHeight="1">
      <c r="A197" s="94"/>
      <c r="B197" s="94"/>
      <c r="C197" s="1164"/>
      <c r="D197" s="1429"/>
      <c r="E197" s="1429"/>
      <c r="F197" s="1429"/>
      <c r="G197" s="1429"/>
      <c r="H197" s="1430"/>
      <c r="I197" s="1430"/>
      <c r="J197" s="94"/>
      <c r="K197" s="94"/>
      <c r="L197" s="94"/>
      <c r="M197" s="1430"/>
      <c r="N197" s="1430"/>
      <c r="O197" s="1430"/>
      <c r="P197" s="94"/>
      <c r="Q197" s="1431"/>
      <c r="R197" s="1430"/>
      <c r="S197" s="1164"/>
      <c r="T197" s="1164"/>
      <c r="U197" s="2174"/>
      <c r="V197" s="2174"/>
      <c r="W197" s="2174"/>
      <c r="X197" s="1164"/>
    </row>
    <row r="198" ht="15.75" customHeight="1">
      <c r="A198" s="94"/>
      <c r="B198" s="94"/>
      <c r="C198" s="1164"/>
      <c r="D198" s="1429"/>
      <c r="E198" s="1429"/>
      <c r="F198" s="1429"/>
      <c r="G198" s="1429"/>
      <c r="H198" s="1430"/>
      <c r="I198" s="1430"/>
      <c r="J198" s="94"/>
      <c r="K198" s="94"/>
      <c r="L198" s="94"/>
      <c r="M198" s="1430"/>
      <c r="N198" s="1430"/>
      <c r="O198" s="1430"/>
      <c r="P198" s="94"/>
      <c r="Q198" s="1431"/>
      <c r="R198" s="1430"/>
      <c r="S198" s="1164"/>
      <c r="T198" s="1164"/>
      <c r="U198" s="2174"/>
      <c r="V198" s="2174"/>
      <c r="W198" s="2174"/>
      <c r="X198" s="1164"/>
    </row>
    <row r="199" ht="15.75" customHeight="1">
      <c r="A199" s="94"/>
      <c r="B199" s="94"/>
      <c r="C199" s="1164"/>
      <c r="D199" s="1429"/>
      <c r="E199" s="1429"/>
      <c r="F199" s="1429"/>
      <c r="G199" s="1429"/>
      <c r="H199" s="1430"/>
      <c r="I199" s="94"/>
      <c r="J199" s="1164"/>
      <c r="K199" s="94"/>
      <c r="L199" s="94"/>
      <c r="M199" s="1430"/>
      <c r="N199" s="1430"/>
      <c r="O199" s="1430"/>
      <c r="P199" s="94"/>
      <c r="Q199" s="1431"/>
      <c r="R199" s="1430"/>
      <c r="S199" s="1164"/>
      <c r="T199" s="1164"/>
      <c r="U199" s="2174"/>
      <c r="V199" s="2174"/>
      <c r="W199" s="2174"/>
      <c r="X199" s="1164"/>
    </row>
    <row r="200" ht="15.75" customHeight="1">
      <c r="A200" s="94"/>
      <c r="B200" s="94"/>
      <c r="C200" s="1164"/>
      <c r="D200" s="1429"/>
      <c r="E200" s="1429"/>
      <c r="F200" s="1429"/>
      <c r="G200" s="1429"/>
      <c r="H200" s="1430"/>
      <c r="I200" s="1430"/>
      <c r="J200" s="94"/>
      <c r="K200" s="94"/>
      <c r="L200" s="94"/>
      <c r="M200" s="1430"/>
      <c r="N200" s="1430"/>
      <c r="O200" s="1430"/>
      <c r="P200" s="94"/>
      <c r="Q200" s="1431"/>
      <c r="R200" s="1430"/>
      <c r="S200" s="1164"/>
      <c r="T200" s="1164"/>
      <c r="U200" s="2174"/>
      <c r="V200" s="2174"/>
      <c r="W200" s="2174"/>
      <c r="X200" s="1164"/>
    </row>
    <row r="201" ht="15.75" customHeight="1">
      <c r="A201" s="94"/>
      <c r="B201" s="94"/>
      <c r="C201" s="1164"/>
      <c r="D201" s="1429"/>
      <c r="E201" s="1429"/>
      <c r="F201" s="1429"/>
      <c r="G201" s="1436"/>
      <c r="H201" s="1430"/>
      <c r="I201" s="94"/>
      <c r="J201" s="1164"/>
      <c r="K201" s="94"/>
      <c r="L201" s="94"/>
      <c r="M201" s="1430"/>
      <c r="N201" s="1430"/>
      <c r="O201" s="1430"/>
      <c r="P201" s="94"/>
      <c r="Q201" s="1431"/>
      <c r="R201" s="1430"/>
      <c r="S201" s="1164"/>
      <c r="T201" s="1164"/>
      <c r="U201" s="2174"/>
      <c r="V201" s="2174"/>
      <c r="W201" s="2174"/>
      <c r="X201" s="1164"/>
    </row>
    <row r="202" ht="15.75" customHeight="1">
      <c r="A202" s="94"/>
      <c r="B202" s="94"/>
      <c r="C202" s="1164"/>
      <c r="D202" s="1429"/>
      <c r="E202" s="1429"/>
      <c r="F202" s="1429"/>
      <c r="G202" s="1436"/>
      <c r="H202" s="1430"/>
      <c r="I202" s="1430"/>
      <c r="J202" s="94"/>
      <c r="K202" s="94"/>
      <c r="L202" s="94"/>
      <c r="M202" s="1430"/>
      <c r="N202" s="1430"/>
      <c r="O202" s="1430"/>
      <c r="P202" s="94"/>
      <c r="Q202" s="1431"/>
      <c r="R202" s="1430"/>
      <c r="S202" s="1164"/>
      <c r="T202" s="1164"/>
      <c r="U202" s="2174"/>
      <c r="V202" s="2174"/>
      <c r="W202" s="2174"/>
      <c r="X202" s="1164"/>
    </row>
    <row r="203" ht="15.75" customHeight="1">
      <c r="A203" s="94"/>
      <c r="B203" s="94"/>
      <c r="C203" s="1164"/>
      <c r="D203" s="1429"/>
      <c r="E203" s="1429"/>
      <c r="F203" s="1429"/>
      <c r="G203" s="1436"/>
      <c r="H203" s="1430"/>
      <c r="I203" s="1430"/>
      <c r="J203" s="94"/>
      <c r="K203" s="94"/>
      <c r="L203" s="94"/>
      <c r="M203" s="1430"/>
      <c r="N203" s="1430"/>
      <c r="O203" s="1430"/>
      <c r="P203" s="94"/>
      <c r="Q203" s="1431"/>
      <c r="R203" s="1430"/>
      <c r="S203" s="1164"/>
      <c r="T203" s="1164"/>
      <c r="U203" s="2174"/>
      <c r="V203" s="2174"/>
      <c r="W203" s="2174"/>
      <c r="X203" s="1164"/>
    </row>
    <row r="204" ht="15.75" customHeight="1">
      <c r="A204" s="94"/>
      <c r="B204" s="94"/>
      <c r="C204" s="1164"/>
      <c r="D204" s="1429"/>
      <c r="E204" s="1429"/>
      <c r="F204" s="1429"/>
      <c r="G204" s="1436"/>
      <c r="H204" s="1430"/>
      <c r="I204" s="1430"/>
      <c r="J204" s="94"/>
      <c r="K204" s="94"/>
      <c r="L204" s="94"/>
      <c r="M204" s="1430"/>
      <c r="N204" s="1430"/>
      <c r="O204" s="1430"/>
      <c r="P204" s="94"/>
      <c r="Q204" s="1431"/>
      <c r="R204" s="1430"/>
      <c r="S204" s="1164"/>
      <c r="T204" s="1164"/>
      <c r="U204" s="2174"/>
      <c r="V204" s="2174"/>
      <c r="W204" s="2174"/>
      <c r="X204" s="1164"/>
    </row>
    <row r="205" ht="15.75" customHeight="1">
      <c r="A205" s="94"/>
      <c r="B205" s="94"/>
      <c r="C205" s="1164"/>
      <c r="D205" s="1429"/>
      <c r="E205" s="1429"/>
      <c r="F205" s="1429"/>
      <c r="G205" s="1436"/>
      <c r="H205" s="1430"/>
      <c r="I205" s="94"/>
      <c r="J205" s="1164"/>
      <c r="K205" s="94"/>
      <c r="L205" s="94"/>
      <c r="M205" s="1430"/>
      <c r="N205" s="1430"/>
      <c r="O205" s="1430"/>
      <c r="P205" s="94"/>
      <c r="Q205" s="1431"/>
      <c r="R205" s="1430"/>
      <c r="S205" s="1164"/>
      <c r="T205" s="1164"/>
      <c r="U205" s="2174"/>
      <c r="V205" s="2174"/>
      <c r="W205" s="2174"/>
      <c r="X205" s="1164"/>
    </row>
    <row r="206" ht="15.75" customHeight="1">
      <c r="A206" s="94"/>
      <c r="B206" s="94"/>
      <c r="C206" s="1164"/>
      <c r="D206" s="1429"/>
      <c r="E206" s="1429"/>
      <c r="F206" s="1429"/>
      <c r="G206" s="1436"/>
      <c r="H206" s="1430"/>
      <c r="I206" s="1430"/>
      <c r="J206" s="94"/>
      <c r="K206" s="94"/>
      <c r="L206" s="94"/>
      <c r="M206" s="1430"/>
      <c r="N206" s="1430"/>
      <c r="O206" s="1430"/>
      <c r="P206" s="94"/>
      <c r="Q206" s="1431"/>
      <c r="R206" s="1430"/>
      <c r="S206" s="1164"/>
      <c r="T206" s="1164"/>
      <c r="U206" s="2174"/>
      <c r="V206" s="2174"/>
      <c r="W206" s="2174"/>
      <c r="X206" s="1164"/>
    </row>
    <row r="207" ht="15.75" customHeight="1">
      <c r="A207" s="94"/>
      <c r="B207" s="94"/>
      <c r="C207" s="94"/>
      <c r="D207" s="94"/>
      <c r="E207" s="94"/>
      <c r="F207" s="94"/>
      <c r="G207" s="94"/>
      <c r="H207" s="1164"/>
      <c r="I207" s="1164"/>
      <c r="J207" s="1164"/>
      <c r="K207" s="1430"/>
      <c r="L207" s="1430"/>
      <c r="M207" s="1430"/>
      <c r="N207" s="1430"/>
      <c r="O207" s="1430"/>
      <c r="P207" s="1430"/>
      <c r="Q207" s="1430"/>
      <c r="R207" s="1430"/>
      <c r="S207" s="94"/>
      <c r="T207" s="1164"/>
      <c r="U207" s="94"/>
      <c r="V207" s="94"/>
      <c r="W207" s="94"/>
      <c r="X207" s="1430"/>
    </row>
    <row r="208" ht="15.75" customHeight="1">
      <c r="A208" s="94"/>
      <c r="B208" s="94"/>
      <c r="C208" s="1164"/>
      <c r="D208" s="1429"/>
      <c r="E208" s="1429"/>
      <c r="F208" s="1429"/>
      <c r="G208" s="1436"/>
      <c r="H208" s="1430"/>
      <c r="I208" s="94"/>
      <c r="J208" s="1164"/>
      <c r="K208" s="94"/>
      <c r="L208" s="94"/>
      <c r="M208" s="1430"/>
      <c r="N208" s="1430"/>
      <c r="O208" s="1430"/>
      <c r="P208" s="94"/>
      <c r="Q208" s="1431"/>
      <c r="R208" s="1430"/>
      <c r="S208" s="1164"/>
      <c r="T208" s="1164"/>
      <c r="U208" s="2174"/>
      <c r="V208" s="2174"/>
      <c r="W208" s="2174"/>
      <c r="X208" s="1164"/>
    </row>
    <row r="209" ht="15.75" customHeight="1">
      <c r="A209" s="94"/>
      <c r="B209" s="94"/>
      <c r="C209" s="1164"/>
      <c r="D209" s="1429"/>
      <c r="E209" s="1429"/>
      <c r="F209" s="1429"/>
      <c r="G209" s="1436"/>
      <c r="H209" s="1430"/>
      <c r="I209" s="1430"/>
      <c r="J209" s="94"/>
      <c r="K209" s="94"/>
      <c r="L209" s="94"/>
      <c r="M209" s="1430"/>
      <c r="N209" s="1430"/>
      <c r="O209" s="1430"/>
      <c r="P209" s="94"/>
      <c r="Q209" s="1431"/>
      <c r="R209" s="1430"/>
      <c r="S209" s="1164"/>
      <c r="T209" s="1164"/>
      <c r="U209" s="2174"/>
      <c r="V209" s="2174"/>
      <c r="W209" s="2174"/>
      <c r="X209" s="1164"/>
    </row>
    <row r="210" ht="15.75" customHeight="1">
      <c r="A210" s="94"/>
      <c r="B210" s="94"/>
      <c r="C210" s="1164"/>
      <c r="D210" s="1429"/>
      <c r="E210" s="1429"/>
      <c r="F210" s="1429"/>
      <c r="G210" s="1436"/>
      <c r="H210" s="1430"/>
      <c r="I210" s="1430"/>
      <c r="J210" s="94"/>
      <c r="K210" s="94"/>
      <c r="L210" s="94"/>
      <c r="M210" s="1430"/>
      <c r="N210" s="1430"/>
      <c r="O210" s="1430"/>
      <c r="P210" s="94"/>
      <c r="Q210" s="1431"/>
      <c r="R210" s="1430"/>
      <c r="S210" s="1164"/>
      <c r="T210" s="1164"/>
      <c r="U210" s="2174"/>
      <c r="V210" s="2174"/>
      <c r="W210" s="2174"/>
      <c r="X210" s="1164"/>
    </row>
    <row r="211" ht="15.75" customHeight="1">
      <c r="A211" s="94"/>
      <c r="B211" s="94"/>
      <c r="C211" s="1164"/>
      <c r="D211" s="1429"/>
      <c r="E211" s="1429"/>
      <c r="F211" s="1429"/>
      <c r="G211" s="1436"/>
      <c r="H211" s="1430"/>
      <c r="I211" s="1430"/>
      <c r="J211" s="94"/>
      <c r="K211" s="94"/>
      <c r="L211" s="94"/>
      <c r="M211" s="1430"/>
      <c r="N211" s="1430"/>
      <c r="O211" s="1430"/>
      <c r="P211" s="94"/>
      <c r="Q211" s="1431"/>
      <c r="R211" s="1430"/>
      <c r="S211" s="1164"/>
      <c r="T211" s="1164"/>
      <c r="U211" s="2174"/>
      <c r="V211" s="2174"/>
      <c r="W211" s="2174"/>
      <c r="X211" s="1164"/>
    </row>
    <row r="212" ht="15.75" customHeight="1">
      <c r="A212" s="94"/>
      <c r="B212" s="94"/>
      <c r="C212" s="1164"/>
      <c r="D212" s="1429"/>
      <c r="E212" s="1429"/>
      <c r="F212" s="1429"/>
      <c r="G212" s="1436"/>
      <c r="H212" s="1430"/>
      <c r="I212" s="1430"/>
      <c r="J212" s="94"/>
      <c r="K212" s="94"/>
      <c r="L212" s="94"/>
      <c r="M212" s="1430"/>
      <c r="N212" s="1430"/>
      <c r="O212" s="1430"/>
      <c r="P212" s="94"/>
      <c r="Q212" s="1431"/>
      <c r="R212" s="1430"/>
      <c r="S212" s="1164"/>
      <c r="T212" s="1164"/>
      <c r="U212" s="2174"/>
      <c r="V212" s="94"/>
      <c r="W212" s="94"/>
      <c r="X212" s="1164"/>
    </row>
    <row r="213" ht="15.75" customHeight="1">
      <c r="A213" s="94"/>
      <c r="B213" s="94"/>
      <c r="C213" s="1164"/>
      <c r="D213" s="1429"/>
      <c r="E213" s="1429"/>
      <c r="F213" s="1429"/>
      <c r="G213" s="1436"/>
      <c r="H213" s="1430"/>
      <c r="I213" s="1430"/>
      <c r="J213" s="94"/>
      <c r="K213" s="94"/>
      <c r="L213" s="94"/>
      <c r="M213" s="1430"/>
      <c r="N213" s="1430"/>
      <c r="O213" s="1430"/>
      <c r="P213" s="94"/>
      <c r="Q213" s="1431"/>
      <c r="R213" s="1430"/>
      <c r="S213" s="1164"/>
      <c r="T213" s="1164"/>
      <c r="U213" s="2174"/>
      <c r="V213" s="2174"/>
      <c r="W213" s="2174"/>
      <c r="X213" s="1164"/>
    </row>
    <row r="214" ht="15.75" customHeight="1">
      <c r="A214" s="94"/>
      <c r="B214" s="94"/>
      <c r="C214" s="1164"/>
      <c r="D214" s="1429"/>
      <c r="E214" s="1429"/>
      <c r="F214" s="1429"/>
      <c r="G214" s="1436"/>
      <c r="H214" s="1430"/>
      <c r="I214" s="94"/>
      <c r="J214" s="1164"/>
      <c r="K214" s="94"/>
      <c r="L214" s="94"/>
      <c r="M214" s="1430"/>
      <c r="N214" s="1430"/>
      <c r="O214" s="1430"/>
      <c r="P214" s="94"/>
      <c r="Q214" s="1431"/>
      <c r="R214" s="1430"/>
      <c r="S214" s="1164"/>
      <c r="T214" s="1164"/>
      <c r="U214" s="2174"/>
      <c r="V214" s="2174"/>
      <c r="W214" s="2174"/>
      <c r="X214" s="1164"/>
    </row>
    <row r="215" ht="15.75" customHeight="1">
      <c r="A215" s="94"/>
      <c r="B215" s="94"/>
      <c r="C215" s="1164"/>
      <c r="D215" s="1429"/>
      <c r="E215" s="1429"/>
      <c r="F215" s="1429"/>
      <c r="G215" s="1436"/>
      <c r="H215" s="1430"/>
      <c r="I215" s="1430"/>
      <c r="J215" s="94"/>
      <c r="K215" s="94"/>
      <c r="L215" s="94"/>
      <c r="M215" s="1430"/>
      <c r="N215" s="1430"/>
      <c r="O215" s="1430"/>
      <c r="P215" s="94"/>
      <c r="Q215" s="1431"/>
      <c r="R215" s="1430"/>
      <c r="S215" s="1164"/>
      <c r="T215" s="1164"/>
      <c r="U215" s="2174"/>
      <c r="V215" s="2174"/>
      <c r="W215" s="2174"/>
      <c r="X215" s="1164"/>
    </row>
    <row r="216" ht="15.75" customHeight="1">
      <c r="A216" s="94"/>
      <c r="B216" s="94"/>
      <c r="C216" s="1164"/>
      <c r="D216" s="1429"/>
      <c r="E216" s="1429"/>
      <c r="F216" s="1429"/>
      <c r="G216" s="1436"/>
      <c r="H216" s="1430"/>
      <c r="I216" s="1430"/>
      <c r="J216" s="94"/>
      <c r="K216" s="94"/>
      <c r="L216" s="94"/>
      <c r="M216" s="1430"/>
      <c r="N216" s="1430"/>
      <c r="O216" s="1430"/>
      <c r="P216" s="94"/>
      <c r="Q216" s="1431"/>
      <c r="R216" s="1430"/>
      <c r="S216" s="1164"/>
      <c r="T216" s="1164"/>
      <c r="U216" s="2174"/>
      <c r="V216" s="94"/>
      <c r="W216" s="94"/>
      <c r="X216" s="1164"/>
    </row>
    <row r="217" ht="15.75" customHeight="1">
      <c r="A217" s="94"/>
      <c r="B217" s="94"/>
      <c r="C217" s="1164"/>
      <c r="D217" s="1429"/>
      <c r="E217" s="1429"/>
      <c r="F217" s="1429"/>
      <c r="G217" s="1436"/>
      <c r="H217" s="1430"/>
      <c r="I217" s="1430"/>
      <c r="J217" s="94"/>
      <c r="K217" s="94"/>
      <c r="L217" s="94"/>
      <c r="M217" s="1430"/>
      <c r="N217" s="1430"/>
      <c r="O217" s="1430"/>
      <c r="P217" s="94"/>
      <c r="Q217" s="1431"/>
      <c r="R217" s="1430"/>
      <c r="S217" s="1164"/>
      <c r="T217" s="1164"/>
      <c r="U217" s="2174"/>
      <c r="V217" s="2174"/>
      <c r="W217" s="2174"/>
      <c r="X217" s="1164"/>
    </row>
    <row r="218" ht="15.75" customHeight="1">
      <c r="A218" s="94"/>
      <c r="B218" s="94"/>
      <c r="C218" s="1164"/>
      <c r="D218" s="1429"/>
      <c r="E218" s="1429"/>
      <c r="F218" s="1429"/>
      <c r="G218" s="1436"/>
      <c r="H218" s="1430"/>
      <c r="I218" s="1430"/>
      <c r="J218" s="94"/>
      <c r="K218" s="94"/>
      <c r="L218" s="94"/>
      <c r="M218" s="1430"/>
      <c r="N218" s="1430"/>
      <c r="O218" s="1430"/>
      <c r="P218" s="94"/>
      <c r="Q218" s="1431"/>
      <c r="R218" s="1430"/>
      <c r="S218" s="1164"/>
      <c r="T218" s="1164"/>
      <c r="U218" s="2174"/>
      <c r="V218" s="2174"/>
      <c r="W218" s="2174"/>
      <c r="X218" s="1164"/>
    </row>
    <row r="219" ht="15.75" customHeight="1">
      <c r="A219" s="94"/>
      <c r="B219" s="94"/>
      <c r="C219" s="1164"/>
      <c r="D219" s="1429"/>
      <c r="E219" s="1429"/>
      <c r="F219" s="1429"/>
      <c r="G219" s="1436"/>
      <c r="H219" s="1430"/>
      <c r="I219" s="1430"/>
      <c r="J219" s="94"/>
      <c r="K219" s="94"/>
      <c r="L219" s="94"/>
      <c r="M219" s="1430"/>
      <c r="N219" s="1430"/>
      <c r="O219" s="1430"/>
      <c r="P219" s="94"/>
      <c r="Q219" s="1431"/>
      <c r="R219" s="1430"/>
      <c r="S219" s="1164"/>
      <c r="T219" s="1164"/>
      <c r="U219" s="2174"/>
      <c r="V219" s="2174"/>
      <c r="W219" s="2174"/>
      <c r="X219" s="1164"/>
    </row>
    <row r="220" ht="15.75" customHeight="1">
      <c r="A220" s="94"/>
      <c r="B220" s="94"/>
      <c r="C220" s="1164"/>
      <c r="D220" s="1429"/>
      <c r="E220" s="1429"/>
      <c r="F220" s="1429"/>
      <c r="G220" s="1436"/>
      <c r="H220" s="1430"/>
      <c r="I220" s="1430"/>
      <c r="J220" s="94"/>
      <c r="K220" s="94"/>
      <c r="L220" s="94"/>
      <c r="M220" s="1430"/>
      <c r="N220" s="1430"/>
      <c r="O220" s="1430"/>
      <c r="P220" s="94"/>
      <c r="Q220" s="1431"/>
      <c r="R220" s="1430"/>
      <c r="S220" s="1164"/>
      <c r="T220" s="1164"/>
      <c r="U220" s="2174"/>
      <c r="V220" s="2174"/>
      <c r="W220" s="2174"/>
      <c r="X220" s="1164"/>
    </row>
    <row r="221" ht="15.75" customHeight="1">
      <c r="A221" s="94"/>
      <c r="B221" s="94"/>
      <c r="C221" s="1164"/>
      <c r="D221" s="1429"/>
      <c r="E221" s="1429"/>
      <c r="F221" s="1429"/>
      <c r="G221" s="1436"/>
      <c r="H221" s="1430"/>
      <c r="I221" s="1430"/>
      <c r="J221" s="94"/>
      <c r="K221" s="94"/>
      <c r="L221" s="94"/>
      <c r="M221" s="1430"/>
      <c r="N221" s="1430"/>
      <c r="O221" s="1430"/>
      <c r="P221" s="94"/>
      <c r="Q221" s="1431"/>
      <c r="R221" s="1430"/>
      <c r="S221" s="1164"/>
      <c r="T221" s="1164"/>
      <c r="U221" s="2174"/>
      <c r="V221" s="2174"/>
      <c r="W221" s="2174"/>
      <c r="X221" s="1164"/>
    </row>
    <row r="222" ht="15.75" customHeight="1">
      <c r="A222" s="94"/>
      <c r="B222" s="94"/>
      <c r="C222" s="1164"/>
      <c r="D222" s="1429"/>
      <c r="E222" s="1429"/>
      <c r="F222" s="1429"/>
      <c r="G222" s="1436"/>
      <c r="H222" s="1430"/>
      <c r="I222" s="1430"/>
      <c r="J222" s="94"/>
      <c r="K222" s="94"/>
      <c r="L222" s="94"/>
      <c r="M222" s="1430"/>
      <c r="N222" s="1430"/>
      <c r="O222" s="1430"/>
      <c r="P222" s="94"/>
      <c r="Q222" s="1431"/>
      <c r="R222" s="1430"/>
      <c r="S222" s="1164"/>
      <c r="T222" s="1164"/>
      <c r="U222" s="2174"/>
      <c r="V222" s="2174"/>
      <c r="W222" s="2174"/>
      <c r="X222" s="1164"/>
    </row>
    <row r="223" ht="15.75" customHeight="1">
      <c r="A223" s="94"/>
      <c r="B223" s="94"/>
      <c r="C223" s="1164"/>
      <c r="D223" s="1429"/>
      <c r="E223" s="1429"/>
      <c r="F223" s="1429"/>
      <c r="G223" s="1436"/>
      <c r="H223" s="1430"/>
      <c r="I223" s="94"/>
      <c r="J223" s="1164"/>
      <c r="K223" s="94"/>
      <c r="L223" s="94"/>
      <c r="M223" s="1430"/>
      <c r="N223" s="1430"/>
      <c r="O223" s="1430"/>
      <c r="P223" s="94"/>
      <c r="Q223" s="1431"/>
      <c r="R223" s="1430"/>
      <c r="S223" s="1164"/>
      <c r="T223" s="1164"/>
      <c r="U223" s="2174"/>
      <c r="V223" s="2174"/>
      <c r="W223" s="2174"/>
      <c r="X223" s="1164"/>
    </row>
    <row r="224" ht="15.75" customHeight="1">
      <c r="A224" s="94"/>
      <c r="B224" s="94"/>
      <c r="C224" s="94"/>
      <c r="D224" s="94"/>
      <c r="E224" s="94"/>
      <c r="F224" s="94"/>
      <c r="G224" s="94"/>
      <c r="H224" s="1164"/>
      <c r="I224" s="1164"/>
      <c r="J224" s="1164"/>
      <c r="K224" s="1430"/>
      <c r="L224" s="1430"/>
      <c r="M224" s="1430"/>
      <c r="N224" s="1430"/>
      <c r="O224" s="1430"/>
      <c r="P224" s="1430"/>
      <c r="Q224" s="1430"/>
      <c r="R224" s="1430"/>
      <c r="S224" s="94"/>
      <c r="T224" s="1164"/>
      <c r="U224" s="94"/>
      <c r="V224" s="94"/>
      <c r="W224" s="94"/>
      <c r="X224" s="1430"/>
    </row>
    <row r="225" ht="15.75" customHeight="1">
      <c r="A225" s="94"/>
      <c r="B225" s="94"/>
      <c r="C225" s="1164"/>
      <c r="D225" s="1429"/>
      <c r="E225" s="1429"/>
      <c r="F225" s="1429"/>
      <c r="G225" s="1436"/>
      <c r="H225" s="1430"/>
      <c r="I225" s="94"/>
      <c r="J225" s="1164"/>
      <c r="K225" s="94"/>
      <c r="L225" s="94"/>
      <c r="M225" s="1430"/>
      <c r="N225" s="1430"/>
      <c r="O225" s="1430"/>
      <c r="P225" s="94"/>
      <c r="Q225" s="1431"/>
      <c r="R225" s="1430"/>
      <c r="S225" s="1164"/>
      <c r="T225" s="1164"/>
      <c r="U225" s="2174"/>
      <c r="V225" s="2174"/>
      <c r="W225" s="2174"/>
      <c r="X225" s="1164"/>
    </row>
    <row r="226" ht="15.75" customHeight="1">
      <c r="A226" s="94"/>
      <c r="B226" s="94"/>
      <c r="C226" s="1164"/>
      <c r="D226" s="1429"/>
      <c r="E226" s="1429"/>
      <c r="F226" s="1429"/>
      <c r="G226" s="94"/>
      <c r="H226" s="94"/>
      <c r="I226" s="1430"/>
      <c r="J226" s="94"/>
      <c r="K226" s="94"/>
      <c r="L226" s="94"/>
      <c r="M226" s="1430"/>
      <c r="N226" s="1430"/>
      <c r="O226" s="1430"/>
      <c r="P226" s="94"/>
      <c r="Q226" s="1431"/>
      <c r="R226" s="1430"/>
      <c r="S226" s="1164"/>
      <c r="T226" s="1164"/>
      <c r="U226" s="2174"/>
      <c r="V226" s="2174"/>
      <c r="W226" s="2174"/>
      <c r="X226" s="1164"/>
    </row>
    <row r="227" ht="15.75" customHeight="1">
      <c r="A227" s="94"/>
      <c r="B227" s="94"/>
      <c r="C227" s="1164"/>
      <c r="D227" s="1429"/>
      <c r="E227" s="1429"/>
      <c r="F227" s="1429"/>
      <c r="G227" s="1436"/>
      <c r="H227" s="1430"/>
      <c r="I227" s="1430"/>
      <c r="J227" s="94"/>
      <c r="K227" s="94"/>
      <c r="L227" s="94"/>
      <c r="M227" s="1430"/>
      <c r="N227" s="1430"/>
      <c r="O227" s="1430"/>
      <c r="P227" s="94"/>
      <c r="Q227" s="1431"/>
      <c r="R227" s="1430"/>
      <c r="S227" s="1164"/>
      <c r="T227" s="1164"/>
      <c r="U227" s="2174"/>
      <c r="V227" s="2174"/>
      <c r="W227" s="2174"/>
      <c r="X227" s="1164"/>
    </row>
    <row r="228" ht="15.75" customHeight="1">
      <c r="A228" s="94"/>
      <c r="B228" s="94"/>
      <c r="C228" s="1164"/>
      <c r="D228" s="1429"/>
      <c r="E228" s="1429"/>
      <c r="F228" s="1429"/>
      <c r="G228" s="1436"/>
      <c r="H228" s="1430"/>
      <c r="I228" s="1430"/>
      <c r="J228" s="94"/>
      <c r="K228" s="94"/>
      <c r="L228" s="94"/>
      <c r="M228" s="1430"/>
      <c r="N228" s="1430"/>
      <c r="O228" s="1430"/>
      <c r="P228" s="94"/>
      <c r="Q228" s="1431"/>
      <c r="R228" s="1430"/>
      <c r="S228" s="1164"/>
      <c r="T228" s="1164"/>
      <c r="U228" s="2174"/>
      <c r="V228" s="2174"/>
      <c r="W228" s="2174"/>
      <c r="X228" s="1164"/>
    </row>
    <row r="229" ht="15.75" customHeight="1">
      <c r="A229" s="94"/>
      <c r="B229" s="94"/>
      <c r="C229" s="1164"/>
      <c r="D229" s="1429"/>
      <c r="E229" s="1429"/>
      <c r="F229" s="1429"/>
      <c r="G229" s="1436"/>
      <c r="H229" s="1430"/>
      <c r="I229" s="1430"/>
      <c r="J229" s="94"/>
      <c r="K229" s="94"/>
      <c r="L229" s="94"/>
      <c r="M229" s="1430"/>
      <c r="N229" s="1430"/>
      <c r="O229" s="1430"/>
      <c r="P229" s="94"/>
      <c r="Q229" s="1431"/>
      <c r="R229" s="1430"/>
      <c r="S229" s="1164"/>
      <c r="T229" s="1164"/>
      <c r="U229" s="2174"/>
      <c r="V229" s="2174"/>
      <c r="W229" s="2174"/>
      <c r="X229" s="1164"/>
    </row>
    <row r="230" ht="15.75" customHeight="1">
      <c r="A230" s="94"/>
      <c r="B230" s="94"/>
      <c r="C230" s="1164"/>
      <c r="D230" s="1429"/>
      <c r="E230" s="1429"/>
      <c r="F230" s="1429"/>
      <c r="G230" s="1429"/>
      <c r="H230" s="1430"/>
      <c r="I230" s="1430"/>
      <c r="J230" s="94"/>
      <c r="K230" s="94"/>
      <c r="L230" s="94"/>
      <c r="M230" s="94"/>
      <c r="N230" s="94"/>
      <c r="O230" s="1430"/>
      <c r="P230" s="94"/>
      <c r="Q230" s="1431"/>
      <c r="R230" s="1430"/>
      <c r="S230" s="1164"/>
      <c r="T230" s="1164"/>
      <c r="U230" s="2174"/>
      <c r="V230" s="94"/>
      <c r="W230" s="94"/>
      <c r="X230" s="1164"/>
    </row>
    <row r="231" ht="15.75" customHeight="1">
      <c r="A231" s="94"/>
      <c r="B231" s="94"/>
      <c r="C231" s="1164"/>
      <c r="D231" s="1429"/>
      <c r="E231" s="1429"/>
      <c r="F231" s="1429"/>
      <c r="G231" s="1436"/>
      <c r="H231" s="1430"/>
      <c r="I231" s="1430"/>
      <c r="J231" s="94"/>
      <c r="K231" s="94"/>
      <c r="L231" s="94"/>
      <c r="M231" s="94"/>
      <c r="N231" s="94"/>
      <c r="O231" s="1430"/>
      <c r="P231" s="94"/>
      <c r="Q231" s="1431"/>
      <c r="R231" s="1430"/>
      <c r="S231" s="1164"/>
      <c r="T231" s="1164"/>
      <c r="U231" s="2174"/>
      <c r="V231" s="94"/>
      <c r="W231" s="94"/>
      <c r="X231" s="1164"/>
    </row>
    <row r="232" ht="15.75" customHeight="1">
      <c r="A232" s="94"/>
      <c r="B232" s="94"/>
      <c r="C232" s="1164"/>
      <c r="D232" s="1429"/>
      <c r="E232" s="1429"/>
      <c r="F232" s="1429"/>
      <c r="G232" s="1436"/>
      <c r="H232" s="1430"/>
      <c r="I232" s="94"/>
      <c r="J232" s="1164"/>
      <c r="K232" s="94"/>
      <c r="L232" s="94"/>
      <c r="M232" s="1430"/>
      <c r="N232" s="1430"/>
      <c r="O232" s="1430"/>
      <c r="P232" s="94"/>
      <c r="Q232" s="1431"/>
      <c r="R232" s="1430"/>
      <c r="S232" s="1164"/>
      <c r="T232" s="1164"/>
      <c r="U232" s="2174"/>
      <c r="V232" s="2174"/>
      <c r="W232" s="2174"/>
      <c r="X232" s="1164"/>
    </row>
    <row r="233" ht="15.75" customHeight="1">
      <c r="A233" s="94"/>
      <c r="B233" s="94"/>
      <c r="C233" s="1164"/>
      <c r="D233" s="1429"/>
      <c r="E233" s="1429"/>
      <c r="F233" s="1429"/>
      <c r="G233" s="1436"/>
      <c r="H233" s="1430"/>
      <c r="I233" s="1430"/>
      <c r="J233" s="94"/>
      <c r="K233" s="94"/>
      <c r="L233" s="94"/>
      <c r="M233" s="1430"/>
      <c r="N233" s="1430"/>
      <c r="O233" s="1430"/>
      <c r="P233" s="94"/>
      <c r="Q233" s="1431"/>
      <c r="R233" s="1430"/>
      <c r="S233" s="1164"/>
      <c r="T233" s="1164"/>
      <c r="U233" s="2174"/>
      <c r="V233" s="2174"/>
      <c r="W233" s="2174"/>
      <c r="X233" s="1164"/>
    </row>
    <row r="234" ht="15.75" customHeight="1">
      <c r="A234" s="94"/>
      <c r="B234" s="94"/>
      <c r="C234" s="1164"/>
      <c r="D234" s="1429"/>
      <c r="E234" s="1429"/>
      <c r="F234" s="1429"/>
      <c r="G234" s="1436"/>
      <c r="H234" s="1430"/>
      <c r="I234" s="1430"/>
      <c r="J234" s="94"/>
      <c r="K234" s="94"/>
      <c r="L234" s="94"/>
      <c r="M234" s="1430"/>
      <c r="N234" s="1430"/>
      <c r="O234" s="1430"/>
      <c r="P234" s="94"/>
      <c r="Q234" s="1431"/>
      <c r="R234" s="1430"/>
      <c r="S234" s="1164"/>
      <c r="T234" s="1164"/>
      <c r="U234" s="2174"/>
      <c r="V234" s="2174"/>
      <c r="W234" s="2174"/>
      <c r="X234" s="1164"/>
    </row>
    <row r="235" ht="15.75" customHeight="1">
      <c r="A235" s="94"/>
      <c r="B235" s="94"/>
      <c r="C235" s="1164"/>
      <c r="D235" s="1429"/>
      <c r="E235" s="1429"/>
      <c r="F235" s="1429"/>
      <c r="G235" s="1436"/>
      <c r="H235" s="1430"/>
      <c r="I235" s="1430"/>
      <c r="J235" s="94"/>
      <c r="K235" s="94"/>
      <c r="L235" s="94"/>
      <c r="M235" s="1430"/>
      <c r="N235" s="1430"/>
      <c r="O235" s="1430"/>
      <c r="P235" s="94"/>
      <c r="Q235" s="1431"/>
      <c r="R235" s="1430"/>
      <c r="S235" s="1164"/>
      <c r="T235" s="1164"/>
      <c r="U235" s="2174"/>
      <c r="V235" s="2174"/>
      <c r="W235" s="2174"/>
      <c r="X235" s="1164"/>
    </row>
    <row r="236" ht="15.75" customHeight="1">
      <c r="A236" s="94"/>
      <c r="B236" s="94"/>
      <c r="C236" s="1164"/>
      <c r="D236" s="1429"/>
      <c r="E236" s="1429"/>
      <c r="F236" s="1429"/>
      <c r="G236" s="1436"/>
      <c r="H236" s="1430"/>
      <c r="I236" s="1430"/>
      <c r="J236" s="94"/>
      <c r="K236" s="94"/>
      <c r="L236" s="94"/>
      <c r="M236" s="1430"/>
      <c r="N236" s="1430"/>
      <c r="O236" s="1430"/>
      <c r="P236" s="94"/>
      <c r="Q236" s="1431"/>
      <c r="R236" s="1430"/>
      <c r="S236" s="1164"/>
      <c r="T236" s="1164"/>
      <c r="U236" s="2174"/>
      <c r="V236" s="2174"/>
      <c r="W236" s="2174"/>
      <c r="X236" s="1164"/>
    </row>
    <row r="237" ht="15.75" customHeight="1">
      <c r="A237" s="94"/>
      <c r="B237" s="94"/>
      <c r="C237" s="1164"/>
      <c r="D237" s="1429"/>
      <c r="E237" s="1429"/>
      <c r="F237" s="1429"/>
      <c r="G237" s="1436"/>
      <c r="H237" s="1430"/>
      <c r="I237" s="94"/>
      <c r="J237" s="1164"/>
      <c r="K237" s="94"/>
      <c r="L237" s="94"/>
      <c r="M237" s="1430"/>
      <c r="N237" s="1430"/>
      <c r="O237" s="1430"/>
      <c r="P237" s="94"/>
      <c r="Q237" s="1431"/>
      <c r="R237" s="1430"/>
      <c r="S237" s="1164"/>
      <c r="T237" s="1164"/>
      <c r="U237" s="2174"/>
      <c r="V237" s="2174"/>
      <c r="W237" s="2174"/>
      <c r="X237" s="1164"/>
    </row>
    <row r="238" ht="15.75" customHeight="1">
      <c r="A238" s="94"/>
      <c r="B238" s="94"/>
      <c r="C238" s="1164"/>
      <c r="D238" s="1429"/>
      <c r="E238" s="1429"/>
      <c r="F238" s="1429"/>
      <c r="G238" s="1436"/>
      <c r="H238" s="1430"/>
      <c r="I238" s="1430"/>
      <c r="J238" s="94"/>
      <c r="K238" s="94"/>
      <c r="L238" s="94"/>
      <c r="M238" s="1430"/>
      <c r="N238" s="1430"/>
      <c r="O238" s="1430"/>
      <c r="P238" s="94"/>
      <c r="Q238" s="1431"/>
      <c r="R238" s="1430"/>
      <c r="S238" s="1164"/>
      <c r="T238" s="1164"/>
      <c r="U238" s="2174"/>
      <c r="V238" s="2174"/>
      <c r="W238" s="2174"/>
      <c r="X238" s="1164"/>
    </row>
    <row r="239" ht="15.75" customHeight="1">
      <c r="A239" s="94"/>
      <c r="B239" s="94"/>
      <c r="C239" s="1164"/>
      <c r="D239" s="1429"/>
      <c r="E239" s="1429"/>
      <c r="F239" s="1429"/>
      <c r="G239" s="1436"/>
      <c r="H239" s="1430"/>
      <c r="I239" s="1430"/>
      <c r="J239" s="94"/>
      <c r="K239" s="94"/>
      <c r="L239" s="94"/>
      <c r="M239" s="1430"/>
      <c r="N239" s="1430"/>
      <c r="O239" s="1430"/>
      <c r="P239" s="94"/>
      <c r="Q239" s="1431"/>
      <c r="R239" s="1430"/>
      <c r="S239" s="1164"/>
      <c r="T239" s="1164"/>
      <c r="U239" s="2174"/>
      <c r="V239" s="2174"/>
      <c r="W239" s="2174"/>
      <c r="X239" s="1164"/>
    </row>
    <row r="240" ht="15.75" customHeight="1">
      <c r="A240" s="94"/>
      <c r="B240" s="94"/>
      <c r="C240" s="1164"/>
      <c r="D240" s="1429"/>
      <c r="E240" s="1429"/>
      <c r="F240" s="1429"/>
      <c r="G240" s="1436"/>
      <c r="H240" s="1430"/>
      <c r="I240" s="1430"/>
      <c r="J240" s="94"/>
      <c r="K240" s="94"/>
      <c r="L240" s="94"/>
      <c r="M240" s="1430"/>
      <c r="N240" s="1430"/>
      <c r="O240" s="1430"/>
      <c r="P240" s="94"/>
      <c r="Q240" s="1431"/>
      <c r="R240" s="1430"/>
      <c r="S240" s="1164"/>
      <c r="T240" s="1164"/>
      <c r="U240" s="2174"/>
      <c r="V240" s="2174"/>
      <c r="W240" s="2174"/>
      <c r="X240" s="1164"/>
    </row>
    <row r="241" ht="15.75" customHeight="1">
      <c r="A241" s="94"/>
      <c r="B241" s="94"/>
      <c r="C241" s="1164"/>
      <c r="D241" s="1429"/>
      <c r="E241" s="1429"/>
      <c r="F241" s="1429"/>
      <c r="G241" s="1436"/>
      <c r="H241" s="1430"/>
      <c r="I241" s="1430"/>
      <c r="J241" s="94"/>
      <c r="K241" s="94"/>
      <c r="L241" s="94"/>
      <c r="M241" s="1430"/>
      <c r="N241" s="1430"/>
      <c r="O241" s="1430"/>
      <c r="P241" s="94"/>
      <c r="Q241" s="1431"/>
      <c r="R241" s="1430"/>
      <c r="S241" s="1164"/>
      <c r="T241" s="1164"/>
      <c r="U241" s="2174"/>
      <c r="V241" s="2174"/>
      <c r="W241" s="2174"/>
      <c r="X241" s="1164"/>
    </row>
    <row r="242" ht="15.75" customHeight="1">
      <c r="A242" s="94"/>
      <c r="B242" s="94"/>
      <c r="C242" s="1164"/>
      <c r="D242" s="1429"/>
      <c r="E242" s="1429"/>
      <c r="F242" s="1429"/>
      <c r="G242" s="1436"/>
      <c r="H242" s="1430"/>
      <c r="I242" s="94"/>
      <c r="J242" s="1164"/>
      <c r="K242" s="94"/>
      <c r="L242" s="94"/>
      <c r="M242" s="1430"/>
      <c r="N242" s="1430"/>
      <c r="O242" s="1430"/>
      <c r="P242" s="94"/>
      <c r="Q242" s="1431"/>
      <c r="R242" s="1430"/>
      <c r="S242" s="1164"/>
      <c r="T242" s="1164"/>
      <c r="U242" s="2174"/>
      <c r="V242" s="2174"/>
      <c r="W242" s="2174"/>
      <c r="X242" s="1164"/>
    </row>
    <row r="243" ht="15.75" customHeight="1">
      <c r="A243" s="94"/>
      <c r="B243" s="94"/>
      <c r="C243" s="1164"/>
      <c r="D243" s="1429"/>
      <c r="E243" s="1429"/>
      <c r="F243" s="1429"/>
      <c r="G243" s="1436"/>
      <c r="H243" s="1430"/>
      <c r="I243" s="94"/>
      <c r="J243" s="1164"/>
      <c r="K243" s="94"/>
      <c r="L243" s="94"/>
      <c r="M243" s="1430"/>
      <c r="N243" s="1430"/>
      <c r="O243" s="1430"/>
      <c r="P243" s="94"/>
      <c r="Q243" s="1431"/>
      <c r="R243" s="1430"/>
      <c r="S243" s="1164"/>
      <c r="T243" s="1164"/>
      <c r="U243" s="2174"/>
      <c r="V243" s="2174"/>
      <c r="W243" s="2174"/>
      <c r="X243" s="1164"/>
    </row>
    <row r="244" ht="15.75" customHeight="1">
      <c r="A244" s="94"/>
      <c r="B244" s="94"/>
      <c r="C244" s="1164"/>
      <c r="D244" s="1429"/>
      <c r="E244" s="1429"/>
      <c r="F244" s="1429"/>
      <c r="G244" s="1436"/>
      <c r="H244" s="1430"/>
      <c r="I244" s="1430"/>
      <c r="J244" s="94"/>
      <c r="K244" s="94"/>
      <c r="L244" s="94"/>
      <c r="M244" s="1430"/>
      <c r="N244" s="1430"/>
      <c r="O244" s="1430"/>
      <c r="P244" s="94"/>
      <c r="Q244" s="1431"/>
      <c r="R244" s="1430"/>
      <c r="S244" s="1164"/>
      <c r="T244" s="1164"/>
      <c r="U244" s="2174"/>
      <c r="V244" s="2174"/>
      <c r="W244" s="2174"/>
      <c r="X244" s="1164"/>
    </row>
    <row r="245" ht="15.75" customHeight="1">
      <c r="A245" s="94"/>
      <c r="B245" s="94"/>
      <c r="C245" s="1164"/>
      <c r="D245" s="1429"/>
      <c r="E245" s="1429"/>
      <c r="F245" s="1434"/>
      <c r="G245" s="1429"/>
      <c r="H245" s="1430"/>
      <c r="I245" s="1430"/>
      <c r="J245" s="94"/>
      <c r="K245" s="94"/>
      <c r="L245" s="94"/>
      <c r="M245" s="1430"/>
      <c r="N245" s="1430"/>
      <c r="O245" s="1430"/>
      <c r="P245" s="94"/>
      <c r="Q245" s="1431"/>
      <c r="R245" s="1430"/>
      <c r="S245" s="1164"/>
      <c r="T245" s="1164"/>
      <c r="U245" s="2174"/>
      <c r="V245" s="2174"/>
      <c r="W245" s="2174"/>
      <c r="X245" s="1164"/>
    </row>
    <row r="246" ht="15.75" customHeight="1">
      <c r="A246" s="94"/>
      <c r="B246" s="94"/>
      <c r="C246" s="1164"/>
      <c r="D246" s="1429"/>
      <c r="E246" s="1429"/>
      <c r="F246" s="1434"/>
      <c r="G246" s="1429"/>
      <c r="H246" s="1430"/>
      <c r="I246" s="1430"/>
      <c r="J246" s="94"/>
      <c r="K246" s="94"/>
      <c r="L246" s="94"/>
      <c r="M246" s="1430"/>
      <c r="N246" s="1430"/>
      <c r="O246" s="1430"/>
      <c r="P246" s="94"/>
      <c r="Q246" s="1431"/>
      <c r="R246" s="1430"/>
      <c r="S246" s="1164"/>
      <c r="T246" s="1164"/>
      <c r="U246" s="2174"/>
      <c r="V246" s="2174"/>
      <c r="W246" s="2174"/>
      <c r="X246" s="1164"/>
    </row>
    <row r="247" ht="15.75" customHeight="1">
      <c r="A247" s="94"/>
      <c r="B247" s="94"/>
      <c r="C247" s="1164"/>
      <c r="D247" s="1429"/>
      <c r="E247" s="1429"/>
      <c r="F247" s="1434"/>
      <c r="G247" s="1429"/>
      <c r="H247" s="1430"/>
      <c r="I247" s="1430"/>
      <c r="J247" s="94"/>
      <c r="K247" s="94"/>
      <c r="L247" s="94"/>
      <c r="M247" s="1430"/>
      <c r="N247" s="1430"/>
      <c r="O247" s="1430"/>
      <c r="P247" s="94"/>
      <c r="Q247" s="1431"/>
      <c r="R247" s="1430"/>
      <c r="S247" s="1164"/>
      <c r="T247" s="1164"/>
      <c r="U247" s="2174"/>
      <c r="V247" s="2174"/>
      <c r="W247" s="2174"/>
      <c r="X247" s="1164"/>
    </row>
    <row r="248" ht="15.75" customHeight="1">
      <c r="A248" s="94"/>
      <c r="B248" s="94"/>
      <c r="C248" s="1164"/>
      <c r="D248" s="1429"/>
      <c r="E248" s="1429"/>
      <c r="F248" s="1434"/>
      <c r="G248" s="1429"/>
      <c r="H248" s="1430"/>
      <c r="I248" s="94"/>
      <c r="J248" s="1164"/>
      <c r="K248" s="94"/>
      <c r="L248" s="94"/>
      <c r="M248" s="1430"/>
      <c r="N248" s="1430"/>
      <c r="O248" s="1430"/>
      <c r="P248" s="94"/>
      <c r="Q248" s="1431"/>
      <c r="R248" s="1430"/>
      <c r="S248" s="1164"/>
      <c r="T248" s="1164"/>
      <c r="U248" s="2174"/>
      <c r="V248" s="2174"/>
      <c r="W248" s="2174"/>
      <c r="X248" s="1164"/>
    </row>
    <row r="249" ht="15.75" customHeight="1">
      <c r="A249" s="94"/>
      <c r="B249" s="94"/>
      <c r="C249" s="1164"/>
      <c r="D249" s="1429"/>
      <c r="E249" s="1429"/>
      <c r="F249" s="1434"/>
      <c r="G249" s="1429"/>
      <c r="H249" s="1430"/>
      <c r="I249" s="94"/>
      <c r="J249" s="1164"/>
      <c r="K249" s="94"/>
      <c r="L249" s="94"/>
      <c r="M249" s="1430"/>
      <c r="N249" s="1430"/>
      <c r="O249" s="1430"/>
      <c r="P249" s="94"/>
      <c r="Q249" s="1431"/>
      <c r="R249" s="1430"/>
      <c r="S249" s="1164"/>
      <c r="T249" s="1164"/>
      <c r="U249" s="2174"/>
      <c r="V249" s="2174"/>
      <c r="W249" s="2174"/>
      <c r="X249" s="1164"/>
    </row>
    <row r="250" ht="15.75" customHeight="1">
      <c r="A250" s="94"/>
      <c r="B250" s="94"/>
      <c r="C250" s="1164"/>
      <c r="D250" s="1429"/>
      <c r="E250" s="1429"/>
      <c r="F250" s="1434"/>
      <c r="G250" s="1429"/>
      <c r="H250" s="1430"/>
      <c r="I250" s="94"/>
      <c r="J250" s="1164"/>
      <c r="K250" s="94"/>
      <c r="L250" s="94"/>
      <c r="M250" s="1430"/>
      <c r="N250" s="1430"/>
      <c r="O250" s="1430"/>
      <c r="P250" s="94"/>
      <c r="Q250" s="1431"/>
      <c r="R250" s="1430"/>
      <c r="S250" s="1164"/>
      <c r="T250" s="1164"/>
      <c r="U250" s="2174"/>
      <c r="V250" s="2174"/>
      <c r="W250" s="2174"/>
      <c r="X250" s="1164"/>
    </row>
    <row r="251" ht="15.75" customHeight="1">
      <c r="A251" s="94"/>
      <c r="B251" s="94"/>
      <c r="C251" s="1164"/>
      <c r="D251" s="1429"/>
      <c r="E251" s="1429"/>
      <c r="F251" s="1434"/>
      <c r="G251" s="1429"/>
      <c r="H251" s="1430"/>
      <c r="I251" s="1430"/>
      <c r="J251" s="94"/>
      <c r="K251" s="94"/>
      <c r="L251" s="94"/>
      <c r="M251" s="1430"/>
      <c r="N251" s="1430"/>
      <c r="O251" s="1430"/>
      <c r="P251" s="94"/>
      <c r="Q251" s="1431"/>
      <c r="R251" s="1430"/>
      <c r="S251" s="1164"/>
      <c r="T251" s="1164"/>
      <c r="U251" s="2174"/>
      <c r="V251" s="2174"/>
      <c r="W251" s="2174"/>
      <c r="X251" s="1164"/>
    </row>
    <row r="252" ht="15.75" customHeight="1">
      <c r="A252" s="94"/>
      <c r="B252" s="94"/>
      <c r="C252" s="1164"/>
      <c r="D252" s="1429"/>
      <c r="E252" s="1429"/>
      <c r="F252" s="1434"/>
      <c r="G252" s="1429"/>
      <c r="H252" s="1430"/>
      <c r="I252" s="1430"/>
      <c r="J252" s="94"/>
      <c r="K252" s="94"/>
      <c r="L252" s="94"/>
      <c r="M252" s="1430"/>
      <c r="N252" s="1430"/>
      <c r="O252" s="1430"/>
      <c r="P252" s="94"/>
      <c r="Q252" s="1431"/>
      <c r="R252" s="1430"/>
      <c r="S252" s="1164"/>
      <c r="T252" s="1164"/>
      <c r="U252" s="2174"/>
      <c r="V252" s="2174"/>
      <c r="W252" s="2174"/>
      <c r="X252" s="1164"/>
    </row>
    <row r="253" ht="15.75" customHeight="1">
      <c r="A253" s="94"/>
      <c r="B253" s="94"/>
      <c r="C253" s="1164"/>
      <c r="D253" s="1429"/>
      <c r="E253" s="1429"/>
      <c r="F253" s="1429"/>
      <c r="G253" s="1429"/>
      <c r="H253" s="1430"/>
      <c r="I253" s="1430"/>
      <c r="J253" s="94"/>
      <c r="K253" s="94"/>
      <c r="L253" s="94"/>
      <c r="M253" s="1430"/>
      <c r="N253" s="1430"/>
      <c r="O253" s="1430"/>
      <c r="P253" s="94"/>
      <c r="Q253" s="1431"/>
      <c r="R253" s="1430"/>
      <c r="S253" s="1164"/>
      <c r="T253" s="1164"/>
      <c r="U253" s="2174"/>
      <c r="V253" s="2174"/>
      <c r="W253" s="2174"/>
      <c r="X253" s="1164"/>
    </row>
    <row r="254" ht="15.75" customHeight="1">
      <c r="A254" s="94"/>
      <c r="B254" s="94"/>
      <c r="C254" s="94"/>
      <c r="D254" s="94"/>
      <c r="E254" s="94"/>
      <c r="F254" s="94"/>
      <c r="G254" s="94"/>
      <c r="H254" s="1164"/>
      <c r="I254" s="1164"/>
      <c r="J254" s="1164"/>
      <c r="K254" s="1430"/>
      <c r="L254" s="1430"/>
      <c r="M254" s="1430"/>
      <c r="N254" s="1430"/>
      <c r="O254" s="1430"/>
      <c r="P254" s="1430"/>
      <c r="Q254" s="1430"/>
      <c r="R254" s="1430"/>
      <c r="S254" s="94"/>
      <c r="T254" s="1164"/>
      <c r="U254" s="94"/>
      <c r="V254" s="94"/>
      <c r="W254" s="94"/>
      <c r="X254" s="1430"/>
    </row>
    <row r="255" ht="15.75" customHeight="1">
      <c r="A255" s="94"/>
      <c r="B255" s="94"/>
      <c r="C255" s="1164"/>
      <c r="D255" s="1429"/>
      <c r="E255" s="1429"/>
      <c r="F255" s="1429"/>
      <c r="G255" s="1429"/>
      <c r="H255" s="1430"/>
      <c r="I255" s="1430"/>
      <c r="J255" s="94"/>
      <c r="K255" s="94"/>
      <c r="L255" s="94"/>
      <c r="M255" s="1430"/>
      <c r="N255" s="94"/>
      <c r="O255" s="1430"/>
      <c r="P255" s="94"/>
      <c r="Q255" s="1431"/>
      <c r="R255" s="1430"/>
      <c r="S255" s="1164"/>
      <c r="T255" s="1164"/>
      <c r="U255" s="2174"/>
      <c r="V255" s="2174"/>
      <c r="W255" s="2174"/>
      <c r="X255" s="1164"/>
    </row>
    <row r="256" ht="15.75" customHeight="1">
      <c r="A256" s="94"/>
      <c r="B256" s="94"/>
      <c r="C256" s="1164"/>
      <c r="D256" s="1429"/>
      <c r="E256" s="1429"/>
      <c r="F256" s="1429"/>
      <c r="G256" s="1434"/>
      <c r="H256" s="1430"/>
      <c r="I256" s="1430"/>
      <c r="J256" s="94"/>
      <c r="K256" s="94"/>
      <c r="L256" s="94"/>
      <c r="M256" s="1430"/>
      <c r="N256" s="1430"/>
      <c r="O256" s="1430"/>
      <c r="P256" s="94"/>
      <c r="Q256" s="1431"/>
      <c r="R256" s="1430"/>
      <c r="S256" s="1164"/>
      <c r="T256" s="1164"/>
      <c r="U256" s="2174"/>
      <c r="V256" s="2174"/>
      <c r="W256" s="2174"/>
      <c r="X256" s="1164"/>
    </row>
    <row r="257" ht="15.75" customHeight="1">
      <c r="A257" s="94"/>
      <c r="B257" s="94"/>
      <c r="C257" s="1164"/>
      <c r="D257" s="1429"/>
      <c r="E257" s="1429"/>
      <c r="F257" s="1429"/>
      <c r="G257" s="1434"/>
      <c r="H257" s="1430"/>
      <c r="I257" s="1430"/>
      <c r="J257" s="94"/>
      <c r="K257" s="94"/>
      <c r="L257" s="94"/>
      <c r="M257" s="1430"/>
      <c r="N257" s="1430"/>
      <c r="O257" s="1430"/>
      <c r="P257" s="94"/>
      <c r="Q257" s="1431"/>
      <c r="R257" s="1430"/>
      <c r="S257" s="1164"/>
      <c r="T257" s="1164"/>
      <c r="U257" s="2174"/>
      <c r="V257" s="2174"/>
      <c r="W257" s="2174"/>
      <c r="X257" s="1164"/>
    </row>
    <row r="258" ht="15.75" customHeight="1">
      <c r="A258" s="94"/>
      <c r="B258" s="94"/>
      <c r="C258" s="1164"/>
      <c r="D258" s="1429"/>
      <c r="E258" s="1429"/>
      <c r="F258" s="1429"/>
      <c r="G258" s="1429"/>
      <c r="H258" s="1430"/>
      <c r="I258" s="1430"/>
      <c r="J258" s="94"/>
      <c r="K258" s="94"/>
      <c r="L258" s="94"/>
      <c r="M258" s="1430"/>
      <c r="N258" s="1430"/>
      <c r="O258" s="1430"/>
      <c r="P258" s="94"/>
      <c r="Q258" s="1431"/>
      <c r="R258" s="1430"/>
      <c r="S258" s="1164"/>
      <c r="T258" s="1164"/>
      <c r="U258" s="2174"/>
      <c r="V258" s="2174"/>
      <c r="W258" s="2174"/>
      <c r="X258" s="1164"/>
    </row>
    <row r="259" ht="15.75" customHeight="1">
      <c r="A259" s="94"/>
      <c r="B259" s="94"/>
      <c r="C259" s="1164"/>
      <c r="D259" s="1429"/>
      <c r="E259" s="1429"/>
      <c r="F259" s="1429"/>
      <c r="G259" s="1429"/>
      <c r="H259" s="1430"/>
      <c r="I259" s="1430"/>
      <c r="J259" s="94"/>
      <c r="K259" s="94"/>
      <c r="L259" s="94"/>
      <c r="M259" s="1430"/>
      <c r="N259" s="1430"/>
      <c r="O259" s="1430"/>
      <c r="P259" s="94"/>
      <c r="Q259" s="1431"/>
      <c r="R259" s="1430"/>
      <c r="S259" s="1164"/>
      <c r="T259" s="1164"/>
      <c r="U259" s="2174"/>
      <c r="V259" s="2174"/>
      <c r="W259" s="2174"/>
      <c r="X259" s="1164"/>
    </row>
    <row r="260" ht="15.75" customHeight="1">
      <c r="A260" s="94"/>
      <c r="B260" s="94"/>
      <c r="C260" s="1164"/>
      <c r="D260" s="1429"/>
      <c r="E260" s="1429"/>
      <c r="F260" s="1429"/>
      <c r="G260" s="1435"/>
      <c r="H260" s="1430"/>
      <c r="I260" s="94"/>
      <c r="J260" s="1164"/>
      <c r="K260" s="94"/>
      <c r="L260" s="94"/>
      <c r="M260" s="1430"/>
      <c r="N260" s="1430"/>
      <c r="O260" s="1430"/>
      <c r="P260" s="94"/>
      <c r="Q260" s="1431"/>
      <c r="R260" s="1430"/>
      <c r="S260" s="1164"/>
      <c r="T260" s="1164"/>
      <c r="U260" s="2174"/>
      <c r="V260" s="2174"/>
      <c r="W260" s="2174"/>
      <c r="X260" s="1164"/>
    </row>
    <row r="261" ht="15.75" customHeight="1">
      <c r="A261" s="94"/>
      <c r="B261" s="94"/>
      <c r="C261" s="1164"/>
      <c r="D261" s="1429"/>
      <c r="E261" s="1429"/>
      <c r="F261" s="1429"/>
      <c r="G261" s="1429"/>
      <c r="H261" s="1430"/>
      <c r="I261" s="94"/>
      <c r="J261" s="1164"/>
      <c r="K261" s="94"/>
      <c r="L261" s="94"/>
      <c r="M261" s="1430"/>
      <c r="N261" s="1430"/>
      <c r="O261" s="1430"/>
      <c r="P261" s="94"/>
      <c r="Q261" s="1431"/>
      <c r="R261" s="1430"/>
      <c r="S261" s="1164"/>
      <c r="T261" s="1164"/>
      <c r="U261" s="2174"/>
      <c r="V261" s="2174"/>
      <c r="W261" s="2174"/>
      <c r="X261" s="1164"/>
    </row>
    <row r="262" ht="15.75" customHeight="1">
      <c r="A262" s="94"/>
      <c r="B262" s="94"/>
      <c r="C262" s="1164"/>
      <c r="D262" s="1429"/>
      <c r="E262" s="1429"/>
      <c r="F262" s="1429"/>
      <c r="G262" s="1429"/>
      <c r="H262" s="1430"/>
      <c r="I262" s="1430"/>
      <c r="J262" s="94"/>
      <c r="K262" s="94"/>
      <c r="L262" s="94"/>
      <c r="M262" s="1430"/>
      <c r="N262" s="1430"/>
      <c r="O262" s="1430"/>
      <c r="P262" s="94"/>
      <c r="Q262" s="1431"/>
      <c r="R262" s="1430"/>
      <c r="S262" s="1164"/>
      <c r="T262" s="1164"/>
      <c r="U262" s="2174"/>
      <c r="V262" s="2174"/>
      <c r="W262" s="2174"/>
      <c r="X262" s="1164"/>
    </row>
    <row r="263" ht="15.75" customHeight="1">
      <c r="A263" s="94"/>
      <c r="B263" s="94"/>
      <c r="C263" s="1164"/>
      <c r="D263" s="1429"/>
      <c r="E263" s="1429"/>
      <c r="F263" s="1429"/>
      <c r="G263" s="1429"/>
      <c r="H263" s="1430"/>
      <c r="I263" s="1430"/>
      <c r="J263" s="94"/>
      <c r="K263" s="94"/>
      <c r="L263" s="94"/>
      <c r="M263" s="1430"/>
      <c r="N263" s="1430"/>
      <c r="O263" s="1430"/>
      <c r="P263" s="94"/>
      <c r="Q263" s="1431"/>
      <c r="R263" s="1430"/>
      <c r="S263" s="1164"/>
      <c r="T263" s="1164"/>
      <c r="U263" s="2174"/>
      <c r="V263" s="2174"/>
      <c r="W263" s="2174"/>
      <c r="X263" s="1164"/>
    </row>
    <row r="264" ht="15.75" customHeight="1">
      <c r="A264" s="94"/>
      <c r="B264" s="94"/>
      <c r="C264" s="1164"/>
      <c r="D264" s="1429"/>
      <c r="E264" s="1429"/>
      <c r="F264" s="1429"/>
      <c r="G264" s="1429"/>
      <c r="H264" s="1430"/>
      <c r="I264" s="1430"/>
      <c r="J264" s="94"/>
      <c r="K264" s="94"/>
      <c r="L264" s="94"/>
      <c r="M264" s="1430"/>
      <c r="N264" s="1430"/>
      <c r="O264" s="1430"/>
      <c r="P264" s="94"/>
      <c r="Q264" s="1431"/>
      <c r="R264" s="1430"/>
      <c r="S264" s="1164"/>
      <c r="T264" s="1164"/>
      <c r="U264" s="2174"/>
      <c r="V264" s="2174"/>
      <c r="W264" s="2174"/>
      <c r="X264" s="1164"/>
    </row>
    <row r="265" ht="15.75" customHeight="1">
      <c r="A265" s="94"/>
      <c r="B265" s="94"/>
      <c r="C265" s="1164"/>
      <c r="D265" s="1429"/>
      <c r="E265" s="1429"/>
      <c r="F265" s="1429"/>
      <c r="G265" s="1429"/>
      <c r="H265" s="1430"/>
      <c r="I265" s="1430"/>
      <c r="J265" s="94"/>
      <c r="K265" s="94"/>
      <c r="L265" s="94"/>
      <c r="M265" s="1430"/>
      <c r="N265" s="1430"/>
      <c r="O265" s="1430"/>
      <c r="P265" s="94"/>
      <c r="Q265" s="1431"/>
      <c r="R265" s="1430"/>
      <c r="S265" s="1164"/>
      <c r="T265" s="1164"/>
      <c r="U265" s="2174"/>
      <c r="V265" s="2174"/>
      <c r="W265" s="2174"/>
      <c r="X265" s="1164"/>
    </row>
    <row r="266" ht="15.75" customHeight="1">
      <c r="A266" s="94"/>
      <c r="B266" s="94"/>
      <c r="C266" s="1164"/>
      <c r="D266" s="1429"/>
      <c r="E266" s="1429"/>
      <c r="F266" s="1429"/>
      <c r="G266" s="1429"/>
      <c r="H266" s="1430"/>
      <c r="I266" s="94"/>
      <c r="J266" s="1164"/>
      <c r="K266" s="94"/>
      <c r="L266" s="94"/>
      <c r="M266" s="1430"/>
      <c r="N266" s="1430"/>
      <c r="O266" s="1430"/>
      <c r="P266" s="94"/>
      <c r="Q266" s="1431"/>
      <c r="R266" s="1430"/>
      <c r="S266" s="1164"/>
      <c r="T266" s="1164"/>
      <c r="U266" s="2174"/>
      <c r="V266" s="2174"/>
      <c r="W266" s="2174"/>
      <c r="X266" s="1164"/>
    </row>
    <row r="267" ht="15.75" customHeight="1">
      <c r="A267" s="94"/>
      <c r="B267" s="94"/>
      <c r="C267" s="1164"/>
      <c r="D267" s="1429"/>
      <c r="E267" s="1429"/>
      <c r="F267" s="1429"/>
      <c r="G267" s="1429"/>
      <c r="H267" s="1430"/>
      <c r="I267" s="1430"/>
      <c r="J267" s="94"/>
      <c r="K267" s="94"/>
      <c r="L267" s="94"/>
      <c r="M267" s="1430"/>
      <c r="N267" s="1430"/>
      <c r="O267" s="1430"/>
      <c r="P267" s="94"/>
      <c r="Q267" s="1431"/>
      <c r="R267" s="1430"/>
      <c r="S267" s="1164"/>
      <c r="T267" s="1164"/>
      <c r="U267" s="2174"/>
      <c r="V267" s="2174"/>
      <c r="W267" s="2174"/>
      <c r="X267" s="1164"/>
    </row>
    <row r="268" ht="15.75" customHeight="1">
      <c r="A268" s="94"/>
      <c r="B268" s="94"/>
      <c r="C268" s="1164"/>
      <c r="D268" s="1429"/>
      <c r="E268" s="1429"/>
      <c r="F268" s="1429"/>
      <c r="G268" s="1429"/>
      <c r="H268" s="1430"/>
      <c r="I268" s="1430"/>
      <c r="J268" s="94"/>
      <c r="K268" s="94"/>
      <c r="L268" s="94"/>
      <c r="M268" s="94"/>
      <c r="N268" s="94"/>
      <c r="O268" s="94"/>
      <c r="P268" s="94"/>
      <c r="Q268" s="1431"/>
      <c r="R268" s="1430"/>
      <c r="S268" s="1164"/>
      <c r="T268" s="1164"/>
      <c r="U268" s="2174"/>
      <c r="V268" s="94"/>
      <c r="W268" s="94"/>
      <c r="X268" s="1164"/>
    </row>
    <row r="269" ht="15.75" customHeight="1">
      <c r="A269" s="94"/>
      <c r="B269" s="94"/>
      <c r="C269" s="1164"/>
      <c r="D269" s="1429"/>
      <c r="E269" s="1429"/>
      <c r="F269" s="1429"/>
      <c r="G269" s="1429"/>
      <c r="H269" s="1430"/>
      <c r="I269" s="1430"/>
      <c r="J269" s="94"/>
      <c r="K269" s="94"/>
      <c r="L269" s="94"/>
      <c r="M269" s="1430"/>
      <c r="N269" s="1430"/>
      <c r="O269" s="1430"/>
      <c r="P269" s="94"/>
      <c r="Q269" s="1431"/>
      <c r="R269" s="1430"/>
      <c r="S269" s="1164"/>
      <c r="T269" s="1164"/>
      <c r="U269" s="2174"/>
      <c r="V269" s="2174"/>
      <c r="W269" s="2174"/>
      <c r="X269" s="1164"/>
    </row>
    <row r="270" ht="15.75" customHeight="1">
      <c r="A270" s="94"/>
      <c r="B270" s="94"/>
      <c r="C270" s="1164"/>
      <c r="D270" s="1429"/>
      <c r="E270" s="1429"/>
      <c r="F270" s="1429"/>
      <c r="G270" s="1429"/>
      <c r="H270" s="1430"/>
      <c r="I270" s="1430"/>
      <c r="J270" s="94"/>
      <c r="K270" s="94"/>
      <c r="L270" s="94"/>
      <c r="M270" s="1430"/>
      <c r="N270" s="1430"/>
      <c r="O270" s="1430"/>
      <c r="P270" s="94"/>
      <c r="Q270" s="1431"/>
      <c r="R270" s="1430"/>
      <c r="S270" s="1164"/>
      <c r="T270" s="1164"/>
      <c r="U270" s="2174"/>
      <c r="V270" s="2174"/>
      <c r="W270" s="2174"/>
      <c r="X270" s="1164"/>
    </row>
    <row r="271" ht="15.75" customHeight="1">
      <c r="A271" s="94"/>
      <c r="B271" s="94"/>
      <c r="C271" s="1164"/>
      <c r="D271" s="1429"/>
      <c r="E271" s="1429"/>
      <c r="F271" s="1429"/>
      <c r="G271" s="1429"/>
      <c r="H271" s="1430"/>
      <c r="I271" s="1430"/>
      <c r="J271" s="94"/>
      <c r="K271" s="94"/>
      <c r="L271" s="94"/>
      <c r="M271" s="1430"/>
      <c r="N271" s="1430"/>
      <c r="O271" s="1430"/>
      <c r="P271" s="94"/>
      <c r="Q271" s="1431"/>
      <c r="R271" s="1430"/>
      <c r="S271" s="1164"/>
      <c r="T271" s="1164"/>
      <c r="U271" s="2174"/>
      <c r="V271" s="2174"/>
      <c r="W271" s="2174"/>
      <c r="X271" s="1164"/>
    </row>
    <row r="272" ht="15.75" customHeight="1">
      <c r="A272" s="94"/>
      <c r="B272" s="94"/>
      <c r="C272" s="1164"/>
      <c r="D272" s="1429"/>
      <c r="E272" s="1429"/>
      <c r="F272" s="1429"/>
      <c r="G272" s="1429"/>
      <c r="H272" s="1430"/>
      <c r="I272" s="1430"/>
      <c r="J272" s="94"/>
      <c r="K272" s="94"/>
      <c r="L272" s="94"/>
      <c r="M272" s="1430"/>
      <c r="N272" s="1430"/>
      <c r="O272" s="1430"/>
      <c r="P272" s="94"/>
      <c r="Q272" s="1431"/>
      <c r="R272" s="1430"/>
      <c r="S272" s="1164"/>
      <c r="T272" s="1164"/>
      <c r="U272" s="2174"/>
      <c r="V272" s="2174"/>
      <c r="W272" s="2174"/>
      <c r="X272" s="1164"/>
    </row>
    <row r="273" ht="15.75" customHeight="1">
      <c r="A273" s="94"/>
      <c r="B273" s="94"/>
      <c r="C273" s="1164"/>
      <c r="D273" s="1429"/>
      <c r="E273" s="1429"/>
      <c r="F273" s="1429"/>
      <c r="G273" s="1429"/>
      <c r="H273" s="1430"/>
      <c r="I273" s="1430"/>
      <c r="J273" s="94"/>
      <c r="K273" s="94"/>
      <c r="L273" s="94"/>
      <c r="M273" s="1430"/>
      <c r="N273" s="1430"/>
      <c r="O273" s="1430"/>
      <c r="P273" s="94"/>
      <c r="Q273" s="1431"/>
      <c r="R273" s="1430"/>
      <c r="S273" s="1164"/>
      <c r="T273" s="1164"/>
      <c r="U273" s="2174"/>
      <c r="V273" s="2174"/>
      <c r="W273" s="2174"/>
      <c r="X273" s="1164"/>
    </row>
    <row r="274" ht="15.75" customHeight="1">
      <c r="A274" s="94"/>
      <c r="B274" s="94"/>
      <c r="C274" s="1164"/>
      <c r="D274" s="1429"/>
      <c r="E274" s="1429"/>
      <c r="F274" s="1429"/>
      <c r="G274" s="1429"/>
      <c r="H274" s="1430"/>
      <c r="I274" s="1430"/>
      <c r="J274" s="94"/>
      <c r="K274" s="94"/>
      <c r="L274" s="94"/>
      <c r="M274" s="1430"/>
      <c r="N274" s="1430"/>
      <c r="O274" s="1430"/>
      <c r="P274" s="94"/>
      <c r="Q274" s="1431"/>
      <c r="R274" s="1430"/>
      <c r="S274" s="1164"/>
      <c r="T274" s="1164"/>
      <c r="U274" s="2174"/>
      <c r="V274" s="2174"/>
      <c r="W274" s="2174"/>
      <c r="X274" s="1164"/>
    </row>
    <row r="275" ht="15.75" customHeight="1">
      <c r="A275" s="94"/>
      <c r="B275" s="94"/>
      <c r="C275" s="1164"/>
      <c r="D275" s="1429"/>
      <c r="E275" s="1429"/>
      <c r="F275" s="1429"/>
      <c r="G275" s="1429"/>
      <c r="H275" s="1430"/>
      <c r="I275" s="1430"/>
      <c r="J275" s="94"/>
      <c r="K275" s="94"/>
      <c r="L275" s="94"/>
      <c r="M275" s="1430"/>
      <c r="N275" s="1430"/>
      <c r="O275" s="1430"/>
      <c r="P275" s="94"/>
      <c r="Q275" s="1431"/>
      <c r="R275" s="1430"/>
      <c r="S275" s="1164"/>
      <c r="T275" s="1164"/>
      <c r="U275" s="2174"/>
      <c r="V275" s="2174"/>
      <c r="W275" s="2174"/>
      <c r="X275" s="1164"/>
    </row>
    <row r="276" ht="15.75" customHeight="1">
      <c r="A276" s="94"/>
      <c r="B276" s="94"/>
      <c r="C276" s="1164"/>
      <c r="D276" s="1429"/>
      <c r="E276" s="1429"/>
      <c r="F276" s="1429"/>
      <c r="G276" s="1429"/>
      <c r="H276" s="1430"/>
      <c r="I276" s="1430"/>
      <c r="J276" s="94"/>
      <c r="K276" s="94"/>
      <c r="L276" s="94"/>
      <c r="M276" s="94"/>
      <c r="N276" s="94"/>
      <c r="O276" s="94"/>
      <c r="P276" s="94"/>
      <c r="Q276" s="1431"/>
      <c r="R276" s="1430"/>
      <c r="S276" s="1164"/>
      <c r="T276" s="1164"/>
      <c r="U276" s="2174"/>
      <c r="V276" s="94"/>
      <c r="W276" s="94"/>
      <c r="X276" s="1164"/>
    </row>
    <row r="277" ht="15.75" customHeight="1">
      <c r="A277" s="94"/>
      <c r="B277" s="94"/>
      <c r="C277" s="1164"/>
      <c r="D277" s="1429"/>
      <c r="E277" s="1429"/>
      <c r="F277" s="1429"/>
      <c r="G277" s="1429"/>
      <c r="H277" s="1430"/>
      <c r="I277" s="1430"/>
      <c r="J277" s="94"/>
      <c r="K277" s="94"/>
      <c r="L277" s="94"/>
      <c r="M277" s="94"/>
      <c r="N277" s="94"/>
      <c r="O277" s="94"/>
      <c r="P277" s="94"/>
      <c r="Q277" s="1431"/>
      <c r="R277" s="1430"/>
      <c r="S277" s="1164"/>
      <c r="T277" s="1164"/>
      <c r="U277" s="2174"/>
      <c r="V277" s="94"/>
      <c r="W277" s="94"/>
      <c r="X277" s="1164"/>
    </row>
    <row r="278" ht="15.75" customHeight="1">
      <c r="A278" s="94"/>
      <c r="B278" s="94"/>
      <c r="C278" s="1164"/>
      <c r="D278" s="1429"/>
      <c r="E278" s="1429"/>
      <c r="F278" s="1429"/>
      <c r="G278" s="1429"/>
      <c r="H278" s="1430"/>
      <c r="I278" s="1430"/>
      <c r="J278" s="94"/>
      <c r="K278" s="94"/>
      <c r="L278" s="94"/>
      <c r="M278" s="1430"/>
      <c r="N278" s="1430"/>
      <c r="O278" s="1430"/>
      <c r="P278" s="94"/>
      <c r="Q278" s="1431"/>
      <c r="R278" s="1430"/>
      <c r="S278" s="1164"/>
      <c r="T278" s="1164"/>
      <c r="U278" s="2174"/>
      <c r="V278" s="2174"/>
      <c r="W278" s="2174"/>
      <c r="X278" s="1164"/>
    </row>
    <row r="279" ht="15.75" customHeight="1">
      <c r="A279" s="94"/>
      <c r="B279" s="94"/>
      <c r="C279" s="1164"/>
      <c r="D279" s="1429"/>
      <c r="E279" s="1429"/>
      <c r="F279" s="1429"/>
      <c r="G279" s="1429"/>
      <c r="H279" s="1430"/>
      <c r="I279" s="1430"/>
      <c r="J279" s="94"/>
      <c r="K279" s="94"/>
      <c r="L279" s="94"/>
      <c r="M279" s="1430"/>
      <c r="N279" s="1430"/>
      <c r="O279" s="1430"/>
      <c r="P279" s="94"/>
      <c r="Q279" s="1431"/>
      <c r="R279" s="1430"/>
      <c r="S279" s="1164"/>
      <c r="T279" s="1164"/>
      <c r="U279" s="2174"/>
      <c r="V279" s="2174"/>
      <c r="W279" s="2174"/>
      <c r="X279" s="1164"/>
    </row>
    <row r="280" ht="15.75" customHeight="1">
      <c r="A280" s="94"/>
      <c r="B280" s="94"/>
      <c r="C280" s="1164"/>
      <c r="D280" s="1429"/>
      <c r="E280" s="1429"/>
      <c r="F280" s="1429"/>
      <c r="G280" s="1429"/>
      <c r="H280" s="1430"/>
      <c r="I280" s="94"/>
      <c r="J280" s="1164"/>
      <c r="K280" s="94"/>
      <c r="L280" s="94"/>
      <c r="M280" s="1430"/>
      <c r="N280" s="1430"/>
      <c r="O280" s="1430"/>
      <c r="P280" s="94"/>
      <c r="Q280" s="1431"/>
      <c r="R280" s="1430"/>
      <c r="S280" s="1164"/>
      <c r="T280" s="1164"/>
      <c r="U280" s="2174"/>
      <c r="V280" s="2174"/>
      <c r="W280" s="2174"/>
      <c r="X280" s="1164"/>
    </row>
    <row r="281" ht="15.75" customHeight="1">
      <c r="A281" s="94"/>
      <c r="B281" s="94"/>
      <c r="C281" s="1164"/>
      <c r="D281" s="1429"/>
      <c r="E281" s="1429"/>
      <c r="F281" s="1429"/>
      <c r="G281" s="1429"/>
      <c r="H281" s="1430"/>
      <c r="I281" s="1430"/>
      <c r="J281" s="94"/>
      <c r="K281" s="94"/>
      <c r="L281" s="94"/>
      <c r="M281" s="1430"/>
      <c r="N281" s="1430"/>
      <c r="O281" s="1430"/>
      <c r="P281" s="94"/>
      <c r="Q281" s="1431"/>
      <c r="R281" s="1430"/>
      <c r="S281" s="1164"/>
      <c r="T281" s="1164"/>
      <c r="U281" s="2174"/>
      <c r="V281" s="2174"/>
      <c r="W281" s="2174"/>
      <c r="X281" s="1164"/>
    </row>
    <row r="282" ht="15.75" customHeight="1">
      <c r="A282" s="94"/>
      <c r="B282" s="94"/>
      <c r="C282" s="1164"/>
      <c r="D282" s="1429"/>
      <c r="E282" s="1429"/>
      <c r="F282" s="1429"/>
      <c r="G282" s="1429"/>
      <c r="H282" s="1430"/>
      <c r="I282" s="94"/>
      <c r="J282" s="1164"/>
      <c r="K282" s="94"/>
      <c r="L282" s="94"/>
      <c r="M282" s="1430"/>
      <c r="N282" s="1430"/>
      <c r="O282" s="1430"/>
      <c r="P282" s="94"/>
      <c r="Q282" s="1431"/>
      <c r="R282" s="1430"/>
      <c r="S282" s="1164"/>
      <c r="T282" s="1164"/>
      <c r="U282" s="2174"/>
      <c r="V282" s="2174"/>
      <c r="W282" s="2174"/>
      <c r="X282" s="1164"/>
    </row>
    <row r="283" ht="15.75" customHeight="1">
      <c r="A283" s="94"/>
      <c r="B283" s="94"/>
      <c r="C283" s="94"/>
      <c r="D283" s="94"/>
      <c r="E283" s="94"/>
      <c r="F283" s="94"/>
      <c r="G283" s="94"/>
      <c r="H283" s="1164"/>
      <c r="I283" s="1164"/>
      <c r="J283" s="1164"/>
      <c r="K283" s="1430"/>
      <c r="L283" s="1430"/>
      <c r="M283" s="1430"/>
      <c r="N283" s="1430"/>
      <c r="O283" s="1430"/>
      <c r="P283" s="1430"/>
      <c r="Q283" s="1430"/>
      <c r="R283" s="1430"/>
      <c r="S283" s="94"/>
      <c r="T283" s="1164"/>
      <c r="U283" s="94"/>
      <c r="V283" s="94"/>
      <c r="W283" s="94"/>
      <c r="X283" s="1430"/>
    </row>
    <row r="284" ht="15.75" customHeight="1">
      <c r="A284" s="94"/>
      <c r="B284" s="94"/>
      <c r="C284" s="1164"/>
      <c r="D284" s="1429"/>
      <c r="E284" s="1429"/>
      <c r="F284" s="1429"/>
      <c r="G284" s="1429"/>
      <c r="H284" s="1430"/>
      <c r="I284" s="1430"/>
      <c r="J284" s="94"/>
      <c r="K284" s="94"/>
      <c r="L284" s="94"/>
      <c r="M284" s="1430"/>
      <c r="N284" s="1430"/>
      <c r="O284" s="1430"/>
      <c r="P284" s="94"/>
      <c r="Q284" s="1431"/>
      <c r="R284" s="1430"/>
      <c r="S284" s="1164"/>
      <c r="T284" s="1164"/>
      <c r="U284" s="2174"/>
      <c r="V284" s="2174"/>
      <c r="W284" s="2174"/>
      <c r="X284" s="1164"/>
    </row>
    <row r="285" ht="15.75" customHeight="1">
      <c r="A285" s="94"/>
      <c r="B285" s="94"/>
      <c r="C285" s="1164"/>
      <c r="D285" s="1429"/>
      <c r="E285" s="1429"/>
      <c r="F285" s="1429"/>
      <c r="G285" s="1429"/>
      <c r="H285" s="1430"/>
      <c r="I285" s="1430"/>
      <c r="J285" s="94"/>
      <c r="K285" s="94"/>
      <c r="L285" s="94"/>
      <c r="M285" s="1430"/>
      <c r="N285" s="1430"/>
      <c r="O285" s="1430"/>
      <c r="P285" s="94"/>
      <c r="Q285" s="1431"/>
      <c r="R285" s="1430"/>
      <c r="S285" s="1164"/>
      <c r="T285" s="1164"/>
      <c r="U285" s="2174"/>
      <c r="V285" s="2174"/>
      <c r="W285" s="2174"/>
      <c r="X285" s="1164"/>
    </row>
    <row r="286" ht="15.75" customHeight="1">
      <c r="A286" s="94"/>
      <c r="B286" s="94"/>
      <c r="C286" s="1164"/>
      <c r="D286" s="1429"/>
      <c r="E286" s="1429"/>
      <c r="F286" s="1429"/>
      <c r="G286" s="1429"/>
      <c r="H286" s="1430"/>
      <c r="I286" s="1430"/>
      <c r="J286" s="94"/>
      <c r="K286" s="94"/>
      <c r="L286" s="94"/>
      <c r="M286" s="1430"/>
      <c r="N286" s="1430"/>
      <c r="O286" s="1430"/>
      <c r="P286" s="94"/>
      <c r="Q286" s="1431"/>
      <c r="R286" s="1430"/>
      <c r="S286" s="1164"/>
      <c r="T286" s="1164"/>
      <c r="U286" s="2174"/>
      <c r="V286" s="94"/>
      <c r="W286" s="94"/>
      <c r="X286" s="1164"/>
    </row>
    <row r="287" ht="15.75" customHeight="1">
      <c r="A287" s="94"/>
      <c r="B287" s="94"/>
      <c r="C287" s="1164"/>
      <c r="D287" s="1429"/>
      <c r="E287" s="1429"/>
      <c r="F287" s="1429"/>
      <c r="G287" s="1429"/>
      <c r="H287" s="1430"/>
      <c r="I287" s="1430"/>
      <c r="J287" s="94"/>
      <c r="K287" s="94"/>
      <c r="L287" s="94"/>
      <c r="M287" s="1430"/>
      <c r="N287" s="1430"/>
      <c r="O287" s="1430"/>
      <c r="P287" s="94"/>
      <c r="Q287" s="1431"/>
      <c r="R287" s="1430"/>
      <c r="S287" s="1164"/>
      <c r="T287" s="1164"/>
      <c r="U287" s="2174"/>
      <c r="V287" s="94"/>
      <c r="W287" s="94"/>
      <c r="X287" s="1164"/>
    </row>
    <row r="288" ht="15.75" customHeight="1">
      <c r="A288" s="94"/>
      <c r="B288" s="94"/>
      <c r="C288" s="1164"/>
      <c r="D288" s="1429"/>
      <c r="E288" s="1429"/>
      <c r="F288" s="1429"/>
      <c r="G288" s="1429"/>
      <c r="H288" s="1430"/>
      <c r="I288" s="1430"/>
      <c r="J288" s="94"/>
      <c r="K288" s="94"/>
      <c r="L288" s="94"/>
      <c r="M288" s="1430"/>
      <c r="N288" s="1430"/>
      <c r="O288" s="1430"/>
      <c r="P288" s="94"/>
      <c r="Q288" s="1431"/>
      <c r="R288" s="1430"/>
      <c r="S288" s="1164"/>
      <c r="T288" s="1164"/>
      <c r="U288" s="2174"/>
      <c r="V288" s="94"/>
      <c r="W288" s="94"/>
      <c r="X288" s="1164"/>
    </row>
    <row r="289" ht="15.75" customHeight="1">
      <c r="A289" s="94"/>
      <c r="B289" s="94"/>
      <c r="C289" s="1164"/>
      <c r="D289" s="1429"/>
      <c r="E289" s="1429"/>
      <c r="F289" s="1429"/>
      <c r="G289" s="1429"/>
      <c r="H289" s="1430"/>
      <c r="I289" s="1430"/>
      <c r="J289" s="94"/>
      <c r="K289" s="94"/>
      <c r="L289" s="94"/>
      <c r="M289" s="1430"/>
      <c r="N289" s="1430"/>
      <c r="O289" s="1430"/>
      <c r="P289" s="94"/>
      <c r="Q289" s="1431"/>
      <c r="R289" s="1430"/>
      <c r="S289" s="1164"/>
      <c r="T289" s="1164"/>
      <c r="U289" s="2174"/>
      <c r="V289" s="2174"/>
      <c r="W289" s="2174"/>
      <c r="X289" s="1164"/>
    </row>
    <row r="290" ht="15.75" customHeight="1">
      <c r="A290" s="94"/>
      <c r="B290" s="94"/>
      <c r="C290" s="1164"/>
      <c r="D290" s="1429"/>
      <c r="E290" s="1429"/>
      <c r="F290" s="1429"/>
      <c r="G290" s="1429"/>
      <c r="H290" s="1430"/>
      <c r="I290" s="1430"/>
      <c r="J290" s="94"/>
      <c r="K290" s="94"/>
      <c r="L290" s="94"/>
      <c r="M290" s="1430"/>
      <c r="N290" s="1430"/>
      <c r="O290" s="1430"/>
      <c r="P290" s="94"/>
      <c r="Q290" s="1431"/>
      <c r="R290" s="1430"/>
      <c r="S290" s="1164"/>
      <c r="T290" s="1164"/>
      <c r="U290" s="2174"/>
      <c r="V290" s="2174"/>
      <c r="W290" s="2174"/>
      <c r="X290" s="1164"/>
    </row>
    <row r="291" ht="15.75" customHeight="1">
      <c r="A291" s="94"/>
      <c r="B291" s="94"/>
      <c r="C291" s="1164"/>
      <c r="D291" s="1429"/>
      <c r="E291" s="1429"/>
      <c r="F291" s="1429"/>
      <c r="G291" s="1429"/>
      <c r="H291" s="1430"/>
      <c r="I291" s="94"/>
      <c r="J291" s="1164"/>
      <c r="K291" s="94"/>
      <c r="L291" s="94"/>
      <c r="M291" s="1430"/>
      <c r="N291" s="1430"/>
      <c r="O291" s="1430"/>
      <c r="P291" s="94"/>
      <c r="Q291" s="1431"/>
      <c r="R291" s="1430"/>
      <c r="S291" s="1164"/>
      <c r="T291" s="1164"/>
      <c r="U291" s="2174"/>
      <c r="V291" s="2174"/>
      <c r="W291" s="94"/>
      <c r="X291" s="1164"/>
    </row>
    <row r="292" ht="15.75" customHeight="1">
      <c r="A292" s="94"/>
      <c r="B292" s="94"/>
      <c r="C292" s="1164"/>
      <c r="D292" s="1429"/>
      <c r="E292" s="1429"/>
      <c r="F292" s="1429"/>
      <c r="G292" s="1429"/>
      <c r="H292" s="1430"/>
      <c r="I292" s="1430"/>
      <c r="J292" s="94"/>
      <c r="K292" s="94"/>
      <c r="L292" s="94"/>
      <c r="M292" s="1430"/>
      <c r="N292" s="1430"/>
      <c r="O292" s="1430"/>
      <c r="P292" s="94"/>
      <c r="Q292" s="1431"/>
      <c r="R292" s="1430"/>
      <c r="S292" s="1164"/>
      <c r="T292" s="1164"/>
      <c r="U292" s="2174"/>
      <c r="V292" s="2174"/>
      <c r="W292" s="2174"/>
      <c r="X292" s="1164"/>
    </row>
    <row r="293" ht="15.75" customHeight="1">
      <c r="A293" s="94"/>
      <c r="B293" s="94"/>
      <c r="C293" s="1164"/>
      <c r="D293" s="1429"/>
      <c r="E293" s="1429"/>
      <c r="F293" s="1429"/>
      <c r="G293" s="1429"/>
      <c r="H293" s="1430"/>
      <c r="I293" s="1430"/>
      <c r="J293" s="94"/>
      <c r="K293" s="94"/>
      <c r="L293" s="94"/>
      <c r="M293" s="94"/>
      <c r="N293" s="94"/>
      <c r="O293" s="94"/>
      <c r="P293" s="94"/>
      <c r="Q293" s="1431"/>
      <c r="R293" s="1430"/>
      <c r="S293" s="1164"/>
      <c r="T293" s="1164"/>
      <c r="U293" s="2174"/>
      <c r="V293" s="94"/>
      <c r="W293" s="94"/>
      <c r="X293" s="1164"/>
    </row>
    <row r="294" ht="15.75" customHeight="1">
      <c r="A294" s="94"/>
      <c r="B294" s="94"/>
      <c r="C294" s="1164"/>
      <c r="D294" s="1429"/>
      <c r="E294" s="1429"/>
      <c r="F294" s="1429"/>
      <c r="G294" s="1429"/>
      <c r="H294" s="1430"/>
      <c r="I294" s="1430"/>
      <c r="J294" s="94"/>
      <c r="K294" s="94"/>
      <c r="L294" s="94"/>
      <c r="M294" s="94"/>
      <c r="N294" s="94"/>
      <c r="O294" s="94"/>
      <c r="P294" s="94"/>
      <c r="Q294" s="1431"/>
      <c r="R294" s="1430"/>
      <c r="S294" s="1164"/>
      <c r="T294" s="1164"/>
      <c r="U294" s="2174"/>
      <c r="V294" s="94"/>
      <c r="W294" s="94"/>
      <c r="X294" s="1164"/>
    </row>
    <row r="295" ht="15.75" customHeight="1">
      <c r="A295" s="94"/>
      <c r="B295" s="94"/>
      <c r="C295" s="1164"/>
      <c r="D295" s="1429"/>
      <c r="E295" s="1429"/>
      <c r="F295" s="1429"/>
      <c r="G295" s="1429"/>
      <c r="H295" s="1430"/>
      <c r="I295" s="1430"/>
      <c r="J295" s="94"/>
      <c r="K295" s="94"/>
      <c r="L295" s="94"/>
      <c r="M295" s="1430"/>
      <c r="N295" s="1430"/>
      <c r="O295" s="1430"/>
      <c r="P295" s="94"/>
      <c r="Q295" s="1431"/>
      <c r="R295" s="1430"/>
      <c r="S295" s="1164"/>
      <c r="T295" s="1164"/>
      <c r="U295" s="2174"/>
      <c r="V295" s="2174"/>
      <c r="W295" s="2174"/>
      <c r="X295" s="1164"/>
    </row>
    <row r="296" ht="15.75" customHeight="1">
      <c r="A296" s="94"/>
      <c r="B296" s="94"/>
      <c r="C296" s="1164"/>
      <c r="D296" s="1429"/>
      <c r="E296" s="1429"/>
      <c r="F296" s="1429"/>
      <c r="G296" s="1429"/>
      <c r="H296" s="1430"/>
      <c r="I296" s="1430"/>
      <c r="J296" s="94"/>
      <c r="K296" s="94"/>
      <c r="L296" s="94"/>
      <c r="M296" s="1430"/>
      <c r="N296" s="1430"/>
      <c r="O296" s="1430"/>
      <c r="P296" s="94"/>
      <c r="Q296" s="1431"/>
      <c r="R296" s="1430"/>
      <c r="S296" s="1164"/>
      <c r="T296" s="1164"/>
      <c r="U296" s="2174"/>
      <c r="V296" s="2174"/>
      <c r="W296" s="2174"/>
      <c r="X296" s="1164"/>
    </row>
    <row r="297" ht="15.75" customHeight="1">
      <c r="A297" s="94"/>
      <c r="B297" s="94"/>
      <c r="C297" s="1164"/>
      <c r="D297" s="1429"/>
      <c r="E297" s="1429"/>
      <c r="F297" s="1429"/>
      <c r="G297" s="1429"/>
      <c r="H297" s="1430"/>
      <c r="I297" s="1430"/>
      <c r="J297" s="94"/>
      <c r="K297" s="94"/>
      <c r="L297" s="94"/>
      <c r="M297" s="1430"/>
      <c r="N297" s="1430"/>
      <c r="O297" s="1430"/>
      <c r="P297" s="94"/>
      <c r="Q297" s="1431"/>
      <c r="R297" s="1430"/>
      <c r="S297" s="1164"/>
      <c r="T297" s="1164"/>
      <c r="U297" s="2174"/>
      <c r="V297" s="2174"/>
      <c r="W297" s="2174"/>
      <c r="X297" s="1164"/>
    </row>
    <row r="298" ht="15.75" customHeight="1">
      <c r="A298" s="94"/>
      <c r="B298" s="94"/>
      <c r="C298" s="1164"/>
      <c r="D298" s="1429"/>
      <c r="E298" s="1429"/>
      <c r="F298" s="1429"/>
      <c r="G298" s="1429"/>
      <c r="H298" s="1430"/>
      <c r="I298" s="94"/>
      <c r="J298" s="1164"/>
      <c r="K298" s="94"/>
      <c r="L298" s="94"/>
      <c r="M298" s="1430"/>
      <c r="N298" s="1430"/>
      <c r="O298" s="1430"/>
      <c r="P298" s="94"/>
      <c r="Q298" s="1431"/>
      <c r="R298" s="1430"/>
      <c r="S298" s="1164"/>
      <c r="T298" s="1164"/>
      <c r="U298" s="2174"/>
      <c r="V298" s="2174"/>
      <c r="W298" s="94"/>
      <c r="X298" s="1164"/>
    </row>
    <row r="299" ht="15.75" customHeight="1">
      <c r="A299" s="94"/>
      <c r="B299" s="94"/>
      <c r="C299" s="1164"/>
      <c r="D299" s="1429"/>
      <c r="E299" s="1429"/>
      <c r="F299" s="1429"/>
      <c r="G299" s="1429"/>
      <c r="H299" s="1430"/>
      <c r="I299" s="1430"/>
      <c r="J299" s="94"/>
      <c r="K299" s="94"/>
      <c r="L299" s="94"/>
      <c r="M299" s="1430"/>
      <c r="N299" s="1430"/>
      <c r="O299" s="1430"/>
      <c r="P299" s="94"/>
      <c r="Q299" s="1431"/>
      <c r="R299" s="1430"/>
      <c r="S299" s="1164"/>
      <c r="T299" s="1164"/>
      <c r="U299" s="2174"/>
      <c r="V299" s="2174"/>
      <c r="W299" s="2174"/>
      <c r="X299" s="1164"/>
    </row>
    <row r="300" ht="15.75" customHeight="1">
      <c r="A300" s="94"/>
      <c r="B300" s="94"/>
      <c r="C300" s="1164"/>
      <c r="D300" s="1429"/>
      <c r="E300" s="1429"/>
      <c r="F300" s="1429"/>
      <c r="G300" s="1429"/>
      <c r="H300" s="1430"/>
      <c r="I300" s="94"/>
      <c r="J300" s="1164"/>
      <c r="K300" s="94"/>
      <c r="L300" s="94"/>
      <c r="M300" s="1430"/>
      <c r="N300" s="1430"/>
      <c r="O300" s="1430"/>
      <c r="P300" s="94"/>
      <c r="Q300" s="1431"/>
      <c r="R300" s="1430"/>
      <c r="S300" s="1164"/>
      <c r="T300" s="1164"/>
      <c r="U300" s="2174"/>
      <c r="V300" s="2174"/>
      <c r="W300" s="94"/>
      <c r="X300" s="1164"/>
    </row>
    <row r="301" ht="15.75" customHeight="1">
      <c r="A301" s="94"/>
      <c r="B301" s="94"/>
      <c r="C301" s="1164"/>
      <c r="D301" s="1429"/>
      <c r="E301" s="1429"/>
      <c r="F301" s="1429"/>
      <c r="G301" s="1436"/>
      <c r="H301" s="1430"/>
      <c r="I301" s="94"/>
      <c r="J301" s="1164"/>
      <c r="K301" s="94"/>
      <c r="L301" s="94"/>
      <c r="M301" s="1430"/>
      <c r="N301" s="1430"/>
      <c r="O301" s="1430"/>
      <c r="P301" s="94"/>
      <c r="Q301" s="1431"/>
      <c r="R301" s="1430"/>
      <c r="S301" s="1164"/>
      <c r="T301" s="1164"/>
      <c r="U301" s="2174"/>
      <c r="V301" s="94"/>
      <c r="W301" s="94"/>
      <c r="X301" s="1164"/>
    </row>
    <row r="302" ht="15.75" customHeight="1">
      <c r="A302" s="94"/>
      <c r="B302" s="94"/>
      <c r="C302" s="1164"/>
      <c r="D302" s="1429"/>
      <c r="E302" s="1429"/>
      <c r="F302" s="1429"/>
      <c r="G302" s="1436"/>
      <c r="H302" s="1430"/>
      <c r="I302" s="1430"/>
      <c r="J302" s="94"/>
      <c r="K302" s="94"/>
      <c r="L302" s="94"/>
      <c r="M302" s="1430"/>
      <c r="N302" s="1430"/>
      <c r="O302" s="1430"/>
      <c r="P302" s="94"/>
      <c r="Q302" s="1431"/>
      <c r="R302" s="1430"/>
      <c r="S302" s="1164"/>
      <c r="T302" s="1164"/>
      <c r="U302" s="2174"/>
      <c r="V302" s="2174"/>
      <c r="W302" s="2174"/>
      <c r="X302" s="1164"/>
    </row>
    <row r="303" ht="15.75" customHeight="1">
      <c r="A303" s="94"/>
      <c r="B303" s="94"/>
      <c r="C303" s="1164"/>
      <c r="D303" s="1429"/>
      <c r="E303" s="1429"/>
      <c r="F303" s="1429"/>
      <c r="G303" s="1436"/>
      <c r="H303" s="1430"/>
      <c r="I303" s="1430"/>
      <c r="J303" s="94"/>
      <c r="K303" s="94"/>
      <c r="L303" s="94"/>
      <c r="M303" s="1430"/>
      <c r="N303" s="1430"/>
      <c r="O303" s="1430"/>
      <c r="P303" s="94"/>
      <c r="Q303" s="1431"/>
      <c r="R303" s="1430"/>
      <c r="S303" s="1164"/>
      <c r="T303" s="1164"/>
      <c r="U303" s="2174"/>
      <c r="V303" s="2174"/>
      <c r="W303" s="2174"/>
      <c r="X303" s="1164"/>
    </row>
    <row r="304" ht="15.75" customHeight="1">
      <c r="A304" s="94"/>
      <c r="B304" s="94"/>
      <c r="C304" s="1164"/>
      <c r="D304" s="1429"/>
      <c r="E304" s="1429"/>
      <c r="F304" s="1429"/>
      <c r="G304" s="1436"/>
      <c r="H304" s="1430"/>
      <c r="I304" s="1430"/>
      <c r="J304" s="94"/>
      <c r="K304" s="94"/>
      <c r="L304" s="94"/>
      <c r="M304" s="1430"/>
      <c r="N304" s="1430"/>
      <c r="O304" s="1430"/>
      <c r="P304" s="94"/>
      <c r="Q304" s="1431"/>
      <c r="R304" s="1430"/>
      <c r="S304" s="1164"/>
      <c r="T304" s="1164"/>
      <c r="U304" s="2174"/>
      <c r="V304" s="2174"/>
      <c r="W304" s="2174"/>
      <c r="X304" s="1164"/>
    </row>
    <row r="305" ht="15.75" customHeight="1">
      <c r="A305" s="94"/>
      <c r="B305" s="94"/>
      <c r="C305" s="1164"/>
      <c r="D305" s="1429"/>
      <c r="E305" s="1429"/>
      <c r="F305" s="1429"/>
      <c r="G305" s="1436"/>
      <c r="H305" s="1430"/>
      <c r="I305" s="94"/>
      <c r="J305" s="1164"/>
      <c r="K305" s="94"/>
      <c r="L305" s="94"/>
      <c r="M305" s="1430"/>
      <c r="N305" s="1430"/>
      <c r="O305" s="1430"/>
      <c r="P305" s="94"/>
      <c r="Q305" s="1431"/>
      <c r="R305" s="1430"/>
      <c r="S305" s="1164"/>
      <c r="T305" s="1164"/>
      <c r="U305" s="2174"/>
      <c r="V305" s="2174"/>
      <c r="W305" s="94"/>
      <c r="X305" s="1164"/>
    </row>
    <row r="306" ht="15.75" customHeight="1">
      <c r="A306" s="94"/>
      <c r="B306" s="94"/>
      <c r="C306" s="1164"/>
      <c r="D306" s="1429"/>
      <c r="E306" s="1429"/>
      <c r="F306" s="1429"/>
      <c r="G306" s="1436"/>
      <c r="H306" s="1430"/>
      <c r="I306" s="1430"/>
      <c r="J306" s="94"/>
      <c r="K306" s="94"/>
      <c r="L306" s="94"/>
      <c r="M306" s="1430"/>
      <c r="N306" s="1430"/>
      <c r="O306" s="1430"/>
      <c r="P306" s="94"/>
      <c r="Q306" s="1431"/>
      <c r="R306" s="1430"/>
      <c r="S306" s="1164"/>
      <c r="T306" s="1164"/>
      <c r="U306" s="2174"/>
      <c r="V306" s="2174"/>
      <c r="W306" s="2174"/>
      <c r="X306" s="1164"/>
    </row>
    <row r="307" ht="15.75" customHeight="1">
      <c r="A307" s="94"/>
      <c r="B307" s="94"/>
      <c r="C307" s="1164"/>
      <c r="D307" s="1429"/>
      <c r="E307" s="1429"/>
      <c r="F307" s="1429"/>
      <c r="G307" s="1436"/>
      <c r="H307" s="1430"/>
      <c r="I307" s="1430"/>
      <c r="J307" s="94"/>
      <c r="K307" s="94"/>
      <c r="L307" s="94"/>
      <c r="M307" s="1430"/>
      <c r="N307" s="1430"/>
      <c r="O307" s="1430"/>
      <c r="P307" s="94"/>
      <c r="Q307" s="1431"/>
      <c r="R307" s="1430"/>
      <c r="S307" s="1164"/>
      <c r="T307" s="1164"/>
      <c r="U307" s="2174"/>
      <c r="V307" s="2174"/>
      <c r="W307" s="2174"/>
      <c r="X307" s="1164"/>
    </row>
    <row r="308" ht="15.75" customHeight="1">
      <c r="A308" s="94"/>
      <c r="B308" s="94"/>
      <c r="C308" s="94"/>
      <c r="D308" s="94"/>
      <c r="E308" s="94"/>
      <c r="F308" s="94"/>
      <c r="G308" s="94"/>
      <c r="H308" s="1164"/>
      <c r="I308" s="1164"/>
      <c r="J308" s="1164"/>
      <c r="K308" s="1430"/>
      <c r="L308" s="1430"/>
      <c r="M308" s="1430"/>
      <c r="N308" s="1430"/>
      <c r="O308" s="1430"/>
      <c r="P308" s="1430"/>
      <c r="Q308" s="94"/>
      <c r="R308" s="1430"/>
      <c r="S308" s="94"/>
      <c r="T308" s="1164"/>
      <c r="U308" s="94"/>
      <c r="V308" s="94"/>
      <c r="W308" s="94"/>
      <c r="X308" s="1430"/>
    </row>
    <row r="309" ht="15.75" customHeight="1">
      <c r="A309" s="94"/>
      <c r="B309" s="94"/>
      <c r="C309" s="1164"/>
      <c r="D309" s="1429"/>
      <c r="E309" s="1429"/>
      <c r="F309" s="1429"/>
      <c r="G309" s="1436"/>
      <c r="H309" s="1430"/>
      <c r="I309" s="1430"/>
      <c r="J309" s="94"/>
      <c r="K309" s="94"/>
      <c r="L309" s="94"/>
      <c r="M309" s="1430"/>
      <c r="N309" s="1430"/>
      <c r="O309" s="1430"/>
      <c r="P309" s="94"/>
      <c r="Q309" s="1431"/>
      <c r="R309" s="1430"/>
      <c r="S309" s="1164"/>
      <c r="T309" s="1164"/>
      <c r="U309" s="2174"/>
      <c r="V309" s="2174"/>
      <c r="W309" s="2174"/>
      <c r="X309" s="1164"/>
    </row>
    <row r="310" ht="15.75" customHeight="1">
      <c r="A310" s="94"/>
      <c r="B310" s="94"/>
      <c r="C310" s="1164"/>
      <c r="D310" s="1429"/>
      <c r="E310" s="1429"/>
      <c r="F310" s="1429"/>
      <c r="G310" s="1436"/>
      <c r="H310" s="1430"/>
      <c r="I310" s="94"/>
      <c r="J310" s="1164"/>
      <c r="K310" s="94"/>
      <c r="L310" s="94"/>
      <c r="M310" s="1430"/>
      <c r="N310" s="1430"/>
      <c r="O310" s="1430"/>
      <c r="P310" s="94"/>
      <c r="Q310" s="1431"/>
      <c r="R310" s="1430"/>
      <c r="S310" s="1164"/>
      <c r="T310" s="1164"/>
      <c r="U310" s="2174"/>
      <c r="V310" s="2174"/>
      <c r="W310" s="94"/>
      <c r="X310" s="1164"/>
    </row>
    <row r="311" ht="15.75" customHeight="1">
      <c r="A311" s="94"/>
      <c r="B311" s="94"/>
      <c r="C311" s="1164"/>
      <c r="D311" s="1429"/>
      <c r="E311" s="1429"/>
      <c r="F311" s="1429"/>
      <c r="G311" s="1436"/>
      <c r="H311" s="1430"/>
      <c r="I311" s="1430"/>
      <c r="J311" s="94"/>
      <c r="K311" s="94"/>
      <c r="L311" s="94"/>
      <c r="M311" s="1430"/>
      <c r="N311" s="1430"/>
      <c r="O311" s="1430"/>
      <c r="P311" s="94"/>
      <c r="Q311" s="1431"/>
      <c r="R311" s="1430"/>
      <c r="S311" s="1164"/>
      <c r="T311" s="1164"/>
      <c r="U311" s="2174"/>
      <c r="V311" s="2174"/>
      <c r="W311" s="2174"/>
      <c r="X311" s="1164"/>
    </row>
    <row r="312" ht="15.75" customHeight="1">
      <c r="A312" s="94"/>
      <c r="B312" s="94"/>
      <c r="C312" s="1164"/>
      <c r="D312" s="1429"/>
      <c r="E312" s="1429"/>
      <c r="F312" s="1429"/>
      <c r="G312" s="1436"/>
      <c r="H312" s="1430"/>
      <c r="I312" s="94"/>
      <c r="J312" s="1164"/>
      <c r="K312" s="94"/>
      <c r="L312" s="94"/>
      <c r="M312" s="1430"/>
      <c r="N312" s="1430"/>
      <c r="O312" s="1430"/>
      <c r="P312" s="94"/>
      <c r="Q312" s="1431"/>
      <c r="R312" s="1430"/>
      <c r="S312" s="1164"/>
      <c r="T312" s="1164"/>
      <c r="U312" s="2174"/>
      <c r="V312" s="2174"/>
      <c r="W312" s="94"/>
      <c r="X312" s="1164"/>
    </row>
    <row r="313" ht="15.75" customHeight="1">
      <c r="A313" s="94"/>
      <c r="B313" s="94"/>
      <c r="C313" s="1164"/>
      <c r="D313" s="1429"/>
      <c r="E313" s="1429"/>
      <c r="F313" s="1429"/>
      <c r="G313" s="1436"/>
      <c r="H313" s="1430"/>
      <c r="I313" s="1430"/>
      <c r="J313" s="94"/>
      <c r="K313" s="94"/>
      <c r="L313" s="94"/>
      <c r="M313" s="1430"/>
      <c r="N313" s="1430"/>
      <c r="O313" s="1430"/>
      <c r="P313" s="94"/>
      <c r="Q313" s="1431"/>
      <c r="R313" s="1430"/>
      <c r="S313" s="1164"/>
      <c r="T313" s="1164"/>
      <c r="U313" s="2174"/>
      <c r="V313" s="2174"/>
      <c r="W313" s="2174"/>
      <c r="X313" s="1164"/>
    </row>
    <row r="314" ht="15.75" customHeight="1">
      <c r="A314" s="94"/>
      <c r="B314" s="94"/>
      <c r="C314" s="1164"/>
      <c r="D314" s="1429"/>
      <c r="E314" s="1429"/>
      <c r="F314" s="1429"/>
      <c r="G314" s="1436"/>
      <c r="H314" s="1430"/>
      <c r="I314" s="1430"/>
      <c r="J314" s="94"/>
      <c r="K314" s="94"/>
      <c r="L314" s="94"/>
      <c r="M314" s="1430"/>
      <c r="N314" s="1430"/>
      <c r="O314" s="1430"/>
      <c r="P314" s="94"/>
      <c r="Q314" s="1431"/>
      <c r="R314" s="1430"/>
      <c r="S314" s="1164"/>
      <c r="T314" s="1164"/>
      <c r="U314" s="2174"/>
      <c r="V314" s="2174"/>
      <c r="W314" s="2174"/>
      <c r="X314" s="1164"/>
    </row>
    <row r="315" ht="15.75" customHeight="1">
      <c r="A315" s="94"/>
      <c r="B315" s="94"/>
      <c r="C315" s="1164"/>
      <c r="D315" s="1429"/>
      <c r="E315" s="1429"/>
      <c r="F315" s="1429"/>
      <c r="G315" s="1436"/>
      <c r="H315" s="1430"/>
      <c r="I315" s="1430"/>
      <c r="J315" s="94"/>
      <c r="K315" s="94"/>
      <c r="L315" s="94"/>
      <c r="M315" s="1430"/>
      <c r="N315" s="1430"/>
      <c r="O315" s="1430"/>
      <c r="P315" s="94"/>
      <c r="Q315" s="1431"/>
      <c r="R315" s="1430"/>
      <c r="S315" s="1164"/>
      <c r="T315" s="1164"/>
      <c r="U315" s="2174"/>
      <c r="V315" s="2174"/>
      <c r="W315" s="2174"/>
      <c r="X315" s="1164"/>
    </row>
    <row r="316" ht="15.75" customHeight="1">
      <c r="A316" s="94"/>
      <c r="B316" s="94"/>
      <c r="C316" s="1164"/>
      <c r="D316" s="1429"/>
      <c r="E316" s="1429"/>
      <c r="F316" s="1429"/>
      <c r="G316" s="1436"/>
      <c r="H316" s="1430"/>
      <c r="I316" s="1430"/>
      <c r="J316" s="94"/>
      <c r="K316" s="94"/>
      <c r="L316" s="94"/>
      <c r="M316" s="1430"/>
      <c r="N316" s="1430"/>
      <c r="O316" s="1430"/>
      <c r="P316" s="94"/>
      <c r="Q316" s="1431"/>
      <c r="R316" s="1430"/>
      <c r="S316" s="1164"/>
      <c r="T316" s="1164"/>
      <c r="U316" s="2174"/>
      <c r="V316" s="2174"/>
      <c r="W316" s="2174"/>
      <c r="X316" s="1164"/>
    </row>
    <row r="317" ht="15.75" customHeight="1">
      <c r="A317" s="94"/>
      <c r="B317" s="94"/>
      <c r="C317" s="1164"/>
      <c r="D317" s="1429"/>
      <c r="E317" s="1429"/>
      <c r="F317" s="1429"/>
      <c r="G317" s="1436"/>
      <c r="H317" s="1430"/>
      <c r="I317" s="94"/>
      <c r="J317" s="1164"/>
      <c r="K317" s="94"/>
      <c r="L317" s="94"/>
      <c r="M317" s="1430"/>
      <c r="N317" s="1430"/>
      <c r="O317" s="1430"/>
      <c r="P317" s="94"/>
      <c r="Q317" s="1431"/>
      <c r="R317" s="1430"/>
      <c r="S317" s="1164"/>
      <c r="T317" s="1164"/>
      <c r="U317" s="2174"/>
      <c r="V317" s="2174"/>
      <c r="W317" s="94"/>
      <c r="X317" s="1164"/>
    </row>
    <row r="318" ht="15.75" customHeight="1">
      <c r="A318" s="94"/>
      <c r="B318" s="94"/>
      <c r="C318" s="1164"/>
      <c r="D318" s="1429"/>
      <c r="E318" s="1429"/>
      <c r="F318" s="1429"/>
      <c r="G318" s="1436"/>
      <c r="H318" s="1430"/>
      <c r="I318" s="1430"/>
      <c r="J318" s="1164"/>
      <c r="K318" s="94"/>
      <c r="L318" s="94"/>
      <c r="M318" s="1430"/>
      <c r="N318" s="1430"/>
      <c r="O318" s="1430"/>
      <c r="P318" s="94"/>
      <c r="Q318" s="1431"/>
      <c r="R318" s="1430"/>
      <c r="S318" s="1164"/>
      <c r="T318" s="1164"/>
      <c r="U318" s="2174"/>
      <c r="V318" s="2174"/>
      <c r="W318" s="2174"/>
      <c r="X318" s="1164"/>
    </row>
    <row r="319" ht="15.75" customHeight="1">
      <c r="A319" s="94"/>
      <c r="B319" s="94"/>
      <c r="C319" s="1164"/>
      <c r="D319" s="1429"/>
      <c r="E319" s="1429"/>
      <c r="F319" s="1429"/>
      <c r="G319" s="1436"/>
      <c r="H319" s="1430"/>
      <c r="I319" s="1430"/>
      <c r="J319" s="1164"/>
      <c r="K319" s="94"/>
      <c r="L319" s="94"/>
      <c r="M319" s="1430"/>
      <c r="N319" s="1430"/>
      <c r="O319" s="1430"/>
      <c r="P319" s="94"/>
      <c r="Q319" s="1431"/>
      <c r="R319" s="1430"/>
      <c r="S319" s="1164"/>
      <c r="T319" s="1164"/>
      <c r="U319" s="2174"/>
      <c r="V319" s="2174"/>
      <c r="W319" s="2174"/>
      <c r="X319" s="1164"/>
    </row>
    <row r="320" ht="15.75" customHeight="1">
      <c r="A320" s="94"/>
      <c r="B320" s="94"/>
      <c r="C320" s="1164"/>
      <c r="D320" s="1429"/>
      <c r="E320" s="1429"/>
      <c r="F320" s="1429"/>
      <c r="G320" s="1436"/>
      <c r="H320" s="1430"/>
      <c r="I320" s="1430"/>
      <c r="J320" s="1164"/>
      <c r="K320" s="94"/>
      <c r="L320" s="94"/>
      <c r="M320" s="1430"/>
      <c r="N320" s="1430"/>
      <c r="O320" s="1430"/>
      <c r="P320" s="94"/>
      <c r="Q320" s="1431"/>
      <c r="R320" s="1430"/>
      <c r="S320" s="1164"/>
      <c r="T320" s="1164"/>
      <c r="U320" s="2174"/>
      <c r="V320" s="2174"/>
      <c r="W320" s="2174"/>
      <c r="X320" s="1164"/>
    </row>
    <row r="321" ht="15.75" customHeight="1">
      <c r="A321" s="94"/>
      <c r="B321" s="94"/>
      <c r="C321" s="1164"/>
      <c r="D321" s="1429"/>
      <c r="E321" s="1429"/>
      <c r="F321" s="1429"/>
      <c r="G321" s="1436"/>
      <c r="H321" s="1430"/>
      <c r="I321" s="94"/>
      <c r="J321" s="1164"/>
      <c r="K321" s="94"/>
      <c r="L321" s="94"/>
      <c r="M321" s="1430"/>
      <c r="N321" s="1430"/>
      <c r="O321" s="1430"/>
      <c r="P321" s="94"/>
      <c r="Q321" s="1431"/>
      <c r="R321" s="1430"/>
      <c r="S321" s="1164"/>
      <c r="T321" s="1164"/>
      <c r="U321" s="2174"/>
      <c r="V321" s="2174"/>
      <c r="W321" s="94"/>
      <c r="X321" s="1164"/>
    </row>
    <row r="322" ht="15.75" customHeight="1">
      <c r="A322" s="94"/>
      <c r="B322" s="94"/>
      <c r="C322" s="1164"/>
      <c r="D322" s="1429"/>
      <c r="E322" s="1429"/>
      <c r="F322" s="1429"/>
      <c r="G322" s="1436"/>
      <c r="H322" s="1430"/>
      <c r="I322" s="1430"/>
      <c r="J322" s="1164"/>
      <c r="K322" s="94"/>
      <c r="L322" s="94"/>
      <c r="M322" s="94"/>
      <c r="N322" s="94"/>
      <c r="O322" s="94"/>
      <c r="P322" s="94"/>
      <c r="Q322" s="1431"/>
      <c r="R322" s="1430"/>
      <c r="S322" s="1164"/>
      <c r="T322" s="1164"/>
      <c r="U322" s="2174"/>
      <c r="V322" s="94"/>
      <c r="W322" s="94"/>
      <c r="X322" s="1164"/>
    </row>
    <row r="323" ht="15.75" customHeight="1">
      <c r="A323" s="94"/>
      <c r="B323" s="94"/>
      <c r="C323" s="1164"/>
      <c r="D323" s="1429"/>
      <c r="E323" s="1429"/>
      <c r="F323" s="1429"/>
      <c r="G323" s="1429"/>
      <c r="H323" s="1430"/>
      <c r="I323" s="94"/>
      <c r="J323" s="1164"/>
      <c r="K323" s="94"/>
      <c r="L323" s="94"/>
      <c r="M323" s="1430"/>
      <c r="N323" s="1430"/>
      <c r="O323" s="1430"/>
      <c r="P323" s="94"/>
      <c r="Q323" s="1431"/>
      <c r="R323" s="1430"/>
      <c r="S323" s="1164"/>
      <c r="T323" s="1164"/>
      <c r="U323" s="2174"/>
      <c r="V323" s="2174"/>
      <c r="W323" s="94"/>
      <c r="X323" s="1164"/>
    </row>
    <row r="324" ht="15.75" customHeight="1">
      <c r="A324" s="94"/>
      <c r="B324" s="94"/>
      <c r="C324" s="1164"/>
      <c r="D324" s="1429"/>
      <c r="E324" s="1429"/>
      <c r="F324" s="1429"/>
      <c r="G324" s="1429"/>
      <c r="H324" s="1430"/>
      <c r="I324" s="1430"/>
      <c r="J324" s="1164"/>
      <c r="K324" s="94"/>
      <c r="L324" s="94"/>
      <c r="M324" s="1430"/>
      <c r="N324" s="1430"/>
      <c r="O324" s="1430"/>
      <c r="P324" s="94"/>
      <c r="Q324" s="1431"/>
      <c r="R324" s="1430"/>
      <c r="S324" s="1164"/>
      <c r="T324" s="1164"/>
      <c r="U324" s="2174"/>
      <c r="V324" s="2174"/>
      <c r="W324" s="2174"/>
      <c r="X324" s="1164"/>
    </row>
    <row r="325" ht="15.75" customHeight="1">
      <c r="A325" s="94"/>
      <c r="B325" s="94"/>
      <c r="C325" s="1164"/>
      <c r="D325" s="1429"/>
      <c r="E325" s="1429"/>
      <c r="F325" s="1429"/>
      <c r="G325" s="1429"/>
      <c r="H325" s="1430"/>
      <c r="I325" s="1430"/>
      <c r="J325" s="1164"/>
      <c r="K325" s="94"/>
      <c r="L325" s="94"/>
      <c r="M325" s="1430"/>
      <c r="N325" s="1430"/>
      <c r="O325" s="1430"/>
      <c r="P325" s="94"/>
      <c r="Q325" s="1431"/>
      <c r="R325" s="1430"/>
      <c r="S325" s="1164"/>
      <c r="T325" s="1164"/>
      <c r="U325" s="2174"/>
      <c r="V325" s="2174"/>
      <c r="W325" s="2174"/>
      <c r="X325" s="1164"/>
    </row>
    <row r="326" ht="15.75" customHeight="1">
      <c r="A326" s="94"/>
      <c r="B326" s="94"/>
      <c r="C326" s="1164"/>
      <c r="D326" s="1429"/>
      <c r="E326" s="1429"/>
      <c r="F326" s="1429"/>
      <c r="G326" s="1429"/>
      <c r="H326" s="1430"/>
      <c r="I326" s="1430"/>
      <c r="J326" s="1164"/>
      <c r="K326" s="94"/>
      <c r="L326" s="94"/>
      <c r="M326" s="1430"/>
      <c r="N326" s="1430"/>
      <c r="O326" s="1430"/>
      <c r="P326" s="94"/>
      <c r="Q326" s="1431"/>
      <c r="R326" s="1430"/>
      <c r="S326" s="1164"/>
      <c r="T326" s="1164"/>
      <c r="U326" s="2174"/>
      <c r="V326" s="2174"/>
      <c r="W326" s="2174"/>
      <c r="X326" s="1164"/>
    </row>
    <row r="327" ht="15.75" customHeight="1">
      <c r="A327" s="94"/>
      <c r="B327" s="94"/>
      <c r="C327" s="1164"/>
      <c r="D327" s="1429"/>
      <c r="E327" s="1429"/>
      <c r="F327" s="1429"/>
      <c r="G327" s="1429"/>
      <c r="H327" s="1430"/>
      <c r="I327" s="1430"/>
      <c r="J327" s="1164"/>
      <c r="K327" s="94"/>
      <c r="L327" s="94"/>
      <c r="M327" s="1430"/>
      <c r="N327" s="1430"/>
      <c r="O327" s="1430"/>
      <c r="P327" s="94"/>
      <c r="Q327" s="1431"/>
      <c r="R327" s="1430"/>
      <c r="S327" s="1164"/>
      <c r="T327" s="1164"/>
      <c r="U327" s="2174"/>
      <c r="V327" s="2174"/>
      <c r="W327" s="2174"/>
      <c r="X327" s="1164"/>
    </row>
    <row r="328" ht="15.75" customHeight="1">
      <c r="A328" s="94"/>
      <c r="B328" s="94"/>
      <c r="C328" s="1164"/>
      <c r="D328" s="1429"/>
      <c r="E328" s="1429"/>
      <c r="F328" s="1429"/>
      <c r="G328" s="1429"/>
      <c r="H328" s="1430"/>
      <c r="I328" s="1430"/>
      <c r="J328" s="1164"/>
      <c r="K328" s="94"/>
      <c r="L328" s="94"/>
      <c r="M328" s="94"/>
      <c r="N328" s="94"/>
      <c r="O328" s="1430"/>
      <c r="P328" s="94"/>
      <c r="Q328" s="1431"/>
      <c r="R328" s="1430"/>
      <c r="S328" s="1164"/>
      <c r="T328" s="1164"/>
      <c r="U328" s="2174"/>
      <c r="V328" s="94"/>
      <c r="W328" s="94"/>
      <c r="X328" s="1164"/>
    </row>
    <row r="329" ht="15.75" customHeight="1">
      <c r="A329" s="94"/>
      <c r="B329" s="94"/>
      <c r="C329" s="1164"/>
      <c r="D329" s="1429"/>
      <c r="E329" s="1429"/>
      <c r="F329" s="1429"/>
      <c r="G329" s="1429"/>
      <c r="H329" s="1430"/>
      <c r="I329" s="1430"/>
      <c r="J329" s="1164"/>
      <c r="K329" s="94"/>
      <c r="L329" s="94"/>
      <c r="M329" s="1430"/>
      <c r="N329" s="1430"/>
      <c r="O329" s="1430"/>
      <c r="P329" s="94"/>
      <c r="Q329" s="1431"/>
      <c r="R329" s="1430"/>
      <c r="S329" s="1164"/>
      <c r="T329" s="1164"/>
      <c r="U329" s="2174"/>
      <c r="V329" s="2174"/>
      <c r="W329" s="2174"/>
      <c r="X329" s="1164"/>
    </row>
    <row r="330" ht="15.75" customHeight="1">
      <c r="A330" s="94"/>
      <c r="B330" s="94"/>
      <c r="C330" s="1164"/>
      <c r="D330" s="1429"/>
      <c r="E330" s="1429"/>
      <c r="F330" s="1429"/>
      <c r="G330" s="1429"/>
      <c r="H330" s="1430"/>
      <c r="I330" s="1430"/>
      <c r="J330" s="1164"/>
      <c r="K330" s="94"/>
      <c r="L330" s="94"/>
      <c r="M330" s="1430"/>
      <c r="N330" s="1430"/>
      <c r="O330" s="1430"/>
      <c r="P330" s="94"/>
      <c r="Q330" s="1431"/>
      <c r="R330" s="1430"/>
      <c r="S330" s="1164"/>
      <c r="T330" s="1164"/>
      <c r="U330" s="2174"/>
      <c r="V330" s="2174"/>
      <c r="W330" s="2174"/>
      <c r="X330" s="1164"/>
    </row>
    <row r="331" ht="15.75" customHeight="1">
      <c r="A331" s="94"/>
      <c r="B331" s="94"/>
      <c r="C331" s="1164"/>
      <c r="D331" s="1429"/>
      <c r="E331" s="1429"/>
      <c r="F331" s="1429"/>
      <c r="G331" s="1429"/>
      <c r="H331" s="1430"/>
      <c r="I331" s="1430"/>
      <c r="J331" s="1164"/>
      <c r="K331" s="94"/>
      <c r="L331" s="94"/>
      <c r="M331" s="1430"/>
      <c r="N331" s="1430"/>
      <c r="O331" s="1430"/>
      <c r="P331" s="94"/>
      <c r="Q331" s="1431"/>
      <c r="R331" s="1430"/>
      <c r="S331" s="1164"/>
      <c r="T331" s="1164"/>
      <c r="U331" s="2174"/>
      <c r="V331" s="2174"/>
      <c r="W331" s="2174"/>
      <c r="X331" s="1164"/>
    </row>
    <row r="332" ht="15.75" customHeight="1">
      <c r="A332" s="94"/>
      <c r="B332" s="94"/>
      <c r="C332" s="1164"/>
      <c r="D332" s="1429"/>
      <c r="E332" s="1429"/>
      <c r="F332" s="1429"/>
      <c r="G332" s="1429"/>
      <c r="H332" s="1430"/>
      <c r="I332" s="1430"/>
      <c r="J332" s="1164"/>
      <c r="K332" s="94"/>
      <c r="L332" s="94"/>
      <c r="M332" s="1430"/>
      <c r="N332" s="1430"/>
      <c r="O332" s="1430"/>
      <c r="P332" s="94"/>
      <c r="Q332" s="1431"/>
      <c r="R332" s="1430"/>
      <c r="S332" s="1164"/>
      <c r="T332" s="1164"/>
      <c r="U332" s="2174"/>
      <c r="V332" s="2174"/>
      <c r="W332" s="2174"/>
      <c r="X332" s="1164"/>
    </row>
    <row r="333" ht="15.75" customHeight="1">
      <c r="A333" s="94"/>
      <c r="B333" s="94"/>
      <c r="C333" s="1164"/>
      <c r="D333" s="1429"/>
      <c r="E333" s="1429"/>
      <c r="F333" s="1429"/>
      <c r="G333" s="1429"/>
      <c r="H333" s="1430"/>
      <c r="I333" s="1430"/>
      <c r="J333" s="1164"/>
      <c r="K333" s="94"/>
      <c r="L333" s="94"/>
      <c r="M333" s="1430"/>
      <c r="N333" s="1430"/>
      <c r="O333" s="1430"/>
      <c r="P333" s="94"/>
      <c r="Q333" s="1431"/>
      <c r="R333" s="1430"/>
      <c r="S333" s="1164"/>
      <c r="T333" s="1164"/>
      <c r="U333" s="2174"/>
      <c r="V333" s="2174"/>
      <c r="W333" s="2174"/>
      <c r="X333" s="1164"/>
    </row>
    <row r="334" ht="15.75" customHeight="1">
      <c r="A334" s="94"/>
      <c r="B334" s="94"/>
      <c r="C334" s="1164"/>
      <c r="D334" s="1429"/>
      <c r="E334" s="1429"/>
      <c r="F334" s="1429"/>
      <c r="G334" s="1429"/>
      <c r="H334" s="1430"/>
      <c r="I334" s="1430"/>
      <c r="J334" s="1164"/>
      <c r="K334" s="94"/>
      <c r="L334" s="94"/>
      <c r="M334" s="1430"/>
      <c r="N334" s="1430"/>
      <c r="O334" s="1430"/>
      <c r="P334" s="94"/>
      <c r="Q334" s="1431"/>
      <c r="R334" s="1430"/>
      <c r="S334" s="1164"/>
      <c r="T334" s="1164"/>
      <c r="U334" s="2174"/>
      <c r="V334" s="2174"/>
      <c r="W334" s="2174"/>
      <c r="X334" s="1164"/>
    </row>
    <row r="335" ht="15.75" customHeight="1">
      <c r="A335" s="94"/>
      <c r="B335" s="94"/>
      <c r="C335" s="1164"/>
      <c r="D335" s="1429"/>
      <c r="E335" s="1429"/>
      <c r="F335" s="1429"/>
      <c r="G335" s="1429"/>
      <c r="H335" s="1430"/>
      <c r="I335" s="1430"/>
      <c r="J335" s="1164"/>
      <c r="K335" s="94"/>
      <c r="L335" s="94"/>
      <c r="M335" s="1430"/>
      <c r="N335" s="1430"/>
      <c r="O335" s="1430"/>
      <c r="P335" s="94"/>
      <c r="Q335" s="1431"/>
      <c r="R335" s="1430"/>
      <c r="S335" s="1164"/>
      <c r="T335" s="1164"/>
      <c r="U335" s="2174"/>
      <c r="V335" s="2174"/>
      <c r="W335" s="2174"/>
      <c r="X335" s="1164"/>
    </row>
    <row r="336" ht="15.75" customHeight="1">
      <c r="A336" s="94"/>
      <c r="B336" s="94"/>
      <c r="C336" s="1164"/>
      <c r="D336" s="1429"/>
      <c r="E336" s="1429"/>
      <c r="F336" s="1429"/>
      <c r="G336" s="1429"/>
      <c r="H336" s="1430"/>
      <c r="I336" s="94"/>
      <c r="J336" s="1164"/>
      <c r="K336" s="94"/>
      <c r="L336" s="94"/>
      <c r="M336" s="1430"/>
      <c r="N336" s="1430"/>
      <c r="O336" s="1430"/>
      <c r="P336" s="94"/>
      <c r="Q336" s="1431"/>
      <c r="R336" s="1430"/>
      <c r="S336" s="1164"/>
      <c r="T336" s="1164"/>
      <c r="U336" s="2174"/>
      <c r="V336" s="2174"/>
      <c r="W336" s="94"/>
      <c r="X336" s="1164"/>
    </row>
    <row r="337" ht="15.75" customHeight="1">
      <c r="A337" s="94"/>
      <c r="B337" s="94"/>
      <c r="C337" s="1164"/>
      <c r="D337" s="1429"/>
      <c r="E337" s="1429"/>
      <c r="F337" s="1429"/>
      <c r="G337" s="1429"/>
      <c r="H337" s="1430"/>
      <c r="I337" s="1430"/>
      <c r="J337" s="1164"/>
      <c r="K337" s="94"/>
      <c r="L337" s="94"/>
      <c r="M337" s="1430"/>
      <c r="N337" s="1430"/>
      <c r="O337" s="1430"/>
      <c r="P337" s="94"/>
      <c r="Q337" s="1431"/>
      <c r="R337" s="1430"/>
      <c r="S337" s="1164"/>
      <c r="T337" s="1164"/>
      <c r="U337" s="2174"/>
      <c r="V337" s="2174"/>
      <c r="W337" s="2174"/>
      <c r="X337" s="1164"/>
    </row>
    <row r="338" ht="15.75" customHeight="1">
      <c r="A338" s="94"/>
      <c r="B338" s="94"/>
      <c r="C338" s="1164"/>
      <c r="D338" s="1429"/>
      <c r="E338" s="1429"/>
      <c r="F338" s="1429"/>
      <c r="G338" s="1429"/>
      <c r="H338" s="1430"/>
      <c r="I338" s="1430"/>
      <c r="J338" s="1164"/>
      <c r="K338" s="94"/>
      <c r="L338" s="94"/>
      <c r="M338" s="1430"/>
      <c r="N338" s="1430"/>
      <c r="O338" s="1430"/>
      <c r="P338" s="94"/>
      <c r="Q338" s="1431"/>
      <c r="R338" s="1430"/>
      <c r="S338" s="1164"/>
      <c r="T338" s="1164"/>
      <c r="U338" s="2174"/>
      <c r="V338" s="2174"/>
      <c r="W338" s="2174"/>
      <c r="X338" s="1164"/>
    </row>
    <row r="339" ht="15.75" customHeight="1">
      <c r="A339" s="94"/>
      <c r="B339" s="94"/>
      <c r="C339" s="1164"/>
      <c r="D339" s="1429"/>
      <c r="E339" s="1429"/>
      <c r="F339" s="1429"/>
      <c r="G339" s="1429"/>
      <c r="H339" s="1430"/>
      <c r="I339" s="1430"/>
      <c r="J339" s="1164"/>
      <c r="K339" s="94"/>
      <c r="L339" s="94"/>
      <c r="M339" s="1430"/>
      <c r="N339" s="1430"/>
      <c r="O339" s="1430"/>
      <c r="P339" s="94"/>
      <c r="Q339" s="1431"/>
      <c r="R339" s="1430"/>
      <c r="S339" s="1164"/>
      <c r="T339" s="1164"/>
      <c r="U339" s="2174"/>
      <c r="V339" s="2174"/>
      <c r="W339" s="2174"/>
      <c r="X339" s="1164"/>
    </row>
    <row r="340" ht="15.75" customHeight="1">
      <c r="A340" s="94"/>
      <c r="B340" s="94"/>
      <c r="C340" s="1164"/>
      <c r="D340" s="1429"/>
      <c r="E340" s="1429"/>
      <c r="F340" s="1429"/>
      <c r="G340" s="1429"/>
      <c r="H340" s="1430"/>
      <c r="I340" s="1430"/>
      <c r="J340" s="1164"/>
      <c r="K340" s="94"/>
      <c r="L340" s="94"/>
      <c r="M340" s="1430"/>
      <c r="N340" s="1430"/>
      <c r="O340" s="1430"/>
      <c r="P340" s="94"/>
      <c r="Q340" s="1431"/>
      <c r="R340" s="1430"/>
      <c r="S340" s="1164"/>
      <c r="T340" s="1164"/>
      <c r="U340" s="2174"/>
      <c r="V340" s="2174"/>
      <c r="W340" s="2174"/>
      <c r="X340" s="1164"/>
    </row>
    <row r="341" ht="15.75" customHeight="1">
      <c r="A341" s="94"/>
      <c r="B341" s="94"/>
      <c r="C341" s="1164"/>
      <c r="D341" s="1429"/>
      <c r="E341" s="1429"/>
      <c r="F341" s="1429"/>
      <c r="G341" s="1429"/>
      <c r="H341" s="1430"/>
      <c r="I341" s="1430"/>
      <c r="J341" s="1164"/>
      <c r="K341" s="94"/>
      <c r="L341" s="94"/>
      <c r="M341" s="1430"/>
      <c r="N341" s="1430"/>
      <c r="O341" s="1430"/>
      <c r="P341" s="94"/>
      <c r="Q341" s="1431"/>
      <c r="R341" s="1430"/>
      <c r="S341" s="1164"/>
      <c r="T341" s="1164"/>
      <c r="U341" s="2174"/>
      <c r="V341" s="2174"/>
      <c r="W341" s="2174"/>
      <c r="X341" s="1164"/>
    </row>
    <row r="342" ht="15.75" customHeight="1">
      <c r="A342" s="94"/>
      <c r="B342" s="94"/>
      <c r="C342" s="1164"/>
      <c r="D342" s="1429"/>
      <c r="E342" s="1429"/>
      <c r="F342" s="1429"/>
      <c r="G342" s="1429"/>
      <c r="H342" s="1430"/>
      <c r="I342" s="94"/>
      <c r="J342" s="1164"/>
      <c r="K342" s="94"/>
      <c r="L342" s="94"/>
      <c r="M342" s="1430"/>
      <c r="N342" s="1430"/>
      <c r="O342" s="1430"/>
      <c r="P342" s="94"/>
      <c r="Q342" s="1431"/>
      <c r="R342" s="1430"/>
      <c r="S342" s="1164"/>
      <c r="T342" s="1164"/>
      <c r="U342" s="2174"/>
      <c r="V342" s="2174"/>
      <c r="W342" s="94"/>
      <c r="X342" s="1164"/>
    </row>
    <row r="343" ht="15.75" customHeight="1">
      <c r="A343" s="94"/>
      <c r="B343" s="94"/>
      <c r="C343" s="1164"/>
      <c r="D343" s="1429"/>
      <c r="E343" s="1429"/>
      <c r="F343" s="1429"/>
      <c r="G343" s="1429"/>
      <c r="H343" s="1430"/>
      <c r="I343" s="1430"/>
      <c r="J343" s="94"/>
      <c r="K343" s="94"/>
      <c r="L343" s="94"/>
      <c r="M343" s="1430"/>
      <c r="N343" s="1430"/>
      <c r="O343" s="1430"/>
      <c r="P343" s="94"/>
      <c r="Q343" s="1431"/>
      <c r="R343" s="1430"/>
      <c r="S343" s="1164"/>
      <c r="T343" s="1164"/>
      <c r="U343" s="2174"/>
      <c r="V343" s="2174"/>
      <c r="W343" s="2174"/>
      <c r="X343" s="1164"/>
    </row>
    <row r="344" ht="15.75" customHeight="1">
      <c r="A344" s="94"/>
      <c r="B344" s="94"/>
      <c r="C344" s="1164"/>
      <c r="D344" s="1429"/>
      <c r="E344" s="1429"/>
      <c r="F344" s="1429"/>
      <c r="G344" s="1436"/>
      <c r="H344" s="1430"/>
      <c r="I344" s="1430"/>
      <c r="J344" s="1164"/>
      <c r="K344" s="94"/>
      <c r="L344" s="94"/>
      <c r="M344" s="94"/>
      <c r="N344" s="94"/>
      <c r="O344" s="94"/>
      <c r="P344" s="94"/>
      <c r="Q344" s="1431"/>
      <c r="R344" s="1430"/>
      <c r="S344" s="1164"/>
      <c r="T344" s="1164"/>
      <c r="U344" s="2174"/>
      <c r="V344" s="94"/>
      <c r="W344" s="94"/>
      <c r="X344" s="1164"/>
    </row>
    <row r="345" ht="15.75" customHeight="1">
      <c r="A345" s="94"/>
      <c r="B345" s="94"/>
      <c r="C345" s="94"/>
      <c r="D345" s="94"/>
      <c r="E345" s="94"/>
      <c r="F345" s="94"/>
      <c r="G345" s="94"/>
      <c r="H345" s="1164"/>
      <c r="I345" s="1164"/>
      <c r="J345" s="1164"/>
      <c r="K345" s="1430"/>
      <c r="L345" s="1430"/>
      <c r="M345" s="1430"/>
      <c r="N345" s="1430"/>
      <c r="O345" s="1430"/>
      <c r="P345" s="1430"/>
      <c r="Q345" s="1430"/>
      <c r="R345" s="1430"/>
      <c r="S345" s="94"/>
      <c r="T345" s="1164"/>
      <c r="U345" s="94"/>
      <c r="V345" s="94"/>
      <c r="W345" s="94"/>
      <c r="X345" s="1430"/>
    </row>
    <row r="346" ht="15.75" customHeight="1">
      <c r="A346" s="94"/>
      <c r="B346" s="94"/>
      <c r="C346" s="1164"/>
      <c r="D346" s="1429"/>
      <c r="E346" s="1429"/>
      <c r="F346" s="1429"/>
      <c r="G346" s="1429"/>
      <c r="H346" s="1430"/>
      <c r="I346" s="1430"/>
      <c r="J346" s="94"/>
      <c r="K346" s="94"/>
      <c r="L346" s="94"/>
      <c r="M346" s="1430"/>
      <c r="N346" s="1430"/>
      <c r="O346" s="1430"/>
      <c r="P346" s="94"/>
      <c r="Q346" s="1431"/>
      <c r="R346" s="1430"/>
      <c r="S346" s="1164"/>
      <c r="T346" s="1164"/>
      <c r="U346" s="2174"/>
      <c r="V346" s="2174"/>
      <c r="W346" s="2174"/>
      <c r="X346" s="1164"/>
    </row>
    <row r="347" ht="15.75" customHeight="1">
      <c r="A347" s="94"/>
      <c r="B347" s="94"/>
      <c r="C347" s="1164"/>
      <c r="D347" s="1429"/>
      <c r="E347" s="1429"/>
      <c r="F347" s="1429"/>
      <c r="G347" s="1429"/>
      <c r="H347" s="1430"/>
      <c r="I347" s="1430"/>
      <c r="J347" s="94"/>
      <c r="K347" s="94"/>
      <c r="L347" s="94"/>
      <c r="M347" s="1430"/>
      <c r="N347" s="1430"/>
      <c r="O347" s="1430"/>
      <c r="P347" s="94"/>
      <c r="Q347" s="1431"/>
      <c r="R347" s="1430"/>
      <c r="S347" s="1164"/>
      <c r="T347" s="1164"/>
      <c r="U347" s="2174"/>
      <c r="V347" s="2174"/>
      <c r="W347" s="2174"/>
      <c r="X347" s="1164"/>
    </row>
    <row r="348" ht="15.75" customHeight="1">
      <c r="A348" s="94"/>
      <c r="B348" s="94"/>
      <c r="C348" s="1164"/>
      <c r="D348" s="1429"/>
      <c r="E348" s="1429"/>
      <c r="F348" s="1429"/>
      <c r="G348" s="1429"/>
      <c r="H348" s="1430"/>
      <c r="I348" s="1430"/>
      <c r="J348" s="94"/>
      <c r="K348" s="94"/>
      <c r="L348" s="94"/>
      <c r="M348" s="1430"/>
      <c r="N348" s="1430"/>
      <c r="O348" s="1430"/>
      <c r="P348" s="94"/>
      <c r="Q348" s="1431"/>
      <c r="R348" s="1430"/>
      <c r="S348" s="1164"/>
      <c r="T348" s="1164"/>
      <c r="U348" s="2174"/>
      <c r="V348" s="2174"/>
      <c r="W348" s="2174"/>
      <c r="X348" s="1164"/>
    </row>
    <row r="349" ht="15.75" customHeight="1">
      <c r="A349" s="94"/>
      <c r="B349" s="94"/>
      <c r="C349" s="1164"/>
      <c r="D349" s="1429"/>
      <c r="E349" s="1429"/>
      <c r="F349" s="1429"/>
      <c r="G349" s="1429"/>
      <c r="H349" s="1430"/>
      <c r="I349" s="1430"/>
      <c r="J349" s="94"/>
      <c r="K349" s="94"/>
      <c r="L349" s="94"/>
      <c r="M349" s="1430"/>
      <c r="N349" s="1430"/>
      <c r="O349" s="1430"/>
      <c r="P349" s="94"/>
      <c r="Q349" s="1431"/>
      <c r="R349" s="1430"/>
      <c r="S349" s="1164"/>
      <c r="T349" s="1164"/>
      <c r="U349" s="2174"/>
      <c r="V349" s="2174"/>
      <c r="W349" s="2174"/>
      <c r="X349" s="1164"/>
    </row>
    <row r="350" ht="15.75" customHeight="1">
      <c r="A350" s="94"/>
      <c r="B350" s="94"/>
      <c r="C350" s="1164"/>
      <c r="D350" s="1429"/>
      <c r="E350" s="1429"/>
      <c r="F350" s="1429"/>
      <c r="G350" s="1429"/>
      <c r="H350" s="1430"/>
      <c r="I350" s="94"/>
      <c r="J350" s="1164"/>
      <c r="K350" s="94"/>
      <c r="L350" s="94"/>
      <c r="M350" s="94"/>
      <c r="N350" s="94"/>
      <c r="O350" s="1430"/>
      <c r="P350" s="94"/>
      <c r="Q350" s="1431"/>
      <c r="R350" s="1430"/>
      <c r="S350" s="1164"/>
      <c r="T350" s="1164"/>
      <c r="U350" s="2174"/>
      <c r="V350" s="94"/>
      <c r="W350" s="2174"/>
      <c r="X350" s="1164"/>
    </row>
    <row r="351" ht="15.75" customHeight="1">
      <c r="A351" s="94"/>
      <c r="B351" s="94"/>
      <c r="C351" s="1164"/>
      <c r="D351" s="1429"/>
      <c r="E351" s="1429"/>
      <c r="F351" s="1429"/>
      <c r="G351" s="1429"/>
      <c r="H351" s="1430"/>
      <c r="I351" s="1430"/>
      <c r="J351" s="94"/>
      <c r="K351" s="94"/>
      <c r="L351" s="94"/>
      <c r="M351" s="94"/>
      <c r="N351" s="94"/>
      <c r="O351" s="1430"/>
      <c r="P351" s="94"/>
      <c r="Q351" s="1431"/>
      <c r="R351" s="1430"/>
      <c r="S351" s="1164"/>
      <c r="T351" s="1164"/>
      <c r="U351" s="2174"/>
      <c r="V351" s="2174"/>
      <c r="W351" s="2174"/>
      <c r="X351" s="1164"/>
    </row>
    <row r="352" ht="15.75" customHeight="1">
      <c r="A352" s="94"/>
      <c r="B352" s="94"/>
      <c r="C352" s="1164"/>
      <c r="D352" s="1429"/>
      <c r="E352" s="1429"/>
      <c r="F352" s="1429"/>
      <c r="G352" s="1429"/>
      <c r="H352" s="1430"/>
      <c r="I352" s="1430"/>
      <c r="J352" s="94"/>
      <c r="K352" s="94"/>
      <c r="L352" s="94"/>
      <c r="M352" s="1430"/>
      <c r="N352" s="1430"/>
      <c r="O352" s="1430"/>
      <c r="P352" s="94"/>
      <c r="Q352" s="1431"/>
      <c r="R352" s="1430"/>
      <c r="S352" s="1164"/>
      <c r="T352" s="1164"/>
      <c r="U352" s="2174"/>
      <c r="V352" s="2174"/>
      <c r="W352" s="2174"/>
      <c r="X352" s="1164"/>
    </row>
    <row r="353" ht="15.75" customHeight="1">
      <c r="A353" s="94"/>
      <c r="B353" s="94"/>
      <c r="C353" s="1164"/>
      <c r="D353" s="1429"/>
      <c r="E353" s="1429"/>
      <c r="F353" s="1429"/>
      <c r="G353" s="1429"/>
      <c r="H353" s="1430"/>
      <c r="I353" s="1430"/>
      <c r="J353" s="94"/>
      <c r="K353" s="94"/>
      <c r="L353" s="94"/>
      <c r="M353" s="1430"/>
      <c r="N353" s="1430"/>
      <c r="O353" s="1430"/>
      <c r="P353" s="94"/>
      <c r="Q353" s="1431"/>
      <c r="R353" s="1430"/>
      <c r="S353" s="1164"/>
      <c r="T353" s="1164"/>
      <c r="U353" s="2174"/>
      <c r="V353" s="2174"/>
      <c r="W353" s="2174"/>
      <c r="X353" s="1164"/>
    </row>
    <row r="354" ht="15.75" customHeight="1">
      <c r="A354" s="94"/>
      <c r="B354" s="94"/>
      <c r="C354" s="1164"/>
      <c r="D354" s="1429"/>
      <c r="E354" s="1429"/>
      <c r="F354" s="1429"/>
      <c r="G354" s="1429"/>
      <c r="H354" s="1430"/>
      <c r="I354" s="1430"/>
      <c r="J354" s="94"/>
      <c r="K354" s="94"/>
      <c r="L354" s="94"/>
      <c r="M354" s="1430"/>
      <c r="N354" s="1430"/>
      <c r="O354" s="1430"/>
      <c r="P354" s="94"/>
      <c r="Q354" s="1431"/>
      <c r="R354" s="1430"/>
      <c r="S354" s="1164"/>
      <c r="T354" s="1164"/>
      <c r="U354" s="2174"/>
      <c r="V354" s="2174"/>
      <c r="W354" s="2174"/>
      <c r="X354" s="1164"/>
    </row>
    <row r="355" ht="15.75" customHeight="1">
      <c r="A355" s="94"/>
      <c r="B355" s="94"/>
      <c r="C355" s="1164"/>
      <c r="D355" s="1429"/>
      <c r="E355" s="1429"/>
      <c r="F355" s="1429"/>
      <c r="G355" s="1429"/>
      <c r="H355" s="1430"/>
      <c r="I355" s="1430"/>
      <c r="J355" s="94"/>
      <c r="K355" s="94"/>
      <c r="L355" s="94"/>
      <c r="M355" s="1430"/>
      <c r="N355" s="1430"/>
      <c r="O355" s="1430"/>
      <c r="P355" s="94"/>
      <c r="Q355" s="1431"/>
      <c r="R355" s="1430"/>
      <c r="S355" s="1164"/>
      <c r="T355" s="1164"/>
      <c r="U355" s="2174"/>
      <c r="V355" s="2174"/>
      <c r="W355" s="2174"/>
      <c r="X355" s="1164"/>
    </row>
    <row r="356" ht="15.75" customHeight="1">
      <c r="A356" s="94"/>
      <c r="B356" s="94"/>
      <c r="C356" s="1164"/>
      <c r="D356" s="1429"/>
      <c r="E356" s="1429"/>
      <c r="F356" s="1429"/>
      <c r="G356" s="1429"/>
      <c r="H356" s="1430"/>
      <c r="I356" s="1430"/>
      <c r="J356" s="94"/>
      <c r="K356" s="94"/>
      <c r="L356" s="94"/>
      <c r="M356" s="1430"/>
      <c r="N356" s="1430"/>
      <c r="O356" s="1430"/>
      <c r="P356" s="94"/>
      <c r="Q356" s="1431"/>
      <c r="R356" s="1430"/>
      <c r="S356" s="1164"/>
      <c r="T356" s="1164"/>
      <c r="U356" s="2174"/>
      <c r="V356" s="2174"/>
      <c r="W356" s="2174"/>
      <c r="X356" s="1164"/>
    </row>
    <row r="357" ht="15.75" customHeight="1">
      <c r="A357" s="94"/>
      <c r="B357" s="94"/>
      <c r="C357" s="1164"/>
      <c r="D357" s="1429"/>
      <c r="E357" s="1429"/>
      <c r="F357" s="1429"/>
      <c r="G357" s="1429"/>
      <c r="H357" s="1430"/>
      <c r="I357" s="1430"/>
      <c r="J357" s="94"/>
      <c r="K357" s="94"/>
      <c r="L357" s="94"/>
      <c r="M357" s="94"/>
      <c r="N357" s="94"/>
      <c r="O357" s="1430"/>
      <c r="P357" s="94"/>
      <c r="Q357" s="1431"/>
      <c r="R357" s="1430"/>
      <c r="S357" s="1164"/>
      <c r="T357" s="1164"/>
      <c r="U357" s="2174"/>
      <c r="V357" s="2174"/>
      <c r="W357" s="2174"/>
      <c r="X357" s="1164"/>
    </row>
    <row r="358" ht="15.75" customHeight="1">
      <c r="A358" s="94"/>
      <c r="B358" s="94"/>
      <c r="C358" s="1164"/>
      <c r="D358" s="1429"/>
      <c r="E358" s="1429"/>
      <c r="F358" s="1429"/>
      <c r="G358" s="1429"/>
      <c r="H358" s="1430"/>
      <c r="I358" s="94"/>
      <c r="J358" s="1164"/>
      <c r="K358" s="94"/>
      <c r="L358" s="94"/>
      <c r="M358" s="1430"/>
      <c r="N358" s="1430"/>
      <c r="O358" s="1430"/>
      <c r="P358" s="94"/>
      <c r="Q358" s="1431"/>
      <c r="R358" s="1430"/>
      <c r="S358" s="1164"/>
      <c r="T358" s="1164"/>
      <c r="U358" s="2174"/>
      <c r="V358" s="2174"/>
      <c r="W358" s="2174"/>
      <c r="X358" s="1164"/>
    </row>
    <row r="359" ht="15.75" customHeight="1">
      <c r="A359" s="94"/>
      <c r="B359" s="94"/>
      <c r="C359" s="1164"/>
      <c r="D359" s="1429"/>
      <c r="E359" s="1429"/>
      <c r="F359" s="1429"/>
      <c r="G359" s="1429"/>
      <c r="H359" s="1430"/>
      <c r="I359" s="1430"/>
      <c r="J359" s="94"/>
      <c r="K359" s="94"/>
      <c r="L359" s="94"/>
      <c r="M359" s="1430"/>
      <c r="N359" s="1430"/>
      <c r="O359" s="1430"/>
      <c r="P359" s="94"/>
      <c r="Q359" s="1431"/>
      <c r="R359" s="1430"/>
      <c r="S359" s="1164"/>
      <c r="T359" s="1164"/>
      <c r="U359" s="2174"/>
      <c r="V359" s="2174"/>
      <c r="W359" s="2174"/>
      <c r="X359" s="1164"/>
    </row>
    <row r="360" ht="15.75" customHeight="1">
      <c r="A360" s="94"/>
      <c r="B360" s="94"/>
      <c r="C360" s="1164"/>
      <c r="D360" s="1429"/>
      <c r="E360" s="1429"/>
      <c r="F360" s="1429"/>
      <c r="G360" s="1429"/>
      <c r="H360" s="1430"/>
      <c r="I360" s="1430"/>
      <c r="J360" s="94"/>
      <c r="K360" s="94"/>
      <c r="L360" s="94"/>
      <c r="M360" s="1430"/>
      <c r="N360" s="1430"/>
      <c r="O360" s="1430"/>
      <c r="P360" s="94"/>
      <c r="Q360" s="1431"/>
      <c r="R360" s="1430"/>
      <c r="S360" s="1164"/>
      <c r="T360" s="1164"/>
      <c r="U360" s="2174"/>
      <c r="V360" s="2174"/>
      <c r="W360" s="2174"/>
      <c r="X360" s="1164"/>
    </row>
    <row r="361" ht="15.75" customHeight="1">
      <c r="A361" s="94"/>
      <c r="B361" s="94"/>
      <c r="C361" s="1164"/>
      <c r="D361" s="1429"/>
      <c r="E361" s="1429"/>
      <c r="F361" s="1429"/>
      <c r="G361" s="1429"/>
      <c r="H361" s="1430"/>
      <c r="I361" s="1430"/>
      <c r="J361" s="94"/>
      <c r="K361" s="94"/>
      <c r="L361" s="94"/>
      <c r="M361" s="1430"/>
      <c r="N361" s="1430"/>
      <c r="O361" s="1430"/>
      <c r="P361" s="94"/>
      <c r="Q361" s="1431"/>
      <c r="R361" s="1430"/>
      <c r="S361" s="1164"/>
      <c r="T361" s="1164"/>
      <c r="U361" s="2174"/>
      <c r="V361" s="2174"/>
      <c r="W361" s="2174"/>
      <c r="X361" s="1164"/>
    </row>
    <row r="362" ht="15.75" customHeight="1">
      <c r="A362" s="94"/>
      <c r="B362" s="94"/>
      <c r="C362" s="1164"/>
      <c r="D362" s="1429"/>
      <c r="E362" s="1429"/>
      <c r="F362" s="1429"/>
      <c r="G362" s="1429"/>
      <c r="H362" s="1430"/>
      <c r="I362" s="1430"/>
      <c r="J362" s="94"/>
      <c r="K362" s="94"/>
      <c r="L362" s="94"/>
      <c r="M362" s="1430"/>
      <c r="N362" s="1430"/>
      <c r="O362" s="1430"/>
      <c r="P362" s="94"/>
      <c r="Q362" s="1431"/>
      <c r="R362" s="1430"/>
      <c r="S362" s="1164"/>
      <c r="T362" s="1164"/>
      <c r="U362" s="2174"/>
      <c r="V362" s="2174"/>
      <c r="W362" s="2174"/>
      <c r="X362" s="1164"/>
    </row>
    <row r="363" ht="15.75" customHeight="1">
      <c r="A363" s="94"/>
      <c r="B363" s="94"/>
      <c r="C363" s="1164"/>
      <c r="D363" s="1429"/>
      <c r="E363" s="1429"/>
      <c r="F363" s="1429"/>
      <c r="G363" s="1429"/>
      <c r="H363" s="1430"/>
      <c r="I363" s="1430"/>
      <c r="J363" s="94"/>
      <c r="K363" s="94"/>
      <c r="L363" s="94"/>
      <c r="M363" s="1430"/>
      <c r="N363" s="1430"/>
      <c r="O363" s="1430"/>
      <c r="P363" s="94"/>
      <c r="Q363" s="1431"/>
      <c r="R363" s="1430"/>
      <c r="S363" s="1164"/>
      <c r="T363" s="1164"/>
      <c r="U363" s="2174"/>
      <c r="V363" s="2174"/>
      <c r="W363" s="2174"/>
      <c r="X363" s="1164"/>
    </row>
    <row r="364" ht="15.75" customHeight="1">
      <c r="A364" s="94"/>
      <c r="B364" s="94"/>
      <c r="C364" s="1164"/>
      <c r="D364" s="1429"/>
      <c r="E364" s="1429"/>
      <c r="F364" s="1429"/>
      <c r="G364" s="1429"/>
      <c r="H364" s="1430"/>
      <c r="I364" s="1430"/>
      <c r="J364" s="94"/>
      <c r="K364" s="94"/>
      <c r="L364" s="94"/>
      <c r="M364" s="94"/>
      <c r="N364" s="94"/>
      <c r="O364" s="94"/>
      <c r="P364" s="94"/>
      <c r="Q364" s="1431"/>
      <c r="R364" s="1430"/>
      <c r="S364" s="1164"/>
      <c r="T364" s="1164"/>
      <c r="U364" s="2174"/>
      <c r="V364" s="94"/>
      <c r="W364" s="94"/>
      <c r="X364" s="1164"/>
    </row>
    <row r="365" ht="15.75" customHeight="1">
      <c r="A365" s="94"/>
      <c r="B365" s="94"/>
      <c r="C365" s="1164"/>
      <c r="D365" s="1429"/>
      <c r="E365" s="1429"/>
      <c r="F365" s="1429"/>
      <c r="G365" s="1429"/>
      <c r="H365" s="1430"/>
      <c r="I365" s="1430"/>
      <c r="J365" s="94"/>
      <c r="K365" s="94"/>
      <c r="L365" s="94"/>
      <c r="M365" s="94"/>
      <c r="N365" s="94"/>
      <c r="O365" s="94"/>
      <c r="P365" s="94"/>
      <c r="Q365" s="1431"/>
      <c r="R365" s="1430"/>
      <c r="S365" s="1164"/>
      <c r="T365" s="1164"/>
      <c r="U365" s="2174"/>
      <c r="V365" s="94"/>
      <c r="W365" s="94"/>
      <c r="X365" s="1164"/>
    </row>
    <row r="366" ht="15.75" customHeight="1">
      <c r="A366" s="94"/>
      <c r="B366" s="94"/>
      <c r="C366" s="1164"/>
      <c r="D366" s="1429"/>
      <c r="E366" s="1429"/>
      <c r="F366" s="1429"/>
      <c r="G366" s="1429"/>
      <c r="H366" s="1430"/>
      <c r="I366" s="1430"/>
      <c r="J366" s="94"/>
      <c r="K366" s="94"/>
      <c r="L366" s="94"/>
      <c r="M366" s="1430"/>
      <c r="N366" s="1430"/>
      <c r="O366" s="1430"/>
      <c r="P366" s="94"/>
      <c r="Q366" s="1431"/>
      <c r="R366" s="1430"/>
      <c r="S366" s="1164"/>
      <c r="T366" s="1164"/>
      <c r="U366" s="2174"/>
      <c r="V366" s="2174"/>
      <c r="W366" s="2174"/>
      <c r="X366" s="1164"/>
    </row>
    <row r="367" ht="15.75" customHeight="1">
      <c r="A367" s="94"/>
      <c r="B367" s="94"/>
      <c r="C367" s="1164"/>
      <c r="D367" s="1429"/>
      <c r="E367" s="1429"/>
      <c r="F367" s="1434"/>
      <c r="G367" s="1429"/>
      <c r="H367" s="1430"/>
      <c r="I367" s="1430"/>
      <c r="J367" s="94"/>
      <c r="K367" s="94"/>
      <c r="L367" s="94"/>
      <c r="M367" s="1430"/>
      <c r="N367" s="1430"/>
      <c r="O367" s="1430"/>
      <c r="P367" s="94"/>
      <c r="Q367" s="1431"/>
      <c r="R367" s="1430"/>
      <c r="S367" s="1164"/>
      <c r="T367" s="1164"/>
      <c r="U367" s="2174"/>
      <c r="V367" s="2174"/>
      <c r="W367" s="2174"/>
      <c r="X367" s="1164"/>
    </row>
    <row r="368" ht="15.75" customHeight="1">
      <c r="A368" s="94"/>
      <c r="B368" s="94"/>
      <c r="C368" s="1164"/>
      <c r="D368" s="1429"/>
      <c r="E368" s="1429"/>
      <c r="F368" s="1434"/>
      <c r="G368" s="1429"/>
      <c r="H368" s="1430"/>
      <c r="I368" s="1430"/>
      <c r="J368" s="94"/>
      <c r="K368" s="94"/>
      <c r="L368" s="94"/>
      <c r="M368" s="1430"/>
      <c r="N368" s="1430"/>
      <c r="O368" s="1430"/>
      <c r="P368" s="94"/>
      <c r="Q368" s="1431"/>
      <c r="R368" s="1430"/>
      <c r="S368" s="1164"/>
      <c r="T368" s="1164"/>
      <c r="U368" s="2174"/>
      <c r="V368" s="2174"/>
      <c r="W368" s="2174"/>
      <c r="X368" s="1164"/>
    </row>
    <row r="369" ht="15.75" customHeight="1">
      <c r="A369" s="94"/>
      <c r="B369" s="94"/>
      <c r="C369" s="1164"/>
      <c r="D369" s="1429"/>
      <c r="E369" s="1429"/>
      <c r="F369" s="1429"/>
      <c r="G369" s="1429"/>
      <c r="H369" s="1430"/>
      <c r="I369" s="1430"/>
      <c r="J369" s="94"/>
      <c r="K369" s="94"/>
      <c r="L369" s="94"/>
      <c r="M369" s="1430"/>
      <c r="N369" s="1430"/>
      <c r="O369" s="1430"/>
      <c r="P369" s="94"/>
      <c r="Q369" s="1431"/>
      <c r="R369" s="1430"/>
      <c r="S369" s="1164"/>
      <c r="T369" s="1164"/>
      <c r="U369" s="2174"/>
      <c r="V369" s="2174"/>
      <c r="W369" s="2174"/>
      <c r="X369" s="1164"/>
    </row>
    <row r="370" ht="15.75" customHeight="1">
      <c r="A370" s="94"/>
      <c r="B370" s="94"/>
      <c r="C370" s="1164"/>
      <c r="D370" s="1429"/>
      <c r="E370" s="1429"/>
      <c r="F370" s="1429"/>
      <c r="G370" s="1429"/>
      <c r="H370" s="1430"/>
      <c r="I370" s="1430"/>
      <c r="J370" s="94"/>
      <c r="K370" s="94"/>
      <c r="L370" s="94"/>
      <c r="M370" s="1430"/>
      <c r="N370" s="1430"/>
      <c r="O370" s="1430"/>
      <c r="P370" s="94"/>
      <c r="Q370" s="1431"/>
      <c r="R370" s="1430"/>
      <c r="S370" s="1164"/>
      <c r="T370" s="1164"/>
      <c r="U370" s="2174"/>
      <c r="V370" s="2174"/>
      <c r="W370" s="2174"/>
      <c r="X370" s="1164"/>
    </row>
    <row r="371" ht="15.75" customHeight="1">
      <c r="A371" s="94"/>
      <c r="B371" s="94"/>
      <c r="C371" s="1164"/>
      <c r="D371" s="1429"/>
      <c r="E371" s="1429"/>
      <c r="F371" s="1429"/>
      <c r="G371" s="1429"/>
      <c r="H371" s="1430"/>
      <c r="I371" s="1430"/>
      <c r="J371" s="94"/>
      <c r="K371" s="94"/>
      <c r="L371" s="94"/>
      <c r="M371" s="1430"/>
      <c r="N371" s="1430"/>
      <c r="O371" s="1430"/>
      <c r="P371" s="94"/>
      <c r="Q371" s="1431"/>
      <c r="R371" s="1430"/>
      <c r="S371" s="1164"/>
      <c r="T371" s="1164"/>
      <c r="U371" s="2174"/>
      <c r="V371" s="2174"/>
      <c r="W371" s="2174"/>
      <c r="X371" s="1164"/>
    </row>
    <row r="372" ht="15.75" customHeight="1">
      <c r="A372" s="94"/>
      <c r="B372" s="94"/>
      <c r="C372" s="1164"/>
      <c r="D372" s="1429"/>
      <c r="E372" s="1429"/>
      <c r="F372" s="1429"/>
      <c r="G372" s="1429"/>
      <c r="H372" s="1430"/>
      <c r="I372" s="1430"/>
      <c r="J372" s="94"/>
      <c r="K372" s="94"/>
      <c r="L372" s="94"/>
      <c r="M372" s="1430"/>
      <c r="N372" s="1430"/>
      <c r="O372" s="1430"/>
      <c r="P372" s="94"/>
      <c r="Q372" s="1431"/>
      <c r="R372" s="1430"/>
      <c r="S372" s="1164"/>
      <c r="T372" s="1164"/>
      <c r="U372" s="2174"/>
      <c r="V372" s="2174"/>
      <c r="W372" s="2174"/>
      <c r="X372" s="1164"/>
    </row>
    <row r="373" ht="15.75" customHeight="1">
      <c r="A373" s="94"/>
      <c r="B373" s="94"/>
      <c r="C373" s="1164"/>
      <c r="D373" s="1429"/>
      <c r="E373" s="1429"/>
      <c r="F373" s="1429"/>
      <c r="G373" s="1429"/>
      <c r="H373" s="1430"/>
      <c r="I373" s="1430"/>
      <c r="J373" s="94"/>
      <c r="K373" s="94"/>
      <c r="L373" s="94"/>
      <c r="M373" s="1430"/>
      <c r="N373" s="1430"/>
      <c r="O373" s="1430"/>
      <c r="P373" s="94"/>
      <c r="Q373" s="1431"/>
      <c r="R373" s="1430"/>
      <c r="S373" s="1164"/>
      <c r="T373" s="1164"/>
      <c r="U373" s="2174"/>
      <c r="V373" s="2174"/>
      <c r="W373" s="2174"/>
      <c r="X373" s="1164"/>
    </row>
    <row r="374" ht="15.75" customHeight="1">
      <c r="A374" s="94"/>
      <c r="B374" s="94"/>
      <c r="C374" s="1164"/>
      <c r="D374" s="1429"/>
      <c r="E374" s="1429"/>
      <c r="F374" s="1429"/>
      <c r="G374" s="1429"/>
      <c r="H374" s="1430"/>
      <c r="I374" s="1430"/>
      <c r="J374" s="94"/>
      <c r="K374" s="94"/>
      <c r="L374" s="94"/>
      <c r="M374" s="1430"/>
      <c r="N374" s="1430"/>
      <c r="O374" s="1430"/>
      <c r="P374" s="94"/>
      <c r="Q374" s="1431"/>
      <c r="R374" s="1430"/>
      <c r="S374" s="1164"/>
      <c r="T374" s="1164"/>
      <c r="U374" s="2174"/>
      <c r="V374" s="2174"/>
      <c r="W374" s="2174"/>
      <c r="X374" s="1164"/>
    </row>
    <row r="375" ht="15.75" customHeight="1">
      <c r="A375" s="94"/>
      <c r="B375" s="94"/>
      <c r="C375" s="1164"/>
      <c r="D375" s="1429"/>
      <c r="E375" s="1429"/>
      <c r="F375" s="1429"/>
      <c r="G375" s="1429"/>
      <c r="H375" s="1430"/>
      <c r="I375" s="1430"/>
      <c r="J375" s="94"/>
      <c r="K375" s="94"/>
      <c r="L375" s="94"/>
      <c r="M375" s="1430"/>
      <c r="N375" s="1430"/>
      <c r="O375" s="1430"/>
      <c r="P375" s="94"/>
      <c r="Q375" s="1431"/>
      <c r="R375" s="1430"/>
      <c r="S375" s="1164"/>
      <c r="T375" s="1164"/>
      <c r="U375" s="2174"/>
      <c r="V375" s="94"/>
      <c r="W375" s="94"/>
      <c r="X375" s="1164"/>
    </row>
    <row r="376" ht="15.75" customHeight="1">
      <c r="A376" s="94"/>
      <c r="B376" s="94"/>
      <c r="C376" s="1164"/>
      <c r="D376" s="1429"/>
      <c r="E376" s="1429"/>
      <c r="F376" s="1429"/>
      <c r="G376" s="1429"/>
      <c r="H376" s="1430"/>
      <c r="I376" s="94"/>
      <c r="J376" s="1164"/>
      <c r="K376" s="94"/>
      <c r="L376" s="94"/>
      <c r="M376" s="1430"/>
      <c r="N376" s="1430"/>
      <c r="O376" s="1430"/>
      <c r="P376" s="94"/>
      <c r="Q376" s="1431"/>
      <c r="R376" s="1430"/>
      <c r="S376" s="1164"/>
      <c r="T376" s="1164"/>
      <c r="U376" s="2174"/>
      <c r="V376" s="2174"/>
      <c r="W376" s="94"/>
      <c r="X376" s="1164"/>
    </row>
    <row r="377" ht="15.75" customHeight="1">
      <c r="A377" s="94"/>
      <c r="B377" s="94"/>
      <c r="C377" s="1164"/>
      <c r="D377" s="1429"/>
      <c r="E377" s="1429"/>
      <c r="F377" s="1429"/>
      <c r="G377" s="1429"/>
      <c r="H377" s="1430"/>
      <c r="I377" s="1430"/>
      <c r="J377" s="94"/>
      <c r="K377" s="94"/>
      <c r="L377" s="94"/>
      <c r="M377" s="1430"/>
      <c r="N377" s="1430"/>
      <c r="O377" s="1430"/>
      <c r="P377" s="94"/>
      <c r="Q377" s="1431"/>
      <c r="R377" s="1430"/>
      <c r="S377" s="1164"/>
      <c r="T377" s="1164"/>
      <c r="U377" s="2174"/>
      <c r="V377" s="2174"/>
      <c r="W377" s="2174"/>
      <c r="X377" s="1164"/>
    </row>
    <row r="378" ht="15.75" customHeight="1">
      <c r="A378" s="94"/>
      <c r="B378" s="94"/>
      <c r="C378" s="1164"/>
      <c r="D378" s="1429"/>
      <c r="E378" s="1429"/>
      <c r="F378" s="1429"/>
      <c r="G378" s="1429"/>
      <c r="H378" s="1430"/>
      <c r="I378" s="94"/>
      <c r="J378" s="1164"/>
      <c r="K378" s="94"/>
      <c r="L378" s="94"/>
      <c r="M378" s="94"/>
      <c r="N378" s="94"/>
      <c r="O378" s="94"/>
      <c r="P378" s="94"/>
      <c r="Q378" s="1431"/>
      <c r="R378" s="1430"/>
      <c r="S378" s="1164"/>
      <c r="T378" s="1164"/>
      <c r="U378" s="2174"/>
      <c r="V378" s="2174"/>
      <c r="W378" s="94"/>
      <c r="X378" s="1164"/>
    </row>
    <row r="379" ht="15.75" customHeight="1">
      <c r="A379" s="94"/>
      <c r="B379" s="94"/>
      <c r="C379" s="1164"/>
      <c r="D379" s="1429"/>
      <c r="E379" s="1429"/>
      <c r="F379" s="1429"/>
      <c r="G379" s="1429"/>
      <c r="H379" s="1430"/>
      <c r="I379" s="1430"/>
      <c r="J379" s="94"/>
      <c r="K379" s="94"/>
      <c r="L379" s="94"/>
      <c r="M379" s="94"/>
      <c r="N379" s="94"/>
      <c r="O379" s="94"/>
      <c r="P379" s="94"/>
      <c r="Q379" s="1431"/>
      <c r="R379" s="1430"/>
      <c r="S379" s="1164"/>
      <c r="T379" s="1164"/>
      <c r="U379" s="2174"/>
      <c r="V379" s="94"/>
      <c r="W379" s="94"/>
      <c r="X379" s="1164"/>
    </row>
    <row r="380" ht="15.75" customHeight="1">
      <c r="A380" s="94"/>
      <c r="B380" s="94"/>
      <c r="C380" s="1164"/>
      <c r="D380" s="1429"/>
      <c r="E380" s="1429"/>
      <c r="F380" s="1429"/>
      <c r="G380" s="1429"/>
      <c r="H380" s="1430"/>
      <c r="I380" s="1430"/>
      <c r="J380" s="94"/>
      <c r="K380" s="94"/>
      <c r="L380" s="94"/>
      <c r="M380" s="94"/>
      <c r="N380" s="94"/>
      <c r="O380" s="94"/>
      <c r="P380" s="94"/>
      <c r="Q380" s="1431"/>
      <c r="R380" s="1430"/>
      <c r="S380" s="1164"/>
      <c r="T380" s="1164"/>
      <c r="U380" s="2174"/>
      <c r="V380" s="94"/>
      <c r="W380" s="94"/>
      <c r="X380" s="1164"/>
    </row>
    <row r="381" ht="15.75" customHeight="1">
      <c r="A381" s="94"/>
      <c r="B381" s="94"/>
      <c r="C381" s="1164"/>
      <c r="D381" s="1429"/>
      <c r="E381" s="1429"/>
      <c r="F381" s="1429"/>
      <c r="G381" s="1429"/>
      <c r="H381" s="1430"/>
      <c r="I381" s="1430"/>
      <c r="J381" s="94"/>
      <c r="K381" s="94"/>
      <c r="L381" s="94"/>
      <c r="M381" s="94"/>
      <c r="N381" s="94"/>
      <c r="O381" s="94"/>
      <c r="P381" s="94"/>
      <c r="Q381" s="1431"/>
      <c r="R381" s="1430"/>
      <c r="S381" s="1164"/>
      <c r="T381" s="1164"/>
      <c r="U381" s="2174"/>
      <c r="V381" s="94"/>
      <c r="W381" s="94"/>
      <c r="X381" s="1164"/>
    </row>
    <row r="382" ht="15.75" customHeight="1">
      <c r="A382" s="94"/>
      <c r="B382" s="94"/>
      <c r="C382" s="1164"/>
      <c r="D382" s="1429"/>
      <c r="E382" s="1429"/>
      <c r="F382" s="1429"/>
      <c r="G382" s="1429"/>
      <c r="H382" s="1430"/>
      <c r="I382" s="1430"/>
      <c r="J382" s="94"/>
      <c r="K382" s="94"/>
      <c r="L382" s="94"/>
      <c r="M382" s="94"/>
      <c r="N382" s="94"/>
      <c r="O382" s="1430"/>
      <c r="P382" s="94"/>
      <c r="Q382" s="1431"/>
      <c r="R382" s="1430"/>
      <c r="S382" s="1164"/>
      <c r="T382" s="1164"/>
      <c r="U382" s="2174"/>
      <c r="V382" s="94"/>
      <c r="W382" s="94"/>
      <c r="X382" s="1164"/>
    </row>
    <row r="383" ht="15.75" customHeight="1">
      <c r="A383" s="94"/>
      <c r="B383" s="94"/>
      <c r="C383" s="1164"/>
      <c r="D383" s="1429"/>
      <c r="E383" s="1429"/>
      <c r="F383" s="1429"/>
      <c r="G383" s="1429"/>
      <c r="H383" s="1430"/>
      <c r="I383" s="1430"/>
      <c r="J383" s="94"/>
      <c r="K383" s="94"/>
      <c r="L383" s="94"/>
      <c r="M383" s="1430"/>
      <c r="N383" s="1430"/>
      <c r="O383" s="1430"/>
      <c r="P383" s="94"/>
      <c r="Q383" s="1431"/>
      <c r="R383" s="1430"/>
      <c r="S383" s="1164"/>
      <c r="T383" s="1164"/>
      <c r="U383" s="2174"/>
      <c r="V383" s="2174"/>
      <c r="W383" s="2174"/>
      <c r="X383" s="1164"/>
    </row>
    <row r="384" ht="15.75" customHeight="1">
      <c r="A384" s="94"/>
      <c r="B384" s="94"/>
      <c r="C384" s="1164"/>
      <c r="D384" s="1429"/>
      <c r="E384" s="1429"/>
      <c r="F384" s="1429"/>
      <c r="G384" s="1429"/>
      <c r="H384" s="1430"/>
      <c r="I384" s="1430"/>
      <c r="J384" s="94"/>
      <c r="K384" s="94"/>
      <c r="L384" s="94"/>
      <c r="M384" s="1430"/>
      <c r="N384" s="1430"/>
      <c r="O384" s="1430"/>
      <c r="P384" s="94"/>
      <c r="Q384" s="1431"/>
      <c r="R384" s="1430"/>
      <c r="S384" s="1164"/>
      <c r="T384" s="1164"/>
      <c r="U384" s="2174"/>
      <c r="V384" s="2174"/>
      <c r="W384" s="2174"/>
      <c r="X384" s="1164"/>
    </row>
    <row r="385" ht="15.75" customHeight="1">
      <c r="A385" s="94"/>
      <c r="B385" s="94"/>
      <c r="C385" s="1164"/>
      <c r="D385" s="1429"/>
      <c r="E385" s="1429"/>
      <c r="F385" s="1429"/>
      <c r="G385" s="1429"/>
      <c r="H385" s="1430"/>
      <c r="I385" s="1430"/>
      <c r="J385" s="94"/>
      <c r="K385" s="94"/>
      <c r="L385" s="94"/>
      <c r="M385" s="1430"/>
      <c r="N385" s="1430"/>
      <c r="O385" s="1430"/>
      <c r="P385" s="94"/>
      <c r="Q385" s="1431"/>
      <c r="R385" s="1430"/>
      <c r="S385" s="1164"/>
      <c r="T385" s="1164"/>
      <c r="U385" s="2174"/>
      <c r="V385" s="2174"/>
      <c r="W385" s="2174"/>
      <c r="X385" s="1164"/>
    </row>
    <row r="386" ht="15.75" customHeight="1">
      <c r="A386" s="94"/>
      <c r="B386" s="94"/>
      <c r="C386" s="1164"/>
      <c r="D386" s="1429"/>
      <c r="E386" s="1429"/>
      <c r="F386" s="1429"/>
      <c r="G386" s="1429"/>
      <c r="H386" s="1430"/>
      <c r="I386" s="1430"/>
      <c r="J386" s="94"/>
      <c r="K386" s="94"/>
      <c r="L386" s="94"/>
      <c r="M386" s="1430"/>
      <c r="N386" s="1430"/>
      <c r="O386" s="1430"/>
      <c r="P386" s="94"/>
      <c r="Q386" s="1431"/>
      <c r="R386" s="1430"/>
      <c r="S386" s="1164"/>
      <c r="T386" s="1164"/>
      <c r="U386" s="2174"/>
      <c r="V386" s="2174"/>
      <c r="W386" s="2174"/>
      <c r="X386" s="1164"/>
    </row>
    <row r="387" ht="15.75" customHeight="1">
      <c r="A387" s="94"/>
      <c r="B387" s="94"/>
      <c r="C387" s="1164"/>
      <c r="D387" s="1429"/>
      <c r="E387" s="1429"/>
      <c r="F387" s="1429"/>
      <c r="G387" s="1429"/>
      <c r="H387" s="1430"/>
      <c r="I387" s="1430"/>
      <c r="J387" s="94"/>
      <c r="K387" s="94"/>
      <c r="L387" s="94"/>
      <c r="M387" s="1430"/>
      <c r="N387" s="1430"/>
      <c r="O387" s="1430"/>
      <c r="P387" s="94"/>
      <c r="Q387" s="1431"/>
      <c r="R387" s="1430"/>
      <c r="S387" s="1164"/>
      <c r="T387" s="1164"/>
      <c r="U387" s="2174"/>
      <c r="V387" s="2174"/>
      <c r="W387" s="2174"/>
      <c r="X387" s="1164"/>
    </row>
    <row r="388" ht="15.75" customHeight="1">
      <c r="A388" s="94"/>
      <c r="B388" s="94"/>
      <c r="C388" s="1164"/>
      <c r="D388" s="1429"/>
      <c r="E388" s="1429"/>
      <c r="F388" s="1429"/>
      <c r="G388" s="1429"/>
      <c r="H388" s="1430"/>
      <c r="I388" s="1430"/>
      <c r="J388" s="94"/>
      <c r="K388" s="94"/>
      <c r="L388" s="94"/>
      <c r="M388" s="1430"/>
      <c r="N388" s="1430"/>
      <c r="O388" s="1430"/>
      <c r="P388" s="94"/>
      <c r="Q388" s="1431"/>
      <c r="R388" s="1430"/>
      <c r="S388" s="1164"/>
      <c r="T388" s="1164"/>
      <c r="U388" s="2174"/>
      <c r="V388" s="2174"/>
      <c r="W388" s="2174"/>
      <c r="X388" s="1164"/>
    </row>
    <row r="389" ht="15.75" customHeight="1">
      <c r="A389" s="94"/>
      <c r="B389" s="94"/>
      <c r="C389" s="1164"/>
      <c r="D389" s="1429"/>
      <c r="E389" s="1429"/>
      <c r="F389" s="1429"/>
      <c r="G389" s="1429"/>
      <c r="H389" s="1430"/>
      <c r="I389" s="1430"/>
      <c r="J389" s="94"/>
      <c r="K389" s="94"/>
      <c r="L389" s="94"/>
      <c r="M389" s="1430"/>
      <c r="N389" s="1430"/>
      <c r="O389" s="1430"/>
      <c r="P389" s="94"/>
      <c r="Q389" s="1431"/>
      <c r="R389" s="1430"/>
      <c r="S389" s="1164"/>
      <c r="T389" s="1164"/>
      <c r="U389" s="2174"/>
      <c r="V389" s="2174"/>
      <c r="W389" s="2174"/>
      <c r="X389" s="1164"/>
    </row>
    <row r="390" ht="15.75" customHeight="1">
      <c r="A390" s="94"/>
      <c r="B390" s="94"/>
      <c r="C390" s="1164"/>
      <c r="D390" s="1429"/>
      <c r="E390" s="1429"/>
      <c r="F390" s="1429"/>
      <c r="G390" s="1429"/>
      <c r="H390" s="1430"/>
      <c r="I390" s="1430"/>
      <c r="J390" s="94"/>
      <c r="K390" s="94"/>
      <c r="L390" s="94"/>
      <c r="M390" s="1430"/>
      <c r="N390" s="1430"/>
      <c r="O390" s="1430"/>
      <c r="P390" s="94"/>
      <c r="Q390" s="1431"/>
      <c r="R390" s="1430"/>
      <c r="S390" s="1164"/>
      <c r="T390" s="1164"/>
      <c r="U390" s="2174"/>
      <c r="V390" s="2174"/>
      <c r="W390" s="2174"/>
      <c r="X390" s="1164"/>
    </row>
    <row r="391" ht="15.75" customHeight="1">
      <c r="A391" s="94"/>
      <c r="B391" s="94"/>
      <c r="C391" s="1164"/>
      <c r="D391" s="1429"/>
      <c r="E391" s="1429"/>
      <c r="F391" s="1429"/>
      <c r="G391" s="1429"/>
      <c r="H391" s="1430"/>
      <c r="I391" s="1430"/>
      <c r="J391" s="94"/>
      <c r="K391" s="94"/>
      <c r="L391" s="94"/>
      <c r="M391" s="1430"/>
      <c r="N391" s="1430"/>
      <c r="O391" s="1430"/>
      <c r="P391" s="94"/>
      <c r="Q391" s="1431"/>
      <c r="R391" s="1430"/>
      <c r="S391" s="1164"/>
      <c r="T391" s="1164"/>
      <c r="U391" s="2174"/>
      <c r="V391" s="2174"/>
      <c r="W391" s="2174"/>
      <c r="X391" s="1164"/>
    </row>
    <row r="392" ht="15.75" customHeight="1">
      <c r="A392" s="94"/>
      <c r="B392" s="94"/>
      <c r="C392" s="1164"/>
      <c r="D392" s="1429"/>
      <c r="E392" s="1429"/>
      <c r="F392" s="1429"/>
      <c r="G392" s="1429"/>
      <c r="H392" s="1430"/>
      <c r="I392" s="1430"/>
      <c r="J392" s="94"/>
      <c r="K392" s="94"/>
      <c r="L392" s="94"/>
      <c r="M392" s="1430"/>
      <c r="N392" s="1430"/>
      <c r="O392" s="1430"/>
      <c r="P392" s="94"/>
      <c r="Q392" s="1431"/>
      <c r="R392" s="1430"/>
      <c r="S392" s="1164"/>
      <c r="T392" s="1164"/>
      <c r="U392" s="2174"/>
      <c r="V392" s="2174"/>
      <c r="W392" s="2174"/>
      <c r="X392" s="1164"/>
    </row>
    <row r="393" ht="15.75" customHeight="1">
      <c r="A393" s="94"/>
      <c r="B393" s="94"/>
      <c r="C393" s="1164"/>
      <c r="D393" s="1429"/>
      <c r="E393" s="1429"/>
      <c r="F393" s="1429"/>
      <c r="G393" s="1429"/>
      <c r="H393" s="1430"/>
      <c r="I393" s="1430"/>
      <c r="J393" s="94"/>
      <c r="K393" s="94"/>
      <c r="L393" s="94"/>
      <c r="M393" s="1430"/>
      <c r="N393" s="1430"/>
      <c r="O393" s="1430"/>
      <c r="P393" s="94"/>
      <c r="Q393" s="1431"/>
      <c r="R393" s="1430"/>
      <c r="S393" s="1164"/>
      <c r="T393" s="1164"/>
      <c r="U393" s="2174"/>
      <c r="V393" s="2174"/>
      <c r="W393" s="2174"/>
      <c r="X393" s="1164"/>
    </row>
    <row r="394" ht="15.75" customHeight="1">
      <c r="A394" s="94"/>
      <c r="B394" s="94"/>
      <c r="C394" s="1164"/>
      <c r="D394" s="1429"/>
      <c r="E394" s="1429"/>
      <c r="F394" s="1429"/>
      <c r="G394" s="1429"/>
      <c r="H394" s="1430"/>
      <c r="I394" s="1430"/>
      <c r="J394" s="94"/>
      <c r="K394" s="94"/>
      <c r="L394" s="94"/>
      <c r="M394" s="1430"/>
      <c r="N394" s="1430"/>
      <c r="O394" s="1430"/>
      <c r="P394" s="94"/>
      <c r="Q394" s="1431"/>
      <c r="R394" s="1430"/>
      <c r="S394" s="1164"/>
      <c r="T394" s="1164"/>
      <c r="U394" s="2174"/>
      <c r="V394" s="2174"/>
      <c r="W394" s="2174"/>
      <c r="X394" s="1164"/>
    </row>
    <row r="395" ht="15.75" customHeight="1">
      <c r="A395" s="94"/>
      <c r="B395" s="94"/>
      <c r="C395" s="1164"/>
      <c r="D395" s="1429"/>
      <c r="E395" s="1429"/>
      <c r="F395" s="1429"/>
      <c r="G395" s="1429"/>
      <c r="H395" s="1430"/>
      <c r="I395" s="1430"/>
      <c r="J395" s="94"/>
      <c r="K395" s="94"/>
      <c r="L395" s="94"/>
      <c r="M395" s="1430"/>
      <c r="N395" s="1430"/>
      <c r="O395" s="1430"/>
      <c r="P395" s="94"/>
      <c r="Q395" s="1431"/>
      <c r="R395" s="1430"/>
      <c r="S395" s="1164"/>
      <c r="T395" s="1164"/>
      <c r="U395" s="2174"/>
      <c r="V395" s="2174"/>
      <c r="W395" s="2174"/>
      <c r="X395" s="1164"/>
    </row>
    <row r="396" ht="15.75" customHeight="1">
      <c r="A396" s="94"/>
      <c r="B396" s="94"/>
      <c r="C396" s="1164"/>
      <c r="D396" s="1429"/>
      <c r="E396" s="1429"/>
      <c r="F396" s="1429"/>
      <c r="G396" s="1429"/>
      <c r="H396" s="1430"/>
      <c r="I396" s="94"/>
      <c r="J396" s="1164"/>
      <c r="K396" s="94"/>
      <c r="L396" s="94"/>
      <c r="M396" s="1430"/>
      <c r="N396" s="1430"/>
      <c r="O396" s="1430"/>
      <c r="P396" s="94"/>
      <c r="Q396" s="1431"/>
      <c r="R396" s="1430"/>
      <c r="S396" s="1164"/>
      <c r="T396" s="1164"/>
      <c r="U396" s="2174"/>
      <c r="V396" s="2174"/>
      <c r="W396" s="94"/>
      <c r="X396" s="1164"/>
    </row>
    <row r="397" ht="15.75" customHeight="1">
      <c r="A397" s="94"/>
      <c r="B397" s="94"/>
      <c r="C397" s="94"/>
      <c r="D397" s="94"/>
      <c r="E397" s="94"/>
      <c r="F397" s="94"/>
      <c r="G397" s="94"/>
      <c r="H397" s="1164"/>
      <c r="I397" s="1164"/>
      <c r="J397" s="1164"/>
      <c r="K397" s="1430"/>
      <c r="L397" s="1430"/>
      <c r="M397" s="1430"/>
      <c r="N397" s="1430"/>
      <c r="O397" s="1430"/>
      <c r="P397" s="1430"/>
      <c r="Q397" s="94"/>
      <c r="R397" s="1430"/>
      <c r="S397" s="94"/>
      <c r="T397" s="1164"/>
      <c r="U397" s="94"/>
      <c r="V397" s="94"/>
      <c r="W397" s="94"/>
      <c r="X397" s="1430"/>
    </row>
    <row r="398" ht="15.75" customHeight="1">
      <c r="A398" s="94"/>
      <c r="B398" s="94"/>
      <c r="C398" s="1164"/>
      <c r="D398" s="1429"/>
      <c r="E398" s="1429"/>
      <c r="F398" s="1429"/>
      <c r="G398" s="1429"/>
      <c r="H398" s="1430"/>
      <c r="I398" s="1430"/>
      <c r="J398" s="94"/>
      <c r="K398" s="94"/>
      <c r="L398" s="94"/>
      <c r="M398" s="1430"/>
      <c r="N398" s="1430"/>
      <c r="O398" s="1430"/>
      <c r="P398" s="94"/>
      <c r="Q398" s="1431"/>
      <c r="R398" s="1430"/>
      <c r="S398" s="1164"/>
      <c r="T398" s="1164"/>
      <c r="U398" s="2174"/>
      <c r="V398" s="2174"/>
      <c r="W398" s="2174"/>
      <c r="X398" s="1164"/>
    </row>
    <row r="399" ht="15.75" customHeight="1">
      <c r="A399" s="94"/>
      <c r="B399" s="94"/>
      <c r="C399" s="1164"/>
      <c r="D399" s="1429"/>
      <c r="E399" s="1429"/>
      <c r="F399" s="1429"/>
      <c r="G399" s="1429"/>
      <c r="H399" s="1430"/>
      <c r="I399" s="1430"/>
      <c r="J399" s="94"/>
      <c r="K399" s="94"/>
      <c r="L399" s="94"/>
      <c r="M399" s="1430"/>
      <c r="N399" s="1430"/>
      <c r="O399" s="1430"/>
      <c r="P399" s="94"/>
      <c r="Q399" s="1431"/>
      <c r="R399" s="1430"/>
      <c r="S399" s="1164"/>
      <c r="T399" s="1164"/>
      <c r="U399" s="2174"/>
      <c r="V399" s="2174"/>
      <c r="W399" s="2174"/>
      <c r="X399" s="1164"/>
    </row>
    <row r="400" ht="15.75" customHeight="1">
      <c r="A400" s="94"/>
      <c r="B400" s="94"/>
      <c r="C400" s="1164"/>
      <c r="D400" s="1429"/>
      <c r="E400" s="1429"/>
      <c r="F400" s="1429"/>
      <c r="G400" s="1434"/>
      <c r="H400" s="1430"/>
      <c r="I400" s="1430"/>
      <c r="J400" s="94"/>
      <c r="K400" s="94"/>
      <c r="L400" s="94"/>
      <c r="M400" s="1430"/>
      <c r="N400" s="1430"/>
      <c r="O400" s="1430"/>
      <c r="P400" s="94"/>
      <c r="Q400" s="1431"/>
      <c r="R400" s="1430"/>
      <c r="S400" s="1164"/>
      <c r="T400" s="1164"/>
      <c r="U400" s="2174"/>
      <c r="V400" s="2174"/>
      <c r="W400" s="2174"/>
      <c r="X400" s="1164"/>
    </row>
    <row r="401" ht="15.75" customHeight="1">
      <c r="A401" s="94"/>
      <c r="B401" s="94"/>
      <c r="C401" s="1164"/>
      <c r="D401" s="1429"/>
      <c r="E401" s="1429"/>
      <c r="F401" s="1429"/>
      <c r="G401" s="1429"/>
      <c r="H401" s="1430"/>
      <c r="I401" s="94"/>
      <c r="J401" s="1164"/>
      <c r="K401" s="94"/>
      <c r="L401" s="94"/>
      <c r="M401" s="1430"/>
      <c r="N401" s="1430"/>
      <c r="O401" s="1430"/>
      <c r="P401" s="94"/>
      <c r="Q401" s="1431"/>
      <c r="R401" s="1430"/>
      <c r="S401" s="1164"/>
      <c r="T401" s="1164"/>
      <c r="U401" s="2174"/>
      <c r="V401" s="2174"/>
      <c r="W401" s="2174"/>
      <c r="X401" s="1164"/>
    </row>
    <row r="402" ht="15.75" customHeight="1">
      <c r="A402" s="94"/>
      <c r="B402" s="94"/>
      <c r="C402" s="1164"/>
      <c r="D402" s="1429"/>
      <c r="E402" s="1429"/>
      <c r="F402" s="1429"/>
      <c r="G402" s="1429"/>
      <c r="H402" s="1430"/>
      <c r="I402" s="1430"/>
      <c r="J402" s="94"/>
      <c r="K402" s="94"/>
      <c r="L402" s="94"/>
      <c r="M402" s="1430"/>
      <c r="N402" s="1430"/>
      <c r="O402" s="1430"/>
      <c r="P402" s="94"/>
      <c r="Q402" s="1431"/>
      <c r="R402" s="1430"/>
      <c r="S402" s="1164"/>
      <c r="T402" s="1164"/>
      <c r="U402" s="2174"/>
      <c r="V402" s="2174"/>
      <c r="W402" s="2174"/>
      <c r="X402" s="1164"/>
    </row>
    <row r="403" ht="15.75" customHeight="1">
      <c r="A403" s="94"/>
      <c r="B403" s="94"/>
      <c r="C403" s="1164"/>
      <c r="D403" s="1429"/>
      <c r="E403" s="1429"/>
      <c r="F403" s="1435"/>
      <c r="G403" s="1429"/>
      <c r="H403" s="1430"/>
      <c r="I403" s="94"/>
      <c r="J403" s="1164"/>
      <c r="K403" s="94"/>
      <c r="L403" s="94"/>
      <c r="M403" s="1430"/>
      <c r="N403" s="1430"/>
      <c r="O403" s="1430"/>
      <c r="P403" s="94"/>
      <c r="Q403" s="1431"/>
      <c r="R403" s="1430"/>
      <c r="S403" s="1164"/>
      <c r="T403" s="1164"/>
      <c r="U403" s="2174"/>
      <c r="V403" s="2174"/>
      <c r="W403" s="2174"/>
      <c r="X403" s="1164"/>
    </row>
    <row r="404" ht="15.75" customHeight="1">
      <c r="A404" s="94"/>
      <c r="B404" s="94"/>
      <c r="C404" s="1164"/>
      <c r="D404" s="1429"/>
      <c r="E404" s="1429"/>
      <c r="F404" s="1435"/>
      <c r="G404" s="1429"/>
      <c r="H404" s="1430"/>
      <c r="I404" s="94"/>
      <c r="J404" s="1164"/>
      <c r="K404" s="94"/>
      <c r="L404" s="94"/>
      <c r="M404" s="1430"/>
      <c r="N404" s="1430"/>
      <c r="O404" s="1430"/>
      <c r="P404" s="94"/>
      <c r="Q404" s="1431"/>
      <c r="R404" s="1430"/>
      <c r="S404" s="1164"/>
      <c r="T404" s="1164"/>
      <c r="U404" s="2174"/>
      <c r="V404" s="2174"/>
      <c r="W404" s="2174"/>
      <c r="X404" s="1164"/>
    </row>
    <row r="405" ht="15.75" customHeight="1">
      <c r="A405" s="94"/>
      <c r="B405" s="94"/>
      <c r="C405" s="1164"/>
      <c r="D405" s="1429"/>
      <c r="E405" s="1429"/>
      <c r="F405" s="1429"/>
      <c r="G405" s="1429"/>
      <c r="H405" s="1430"/>
      <c r="I405" s="1430"/>
      <c r="J405" s="94"/>
      <c r="K405" s="94"/>
      <c r="L405" s="94"/>
      <c r="M405" s="1430"/>
      <c r="N405" s="1430"/>
      <c r="O405" s="1430"/>
      <c r="P405" s="94"/>
      <c r="Q405" s="1431"/>
      <c r="R405" s="1430"/>
      <c r="S405" s="1164"/>
      <c r="T405" s="1164"/>
      <c r="U405" s="2174"/>
      <c r="V405" s="2174"/>
      <c r="W405" s="2174"/>
      <c r="X405" s="1164"/>
    </row>
    <row r="406" ht="15.75" customHeight="1">
      <c r="A406" s="94"/>
      <c r="B406" s="94"/>
      <c r="C406" s="1164"/>
      <c r="D406" s="1429"/>
      <c r="E406" s="1429"/>
      <c r="F406" s="1429"/>
      <c r="G406" s="1429"/>
      <c r="H406" s="1430"/>
      <c r="I406" s="1430"/>
      <c r="J406" s="94"/>
      <c r="K406" s="94"/>
      <c r="L406" s="94"/>
      <c r="M406" s="1430"/>
      <c r="N406" s="1430"/>
      <c r="O406" s="1430"/>
      <c r="P406" s="94"/>
      <c r="Q406" s="1431"/>
      <c r="R406" s="1430"/>
      <c r="S406" s="1164"/>
      <c r="T406" s="1164"/>
      <c r="U406" s="2174"/>
      <c r="V406" s="2174"/>
      <c r="W406" s="2174"/>
      <c r="X406" s="1164"/>
    </row>
    <row r="407" ht="15.75" customHeight="1">
      <c r="A407" s="94"/>
      <c r="B407" s="94"/>
      <c r="C407" s="1164"/>
      <c r="D407" s="1429"/>
      <c r="E407" s="1429"/>
      <c r="F407" s="1429"/>
      <c r="G407" s="1429"/>
      <c r="H407" s="1430"/>
      <c r="I407" s="1430"/>
      <c r="J407" s="94"/>
      <c r="K407" s="94"/>
      <c r="L407" s="94"/>
      <c r="M407" s="1430"/>
      <c r="N407" s="1430"/>
      <c r="O407" s="1430"/>
      <c r="P407" s="94"/>
      <c r="Q407" s="1431"/>
      <c r="R407" s="1430"/>
      <c r="S407" s="1164"/>
      <c r="T407" s="1164"/>
      <c r="U407" s="2174"/>
      <c r="V407" s="2174"/>
      <c r="W407" s="2174"/>
      <c r="X407" s="1164"/>
    </row>
    <row r="408" ht="15.75" customHeight="1">
      <c r="A408" s="94"/>
      <c r="B408" s="94"/>
      <c r="C408" s="1164"/>
      <c r="D408" s="1429"/>
      <c r="E408" s="1429"/>
      <c r="F408" s="1429"/>
      <c r="G408" s="1429"/>
      <c r="H408" s="1430"/>
      <c r="I408" s="1430"/>
      <c r="J408" s="94"/>
      <c r="K408" s="94"/>
      <c r="L408" s="94"/>
      <c r="M408" s="1430"/>
      <c r="N408" s="1430"/>
      <c r="O408" s="1430"/>
      <c r="P408" s="94"/>
      <c r="Q408" s="1431"/>
      <c r="R408" s="1430"/>
      <c r="S408" s="1164"/>
      <c r="T408" s="1164"/>
      <c r="U408" s="2174"/>
      <c r="V408" s="94"/>
      <c r="W408" s="2174"/>
      <c r="X408" s="1164"/>
    </row>
    <row r="409" ht="15.75" customHeight="1">
      <c r="A409" s="94"/>
      <c r="B409" s="94"/>
      <c r="C409" s="1164"/>
      <c r="D409" s="1429"/>
      <c r="E409" s="1429"/>
      <c r="F409" s="1429"/>
      <c r="G409" s="1429"/>
      <c r="H409" s="1430"/>
      <c r="I409" s="1430"/>
      <c r="J409" s="94"/>
      <c r="K409" s="94"/>
      <c r="L409" s="94"/>
      <c r="M409" s="1430"/>
      <c r="N409" s="1430"/>
      <c r="O409" s="1430"/>
      <c r="P409" s="94"/>
      <c r="Q409" s="1431"/>
      <c r="R409" s="1430"/>
      <c r="S409" s="1164"/>
      <c r="T409" s="1164"/>
      <c r="U409" s="2174"/>
      <c r="V409" s="2174"/>
      <c r="W409" s="2174"/>
      <c r="X409" s="1164"/>
    </row>
    <row r="410" ht="15.75" customHeight="1">
      <c r="A410" s="94"/>
      <c r="B410" s="94"/>
      <c r="C410" s="1164"/>
      <c r="D410" s="1429"/>
      <c r="E410" s="1429"/>
      <c r="F410" s="1429"/>
      <c r="G410" s="1429"/>
      <c r="H410" s="1430"/>
      <c r="I410" s="1430"/>
      <c r="J410" s="94"/>
      <c r="K410" s="94"/>
      <c r="L410" s="94"/>
      <c r="M410" s="1430"/>
      <c r="N410" s="1430"/>
      <c r="O410" s="1430"/>
      <c r="P410" s="94"/>
      <c r="Q410" s="1431"/>
      <c r="R410" s="1430"/>
      <c r="S410" s="1164"/>
      <c r="T410" s="1164"/>
      <c r="U410" s="2174"/>
      <c r="V410" s="2174"/>
      <c r="W410" s="2174"/>
      <c r="X410" s="1164"/>
    </row>
    <row r="411" ht="15.75" customHeight="1">
      <c r="A411" s="94"/>
      <c r="B411" s="94"/>
      <c r="C411" s="1164"/>
      <c r="D411" s="1429"/>
      <c r="E411" s="1429"/>
      <c r="F411" s="1429"/>
      <c r="G411" s="1429"/>
      <c r="H411" s="1430"/>
      <c r="I411" s="1430"/>
      <c r="J411" s="94"/>
      <c r="K411" s="94"/>
      <c r="L411" s="94"/>
      <c r="M411" s="1430"/>
      <c r="N411" s="1430"/>
      <c r="O411" s="1430"/>
      <c r="P411" s="94"/>
      <c r="Q411" s="1431"/>
      <c r="R411" s="1430"/>
      <c r="S411" s="1164"/>
      <c r="T411" s="1164"/>
      <c r="U411" s="2174"/>
      <c r="V411" s="2174"/>
      <c r="W411" s="2174"/>
      <c r="X411" s="1164"/>
    </row>
    <row r="412" ht="15.75" customHeight="1">
      <c r="A412" s="94"/>
      <c r="B412" s="94"/>
      <c r="C412" s="1164"/>
      <c r="D412" s="1429"/>
      <c r="E412" s="1429"/>
      <c r="F412" s="1429"/>
      <c r="G412" s="1429"/>
      <c r="H412" s="1430"/>
      <c r="I412" s="1430"/>
      <c r="J412" s="94"/>
      <c r="K412" s="94"/>
      <c r="L412" s="94"/>
      <c r="M412" s="1430"/>
      <c r="N412" s="1430"/>
      <c r="O412" s="1430"/>
      <c r="P412" s="94"/>
      <c r="Q412" s="1431"/>
      <c r="R412" s="1430"/>
      <c r="S412" s="1164"/>
      <c r="T412" s="1164"/>
      <c r="U412" s="2174"/>
      <c r="V412" s="2174"/>
      <c r="W412" s="2174"/>
      <c r="X412" s="1164"/>
    </row>
    <row r="413" ht="15.75" customHeight="1">
      <c r="A413" s="94"/>
      <c r="B413" s="94"/>
      <c r="C413" s="1164"/>
      <c r="D413" s="1429"/>
      <c r="E413" s="1429"/>
      <c r="F413" s="1429"/>
      <c r="G413" s="1429"/>
      <c r="H413" s="1430"/>
      <c r="I413" s="94"/>
      <c r="J413" s="1164"/>
      <c r="K413" s="94"/>
      <c r="L413" s="94"/>
      <c r="M413" s="1430"/>
      <c r="N413" s="1430"/>
      <c r="O413" s="1430"/>
      <c r="P413" s="94"/>
      <c r="Q413" s="1431"/>
      <c r="R413" s="1430"/>
      <c r="S413" s="1164"/>
      <c r="T413" s="1164"/>
      <c r="U413" s="2174"/>
      <c r="V413" s="2174"/>
      <c r="W413" s="2174"/>
      <c r="X413" s="1164"/>
    </row>
    <row r="414" ht="15.75" customHeight="1">
      <c r="A414" s="94"/>
      <c r="B414" s="94"/>
      <c r="C414" s="1164"/>
      <c r="D414" s="1429"/>
      <c r="E414" s="1429"/>
      <c r="F414" s="1429"/>
      <c r="G414" s="1429"/>
      <c r="H414" s="1430"/>
      <c r="I414" s="94"/>
      <c r="J414" s="1164"/>
      <c r="K414" s="94"/>
      <c r="L414" s="94"/>
      <c r="M414" s="1430"/>
      <c r="N414" s="1430"/>
      <c r="O414" s="1430"/>
      <c r="P414" s="94"/>
      <c r="Q414" s="1431"/>
      <c r="R414" s="1430"/>
      <c r="S414" s="1164"/>
      <c r="T414" s="1164"/>
      <c r="U414" s="2174"/>
      <c r="V414" s="2174"/>
      <c r="W414" s="2174"/>
      <c r="X414" s="1164"/>
    </row>
    <row r="415" ht="15.75" customHeight="1">
      <c r="A415" s="94"/>
      <c r="B415" s="94"/>
      <c r="C415" s="1164"/>
      <c r="D415" s="1429"/>
      <c r="E415" s="1429"/>
      <c r="F415" s="1429"/>
      <c r="G415" s="1429"/>
      <c r="H415" s="1430"/>
      <c r="I415" s="94"/>
      <c r="J415" s="1164"/>
      <c r="K415" s="94"/>
      <c r="L415" s="94"/>
      <c r="M415" s="1430"/>
      <c r="N415" s="1430"/>
      <c r="O415" s="1430"/>
      <c r="P415" s="94"/>
      <c r="Q415" s="1431"/>
      <c r="R415" s="1430"/>
      <c r="S415" s="1164"/>
      <c r="T415" s="1164"/>
      <c r="U415" s="2174"/>
      <c r="V415" s="2174"/>
      <c r="W415" s="2174"/>
      <c r="X415" s="1164"/>
    </row>
    <row r="416" ht="15.75" customHeight="1">
      <c r="A416" s="94"/>
      <c r="B416" s="94"/>
      <c r="C416" s="1164"/>
      <c r="D416" s="1429"/>
      <c r="E416" s="1429"/>
      <c r="F416" s="1429"/>
      <c r="G416" s="1429"/>
      <c r="H416" s="1430"/>
      <c r="I416" s="1430"/>
      <c r="J416" s="94"/>
      <c r="K416" s="94"/>
      <c r="L416" s="94"/>
      <c r="M416" s="1430"/>
      <c r="N416" s="1430"/>
      <c r="O416" s="1430"/>
      <c r="P416" s="94"/>
      <c r="Q416" s="1431"/>
      <c r="R416" s="1430"/>
      <c r="S416" s="1164"/>
      <c r="T416" s="1164"/>
      <c r="U416" s="2174"/>
      <c r="V416" s="2174"/>
      <c r="W416" s="2174"/>
      <c r="X416" s="1164"/>
    </row>
    <row r="417" ht="15.75" customHeight="1">
      <c r="A417" s="94"/>
      <c r="B417" s="94"/>
      <c r="C417" s="1164"/>
      <c r="D417" s="1429"/>
      <c r="E417" s="1429"/>
      <c r="F417" s="1429"/>
      <c r="G417" s="1429"/>
      <c r="H417" s="1430"/>
      <c r="I417" s="94"/>
      <c r="J417" s="1164"/>
      <c r="K417" s="94"/>
      <c r="L417" s="94"/>
      <c r="M417" s="1430"/>
      <c r="N417" s="1430"/>
      <c r="O417" s="1430"/>
      <c r="P417" s="94"/>
      <c r="Q417" s="1431"/>
      <c r="R417" s="1430"/>
      <c r="S417" s="1164"/>
      <c r="T417" s="1164"/>
      <c r="U417" s="2174"/>
      <c r="V417" s="2174"/>
      <c r="W417" s="2174"/>
      <c r="X417" s="1164"/>
    </row>
    <row r="418" ht="15.75" customHeight="1">
      <c r="A418" s="94"/>
      <c r="B418" s="94"/>
      <c r="C418" s="1164"/>
      <c r="D418" s="1429"/>
      <c r="E418" s="1429"/>
      <c r="F418" s="1429"/>
      <c r="G418" s="1429"/>
      <c r="H418" s="1430"/>
      <c r="I418" s="1430"/>
      <c r="J418" s="94"/>
      <c r="K418" s="94"/>
      <c r="L418" s="94"/>
      <c r="M418" s="1430"/>
      <c r="N418" s="1430"/>
      <c r="O418" s="1430"/>
      <c r="P418" s="94"/>
      <c r="Q418" s="1431"/>
      <c r="R418" s="1430"/>
      <c r="S418" s="1164"/>
      <c r="T418" s="1164"/>
      <c r="U418" s="2174"/>
      <c r="V418" s="2174"/>
      <c r="W418" s="2174"/>
      <c r="X418" s="1164"/>
    </row>
    <row r="419" ht="15.75" customHeight="1">
      <c r="A419" s="94"/>
      <c r="B419" s="94"/>
      <c r="C419" s="1164"/>
      <c r="D419" s="1429"/>
      <c r="E419" s="1429"/>
      <c r="F419" s="1429"/>
      <c r="G419" s="1429"/>
      <c r="H419" s="1430"/>
      <c r="I419" s="1430"/>
      <c r="J419" s="94"/>
      <c r="K419" s="94"/>
      <c r="L419" s="94"/>
      <c r="M419" s="1430"/>
      <c r="N419" s="1430"/>
      <c r="O419" s="1430"/>
      <c r="P419" s="94"/>
      <c r="Q419" s="1431"/>
      <c r="R419" s="1430"/>
      <c r="S419" s="1164"/>
      <c r="T419" s="1164"/>
      <c r="U419" s="2174"/>
      <c r="V419" s="2174"/>
      <c r="W419" s="2174"/>
      <c r="X419" s="1164"/>
    </row>
    <row r="420" ht="15.75" customHeight="1">
      <c r="A420" s="94"/>
      <c r="B420" s="94"/>
      <c r="C420" s="1164"/>
      <c r="D420" s="1429"/>
      <c r="E420" s="1429"/>
      <c r="F420" s="1429"/>
      <c r="G420" s="1429"/>
      <c r="H420" s="1430"/>
      <c r="I420" s="94"/>
      <c r="J420" s="1164"/>
      <c r="K420" s="94"/>
      <c r="L420" s="94"/>
      <c r="M420" s="1430"/>
      <c r="N420" s="1430"/>
      <c r="O420" s="1430"/>
      <c r="P420" s="94"/>
      <c r="Q420" s="1431"/>
      <c r="R420" s="1430"/>
      <c r="S420" s="1164"/>
      <c r="T420" s="1164"/>
      <c r="U420" s="2174"/>
      <c r="V420" s="2174"/>
      <c r="W420" s="2174"/>
      <c r="X420" s="1164"/>
    </row>
    <row r="421" ht="15.75" customHeight="1">
      <c r="A421" s="94"/>
      <c r="B421" s="94"/>
      <c r="C421" s="1164"/>
      <c r="D421" s="1429"/>
      <c r="E421" s="1429"/>
      <c r="F421" s="1429"/>
      <c r="G421" s="1429"/>
      <c r="H421" s="1430"/>
      <c r="I421" s="94"/>
      <c r="J421" s="1164"/>
      <c r="K421" s="94"/>
      <c r="L421" s="94"/>
      <c r="M421" s="1430"/>
      <c r="N421" s="1430"/>
      <c r="O421" s="1430"/>
      <c r="P421" s="94"/>
      <c r="Q421" s="1431"/>
      <c r="R421" s="1430"/>
      <c r="S421" s="1164"/>
      <c r="T421" s="1164"/>
      <c r="U421" s="2174"/>
      <c r="V421" s="2174"/>
      <c r="W421" s="2174"/>
      <c r="X421" s="1164"/>
    </row>
    <row r="422" ht="15.75" customHeight="1">
      <c r="A422" s="94"/>
      <c r="B422" s="94"/>
      <c r="C422" s="1164"/>
      <c r="D422" s="1429"/>
      <c r="E422" s="1429"/>
      <c r="F422" s="1429"/>
      <c r="G422" s="1429"/>
      <c r="H422" s="1430"/>
      <c r="I422" s="1430"/>
      <c r="J422" s="94"/>
      <c r="K422" s="94"/>
      <c r="L422" s="94"/>
      <c r="M422" s="1430"/>
      <c r="N422" s="1430"/>
      <c r="O422" s="1430"/>
      <c r="P422" s="94"/>
      <c r="Q422" s="1431"/>
      <c r="R422" s="1430"/>
      <c r="S422" s="1164"/>
      <c r="T422" s="1164"/>
      <c r="U422" s="2174"/>
      <c r="V422" s="2174"/>
      <c r="W422" s="2174"/>
      <c r="X422" s="1164"/>
    </row>
    <row r="423" ht="15.75" customHeight="1">
      <c r="A423" s="94"/>
      <c r="B423" s="94"/>
      <c r="C423" s="1164"/>
      <c r="D423" s="1429"/>
      <c r="E423" s="1429"/>
      <c r="F423" s="1429"/>
      <c r="G423" s="1429"/>
      <c r="H423" s="1430"/>
      <c r="I423" s="1430"/>
      <c r="J423" s="94"/>
      <c r="K423" s="94"/>
      <c r="L423" s="94"/>
      <c r="M423" s="1430"/>
      <c r="N423" s="1430"/>
      <c r="O423" s="1430"/>
      <c r="P423" s="94"/>
      <c r="Q423" s="1431"/>
      <c r="R423" s="1430"/>
      <c r="S423" s="1164"/>
      <c r="T423" s="1164"/>
      <c r="U423" s="2174"/>
      <c r="V423" s="2174"/>
      <c r="W423" s="2174"/>
      <c r="X423" s="1164"/>
    </row>
    <row r="424" ht="15.75" customHeight="1">
      <c r="A424" s="94"/>
      <c r="B424" s="94"/>
      <c r="C424" s="1164"/>
      <c r="D424" s="1429"/>
      <c r="E424" s="1429"/>
      <c r="F424" s="1429"/>
      <c r="G424" s="1429"/>
      <c r="H424" s="1430"/>
      <c r="I424" s="94"/>
      <c r="J424" s="1164"/>
      <c r="K424" s="94"/>
      <c r="L424" s="94"/>
      <c r="M424" s="1430"/>
      <c r="N424" s="1430"/>
      <c r="O424" s="1430"/>
      <c r="P424" s="94"/>
      <c r="Q424" s="1431"/>
      <c r="R424" s="1430"/>
      <c r="S424" s="1164"/>
      <c r="T424" s="1164"/>
      <c r="U424" s="2174"/>
      <c r="V424" s="2174"/>
      <c r="W424" s="2174"/>
      <c r="X424" s="1164"/>
    </row>
    <row r="425" ht="15.75" customHeight="1">
      <c r="A425" s="94"/>
      <c r="B425" s="94"/>
      <c r="C425" s="1164"/>
      <c r="D425" s="1429"/>
      <c r="E425" s="1429"/>
      <c r="F425" s="1429"/>
      <c r="G425" s="1429"/>
      <c r="H425" s="1430"/>
      <c r="I425" s="1430"/>
      <c r="J425" s="94"/>
      <c r="K425" s="94"/>
      <c r="L425" s="94"/>
      <c r="M425" s="1430"/>
      <c r="N425" s="1430"/>
      <c r="O425" s="1430"/>
      <c r="P425" s="94"/>
      <c r="Q425" s="1431"/>
      <c r="R425" s="1430"/>
      <c r="S425" s="1164"/>
      <c r="T425" s="1164"/>
      <c r="U425" s="2174"/>
      <c r="V425" s="2174"/>
      <c r="W425" s="2174"/>
      <c r="X425" s="1164"/>
    </row>
    <row r="426" ht="15.75" customHeight="1">
      <c r="A426" s="94"/>
      <c r="B426" s="94"/>
      <c r="C426" s="1164"/>
      <c r="D426" s="1429"/>
      <c r="E426" s="1429"/>
      <c r="F426" s="1434"/>
      <c r="G426" s="1429"/>
      <c r="H426" s="1430"/>
      <c r="I426" s="1430"/>
      <c r="J426" s="94"/>
      <c r="K426" s="94"/>
      <c r="L426" s="94"/>
      <c r="M426" s="1430"/>
      <c r="N426" s="1430"/>
      <c r="O426" s="1430"/>
      <c r="P426" s="94"/>
      <c r="Q426" s="1431"/>
      <c r="R426" s="1430"/>
      <c r="S426" s="1164"/>
      <c r="T426" s="1164"/>
      <c r="U426" s="2174"/>
      <c r="V426" s="2174"/>
      <c r="W426" s="2174"/>
      <c r="X426" s="1164"/>
    </row>
    <row r="427" ht="15.75" customHeight="1">
      <c r="A427" s="94"/>
      <c r="B427" s="94"/>
      <c r="C427" s="1164"/>
      <c r="D427" s="1429"/>
      <c r="E427" s="1429"/>
      <c r="F427" s="1434"/>
      <c r="G427" s="1429"/>
      <c r="H427" s="1430"/>
      <c r="I427" s="1430"/>
      <c r="J427" s="94"/>
      <c r="K427" s="94"/>
      <c r="L427" s="94"/>
      <c r="M427" s="1430"/>
      <c r="N427" s="1430"/>
      <c r="O427" s="1430"/>
      <c r="P427" s="94"/>
      <c r="Q427" s="1431"/>
      <c r="R427" s="1430"/>
      <c r="S427" s="1164"/>
      <c r="T427" s="1164"/>
      <c r="U427" s="2174"/>
      <c r="V427" s="2174"/>
      <c r="W427" s="2174"/>
      <c r="X427" s="1164"/>
    </row>
    <row r="428" ht="15.75" customHeight="1">
      <c r="A428" s="94"/>
      <c r="B428" s="94"/>
      <c r="C428" s="1164"/>
      <c r="D428" s="1429"/>
      <c r="E428" s="1429"/>
      <c r="F428" s="1429"/>
      <c r="G428" s="1429"/>
      <c r="H428" s="1430"/>
      <c r="I428" s="1430"/>
      <c r="J428" s="94"/>
      <c r="K428" s="94"/>
      <c r="L428" s="94"/>
      <c r="M428" s="1430"/>
      <c r="N428" s="1430"/>
      <c r="O428" s="1430"/>
      <c r="P428" s="94"/>
      <c r="Q428" s="1431"/>
      <c r="R428" s="1430"/>
      <c r="S428" s="1164"/>
      <c r="T428" s="1164"/>
      <c r="U428" s="2174"/>
      <c r="V428" s="2174"/>
      <c r="W428" s="2174"/>
      <c r="X428" s="1164"/>
    </row>
    <row r="429" ht="15.75" customHeight="1">
      <c r="A429" s="94"/>
      <c r="B429" s="94"/>
      <c r="C429" s="1164"/>
      <c r="D429" s="1429"/>
      <c r="E429" s="1429"/>
      <c r="F429" s="1429"/>
      <c r="G429" s="1429"/>
      <c r="H429" s="1430"/>
      <c r="I429" s="94"/>
      <c r="J429" s="1164"/>
      <c r="K429" s="94"/>
      <c r="L429" s="94"/>
      <c r="M429" s="1430"/>
      <c r="N429" s="1430"/>
      <c r="O429" s="1430"/>
      <c r="P429" s="94"/>
      <c r="Q429" s="1431"/>
      <c r="R429" s="1430"/>
      <c r="S429" s="1164"/>
      <c r="T429" s="1164"/>
      <c r="U429" s="2174"/>
      <c r="V429" s="2174"/>
      <c r="W429" s="2174"/>
      <c r="X429" s="1164"/>
    </row>
    <row r="430" ht="15.75" customHeight="1">
      <c r="A430" s="94"/>
      <c r="B430" s="94"/>
      <c r="C430" s="1164"/>
      <c r="D430" s="1429"/>
      <c r="E430" s="1429"/>
      <c r="F430" s="1429"/>
      <c r="G430" s="1429"/>
      <c r="H430" s="1430"/>
      <c r="I430" s="94"/>
      <c r="J430" s="1164"/>
      <c r="K430" s="94"/>
      <c r="L430" s="94"/>
      <c r="M430" s="94"/>
      <c r="N430" s="94"/>
      <c r="O430" s="94"/>
      <c r="P430" s="94"/>
      <c r="Q430" s="1431"/>
      <c r="R430" s="1430"/>
      <c r="S430" s="1164"/>
      <c r="T430" s="1164"/>
      <c r="U430" s="2174"/>
      <c r="V430" s="2174"/>
      <c r="W430" s="2174"/>
      <c r="X430" s="1164"/>
    </row>
    <row r="431" ht="15.75" customHeight="1">
      <c r="A431" s="94"/>
      <c r="B431" s="94"/>
      <c r="C431" s="1164"/>
      <c r="D431" s="1429"/>
      <c r="E431" s="1429"/>
      <c r="F431" s="1429"/>
      <c r="G431" s="1429"/>
      <c r="H431" s="1430"/>
      <c r="I431" s="1430"/>
      <c r="J431" s="94"/>
      <c r="K431" s="94"/>
      <c r="L431" s="94"/>
      <c r="M431" s="94"/>
      <c r="N431" s="94"/>
      <c r="O431" s="94"/>
      <c r="P431" s="94"/>
      <c r="Q431" s="1431"/>
      <c r="R431" s="1430"/>
      <c r="S431" s="1164"/>
      <c r="T431" s="1164"/>
      <c r="U431" s="2174"/>
      <c r="V431" s="94"/>
      <c r="W431" s="2174"/>
      <c r="X431" s="1164"/>
    </row>
    <row r="432" ht="15.75" customHeight="1">
      <c r="A432" s="94"/>
      <c r="B432" s="94"/>
      <c r="C432" s="1164"/>
      <c r="D432" s="1429"/>
      <c r="E432" s="1429"/>
      <c r="F432" s="1429"/>
      <c r="G432" s="1429"/>
      <c r="H432" s="1430"/>
      <c r="I432" s="1430"/>
      <c r="J432" s="94"/>
      <c r="K432" s="94"/>
      <c r="L432" s="94"/>
      <c r="M432" s="1430"/>
      <c r="N432" s="1430"/>
      <c r="O432" s="1430"/>
      <c r="P432" s="94"/>
      <c r="Q432" s="1431"/>
      <c r="R432" s="1430"/>
      <c r="S432" s="1164"/>
      <c r="T432" s="1164"/>
      <c r="U432" s="2174"/>
      <c r="V432" s="2174"/>
      <c r="W432" s="2174"/>
      <c r="X432" s="1164"/>
    </row>
    <row r="433" ht="15.75" customHeight="1">
      <c r="A433" s="94"/>
      <c r="B433" s="94"/>
      <c r="C433" s="1164"/>
      <c r="D433" s="1429"/>
      <c r="E433" s="1429"/>
      <c r="F433" s="1429"/>
      <c r="G433" s="1429"/>
      <c r="H433" s="1430"/>
      <c r="I433" s="1430"/>
      <c r="J433" s="94"/>
      <c r="K433" s="94"/>
      <c r="L433" s="94"/>
      <c r="M433" s="1430"/>
      <c r="N433" s="1430"/>
      <c r="O433" s="1430"/>
      <c r="P433" s="94"/>
      <c r="Q433" s="1431"/>
      <c r="R433" s="1430"/>
      <c r="S433" s="1164"/>
      <c r="T433" s="1164"/>
      <c r="U433" s="2174"/>
      <c r="V433" s="2174"/>
      <c r="W433" s="2174"/>
      <c r="X433" s="1164"/>
    </row>
    <row r="434" ht="15.75" customHeight="1">
      <c r="A434" s="94"/>
      <c r="B434" s="94"/>
      <c r="C434" s="1164"/>
      <c r="D434" s="1429"/>
      <c r="E434" s="1429"/>
      <c r="F434" s="1429"/>
      <c r="G434" s="1429"/>
      <c r="H434" s="1430"/>
      <c r="I434" s="1430"/>
      <c r="J434" s="94"/>
      <c r="K434" s="94"/>
      <c r="L434" s="94"/>
      <c r="M434" s="1430"/>
      <c r="N434" s="1430"/>
      <c r="O434" s="1430"/>
      <c r="P434" s="94"/>
      <c r="Q434" s="1431"/>
      <c r="R434" s="1430"/>
      <c r="S434" s="1164"/>
      <c r="T434" s="1164"/>
      <c r="U434" s="2174"/>
      <c r="V434" s="2174"/>
      <c r="W434" s="2174"/>
      <c r="X434" s="1164"/>
    </row>
    <row r="435" ht="15.75" customHeight="1">
      <c r="A435" s="94"/>
      <c r="B435" s="94"/>
      <c r="C435" s="1164"/>
      <c r="D435" s="1429"/>
      <c r="E435" s="1429"/>
      <c r="F435" s="1429"/>
      <c r="G435" s="1429"/>
      <c r="H435" s="1430"/>
      <c r="I435" s="1430"/>
      <c r="J435" s="94"/>
      <c r="K435" s="94"/>
      <c r="L435" s="94"/>
      <c r="M435" s="1430"/>
      <c r="N435" s="1430"/>
      <c r="O435" s="1430"/>
      <c r="P435" s="94"/>
      <c r="Q435" s="1431"/>
      <c r="R435" s="1430"/>
      <c r="S435" s="1164"/>
      <c r="T435" s="1164"/>
      <c r="U435" s="2174"/>
      <c r="V435" s="2174"/>
      <c r="W435" s="2174"/>
      <c r="X435" s="1164"/>
    </row>
    <row r="436" ht="15.75" customHeight="1">
      <c r="A436" s="94"/>
      <c r="B436" s="94"/>
      <c r="C436" s="1164"/>
      <c r="D436" s="1429"/>
      <c r="E436" s="1429"/>
      <c r="F436" s="1429"/>
      <c r="G436" s="1429"/>
      <c r="H436" s="1430"/>
      <c r="I436" s="94"/>
      <c r="J436" s="1164"/>
      <c r="K436" s="94"/>
      <c r="L436" s="94"/>
      <c r="M436" s="1430"/>
      <c r="N436" s="1430"/>
      <c r="O436" s="1430"/>
      <c r="P436" s="94"/>
      <c r="Q436" s="1431"/>
      <c r="R436" s="1430"/>
      <c r="S436" s="1164"/>
      <c r="T436" s="1164"/>
      <c r="U436" s="2174"/>
      <c r="V436" s="2174"/>
      <c r="W436" s="2174"/>
      <c r="X436" s="1164"/>
    </row>
    <row r="437" ht="15.75" customHeight="1">
      <c r="A437" s="94"/>
      <c r="B437" s="94"/>
      <c r="C437" s="1164"/>
      <c r="D437" s="1429"/>
      <c r="E437" s="1429"/>
      <c r="F437" s="1429"/>
      <c r="G437" s="1429"/>
      <c r="H437" s="1430"/>
      <c r="I437" s="1430"/>
      <c r="J437" s="94"/>
      <c r="K437" s="94"/>
      <c r="L437" s="94"/>
      <c r="M437" s="1430"/>
      <c r="N437" s="1430"/>
      <c r="O437" s="1430"/>
      <c r="P437" s="94"/>
      <c r="Q437" s="1431"/>
      <c r="R437" s="1430"/>
      <c r="S437" s="1164"/>
      <c r="T437" s="1164"/>
      <c r="U437" s="2174"/>
      <c r="V437" s="2174"/>
      <c r="W437" s="2174"/>
      <c r="X437" s="1164"/>
    </row>
    <row r="438" ht="15.75" customHeight="1">
      <c r="A438" s="94"/>
      <c r="B438" s="94"/>
      <c r="C438" s="1164"/>
      <c r="D438" s="1429"/>
      <c r="E438" s="1429"/>
      <c r="F438" s="1429"/>
      <c r="G438" s="1429"/>
      <c r="H438" s="1430"/>
      <c r="I438" s="1430"/>
      <c r="J438" s="94"/>
      <c r="K438" s="94"/>
      <c r="L438" s="94"/>
      <c r="M438" s="1430"/>
      <c r="N438" s="1430"/>
      <c r="O438" s="1430"/>
      <c r="P438" s="94"/>
      <c r="Q438" s="1431"/>
      <c r="R438" s="1430"/>
      <c r="S438" s="1164"/>
      <c r="T438" s="1164"/>
      <c r="U438" s="2174"/>
      <c r="V438" s="2174"/>
      <c r="W438" s="2174"/>
      <c r="X438" s="1164"/>
    </row>
    <row r="439" ht="15.75" customHeight="1">
      <c r="A439" s="94"/>
      <c r="B439" s="94"/>
      <c r="C439" s="1164"/>
      <c r="D439" s="1429"/>
      <c r="E439" s="1429"/>
      <c r="F439" s="1429"/>
      <c r="G439" s="1429"/>
      <c r="H439" s="1430"/>
      <c r="I439" s="94"/>
      <c r="J439" s="1164"/>
      <c r="K439" s="94"/>
      <c r="L439" s="94"/>
      <c r="M439" s="1430"/>
      <c r="N439" s="1430"/>
      <c r="O439" s="1430"/>
      <c r="P439" s="94"/>
      <c r="Q439" s="1431"/>
      <c r="R439" s="1430"/>
      <c r="S439" s="1164"/>
      <c r="T439" s="1164"/>
      <c r="U439" s="2174"/>
      <c r="V439" s="2174"/>
      <c r="W439" s="2174"/>
      <c r="X439" s="1164"/>
    </row>
    <row r="440" ht="15.75" customHeight="1">
      <c r="A440" s="94"/>
      <c r="B440" s="94"/>
      <c r="C440" s="1164"/>
      <c r="D440" s="1429"/>
      <c r="E440" s="1429"/>
      <c r="F440" s="1429"/>
      <c r="G440" s="1429"/>
      <c r="H440" s="1430"/>
      <c r="I440" s="94"/>
      <c r="J440" s="1164"/>
      <c r="K440" s="94"/>
      <c r="L440" s="94"/>
      <c r="M440" s="1430"/>
      <c r="N440" s="1430"/>
      <c r="O440" s="1430"/>
      <c r="P440" s="94"/>
      <c r="Q440" s="1431"/>
      <c r="R440" s="1430"/>
      <c r="S440" s="1164"/>
      <c r="T440" s="1164"/>
      <c r="U440" s="2174"/>
      <c r="V440" s="2174"/>
      <c r="W440" s="2174"/>
      <c r="X440" s="1164"/>
    </row>
    <row r="441" ht="15.75" customHeight="1">
      <c r="A441" s="94"/>
      <c r="B441" s="94"/>
      <c r="C441" s="1164"/>
      <c r="D441" s="1429"/>
      <c r="E441" s="1429"/>
      <c r="F441" s="1429"/>
      <c r="G441" s="1429"/>
      <c r="H441" s="1430"/>
      <c r="I441" s="1430"/>
      <c r="J441" s="94"/>
      <c r="K441" s="94"/>
      <c r="L441" s="94"/>
      <c r="M441" s="1430"/>
      <c r="N441" s="1430"/>
      <c r="O441" s="1430"/>
      <c r="P441" s="94"/>
      <c r="Q441" s="1431"/>
      <c r="R441" s="1430"/>
      <c r="S441" s="1164"/>
      <c r="T441" s="1164"/>
      <c r="U441" s="2174"/>
      <c r="V441" s="2174"/>
      <c r="W441" s="2174"/>
      <c r="X441" s="1164"/>
    </row>
    <row r="442" ht="15.75" customHeight="1">
      <c r="A442" s="94"/>
      <c r="B442" s="94"/>
      <c r="C442" s="1164"/>
      <c r="D442" s="1429"/>
      <c r="E442" s="1429"/>
      <c r="F442" s="1429"/>
      <c r="G442" s="1429"/>
      <c r="H442" s="1430"/>
      <c r="I442" s="94"/>
      <c r="J442" s="1164"/>
      <c r="K442" s="94"/>
      <c r="L442" s="94"/>
      <c r="M442" s="1430"/>
      <c r="N442" s="1430"/>
      <c r="O442" s="1430"/>
      <c r="P442" s="94"/>
      <c r="Q442" s="1431"/>
      <c r="R442" s="1430"/>
      <c r="S442" s="1164"/>
      <c r="T442" s="1164"/>
      <c r="U442" s="2174"/>
      <c r="V442" s="2174"/>
      <c r="W442" s="2174"/>
      <c r="X442" s="1164"/>
    </row>
    <row r="443" ht="15.75" customHeight="1">
      <c r="A443" s="94"/>
      <c r="B443" s="94"/>
      <c r="C443" s="1164"/>
      <c r="D443" s="1429"/>
      <c r="E443" s="1429"/>
      <c r="F443" s="1429"/>
      <c r="G443" s="1429"/>
      <c r="H443" s="1430"/>
      <c r="I443" s="94"/>
      <c r="J443" s="1164"/>
      <c r="K443" s="94"/>
      <c r="L443" s="94"/>
      <c r="M443" s="1430"/>
      <c r="N443" s="1430"/>
      <c r="O443" s="1430"/>
      <c r="P443" s="94"/>
      <c r="Q443" s="1431"/>
      <c r="R443" s="1430"/>
      <c r="S443" s="1164"/>
      <c r="T443" s="1164"/>
      <c r="U443" s="2174"/>
      <c r="V443" s="2174"/>
      <c r="W443" s="2174"/>
      <c r="X443" s="1164"/>
    </row>
    <row r="444" ht="15.75" customHeight="1">
      <c r="A444" s="94"/>
      <c r="B444" s="94"/>
      <c r="C444" s="1164"/>
      <c r="D444" s="1429"/>
      <c r="E444" s="1429"/>
      <c r="F444" s="1429"/>
      <c r="G444" s="1429"/>
      <c r="H444" s="1430"/>
      <c r="I444" s="94"/>
      <c r="J444" s="1164"/>
      <c r="K444" s="94"/>
      <c r="L444" s="94"/>
      <c r="M444" s="1430"/>
      <c r="N444" s="1430"/>
      <c r="O444" s="1430"/>
      <c r="P444" s="94"/>
      <c r="Q444" s="1431"/>
      <c r="R444" s="1430"/>
      <c r="S444" s="1164"/>
      <c r="T444" s="1164"/>
      <c r="U444" s="2174"/>
      <c r="V444" s="2174"/>
      <c r="W444" s="2174"/>
      <c r="X444" s="1164"/>
    </row>
    <row r="445" ht="15.75" customHeight="1">
      <c r="A445" s="94"/>
      <c r="B445" s="94"/>
      <c r="C445" s="1164"/>
      <c r="D445" s="1429"/>
      <c r="E445" s="1429"/>
      <c r="F445" s="1429"/>
      <c r="G445" s="1429"/>
      <c r="H445" s="1430"/>
      <c r="I445" s="1430"/>
      <c r="J445" s="94"/>
      <c r="K445" s="94"/>
      <c r="L445" s="94"/>
      <c r="M445" s="1430"/>
      <c r="N445" s="1430"/>
      <c r="O445" s="1430"/>
      <c r="P445" s="94"/>
      <c r="Q445" s="1431"/>
      <c r="R445" s="1430"/>
      <c r="S445" s="1164"/>
      <c r="T445" s="1164"/>
      <c r="U445" s="2174"/>
      <c r="V445" s="2174"/>
      <c r="W445" s="2174"/>
      <c r="X445" s="1164"/>
    </row>
    <row r="446" ht="15.75" customHeight="1">
      <c r="A446" s="94"/>
      <c r="B446" s="94"/>
      <c r="C446" s="1164"/>
      <c r="D446" s="1429"/>
      <c r="E446" s="1429"/>
      <c r="F446" s="1429"/>
      <c r="G446" s="1429"/>
      <c r="H446" s="1430"/>
      <c r="I446" s="1430"/>
      <c r="J446" s="94"/>
      <c r="K446" s="94"/>
      <c r="L446" s="94"/>
      <c r="M446" s="1430"/>
      <c r="N446" s="1430"/>
      <c r="O446" s="1430"/>
      <c r="P446" s="94"/>
      <c r="Q446" s="1431"/>
      <c r="R446" s="1430"/>
      <c r="S446" s="1164"/>
      <c r="T446" s="1164"/>
      <c r="U446" s="2174"/>
      <c r="V446" s="2174"/>
      <c r="W446" s="2174"/>
      <c r="X446" s="1164"/>
    </row>
    <row r="447" ht="15.75" customHeight="1">
      <c r="A447" s="94"/>
      <c r="B447" s="94"/>
      <c r="C447" s="1164"/>
      <c r="D447" s="1429"/>
      <c r="E447" s="1429"/>
      <c r="F447" s="1429"/>
      <c r="G447" s="1429"/>
      <c r="H447" s="1430"/>
      <c r="I447" s="1430"/>
      <c r="J447" s="94"/>
      <c r="K447" s="94"/>
      <c r="L447" s="94"/>
      <c r="M447" s="1430"/>
      <c r="N447" s="1430"/>
      <c r="O447" s="1430"/>
      <c r="P447" s="94"/>
      <c r="Q447" s="1431"/>
      <c r="R447" s="1430"/>
      <c r="S447" s="1164"/>
      <c r="T447" s="1164"/>
      <c r="U447" s="2174"/>
      <c r="V447" s="2174"/>
      <c r="W447" s="2174"/>
      <c r="X447" s="1164"/>
    </row>
    <row r="448" ht="15.75" customHeight="1">
      <c r="A448" s="94"/>
      <c r="B448" s="94"/>
      <c r="C448" s="1164"/>
      <c r="D448" s="1429"/>
      <c r="E448" s="1429"/>
      <c r="F448" s="1429"/>
      <c r="G448" s="1429"/>
      <c r="H448" s="1430"/>
      <c r="I448" s="1430"/>
      <c r="J448" s="94"/>
      <c r="K448" s="94"/>
      <c r="L448" s="94"/>
      <c r="M448" s="1430"/>
      <c r="N448" s="1430"/>
      <c r="O448" s="1430"/>
      <c r="P448" s="94"/>
      <c r="Q448" s="1431"/>
      <c r="R448" s="1430"/>
      <c r="S448" s="1164"/>
      <c r="T448" s="1164"/>
      <c r="U448" s="2174"/>
      <c r="V448" s="2174"/>
      <c r="W448" s="2174"/>
      <c r="X448" s="1164"/>
    </row>
    <row r="449" ht="15.75" customHeight="1">
      <c r="A449" s="94"/>
      <c r="B449" s="94"/>
      <c r="C449" s="1164"/>
      <c r="D449" s="1429"/>
      <c r="E449" s="1429"/>
      <c r="F449" s="1429"/>
      <c r="G449" s="1429"/>
      <c r="H449" s="1430"/>
      <c r="I449" s="1430"/>
      <c r="J449" s="94"/>
      <c r="K449" s="94"/>
      <c r="L449" s="94"/>
      <c r="M449" s="1430"/>
      <c r="N449" s="1430"/>
      <c r="O449" s="1430"/>
      <c r="P449" s="94"/>
      <c r="Q449" s="1431"/>
      <c r="R449" s="1430"/>
      <c r="S449" s="1164"/>
      <c r="T449" s="1164"/>
      <c r="U449" s="2174"/>
      <c r="V449" s="2174"/>
      <c r="W449" s="2174"/>
      <c r="X449" s="1164"/>
    </row>
    <row r="450" ht="15.75" customHeight="1">
      <c r="A450" s="94"/>
      <c r="B450" s="94"/>
      <c r="C450" s="1164"/>
      <c r="D450" s="1429"/>
      <c r="E450" s="1429"/>
      <c r="F450" s="1429"/>
      <c r="G450" s="1429"/>
      <c r="H450" s="1430"/>
      <c r="I450" s="1430"/>
      <c r="J450" s="94"/>
      <c r="K450" s="94"/>
      <c r="L450" s="94"/>
      <c r="M450" s="1430"/>
      <c r="N450" s="1430"/>
      <c r="O450" s="1430"/>
      <c r="P450" s="94"/>
      <c r="Q450" s="1431"/>
      <c r="R450" s="1430"/>
      <c r="S450" s="1164"/>
      <c r="T450" s="1164"/>
      <c r="U450" s="2174"/>
      <c r="V450" s="2174"/>
      <c r="W450" s="2174"/>
      <c r="X450" s="1164"/>
    </row>
    <row r="451" ht="15.75" customHeight="1">
      <c r="A451" s="94"/>
      <c r="B451" s="94"/>
      <c r="C451" s="1164"/>
      <c r="D451" s="1429"/>
      <c r="E451" s="1429"/>
      <c r="F451" s="1429"/>
      <c r="G451" s="1429"/>
      <c r="H451" s="1430"/>
      <c r="I451" s="94"/>
      <c r="J451" s="1164"/>
      <c r="K451" s="94"/>
      <c r="L451" s="94"/>
      <c r="M451" s="1430"/>
      <c r="N451" s="1430"/>
      <c r="O451" s="1430"/>
      <c r="P451" s="94"/>
      <c r="Q451" s="1431"/>
      <c r="R451" s="1430"/>
      <c r="S451" s="1164"/>
      <c r="T451" s="1164"/>
      <c r="U451" s="2174"/>
      <c r="V451" s="2174"/>
      <c r="W451" s="2174"/>
      <c r="X451" s="1164"/>
    </row>
    <row r="452" ht="15.75" customHeight="1">
      <c r="A452" s="94"/>
      <c r="B452" s="94"/>
      <c r="C452" s="1164"/>
      <c r="D452" s="1429"/>
      <c r="E452" s="1429"/>
      <c r="F452" s="1429"/>
      <c r="G452" s="1429"/>
      <c r="H452" s="1430"/>
      <c r="I452" s="1430"/>
      <c r="J452" s="94"/>
      <c r="K452" s="94"/>
      <c r="L452" s="94"/>
      <c r="M452" s="1430"/>
      <c r="N452" s="1430"/>
      <c r="O452" s="1430"/>
      <c r="P452" s="94"/>
      <c r="Q452" s="1431"/>
      <c r="R452" s="1430"/>
      <c r="S452" s="1164"/>
      <c r="T452" s="1164"/>
      <c r="U452" s="2174"/>
      <c r="V452" s="2174"/>
      <c r="W452" s="2174"/>
      <c r="X452" s="1164"/>
    </row>
    <row r="453" ht="15.75" customHeight="1">
      <c r="A453" s="94"/>
      <c r="B453" s="94"/>
      <c r="C453" s="1164"/>
      <c r="D453" s="1429"/>
      <c r="E453" s="1429"/>
      <c r="F453" s="1429"/>
      <c r="G453" s="1429"/>
      <c r="H453" s="1430"/>
      <c r="I453" s="1430"/>
      <c r="J453" s="94"/>
      <c r="K453" s="94"/>
      <c r="L453" s="94"/>
      <c r="M453" s="1430"/>
      <c r="N453" s="1430"/>
      <c r="O453" s="1430"/>
      <c r="P453" s="94"/>
      <c r="Q453" s="1431"/>
      <c r="R453" s="1430"/>
      <c r="S453" s="1164"/>
      <c r="T453" s="1164"/>
      <c r="U453" s="2174"/>
      <c r="V453" s="2174"/>
      <c r="W453" s="2174"/>
      <c r="X453" s="1164"/>
    </row>
    <row r="454" ht="15.75" customHeight="1">
      <c r="A454" s="94"/>
      <c r="B454" s="94"/>
      <c r="C454" s="1164"/>
      <c r="D454" s="1429"/>
      <c r="E454" s="1429"/>
      <c r="F454" s="1429"/>
      <c r="G454" s="1429"/>
      <c r="H454" s="1430"/>
      <c r="I454" s="1430"/>
      <c r="J454" s="94"/>
      <c r="K454" s="94"/>
      <c r="L454" s="94"/>
      <c r="M454" s="1430"/>
      <c r="N454" s="1430"/>
      <c r="O454" s="1430"/>
      <c r="P454" s="94"/>
      <c r="Q454" s="1431"/>
      <c r="R454" s="1430"/>
      <c r="S454" s="1164"/>
      <c r="T454" s="1164"/>
      <c r="U454" s="2174"/>
      <c r="V454" s="2174"/>
      <c r="W454" s="2174"/>
      <c r="X454" s="1164"/>
    </row>
    <row r="455" ht="15.75" customHeight="1">
      <c r="A455" s="94"/>
      <c r="B455" s="94"/>
      <c r="C455" s="1164"/>
      <c r="D455" s="1429"/>
      <c r="E455" s="1429"/>
      <c r="F455" s="1429"/>
      <c r="G455" s="1429"/>
      <c r="H455" s="1430"/>
      <c r="I455" s="1430"/>
      <c r="J455" s="94"/>
      <c r="K455" s="94"/>
      <c r="L455" s="94"/>
      <c r="M455" s="1430"/>
      <c r="N455" s="1430"/>
      <c r="O455" s="1430"/>
      <c r="P455" s="94"/>
      <c r="Q455" s="1431"/>
      <c r="R455" s="1430"/>
      <c r="S455" s="1164"/>
      <c r="T455" s="1164"/>
      <c r="U455" s="2174"/>
      <c r="V455" s="2174"/>
      <c r="W455" s="2174"/>
      <c r="X455" s="1164"/>
    </row>
    <row r="456" ht="15.75" customHeight="1">
      <c r="A456" s="94"/>
      <c r="B456" s="94"/>
      <c r="C456" s="1164"/>
      <c r="D456" s="1429"/>
      <c r="E456" s="1429"/>
      <c r="F456" s="1429"/>
      <c r="G456" s="1429"/>
      <c r="H456" s="1430"/>
      <c r="I456" s="1430"/>
      <c r="J456" s="94"/>
      <c r="K456" s="94"/>
      <c r="L456" s="94"/>
      <c r="M456" s="1430"/>
      <c r="N456" s="1430"/>
      <c r="O456" s="1430"/>
      <c r="P456" s="94"/>
      <c r="Q456" s="1431"/>
      <c r="R456" s="1430"/>
      <c r="S456" s="1164"/>
      <c r="T456" s="1164"/>
      <c r="U456" s="2174"/>
      <c r="V456" s="2174"/>
      <c r="W456" s="2174"/>
      <c r="X456" s="1164"/>
    </row>
    <row r="457" ht="15.75" customHeight="1">
      <c r="A457" s="94"/>
      <c r="B457" s="94"/>
      <c r="C457" s="94"/>
      <c r="D457" s="94"/>
      <c r="E457" s="94"/>
      <c r="F457" s="94"/>
      <c r="G457" s="94"/>
      <c r="H457" s="1164"/>
      <c r="I457" s="1164"/>
      <c r="J457" s="1164"/>
      <c r="K457" s="1164"/>
      <c r="L457" s="1164"/>
      <c r="M457" s="1164"/>
      <c r="N457" s="1164"/>
      <c r="O457" s="1164"/>
      <c r="P457" s="1164"/>
      <c r="Q457" s="94"/>
      <c r="R457" s="1164"/>
      <c r="S457" s="94"/>
      <c r="T457" s="1164"/>
      <c r="U457" s="94"/>
      <c r="V457" s="94"/>
      <c r="W457" s="94"/>
      <c r="X457" s="1164"/>
    </row>
    <row r="458" ht="15.75" customHeight="1">
      <c r="A458" s="94"/>
      <c r="B458" s="94"/>
      <c r="C458" s="1164"/>
      <c r="D458" s="1429"/>
      <c r="E458" s="1429"/>
      <c r="F458" s="1429"/>
      <c r="G458" s="1429"/>
      <c r="H458" s="1430"/>
      <c r="I458" s="94"/>
      <c r="J458" s="1164"/>
      <c r="K458" s="94"/>
      <c r="L458" s="94"/>
      <c r="M458" s="1430"/>
      <c r="N458" s="1430"/>
      <c r="O458" s="1430"/>
      <c r="P458" s="94"/>
      <c r="Q458" s="1431"/>
      <c r="R458" s="1430"/>
      <c r="S458" s="1164"/>
      <c r="T458" s="1164"/>
      <c r="U458" s="2174"/>
      <c r="V458" s="2174"/>
      <c r="W458" s="2174"/>
      <c r="X458" s="1164"/>
    </row>
    <row r="459" ht="15.75" customHeight="1">
      <c r="A459" s="94"/>
      <c r="B459" s="94"/>
      <c r="C459" s="1164"/>
      <c r="D459" s="1429"/>
      <c r="E459" s="1429"/>
      <c r="F459" s="1429"/>
      <c r="G459" s="1429"/>
      <c r="H459" s="1430"/>
      <c r="I459" s="94"/>
      <c r="J459" s="1164"/>
      <c r="K459" s="94"/>
      <c r="L459" s="94"/>
      <c r="M459" s="1430"/>
      <c r="N459" s="1430"/>
      <c r="O459" s="1430"/>
      <c r="P459" s="94"/>
      <c r="Q459" s="1431"/>
      <c r="R459" s="1430"/>
      <c r="S459" s="1164"/>
      <c r="T459" s="1164"/>
      <c r="U459" s="2174"/>
      <c r="V459" s="2174"/>
      <c r="W459" s="2174"/>
      <c r="X459" s="1164"/>
    </row>
    <row r="460" ht="15.75" customHeight="1">
      <c r="A460" s="94"/>
      <c r="B460" s="94"/>
      <c r="C460" s="1164"/>
      <c r="D460" s="1429"/>
      <c r="E460" s="1429"/>
      <c r="F460" s="1429"/>
      <c r="G460" s="1429"/>
      <c r="H460" s="1430"/>
      <c r="I460" s="1430"/>
      <c r="J460" s="94"/>
      <c r="K460" s="94"/>
      <c r="L460" s="94"/>
      <c r="M460" s="1430"/>
      <c r="N460" s="1430"/>
      <c r="O460" s="1430"/>
      <c r="P460" s="94"/>
      <c r="Q460" s="1431"/>
      <c r="R460" s="1430"/>
      <c r="S460" s="1164"/>
      <c r="T460" s="1164"/>
      <c r="U460" s="2174"/>
      <c r="V460" s="2174"/>
      <c r="W460" s="2174"/>
      <c r="X460" s="1164"/>
    </row>
    <row r="461" ht="15.75" customHeight="1">
      <c r="A461" s="94"/>
      <c r="B461" s="94"/>
      <c r="C461" s="1164"/>
      <c r="D461" s="1429"/>
      <c r="E461" s="1429"/>
      <c r="F461" s="1429"/>
      <c r="G461" s="1429"/>
      <c r="H461" s="1430"/>
      <c r="I461" s="1430"/>
      <c r="J461" s="94"/>
      <c r="K461" s="94"/>
      <c r="L461" s="94"/>
      <c r="M461" s="1430"/>
      <c r="N461" s="1430"/>
      <c r="O461" s="1430"/>
      <c r="P461" s="94"/>
      <c r="Q461" s="1431"/>
      <c r="R461" s="1430"/>
      <c r="S461" s="1164"/>
      <c r="T461" s="1164"/>
      <c r="U461" s="2174"/>
      <c r="V461" s="2174"/>
      <c r="W461" s="2174"/>
      <c r="X461" s="1164"/>
    </row>
    <row r="462" ht="15.75" customHeight="1">
      <c r="A462" s="94"/>
      <c r="B462" s="94"/>
      <c r="C462" s="1164"/>
      <c r="D462" s="1429"/>
      <c r="E462" s="1429"/>
      <c r="F462" s="1429"/>
      <c r="G462" s="1429"/>
      <c r="H462" s="1430"/>
      <c r="I462" s="1430"/>
      <c r="J462" s="94"/>
      <c r="K462" s="94"/>
      <c r="L462" s="94"/>
      <c r="M462" s="1430"/>
      <c r="N462" s="1430"/>
      <c r="O462" s="1430"/>
      <c r="P462" s="94"/>
      <c r="Q462" s="1431"/>
      <c r="R462" s="1430"/>
      <c r="S462" s="1164"/>
      <c r="T462" s="1164"/>
      <c r="U462" s="2174"/>
      <c r="V462" s="2174"/>
      <c r="W462" s="2174"/>
      <c r="X462" s="1164"/>
    </row>
    <row r="463" ht="15.75" customHeight="1">
      <c r="A463" s="94"/>
      <c r="B463" s="94"/>
      <c r="C463" s="1164"/>
      <c r="D463" s="1429"/>
      <c r="E463" s="1429"/>
      <c r="F463" s="1429"/>
      <c r="G463" s="1429"/>
      <c r="H463" s="1430"/>
      <c r="I463" s="1430"/>
      <c r="J463" s="94"/>
      <c r="K463" s="94"/>
      <c r="L463" s="94"/>
      <c r="M463" s="1430"/>
      <c r="N463" s="1430"/>
      <c r="O463" s="1430"/>
      <c r="P463" s="94"/>
      <c r="Q463" s="1431"/>
      <c r="R463" s="1430"/>
      <c r="S463" s="1164"/>
      <c r="T463" s="1164"/>
      <c r="U463" s="2174"/>
      <c r="V463" s="2174"/>
      <c r="W463" s="2174"/>
      <c r="X463" s="1164"/>
    </row>
    <row r="464" ht="15.75" customHeight="1">
      <c r="A464" s="94"/>
      <c r="B464" s="94"/>
      <c r="C464" s="1164"/>
      <c r="D464" s="1429"/>
      <c r="E464" s="1429"/>
      <c r="F464" s="1429"/>
      <c r="G464" s="1429"/>
      <c r="H464" s="1430"/>
      <c r="I464" s="1430"/>
      <c r="J464" s="94"/>
      <c r="K464" s="94"/>
      <c r="L464" s="94"/>
      <c r="M464" s="1430"/>
      <c r="N464" s="1430"/>
      <c r="O464" s="1430"/>
      <c r="P464" s="94"/>
      <c r="Q464" s="1431"/>
      <c r="R464" s="1430"/>
      <c r="S464" s="1164"/>
      <c r="T464" s="1164"/>
      <c r="U464" s="2174"/>
      <c r="V464" s="2174"/>
      <c r="W464" s="2174"/>
      <c r="X464" s="1164"/>
    </row>
    <row r="465" ht="15.75" customHeight="1">
      <c r="A465" s="94"/>
      <c r="B465" s="94"/>
      <c r="C465" s="1164"/>
      <c r="D465" s="1429"/>
      <c r="E465" s="1429"/>
      <c r="F465" s="1429"/>
      <c r="G465" s="1429"/>
      <c r="H465" s="1430"/>
      <c r="I465" s="94"/>
      <c r="J465" s="1164"/>
      <c r="K465" s="94"/>
      <c r="L465" s="94"/>
      <c r="M465" s="1430"/>
      <c r="N465" s="1430"/>
      <c r="O465" s="1430"/>
      <c r="P465" s="94"/>
      <c r="Q465" s="1431"/>
      <c r="R465" s="1430"/>
      <c r="S465" s="1164"/>
      <c r="T465" s="1164"/>
      <c r="U465" s="2174"/>
      <c r="V465" s="2174"/>
      <c r="W465" s="2174"/>
      <c r="X465" s="1164"/>
    </row>
    <row r="466" ht="15.75" customHeight="1">
      <c r="A466" s="94"/>
      <c r="B466" s="94"/>
      <c r="C466" s="1164"/>
      <c r="D466" s="1429"/>
      <c r="E466" s="1429"/>
      <c r="F466" s="1429"/>
      <c r="G466" s="1429"/>
      <c r="H466" s="1430"/>
      <c r="I466" s="1430"/>
      <c r="J466" s="94"/>
      <c r="K466" s="94"/>
      <c r="L466" s="94"/>
      <c r="M466" s="94"/>
      <c r="N466" s="94"/>
      <c r="O466" s="94"/>
      <c r="P466" s="94"/>
      <c r="Q466" s="1431"/>
      <c r="R466" s="1430"/>
      <c r="S466" s="94"/>
      <c r="T466" s="1164"/>
      <c r="U466" s="2174"/>
      <c r="V466" s="94"/>
      <c r="W466" s="2174"/>
      <c r="X466" s="1164"/>
    </row>
    <row r="467" ht="15.75" customHeight="1">
      <c r="A467" s="94"/>
      <c r="B467" s="94"/>
      <c r="C467" s="1164"/>
      <c r="D467" s="1429"/>
      <c r="E467" s="1429"/>
      <c r="F467" s="1429"/>
      <c r="G467" s="1429"/>
      <c r="H467" s="1430"/>
      <c r="I467" s="1430"/>
      <c r="J467" s="94"/>
      <c r="K467" s="94"/>
      <c r="L467" s="94"/>
      <c r="M467" s="94"/>
      <c r="N467" s="94"/>
      <c r="O467" s="1430"/>
      <c r="P467" s="94"/>
      <c r="Q467" s="1431"/>
      <c r="R467" s="1430"/>
      <c r="S467" s="94"/>
      <c r="T467" s="94"/>
      <c r="U467" s="2174"/>
      <c r="V467" s="94"/>
      <c r="W467" s="94"/>
      <c r="X467" s="1164"/>
    </row>
    <row r="468" ht="15.75" customHeight="1">
      <c r="A468" s="94"/>
      <c r="B468" s="94"/>
      <c r="C468" s="1164"/>
      <c r="D468" s="1429"/>
      <c r="E468" s="1429"/>
      <c r="F468" s="1429"/>
      <c r="G468" s="1429"/>
      <c r="H468" s="1430"/>
      <c r="I468" s="94"/>
      <c r="J468" s="1164"/>
      <c r="K468" s="94"/>
      <c r="L468" s="94"/>
      <c r="M468" s="1430"/>
      <c r="N468" s="1430"/>
      <c r="O468" s="1430"/>
      <c r="P468" s="94"/>
      <c r="Q468" s="1431"/>
      <c r="R468" s="1430"/>
      <c r="S468" s="1164"/>
      <c r="T468" s="1164"/>
      <c r="U468" s="2174"/>
      <c r="V468" s="2174"/>
      <c r="W468" s="2174"/>
      <c r="X468" s="1164"/>
    </row>
    <row r="469" ht="15.75" customHeight="1">
      <c r="A469" s="94"/>
      <c r="B469" s="94"/>
      <c r="C469" s="1164"/>
      <c r="D469" s="1429"/>
      <c r="E469" s="1429"/>
      <c r="F469" s="1429"/>
      <c r="G469" s="1429"/>
      <c r="H469" s="1430"/>
      <c r="I469" s="94"/>
      <c r="J469" s="1164"/>
      <c r="K469" s="94"/>
      <c r="L469" s="94"/>
      <c r="M469" s="1430"/>
      <c r="N469" s="1430"/>
      <c r="O469" s="1430"/>
      <c r="P469" s="94"/>
      <c r="Q469" s="1431"/>
      <c r="R469" s="1430"/>
      <c r="S469" s="1164"/>
      <c r="T469" s="1164"/>
      <c r="U469" s="2174"/>
      <c r="V469" s="2174"/>
      <c r="W469" s="2174"/>
      <c r="X469" s="1164"/>
    </row>
    <row r="470" ht="15.75" customHeight="1">
      <c r="A470" s="94"/>
      <c r="B470" s="94"/>
      <c r="C470" s="1164"/>
      <c r="D470" s="1429"/>
      <c r="E470" s="1429"/>
      <c r="F470" s="1429"/>
      <c r="G470" s="1429"/>
      <c r="H470" s="1430"/>
      <c r="I470" s="1430"/>
      <c r="J470" s="94"/>
      <c r="K470" s="94"/>
      <c r="L470" s="94"/>
      <c r="M470" s="1430"/>
      <c r="N470" s="1430"/>
      <c r="O470" s="1430"/>
      <c r="P470" s="94"/>
      <c r="Q470" s="1431"/>
      <c r="R470" s="1430"/>
      <c r="S470" s="1164"/>
      <c r="T470" s="1164"/>
      <c r="U470" s="2174"/>
      <c r="V470" s="2174"/>
      <c r="W470" s="2174"/>
      <c r="X470" s="1164"/>
    </row>
    <row r="471" ht="15.75" customHeight="1">
      <c r="A471" s="94"/>
      <c r="B471" s="94"/>
      <c r="C471" s="1164"/>
      <c r="D471" s="1429"/>
      <c r="E471" s="1429"/>
      <c r="F471" s="1429"/>
      <c r="G471" s="1429"/>
      <c r="H471" s="1430"/>
      <c r="I471" s="1430"/>
      <c r="J471" s="94"/>
      <c r="K471" s="94"/>
      <c r="L471" s="94"/>
      <c r="M471" s="94"/>
      <c r="N471" s="94"/>
      <c r="O471" s="94"/>
      <c r="P471" s="94"/>
      <c r="Q471" s="1431"/>
      <c r="R471" s="1430"/>
      <c r="S471" s="1164"/>
      <c r="T471" s="1164"/>
      <c r="U471" s="2174"/>
      <c r="V471" s="2174"/>
      <c r="W471" s="2174"/>
      <c r="X471" s="1164"/>
    </row>
    <row r="472" ht="15.75" customHeight="1">
      <c r="A472" s="94"/>
      <c r="B472" s="94"/>
      <c r="C472" s="1164"/>
      <c r="D472" s="1429"/>
      <c r="E472" s="1429"/>
      <c r="F472" s="1429"/>
      <c r="G472" s="1429"/>
      <c r="H472" s="1430"/>
      <c r="I472" s="1430"/>
      <c r="J472" s="94"/>
      <c r="K472" s="94"/>
      <c r="L472" s="94"/>
      <c r="M472" s="1430"/>
      <c r="N472" s="1430"/>
      <c r="O472" s="1430"/>
      <c r="P472" s="94"/>
      <c r="Q472" s="1431"/>
      <c r="R472" s="1430"/>
      <c r="S472" s="1164"/>
      <c r="T472" s="1164"/>
      <c r="U472" s="2174"/>
      <c r="V472" s="2174"/>
      <c r="W472" s="2174"/>
      <c r="X472" s="1164"/>
    </row>
    <row r="473" ht="15.75" customHeight="1">
      <c r="A473" s="94"/>
      <c r="B473" s="94"/>
      <c r="C473" s="1164"/>
      <c r="D473" s="1429"/>
      <c r="E473" s="1429"/>
      <c r="F473" s="1429"/>
      <c r="G473" s="1429"/>
      <c r="H473" s="1430"/>
      <c r="I473" s="1430"/>
      <c r="J473" s="94"/>
      <c r="K473" s="94"/>
      <c r="L473" s="94"/>
      <c r="M473" s="1430"/>
      <c r="N473" s="1430"/>
      <c r="O473" s="1430"/>
      <c r="P473" s="94"/>
      <c r="Q473" s="1431"/>
      <c r="R473" s="1430"/>
      <c r="S473" s="1164"/>
      <c r="T473" s="1164"/>
      <c r="U473" s="2174"/>
      <c r="V473" s="2174"/>
      <c r="W473" s="2174"/>
      <c r="X473" s="1164"/>
    </row>
    <row r="474" ht="15.75" customHeight="1">
      <c r="A474" s="94"/>
      <c r="B474" s="94"/>
      <c r="C474" s="1164"/>
      <c r="D474" s="1429"/>
      <c r="E474" s="1429"/>
      <c r="F474" s="1429"/>
      <c r="G474" s="1429"/>
      <c r="H474" s="1430"/>
      <c r="I474" s="94"/>
      <c r="J474" s="1164"/>
      <c r="K474" s="94"/>
      <c r="L474" s="94"/>
      <c r="M474" s="1430"/>
      <c r="N474" s="1430"/>
      <c r="O474" s="1430"/>
      <c r="P474" s="94"/>
      <c r="Q474" s="1431"/>
      <c r="R474" s="1430"/>
      <c r="S474" s="1164"/>
      <c r="T474" s="1164"/>
      <c r="U474" s="2174"/>
      <c r="V474" s="2174"/>
      <c r="W474" s="2174"/>
      <c r="X474" s="1164"/>
    </row>
    <row r="475" ht="15.75" customHeight="1">
      <c r="A475" s="94"/>
      <c r="B475" s="94"/>
      <c r="C475" s="1164"/>
      <c r="D475" s="1429"/>
      <c r="E475" s="1429"/>
      <c r="F475" s="1429"/>
      <c r="G475" s="1429"/>
      <c r="H475" s="1430"/>
      <c r="I475" s="94"/>
      <c r="J475" s="1164"/>
      <c r="K475" s="94"/>
      <c r="L475" s="94"/>
      <c r="M475" s="1430"/>
      <c r="N475" s="1430"/>
      <c r="O475" s="1430"/>
      <c r="P475" s="94"/>
      <c r="Q475" s="1431"/>
      <c r="R475" s="1430"/>
      <c r="S475" s="1164"/>
      <c r="T475" s="1164"/>
      <c r="U475" s="2174"/>
      <c r="V475" s="2174"/>
      <c r="W475" s="2174"/>
      <c r="X475" s="1164"/>
    </row>
    <row r="476" ht="15.75" customHeight="1">
      <c r="A476" s="94"/>
      <c r="B476" s="94"/>
      <c r="C476" s="1164"/>
      <c r="D476" s="1429"/>
      <c r="E476" s="1429"/>
      <c r="F476" s="1429"/>
      <c r="G476" s="1429"/>
      <c r="H476" s="1430"/>
      <c r="I476" s="1430"/>
      <c r="J476" s="94"/>
      <c r="K476" s="94"/>
      <c r="L476" s="94"/>
      <c r="M476" s="1430"/>
      <c r="N476" s="1430"/>
      <c r="O476" s="1430"/>
      <c r="P476" s="94"/>
      <c r="Q476" s="1431"/>
      <c r="R476" s="1430"/>
      <c r="S476" s="1164"/>
      <c r="T476" s="1164"/>
      <c r="U476" s="2174"/>
      <c r="V476" s="2174"/>
      <c r="W476" s="2174"/>
      <c r="X476" s="1164"/>
    </row>
    <row r="477" ht="15.75" customHeight="1">
      <c r="A477" s="94"/>
      <c r="B477" s="94"/>
      <c r="C477" s="1164"/>
      <c r="D477" s="1429"/>
      <c r="E477" s="1429"/>
      <c r="F477" s="1429"/>
      <c r="G477" s="1429"/>
      <c r="H477" s="1430"/>
      <c r="I477" s="1430"/>
      <c r="J477" s="94"/>
      <c r="K477" s="94"/>
      <c r="L477" s="94"/>
      <c r="M477" s="1430"/>
      <c r="N477" s="1430"/>
      <c r="O477" s="1430"/>
      <c r="P477" s="94"/>
      <c r="Q477" s="1431"/>
      <c r="R477" s="1430"/>
      <c r="S477" s="1164"/>
      <c r="T477" s="1164"/>
      <c r="U477" s="2174"/>
      <c r="V477" s="2174"/>
      <c r="W477" s="2174"/>
      <c r="X477" s="1164"/>
    </row>
    <row r="478" ht="15.75" customHeight="1">
      <c r="A478" s="94"/>
      <c r="B478" s="94"/>
      <c r="C478" s="1164"/>
      <c r="D478" s="1429"/>
      <c r="E478" s="94"/>
      <c r="F478" s="1429"/>
      <c r="G478" s="1429"/>
      <c r="H478" s="1430"/>
      <c r="I478" s="1430"/>
      <c r="J478" s="94"/>
      <c r="K478" s="94"/>
      <c r="L478" s="94"/>
      <c r="M478" s="1430"/>
      <c r="N478" s="1430"/>
      <c r="O478" s="1430"/>
      <c r="P478" s="94"/>
      <c r="Q478" s="1431"/>
      <c r="R478" s="1430"/>
      <c r="S478" s="1164"/>
      <c r="T478" s="1164"/>
      <c r="U478" s="2174"/>
      <c r="V478" s="2174"/>
      <c r="W478" s="2174"/>
      <c r="X478" s="1164"/>
    </row>
    <row r="479" ht="15.75" customHeight="1">
      <c r="A479" s="94"/>
      <c r="B479" s="94"/>
      <c r="C479" s="1164"/>
      <c r="D479" s="1429"/>
      <c r="E479" s="1429"/>
      <c r="F479" s="1429"/>
      <c r="G479" s="1429"/>
      <c r="H479" s="1430"/>
      <c r="I479" s="1430"/>
      <c r="J479" s="94"/>
      <c r="K479" s="94"/>
      <c r="L479" s="94"/>
      <c r="M479" s="1430"/>
      <c r="N479" s="1430"/>
      <c r="O479" s="1430"/>
      <c r="P479" s="94"/>
      <c r="Q479" s="1431"/>
      <c r="R479" s="1430"/>
      <c r="S479" s="1164"/>
      <c r="T479" s="1164"/>
      <c r="U479" s="2174"/>
      <c r="V479" s="2174"/>
      <c r="W479" s="2174"/>
      <c r="X479" s="1164"/>
    </row>
    <row r="480" ht="15.75" customHeight="1">
      <c r="A480" s="94"/>
      <c r="B480" s="94"/>
      <c r="C480" s="1164"/>
      <c r="D480" s="1429"/>
      <c r="E480" s="1429"/>
      <c r="F480" s="1429"/>
      <c r="G480" s="1429"/>
      <c r="H480" s="1430"/>
      <c r="I480" s="1430"/>
      <c r="J480" s="94"/>
      <c r="K480" s="94"/>
      <c r="L480" s="94"/>
      <c r="M480" s="1430"/>
      <c r="N480" s="1430"/>
      <c r="O480" s="1430"/>
      <c r="P480" s="94"/>
      <c r="Q480" s="1431"/>
      <c r="R480" s="1430"/>
      <c r="S480" s="1164"/>
      <c r="T480" s="1164"/>
      <c r="U480" s="2174"/>
      <c r="V480" s="2174"/>
      <c r="W480" s="2174"/>
      <c r="X480" s="1164"/>
    </row>
    <row r="481" ht="15.75" customHeight="1">
      <c r="A481" s="94"/>
      <c r="B481" s="94"/>
      <c r="C481" s="1164"/>
      <c r="D481" s="1429"/>
      <c r="E481" s="1429"/>
      <c r="F481" s="1429"/>
      <c r="G481" s="1435"/>
      <c r="H481" s="1430"/>
      <c r="I481" s="1430"/>
      <c r="J481" s="94"/>
      <c r="K481" s="94"/>
      <c r="L481" s="94"/>
      <c r="M481" s="1430"/>
      <c r="N481" s="1430"/>
      <c r="O481" s="1430"/>
      <c r="P481" s="94"/>
      <c r="Q481" s="1431"/>
      <c r="R481" s="1430"/>
      <c r="S481" s="1164"/>
      <c r="T481" s="1164"/>
      <c r="U481" s="2174"/>
      <c r="V481" s="2174"/>
      <c r="W481" s="2174"/>
      <c r="X481" s="1164"/>
    </row>
    <row r="482" ht="15.75" customHeight="1">
      <c r="A482" s="94"/>
      <c r="B482" s="94"/>
      <c r="C482" s="1164"/>
      <c r="D482" s="1429"/>
      <c r="E482" s="1429"/>
      <c r="F482" s="1429"/>
      <c r="G482" s="1429"/>
      <c r="H482" s="1430"/>
      <c r="I482" s="1430"/>
      <c r="J482" s="94"/>
      <c r="K482" s="94"/>
      <c r="L482" s="94"/>
      <c r="M482" s="1430"/>
      <c r="N482" s="1430"/>
      <c r="O482" s="1430"/>
      <c r="P482" s="94"/>
      <c r="Q482" s="1431"/>
      <c r="R482" s="1430"/>
      <c r="S482" s="1164"/>
      <c r="T482" s="1164"/>
      <c r="U482" s="2174"/>
      <c r="V482" s="2174"/>
      <c r="W482" s="2174"/>
      <c r="X482" s="1164"/>
    </row>
    <row r="483" ht="15.75" customHeight="1">
      <c r="A483" s="94"/>
      <c r="B483" s="94"/>
      <c r="C483" s="1164"/>
      <c r="D483" s="1429"/>
      <c r="E483" s="1429"/>
      <c r="F483" s="1429"/>
      <c r="G483" s="1429"/>
      <c r="H483" s="1430"/>
      <c r="I483" s="1430"/>
      <c r="J483" s="94"/>
      <c r="K483" s="94"/>
      <c r="L483" s="94"/>
      <c r="M483" s="1430"/>
      <c r="N483" s="1430"/>
      <c r="O483" s="1430"/>
      <c r="P483" s="94"/>
      <c r="Q483" s="1431"/>
      <c r="R483" s="1430"/>
      <c r="S483" s="1164"/>
      <c r="T483" s="1164"/>
      <c r="U483" s="2174"/>
      <c r="V483" s="2174"/>
      <c r="W483" s="2174"/>
      <c r="X483" s="1164"/>
    </row>
    <row r="484" ht="15.75" customHeight="1">
      <c r="A484" s="94"/>
      <c r="B484" s="94"/>
      <c r="C484" s="1164"/>
      <c r="D484" s="1429"/>
      <c r="E484" s="1429"/>
      <c r="F484" s="1429"/>
      <c r="G484" s="1429"/>
      <c r="H484" s="1430"/>
      <c r="I484" s="1430"/>
      <c r="J484" s="94"/>
      <c r="K484" s="94"/>
      <c r="L484" s="94"/>
      <c r="M484" s="1430"/>
      <c r="N484" s="1430"/>
      <c r="O484" s="1430"/>
      <c r="P484" s="94"/>
      <c r="Q484" s="1431"/>
      <c r="R484" s="1430"/>
      <c r="S484" s="1164"/>
      <c r="T484" s="1164"/>
      <c r="U484" s="2174"/>
      <c r="V484" s="2174"/>
      <c r="W484" s="2174"/>
      <c r="X484" s="1164"/>
    </row>
    <row r="485" ht="15.75" customHeight="1">
      <c r="A485" s="94"/>
      <c r="B485" s="94"/>
      <c r="C485" s="1164"/>
      <c r="D485" s="1429"/>
      <c r="E485" s="1429"/>
      <c r="F485" s="1429"/>
      <c r="G485" s="1429"/>
      <c r="H485" s="1430"/>
      <c r="I485" s="94"/>
      <c r="J485" s="1164"/>
      <c r="K485" s="94"/>
      <c r="L485" s="94"/>
      <c r="M485" s="1430"/>
      <c r="N485" s="1430"/>
      <c r="O485" s="1430"/>
      <c r="P485" s="94"/>
      <c r="Q485" s="1431"/>
      <c r="R485" s="1430"/>
      <c r="S485" s="1164"/>
      <c r="T485" s="1164"/>
      <c r="U485" s="2174"/>
      <c r="V485" s="2174"/>
      <c r="W485" s="2174"/>
      <c r="X485" s="1164"/>
    </row>
    <row r="486" ht="15.75" customHeight="1">
      <c r="A486" s="94"/>
      <c r="B486" s="94"/>
      <c r="C486" s="1164"/>
      <c r="D486" s="1429"/>
      <c r="E486" s="1429"/>
      <c r="F486" s="1429"/>
      <c r="G486" s="1429"/>
      <c r="H486" s="1430"/>
      <c r="I486" s="1430"/>
      <c r="J486" s="94"/>
      <c r="K486" s="94"/>
      <c r="L486" s="94"/>
      <c r="M486" s="1430"/>
      <c r="N486" s="1430"/>
      <c r="O486" s="1430"/>
      <c r="P486" s="94"/>
      <c r="Q486" s="1431"/>
      <c r="R486" s="1430"/>
      <c r="S486" s="1164"/>
      <c r="T486" s="1164"/>
      <c r="U486" s="2174"/>
      <c r="V486" s="2174"/>
      <c r="W486" s="2174"/>
      <c r="X486" s="1164"/>
    </row>
    <row r="487" ht="15.75" customHeight="1">
      <c r="A487" s="94"/>
      <c r="B487" s="94"/>
      <c r="C487" s="1164"/>
      <c r="D487" s="1429"/>
      <c r="E487" s="1429"/>
      <c r="F487" s="1429"/>
      <c r="G487" s="1429"/>
      <c r="H487" s="1430"/>
      <c r="I487" s="1430"/>
      <c r="J487" s="94"/>
      <c r="K487" s="94"/>
      <c r="L487" s="94"/>
      <c r="M487" s="94"/>
      <c r="N487" s="94"/>
      <c r="O487" s="94"/>
      <c r="P487" s="94"/>
      <c r="Q487" s="1431"/>
      <c r="R487" s="1430"/>
      <c r="S487" s="1164"/>
      <c r="T487" s="1164"/>
      <c r="U487" s="2174"/>
      <c r="V487" s="2174"/>
      <c r="W487" s="2174"/>
      <c r="X487" s="1164"/>
    </row>
    <row r="488" ht="15.75" customHeight="1">
      <c r="A488" s="94"/>
      <c r="B488" s="94"/>
      <c r="C488" s="1164"/>
      <c r="D488" s="1429"/>
      <c r="E488" s="1429"/>
      <c r="F488" s="1429"/>
      <c r="G488" s="1429"/>
      <c r="H488" s="1430"/>
      <c r="I488" s="94"/>
      <c r="J488" s="1164"/>
      <c r="K488" s="94"/>
      <c r="L488" s="94"/>
      <c r="M488" s="1430"/>
      <c r="N488" s="1430"/>
      <c r="O488" s="1430"/>
      <c r="P488" s="94"/>
      <c r="Q488" s="1431"/>
      <c r="R488" s="1430"/>
      <c r="S488" s="1164"/>
      <c r="T488" s="1164"/>
      <c r="U488" s="2174"/>
      <c r="V488" s="2174"/>
      <c r="W488" s="2174"/>
      <c r="X488" s="1164"/>
    </row>
    <row r="489" ht="15.75" customHeight="1">
      <c r="A489" s="94"/>
      <c r="B489" s="94"/>
      <c r="C489" s="1164"/>
      <c r="D489" s="1429"/>
      <c r="E489" s="1429"/>
      <c r="F489" s="1429"/>
      <c r="G489" s="1429"/>
      <c r="H489" s="1430"/>
      <c r="I489" s="1430"/>
      <c r="J489" s="94"/>
      <c r="K489" s="94"/>
      <c r="L489" s="94"/>
      <c r="M489" s="1430"/>
      <c r="N489" s="1430"/>
      <c r="O489" s="1430"/>
      <c r="P489" s="94"/>
      <c r="Q489" s="1431"/>
      <c r="R489" s="1430"/>
      <c r="S489" s="1164"/>
      <c r="T489" s="1164"/>
      <c r="U489" s="2174"/>
      <c r="V489" s="2174"/>
      <c r="W489" s="2174"/>
      <c r="X489" s="1164"/>
    </row>
    <row r="490" ht="15.75" customHeight="1">
      <c r="A490" s="94"/>
      <c r="B490" s="94"/>
      <c r="C490" s="1164"/>
      <c r="D490" s="1429"/>
      <c r="E490" s="1429"/>
      <c r="F490" s="1429"/>
      <c r="G490" s="1429"/>
      <c r="H490" s="1430"/>
      <c r="I490" s="1430"/>
      <c r="J490" s="94"/>
      <c r="K490" s="94"/>
      <c r="L490" s="94"/>
      <c r="M490" s="1430"/>
      <c r="N490" s="1430"/>
      <c r="O490" s="1430"/>
      <c r="P490" s="94"/>
      <c r="Q490" s="1431"/>
      <c r="R490" s="1430"/>
      <c r="S490" s="1164"/>
      <c r="T490" s="1164"/>
      <c r="U490" s="2174"/>
      <c r="V490" s="2174"/>
      <c r="W490" s="2174"/>
      <c r="X490" s="1164"/>
    </row>
    <row r="491" ht="15.75" customHeight="1">
      <c r="A491" s="94"/>
      <c r="B491" s="94"/>
      <c r="C491" s="1164"/>
      <c r="D491" s="1429"/>
      <c r="E491" s="1429"/>
      <c r="F491" s="1429"/>
      <c r="G491" s="1429"/>
      <c r="H491" s="1430"/>
      <c r="I491" s="1430"/>
      <c r="J491" s="94"/>
      <c r="K491" s="94"/>
      <c r="L491" s="94"/>
      <c r="M491" s="1430"/>
      <c r="N491" s="1430"/>
      <c r="O491" s="1430"/>
      <c r="P491" s="94"/>
      <c r="Q491" s="1431"/>
      <c r="R491" s="1430"/>
      <c r="S491" s="1164"/>
      <c r="T491" s="1164"/>
      <c r="U491" s="2174"/>
      <c r="V491" s="2174"/>
      <c r="W491" s="2174"/>
      <c r="X491" s="1164"/>
    </row>
    <row r="492" ht="15.75" customHeight="1">
      <c r="A492" s="94"/>
      <c r="B492" s="94"/>
      <c r="C492" s="1164"/>
      <c r="D492" s="1429"/>
      <c r="E492" s="1429"/>
      <c r="F492" s="1429"/>
      <c r="G492" s="1429"/>
      <c r="H492" s="1430"/>
      <c r="I492" s="1430"/>
      <c r="J492" s="94"/>
      <c r="K492" s="94"/>
      <c r="L492" s="94"/>
      <c r="M492" s="1430"/>
      <c r="N492" s="1430"/>
      <c r="O492" s="1430"/>
      <c r="P492" s="94"/>
      <c r="Q492" s="1431"/>
      <c r="R492" s="1430"/>
      <c r="S492" s="1164"/>
      <c r="T492" s="1164"/>
      <c r="U492" s="2174"/>
      <c r="V492" s="2174"/>
      <c r="W492" s="2174"/>
      <c r="X492" s="1164"/>
    </row>
    <row r="493" ht="15.75" customHeight="1">
      <c r="A493" s="94"/>
      <c r="B493" s="94"/>
      <c r="C493" s="1164"/>
      <c r="D493" s="1429"/>
      <c r="E493" s="1429"/>
      <c r="F493" s="1429"/>
      <c r="G493" s="1429"/>
      <c r="H493" s="1430"/>
      <c r="I493" s="1430"/>
      <c r="J493" s="94"/>
      <c r="K493" s="94"/>
      <c r="L493" s="94"/>
      <c r="M493" s="1430"/>
      <c r="N493" s="1430"/>
      <c r="O493" s="1430"/>
      <c r="P493" s="94"/>
      <c r="Q493" s="1431"/>
      <c r="R493" s="1430"/>
      <c r="S493" s="1164"/>
      <c r="T493" s="1164"/>
      <c r="U493" s="2174"/>
      <c r="V493" s="2174"/>
      <c r="W493" s="2174"/>
      <c r="X493" s="1164"/>
    </row>
    <row r="494" ht="15.75" customHeight="1">
      <c r="A494" s="94"/>
      <c r="B494" s="94"/>
      <c r="C494" s="1164"/>
      <c r="D494" s="1429"/>
      <c r="E494" s="1429"/>
      <c r="F494" s="1429"/>
      <c r="G494" s="1429"/>
      <c r="H494" s="1430"/>
      <c r="I494" s="1430"/>
      <c r="J494" s="94"/>
      <c r="K494" s="94"/>
      <c r="L494" s="94"/>
      <c r="M494" s="1430"/>
      <c r="N494" s="1430"/>
      <c r="O494" s="1430"/>
      <c r="P494" s="94"/>
      <c r="Q494" s="1431"/>
      <c r="R494" s="1430"/>
      <c r="S494" s="1164"/>
      <c r="T494" s="1164"/>
      <c r="U494" s="2174"/>
      <c r="V494" s="2174"/>
      <c r="W494" s="2174"/>
      <c r="X494" s="1164"/>
    </row>
    <row r="495" ht="15.75" customHeight="1">
      <c r="A495" s="94"/>
      <c r="B495" s="94"/>
      <c r="C495" s="1164"/>
      <c r="D495" s="1429"/>
      <c r="E495" s="1429"/>
      <c r="F495" s="1429"/>
      <c r="G495" s="1429"/>
      <c r="H495" s="1430"/>
      <c r="I495" s="1430"/>
      <c r="J495" s="94"/>
      <c r="K495" s="94"/>
      <c r="L495" s="94"/>
      <c r="M495" s="1430"/>
      <c r="N495" s="1430"/>
      <c r="O495" s="1430"/>
      <c r="P495" s="94"/>
      <c r="Q495" s="1431"/>
      <c r="R495" s="1430"/>
      <c r="S495" s="1164"/>
      <c r="T495" s="1164"/>
      <c r="U495" s="2174"/>
      <c r="V495" s="2174"/>
      <c r="W495" s="2174"/>
      <c r="X495" s="1164"/>
    </row>
    <row r="496" ht="15.75" customHeight="1">
      <c r="A496" s="94"/>
      <c r="B496" s="94"/>
      <c r="C496" s="1164"/>
      <c r="D496" s="1429"/>
      <c r="E496" s="1429"/>
      <c r="F496" s="1429"/>
      <c r="G496" s="1429"/>
      <c r="H496" s="1430"/>
      <c r="I496" s="94"/>
      <c r="J496" s="1164"/>
      <c r="K496" s="94"/>
      <c r="L496" s="94"/>
      <c r="M496" s="1430"/>
      <c r="N496" s="1430"/>
      <c r="O496" s="1430"/>
      <c r="P496" s="94"/>
      <c r="Q496" s="1431"/>
      <c r="R496" s="1430"/>
      <c r="S496" s="1164"/>
      <c r="T496" s="1164"/>
      <c r="U496" s="2174"/>
      <c r="V496" s="2174"/>
      <c r="W496" s="2174"/>
      <c r="X496" s="1164"/>
    </row>
    <row r="497" ht="15.75" customHeight="1">
      <c r="A497" s="94"/>
      <c r="B497" s="94"/>
      <c r="C497" s="1164"/>
      <c r="D497" s="1429"/>
      <c r="E497" s="1429"/>
      <c r="F497" s="1429"/>
      <c r="G497" s="1429"/>
      <c r="H497" s="1430"/>
      <c r="I497" s="94"/>
      <c r="J497" s="1164"/>
      <c r="K497" s="94"/>
      <c r="L497" s="94"/>
      <c r="M497" s="1430"/>
      <c r="N497" s="1430"/>
      <c r="O497" s="1430"/>
      <c r="P497" s="94"/>
      <c r="Q497" s="1431"/>
      <c r="R497" s="1430"/>
      <c r="S497" s="1164"/>
      <c r="T497" s="1164"/>
      <c r="U497" s="2174"/>
      <c r="V497" s="2174"/>
      <c r="W497" s="2174"/>
      <c r="X497" s="1164"/>
    </row>
    <row r="498" ht="15.75" customHeight="1">
      <c r="A498" s="94"/>
      <c r="B498" s="94"/>
      <c r="C498" s="1164"/>
      <c r="D498" s="1429"/>
      <c r="E498" s="1429"/>
      <c r="F498" s="1429"/>
      <c r="G498" s="1429"/>
      <c r="H498" s="1430"/>
      <c r="I498" s="94"/>
      <c r="J498" s="1164"/>
      <c r="K498" s="94"/>
      <c r="L498" s="94"/>
      <c r="M498" s="1430"/>
      <c r="N498" s="1430"/>
      <c r="O498" s="1430"/>
      <c r="P498" s="94"/>
      <c r="Q498" s="1431"/>
      <c r="R498" s="1430"/>
      <c r="S498" s="1164"/>
      <c r="T498" s="1164"/>
      <c r="U498" s="2174"/>
      <c r="V498" s="2174"/>
      <c r="W498" s="2174"/>
      <c r="X498" s="1164"/>
    </row>
    <row r="499" ht="15.75" customHeight="1">
      <c r="A499" s="94"/>
      <c r="B499" s="94"/>
      <c r="C499" s="1164"/>
      <c r="D499" s="1429"/>
      <c r="E499" s="1429"/>
      <c r="F499" s="1429"/>
      <c r="G499" s="1429"/>
      <c r="H499" s="1430"/>
      <c r="I499" s="1430"/>
      <c r="J499" s="94"/>
      <c r="K499" s="94"/>
      <c r="L499" s="94"/>
      <c r="M499" s="1430"/>
      <c r="N499" s="1430"/>
      <c r="O499" s="1430"/>
      <c r="P499" s="94"/>
      <c r="Q499" s="1431"/>
      <c r="R499" s="1430"/>
      <c r="S499" s="1164"/>
      <c r="T499" s="1164"/>
      <c r="U499" s="2174"/>
      <c r="V499" s="2174"/>
      <c r="W499" s="2174"/>
      <c r="X499" s="1164"/>
    </row>
    <row r="500" ht="15.75" customHeight="1">
      <c r="A500" s="94"/>
      <c r="B500" s="94"/>
      <c r="C500" s="1164"/>
      <c r="D500" s="1429"/>
      <c r="E500" s="1429"/>
      <c r="F500" s="1429"/>
      <c r="G500" s="1429"/>
      <c r="H500" s="1430"/>
      <c r="I500" s="94"/>
      <c r="J500" s="1164"/>
      <c r="K500" s="94"/>
      <c r="L500" s="94"/>
      <c r="M500" s="1430"/>
      <c r="N500" s="1430"/>
      <c r="O500" s="1430"/>
      <c r="P500" s="94"/>
      <c r="Q500" s="1431"/>
      <c r="R500" s="1430"/>
      <c r="S500" s="1164"/>
      <c r="T500" s="1164"/>
      <c r="U500" s="2174"/>
      <c r="V500" s="2174"/>
      <c r="W500" s="2174"/>
      <c r="X500" s="1164"/>
    </row>
    <row r="501" ht="15.75" customHeight="1">
      <c r="A501" s="94"/>
      <c r="B501" s="94"/>
      <c r="C501" s="1164"/>
      <c r="D501" s="1429"/>
      <c r="E501" s="94"/>
      <c r="F501" s="1429"/>
      <c r="G501" s="1429"/>
      <c r="H501" s="1430"/>
      <c r="I501" s="1430"/>
      <c r="J501" s="94"/>
      <c r="K501" s="94"/>
      <c r="L501" s="94"/>
      <c r="M501" s="1430"/>
      <c r="N501" s="1430"/>
      <c r="O501" s="1430"/>
      <c r="P501" s="94"/>
      <c r="Q501" s="1431"/>
      <c r="R501" s="1430"/>
      <c r="S501" s="1164"/>
      <c r="T501" s="1164"/>
      <c r="U501" s="2174"/>
      <c r="V501" s="2174"/>
      <c r="W501" s="2174"/>
      <c r="X501" s="1164"/>
    </row>
    <row r="502" ht="15.75" customHeight="1">
      <c r="A502" s="94"/>
      <c r="B502" s="94"/>
      <c r="C502" s="1164"/>
      <c r="D502" s="1429"/>
      <c r="E502" s="1429"/>
      <c r="F502" s="1429"/>
      <c r="G502" s="1429"/>
      <c r="H502" s="1430"/>
      <c r="I502" s="1430"/>
      <c r="J502" s="94"/>
      <c r="K502" s="94"/>
      <c r="L502" s="94"/>
      <c r="M502" s="94"/>
      <c r="N502" s="94"/>
      <c r="O502" s="1430"/>
      <c r="P502" s="94"/>
      <c r="Q502" s="1431"/>
      <c r="R502" s="1430"/>
      <c r="S502" s="1164"/>
      <c r="T502" s="1164"/>
      <c r="U502" s="2174"/>
      <c r="V502" s="2174"/>
      <c r="W502" s="2174"/>
      <c r="X502" s="1164"/>
    </row>
    <row r="503" ht="15.75" customHeight="1">
      <c r="A503" s="94"/>
      <c r="B503" s="94"/>
      <c r="C503" s="1164"/>
      <c r="D503" s="1429"/>
      <c r="E503" s="1429"/>
      <c r="F503" s="1429"/>
      <c r="G503" s="1429"/>
      <c r="H503" s="1430"/>
      <c r="I503" s="1430"/>
      <c r="J503" s="94"/>
      <c r="K503" s="94"/>
      <c r="L503" s="94"/>
      <c r="M503" s="1430"/>
      <c r="N503" s="1430"/>
      <c r="O503" s="1430"/>
      <c r="P503" s="94"/>
      <c r="Q503" s="1431"/>
      <c r="R503" s="1430"/>
      <c r="S503" s="1164"/>
      <c r="T503" s="1164"/>
      <c r="U503" s="2174"/>
      <c r="V503" s="2174"/>
      <c r="W503" s="2174"/>
      <c r="X503" s="1164"/>
    </row>
    <row r="504" ht="15.75" customHeight="1">
      <c r="A504" s="94"/>
      <c r="B504" s="94"/>
      <c r="C504" s="1164"/>
      <c r="D504" s="1429"/>
      <c r="E504" s="1429"/>
      <c r="F504" s="1429"/>
      <c r="G504" s="1429"/>
      <c r="H504" s="1430"/>
      <c r="I504" s="94"/>
      <c r="J504" s="1164"/>
      <c r="K504" s="94"/>
      <c r="L504" s="94"/>
      <c r="M504" s="1430"/>
      <c r="N504" s="1430"/>
      <c r="O504" s="1430"/>
      <c r="P504" s="94"/>
      <c r="Q504" s="1431"/>
      <c r="R504" s="1430"/>
      <c r="S504" s="1164"/>
      <c r="T504" s="1164"/>
      <c r="U504" s="2174"/>
      <c r="V504" s="2174"/>
      <c r="W504" s="2174"/>
      <c r="X504" s="1164"/>
    </row>
    <row r="505" ht="15.75" customHeight="1">
      <c r="A505" s="94"/>
      <c r="B505" s="94"/>
      <c r="C505" s="1164"/>
      <c r="D505" s="1429"/>
      <c r="E505" s="1429"/>
      <c r="F505" s="1429"/>
      <c r="G505" s="1429"/>
      <c r="H505" s="1430"/>
      <c r="I505" s="1430"/>
      <c r="J505" s="94"/>
      <c r="K505" s="94"/>
      <c r="L505" s="94"/>
      <c r="M505" s="1430"/>
      <c r="N505" s="1430"/>
      <c r="O505" s="1430"/>
      <c r="P505" s="94"/>
      <c r="Q505" s="1431"/>
      <c r="R505" s="1430"/>
      <c r="S505" s="1164"/>
      <c r="T505" s="1164"/>
      <c r="U505" s="2174"/>
      <c r="V505" s="2174"/>
      <c r="W505" s="2174"/>
      <c r="X505" s="1164"/>
    </row>
    <row r="506" ht="15.75" customHeight="1">
      <c r="A506" s="94"/>
      <c r="B506" s="94"/>
      <c r="C506" s="1164"/>
      <c r="D506" s="1429"/>
      <c r="E506" s="1429"/>
      <c r="F506" s="1435"/>
      <c r="G506" s="1429"/>
      <c r="H506" s="1430"/>
      <c r="I506" s="94"/>
      <c r="J506" s="1164"/>
      <c r="K506" s="94"/>
      <c r="L506" s="94"/>
      <c r="M506" s="1430"/>
      <c r="N506" s="1430"/>
      <c r="O506" s="1430"/>
      <c r="P506" s="94"/>
      <c r="Q506" s="1431"/>
      <c r="R506" s="1430"/>
      <c r="S506" s="1164"/>
      <c r="T506" s="1164"/>
      <c r="U506" s="2174"/>
      <c r="V506" s="2174"/>
      <c r="W506" s="2174"/>
      <c r="X506" s="1164"/>
    </row>
    <row r="507" ht="15.75" customHeight="1">
      <c r="A507" s="94"/>
      <c r="B507" s="94"/>
      <c r="C507" s="1164"/>
      <c r="D507" s="1429"/>
      <c r="E507" s="1429"/>
      <c r="F507" s="1435"/>
      <c r="G507" s="1429"/>
      <c r="H507" s="1430"/>
      <c r="I507" s="94"/>
      <c r="J507" s="1164"/>
      <c r="K507" s="94"/>
      <c r="L507" s="94"/>
      <c r="M507" s="1430"/>
      <c r="N507" s="1430"/>
      <c r="O507" s="1430"/>
      <c r="P507" s="94"/>
      <c r="Q507" s="1431"/>
      <c r="R507" s="1430"/>
      <c r="S507" s="1164"/>
      <c r="T507" s="1164"/>
      <c r="U507" s="2174"/>
      <c r="V507" s="2174"/>
      <c r="W507" s="2174"/>
      <c r="X507" s="1164"/>
    </row>
    <row r="508" ht="15.75" customHeight="1">
      <c r="A508" s="94"/>
      <c r="B508" s="94"/>
      <c r="C508" s="1164"/>
      <c r="D508" s="1429"/>
      <c r="E508" s="1429"/>
      <c r="F508" s="1435"/>
      <c r="G508" s="1429"/>
      <c r="H508" s="1430"/>
      <c r="I508" s="94"/>
      <c r="J508" s="1164"/>
      <c r="K508" s="94"/>
      <c r="L508" s="94"/>
      <c r="M508" s="94"/>
      <c r="N508" s="94"/>
      <c r="O508" s="94"/>
      <c r="P508" s="94"/>
      <c r="Q508" s="1431"/>
      <c r="R508" s="1430"/>
      <c r="S508" s="1164"/>
      <c r="T508" s="1164"/>
      <c r="U508" s="2174"/>
      <c r="V508" s="94"/>
      <c r="W508" s="2174"/>
      <c r="X508" s="1164"/>
    </row>
    <row r="509" ht="15.75" customHeight="1">
      <c r="A509" s="94"/>
      <c r="B509" s="94"/>
      <c r="C509" s="1164"/>
      <c r="D509" s="1429"/>
      <c r="E509" s="1429"/>
      <c r="F509" s="1429"/>
      <c r="G509" s="1429"/>
      <c r="H509" s="1430"/>
      <c r="I509" s="1430"/>
      <c r="J509" s="94"/>
      <c r="K509" s="94"/>
      <c r="L509" s="94"/>
      <c r="M509" s="94"/>
      <c r="N509" s="94"/>
      <c r="O509" s="94"/>
      <c r="P509" s="94"/>
      <c r="Q509" s="1431"/>
      <c r="R509" s="1430"/>
      <c r="S509" s="1164"/>
      <c r="T509" s="1164"/>
      <c r="U509" s="2174"/>
      <c r="V509" s="2174"/>
      <c r="W509" s="2174"/>
      <c r="X509" s="1164"/>
    </row>
    <row r="510" ht="15.75" customHeight="1">
      <c r="A510" s="94"/>
      <c r="B510" s="1164"/>
      <c r="C510" s="1164"/>
      <c r="D510" s="1429"/>
      <c r="E510" s="94"/>
      <c r="F510" s="1429"/>
      <c r="G510" s="1429"/>
      <c r="H510" s="1430"/>
      <c r="I510" s="1430"/>
      <c r="J510" s="94"/>
      <c r="K510" s="94"/>
      <c r="L510" s="94"/>
      <c r="M510" s="94"/>
      <c r="N510" s="94"/>
      <c r="O510" s="94"/>
      <c r="P510" s="94"/>
      <c r="Q510" s="1431"/>
      <c r="R510" s="1430"/>
      <c r="S510" s="1164"/>
      <c r="T510" s="1164"/>
      <c r="U510" s="2174"/>
      <c r="V510" s="2174"/>
      <c r="W510" s="2174"/>
      <c r="X510" s="1164"/>
    </row>
    <row r="511" ht="15.75" customHeight="1">
      <c r="A511" s="94"/>
      <c r="B511" s="94"/>
      <c r="C511" s="1164"/>
      <c r="D511" s="1429"/>
      <c r="E511" s="94"/>
      <c r="F511" s="1429"/>
      <c r="G511" s="1429"/>
      <c r="H511" s="1430"/>
      <c r="I511" s="94"/>
      <c r="J511" s="1164"/>
      <c r="K511" s="94"/>
      <c r="L511" s="94"/>
      <c r="M511" s="1430"/>
      <c r="N511" s="1430"/>
      <c r="O511" s="1430"/>
      <c r="P511" s="94"/>
      <c r="Q511" s="94"/>
      <c r="R511" s="1430"/>
      <c r="S511" s="1164"/>
      <c r="T511" s="1164"/>
      <c r="U511" s="2174"/>
      <c r="V511" s="2174"/>
      <c r="W511" s="2174"/>
      <c r="X511" s="1164"/>
    </row>
    <row r="512" ht="15.75" customHeight="1">
      <c r="A512" s="94"/>
      <c r="B512" s="94"/>
      <c r="C512" s="1164"/>
      <c r="D512" s="1429"/>
      <c r="E512" s="1429"/>
      <c r="F512" s="1429"/>
      <c r="G512" s="1429"/>
      <c r="H512" s="1430"/>
      <c r="I512" s="1430"/>
      <c r="J512" s="94"/>
      <c r="K512" s="94"/>
      <c r="L512" s="94"/>
      <c r="M512" s="1430"/>
      <c r="N512" s="1430"/>
      <c r="O512" s="1430"/>
      <c r="P512" s="94"/>
      <c r="Q512" s="1431"/>
      <c r="R512" s="1430"/>
      <c r="S512" s="1164"/>
      <c r="T512" s="1164"/>
      <c r="U512" s="2174"/>
      <c r="V512" s="2174"/>
      <c r="W512" s="2174"/>
      <c r="X512" s="1164"/>
    </row>
    <row r="513" ht="15.75" customHeight="1">
      <c r="A513" s="94"/>
      <c r="B513" s="94"/>
      <c r="C513" s="94"/>
      <c r="D513" s="94"/>
      <c r="E513" s="94"/>
      <c r="F513" s="94"/>
      <c r="G513" s="94"/>
      <c r="H513" s="1164"/>
      <c r="I513" s="1164"/>
      <c r="J513" s="1164"/>
      <c r="K513" s="1164"/>
      <c r="L513" s="1164"/>
      <c r="M513" s="1164"/>
      <c r="N513" s="1164"/>
      <c r="O513" s="1164"/>
      <c r="P513" s="1164"/>
      <c r="Q513" s="94"/>
      <c r="R513" s="1164"/>
      <c r="S513" s="94"/>
      <c r="T513" s="1164"/>
      <c r="U513" s="94"/>
      <c r="V513" s="94"/>
      <c r="W513" s="94"/>
      <c r="X513" s="1164"/>
    </row>
    <row r="514" ht="15.75" customHeight="1">
      <c r="A514" s="94"/>
      <c r="B514" s="94"/>
      <c r="C514" s="1164"/>
      <c r="D514" s="1429"/>
      <c r="E514" s="1429"/>
      <c r="F514" s="1429"/>
      <c r="G514" s="1429"/>
      <c r="H514" s="1430"/>
      <c r="I514" s="94"/>
      <c r="J514" s="1164"/>
      <c r="K514" s="94"/>
      <c r="L514" s="94"/>
      <c r="M514" s="1430"/>
      <c r="N514" s="1430"/>
      <c r="O514" s="1430"/>
      <c r="P514" s="94"/>
      <c r="Q514" s="1431"/>
      <c r="R514" s="1430"/>
      <c r="S514" s="1164"/>
      <c r="T514" s="1164"/>
      <c r="U514" s="2174"/>
      <c r="V514" s="2174"/>
      <c r="W514" s="2174"/>
      <c r="X514" s="1164"/>
    </row>
    <row r="515" ht="15.75" customHeight="1">
      <c r="A515" s="94"/>
      <c r="B515" s="94"/>
      <c r="C515" s="1164"/>
      <c r="D515" s="1429"/>
      <c r="E515" s="1429"/>
      <c r="F515" s="1429"/>
      <c r="G515" s="1429"/>
      <c r="H515" s="1430"/>
      <c r="I515" s="94"/>
      <c r="J515" s="1164"/>
      <c r="K515" s="94"/>
      <c r="L515" s="94"/>
      <c r="M515" s="1430"/>
      <c r="N515" s="1430"/>
      <c r="O515" s="1430"/>
      <c r="P515" s="94"/>
      <c r="Q515" s="1431"/>
      <c r="R515" s="1430"/>
      <c r="S515" s="1164"/>
      <c r="T515" s="1164"/>
      <c r="U515" s="2174"/>
      <c r="V515" s="2174"/>
      <c r="W515" s="2174"/>
      <c r="X515" s="1164"/>
    </row>
    <row r="516" ht="15.75" customHeight="1">
      <c r="A516" s="94"/>
      <c r="B516" s="94"/>
      <c r="C516" s="1164"/>
      <c r="D516" s="1429"/>
      <c r="E516" s="1429"/>
      <c r="F516" s="1429"/>
      <c r="G516" s="1429"/>
      <c r="H516" s="1430"/>
      <c r="I516" s="1430"/>
      <c r="J516" s="94"/>
      <c r="K516" s="94"/>
      <c r="L516" s="94"/>
      <c r="M516" s="1430"/>
      <c r="N516" s="1430"/>
      <c r="O516" s="1430"/>
      <c r="P516" s="94"/>
      <c r="Q516" s="1431"/>
      <c r="R516" s="1430"/>
      <c r="S516" s="1164"/>
      <c r="T516" s="1164"/>
      <c r="U516" s="2174"/>
      <c r="V516" s="2174"/>
      <c r="W516" s="2174"/>
      <c r="X516" s="1164"/>
    </row>
    <row r="517" ht="15.75" customHeight="1">
      <c r="A517" s="94"/>
      <c r="B517" s="94"/>
      <c r="C517" s="1164"/>
      <c r="D517" s="1429"/>
      <c r="E517" s="1429"/>
      <c r="F517" s="1429"/>
      <c r="G517" s="1429"/>
      <c r="H517" s="1430"/>
      <c r="I517" s="1430"/>
      <c r="J517" s="94"/>
      <c r="K517" s="94"/>
      <c r="L517" s="94"/>
      <c r="M517" s="1430"/>
      <c r="N517" s="1430"/>
      <c r="O517" s="1430"/>
      <c r="P517" s="94"/>
      <c r="Q517" s="1431"/>
      <c r="R517" s="1430"/>
      <c r="S517" s="1164"/>
      <c r="T517" s="1164"/>
      <c r="U517" s="2174"/>
      <c r="V517" s="2174"/>
      <c r="W517" s="2174"/>
      <c r="X517" s="1164"/>
    </row>
    <row r="518" ht="15.75" customHeight="1">
      <c r="A518" s="94"/>
      <c r="B518" s="94"/>
      <c r="C518" s="1164"/>
      <c r="D518" s="1429"/>
      <c r="E518" s="1429"/>
      <c r="F518" s="1429"/>
      <c r="G518" s="1429"/>
      <c r="H518" s="1430"/>
      <c r="I518" s="1430"/>
      <c r="J518" s="94"/>
      <c r="K518" s="94"/>
      <c r="L518" s="94"/>
      <c r="M518" s="1430"/>
      <c r="N518" s="1430"/>
      <c r="O518" s="1430"/>
      <c r="P518" s="94"/>
      <c r="Q518" s="1431"/>
      <c r="R518" s="1430"/>
      <c r="S518" s="1164"/>
      <c r="T518" s="1164"/>
      <c r="U518" s="2174"/>
      <c r="V518" s="2174"/>
      <c r="W518" s="2174"/>
      <c r="X518" s="1164"/>
    </row>
    <row r="519" ht="15.75" customHeight="1">
      <c r="A519" s="94"/>
      <c r="B519" s="94"/>
      <c r="C519" s="1164"/>
      <c r="D519" s="1429"/>
      <c r="E519" s="1429"/>
      <c r="F519" s="1429"/>
      <c r="G519" s="1429"/>
      <c r="H519" s="1430"/>
      <c r="I519" s="94"/>
      <c r="J519" s="1164"/>
      <c r="K519" s="94"/>
      <c r="L519" s="94"/>
      <c r="M519" s="1430"/>
      <c r="N519" s="1430"/>
      <c r="O519" s="1430"/>
      <c r="P519" s="94"/>
      <c r="Q519" s="1431"/>
      <c r="R519" s="1430"/>
      <c r="S519" s="1164"/>
      <c r="T519" s="1164"/>
      <c r="U519" s="2174"/>
      <c r="V519" s="2174"/>
      <c r="W519" s="2174"/>
      <c r="X519" s="1164"/>
    </row>
    <row r="520" ht="15.75" customHeight="1">
      <c r="A520" s="94"/>
      <c r="B520" s="94"/>
      <c r="C520" s="1164"/>
      <c r="D520" s="1429"/>
      <c r="E520" s="1429"/>
      <c r="F520" s="1429"/>
      <c r="G520" s="1429"/>
      <c r="H520" s="1430"/>
      <c r="I520" s="94"/>
      <c r="J520" s="1164"/>
      <c r="K520" s="94"/>
      <c r="L520" s="94"/>
      <c r="M520" s="1430"/>
      <c r="N520" s="1430"/>
      <c r="O520" s="1430"/>
      <c r="P520" s="94"/>
      <c r="Q520" s="1431"/>
      <c r="R520" s="1430"/>
      <c r="S520" s="1164"/>
      <c r="T520" s="1164"/>
      <c r="U520" s="2174"/>
      <c r="V520" s="2174"/>
      <c r="W520" s="2174"/>
      <c r="X520" s="1164"/>
    </row>
    <row r="521" ht="15.75" customHeight="1">
      <c r="A521" s="94"/>
      <c r="B521" s="94"/>
      <c r="C521" s="1164"/>
      <c r="D521" s="1429"/>
      <c r="E521" s="1429"/>
      <c r="F521" s="1429"/>
      <c r="G521" s="1429"/>
      <c r="H521" s="1430"/>
      <c r="I521" s="94"/>
      <c r="J521" s="1164"/>
      <c r="K521" s="94"/>
      <c r="L521" s="94"/>
      <c r="M521" s="1430"/>
      <c r="N521" s="1430"/>
      <c r="O521" s="1430"/>
      <c r="P521" s="94"/>
      <c r="Q521" s="1431"/>
      <c r="R521" s="1430"/>
      <c r="S521" s="1164"/>
      <c r="T521" s="1164"/>
      <c r="U521" s="2174"/>
      <c r="V521" s="2174"/>
      <c r="W521" s="2174"/>
      <c r="X521" s="1164"/>
    </row>
    <row r="522" ht="15.75" customHeight="1">
      <c r="A522" s="94"/>
      <c r="B522" s="94"/>
      <c r="C522" s="1164"/>
      <c r="D522" s="1429"/>
      <c r="E522" s="1429"/>
      <c r="F522" s="1429"/>
      <c r="G522" s="1429"/>
      <c r="H522" s="1430"/>
      <c r="I522" s="94"/>
      <c r="J522" s="1164"/>
      <c r="K522" s="94"/>
      <c r="L522" s="94"/>
      <c r="M522" s="1430"/>
      <c r="N522" s="1430"/>
      <c r="O522" s="1430"/>
      <c r="P522" s="94"/>
      <c r="Q522" s="1431"/>
      <c r="R522" s="1430"/>
      <c r="S522" s="1164"/>
      <c r="T522" s="1164"/>
      <c r="U522" s="2174"/>
      <c r="V522" s="2174"/>
      <c r="W522" s="2174"/>
      <c r="X522" s="1164"/>
    </row>
    <row r="523" ht="15.75" customHeight="1">
      <c r="A523" s="94"/>
      <c r="B523" s="94"/>
      <c r="C523" s="1164"/>
      <c r="D523" s="1429"/>
      <c r="E523" s="1429"/>
      <c r="F523" s="1429"/>
      <c r="G523" s="1429"/>
      <c r="H523" s="1430"/>
      <c r="I523" s="1430"/>
      <c r="J523" s="94"/>
      <c r="K523" s="94"/>
      <c r="L523" s="94"/>
      <c r="M523" s="1430"/>
      <c r="N523" s="1430"/>
      <c r="O523" s="1430"/>
      <c r="P523" s="94"/>
      <c r="Q523" s="1431"/>
      <c r="R523" s="1430"/>
      <c r="S523" s="1164"/>
      <c r="T523" s="1164"/>
      <c r="U523" s="2174"/>
      <c r="V523" s="2174"/>
      <c r="W523" s="2174"/>
      <c r="X523" s="1164"/>
    </row>
    <row r="524" ht="15.75" customHeight="1">
      <c r="A524" s="94"/>
      <c r="B524" s="94"/>
      <c r="C524" s="1164"/>
      <c r="D524" s="1429"/>
      <c r="E524" s="1429"/>
      <c r="F524" s="1429"/>
      <c r="G524" s="1429"/>
      <c r="H524" s="1430"/>
      <c r="I524" s="94"/>
      <c r="J524" s="1164"/>
      <c r="K524" s="94"/>
      <c r="L524" s="94"/>
      <c r="M524" s="1430"/>
      <c r="N524" s="1430"/>
      <c r="O524" s="1430"/>
      <c r="P524" s="94"/>
      <c r="Q524" s="1431"/>
      <c r="R524" s="1430"/>
      <c r="S524" s="1164"/>
      <c r="T524" s="1164"/>
      <c r="U524" s="2174"/>
      <c r="V524" s="2174"/>
      <c r="W524" s="2174"/>
      <c r="X524" s="1164"/>
    </row>
    <row r="525" ht="15.75" customHeight="1">
      <c r="A525" s="94"/>
      <c r="B525" s="94"/>
      <c r="C525" s="1164"/>
      <c r="D525" s="1429"/>
      <c r="E525" s="1429"/>
      <c r="F525" s="1429"/>
      <c r="G525" s="1429"/>
      <c r="H525" s="1430"/>
      <c r="I525" s="1430"/>
      <c r="J525" s="94"/>
      <c r="K525" s="94"/>
      <c r="L525" s="94"/>
      <c r="M525" s="1430"/>
      <c r="N525" s="1430"/>
      <c r="O525" s="1430"/>
      <c r="P525" s="94"/>
      <c r="Q525" s="1431"/>
      <c r="R525" s="1430"/>
      <c r="S525" s="1164"/>
      <c r="T525" s="1164"/>
      <c r="U525" s="2174"/>
      <c r="V525" s="2174"/>
      <c r="W525" s="2174"/>
      <c r="X525" s="1164"/>
    </row>
    <row r="526" ht="15.75" customHeight="1">
      <c r="A526" s="94"/>
      <c r="B526" s="94"/>
      <c r="C526" s="1164"/>
      <c r="D526" s="1429"/>
      <c r="E526" s="1429"/>
      <c r="F526" s="1429"/>
      <c r="G526" s="1429"/>
      <c r="H526" s="1430"/>
      <c r="I526" s="1430"/>
      <c r="J526" s="94"/>
      <c r="K526" s="94"/>
      <c r="L526" s="94"/>
      <c r="M526" s="1430"/>
      <c r="N526" s="1430"/>
      <c r="O526" s="1430"/>
      <c r="P526" s="94"/>
      <c r="Q526" s="1431"/>
      <c r="R526" s="1430"/>
      <c r="S526" s="1164"/>
      <c r="T526" s="1164"/>
      <c r="U526" s="2174"/>
      <c r="V526" s="2174"/>
      <c r="W526" s="2174"/>
      <c r="X526" s="1164"/>
    </row>
    <row r="527" ht="15.75" customHeight="1">
      <c r="A527" s="94"/>
      <c r="B527" s="94"/>
      <c r="C527" s="1164"/>
      <c r="D527" s="1429"/>
      <c r="E527" s="1429"/>
      <c r="F527" s="1429"/>
      <c r="G527" s="1429"/>
      <c r="H527" s="1430"/>
      <c r="I527" s="1430"/>
      <c r="J527" s="94"/>
      <c r="K527" s="94"/>
      <c r="L527" s="94"/>
      <c r="M527" s="1430"/>
      <c r="N527" s="1430"/>
      <c r="O527" s="1430"/>
      <c r="P527" s="94"/>
      <c r="Q527" s="1431"/>
      <c r="R527" s="1430"/>
      <c r="S527" s="1164"/>
      <c r="T527" s="1164"/>
      <c r="U527" s="2174"/>
      <c r="V527" s="2174"/>
      <c r="W527" s="2174"/>
      <c r="X527" s="1164"/>
    </row>
    <row r="528" ht="15.75" customHeight="1">
      <c r="A528" s="94"/>
      <c r="B528" s="94"/>
      <c r="C528" s="1164"/>
      <c r="D528" s="1429"/>
      <c r="E528" s="1429"/>
      <c r="F528" s="1429"/>
      <c r="G528" s="1429"/>
      <c r="H528" s="1430"/>
      <c r="I528" s="94"/>
      <c r="J528" s="1164"/>
      <c r="K528" s="94"/>
      <c r="L528" s="94"/>
      <c r="M528" s="1430"/>
      <c r="N528" s="1430"/>
      <c r="O528" s="1430"/>
      <c r="P528" s="94"/>
      <c r="Q528" s="1431"/>
      <c r="R528" s="1430"/>
      <c r="S528" s="1164"/>
      <c r="T528" s="1164"/>
      <c r="U528" s="2174"/>
      <c r="V528" s="2174"/>
      <c r="W528" s="2174"/>
      <c r="X528" s="1164"/>
    </row>
    <row r="529" ht="15.75" customHeight="1">
      <c r="A529" s="94"/>
      <c r="B529" s="94"/>
      <c r="C529" s="1164"/>
      <c r="D529" s="1429"/>
      <c r="E529" s="1429"/>
      <c r="F529" s="1429"/>
      <c r="G529" s="1429"/>
      <c r="H529" s="1430"/>
      <c r="I529" s="1430"/>
      <c r="J529" s="94"/>
      <c r="K529" s="94"/>
      <c r="L529" s="94"/>
      <c r="M529" s="1430"/>
      <c r="N529" s="1430"/>
      <c r="O529" s="1430"/>
      <c r="P529" s="94"/>
      <c r="Q529" s="1431"/>
      <c r="R529" s="1430"/>
      <c r="S529" s="1164"/>
      <c r="T529" s="1164"/>
      <c r="U529" s="2174"/>
      <c r="V529" s="2174"/>
      <c r="W529" s="2174"/>
      <c r="X529" s="1164"/>
    </row>
    <row r="530" ht="15.75" customHeight="1">
      <c r="A530" s="94"/>
      <c r="B530" s="94"/>
      <c r="C530" s="1164"/>
      <c r="D530" s="1429"/>
      <c r="E530" s="1429"/>
      <c r="F530" s="1429"/>
      <c r="G530" s="1429"/>
      <c r="H530" s="1430"/>
      <c r="I530" s="1430"/>
      <c r="J530" s="94"/>
      <c r="K530" s="94"/>
      <c r="L530" s="94"/>
      <c r="M530" s="94"/>
      <c r="N530" s="94"/>
      <c r="O530" s="94"/>
      <c r="P530" s="94"/>
      <c r="Q530" s="1431"/>
      <c r="R530" s="1430"/>
      <c r="S530" s="1164"/>
      <c r="T530" s="1164"/>
      <c r="U530" s="2174"/>
      <c r="V530" s="94"/>
      <c r="W530" s="94"/>
      <c r="X530" s="1164"/>
    </row>
    <row r="531" ht="15.75" customHeight="1">
      <c r="A531" s="94"/>
      <c r="B531" s="94"/>
      <c r="C531" s="1164"/>
      <c r="D531" s="1429"/>
      <c r="E531" s="1429"/>
      <c r="F531" s="1429"/>
      <c r="G531" s="1429"/>
      <c r="H531" s="1430"/>
      <c r="I531" s="1430"/>
      <c r="J531" s="94"/>
      <c r="K531" s="94"/>
      <c r="L531" s="94"/>
      <c r="M531" s="1430"/>
      <c r="N531" s="1430"/>
      <c r="O531" s="1430"/>
      <c r="P531" s="94"/>
      <c r="Q531" s="1431"/>
      <c r="R531" s="1430"/>
      <c r="S531" s="1164"/>
      <c r="T531" s="1164"/>
      <c r="U531" s="2174"/>
      <c r="V531" s="2174"/>
      <c r="W531" s="2174"/>
      <c r="X531" s="1164"/>
    </row>
    <row r="532" ht="15.75" customHeight="1">
      <c r="A532" s="94"/>
      <c r="B532" s="94"/>
      <c r="C532" s="1164"/>
      <c r="D532" s="1429"/>
      <c r="E532" s="1429"/>
      <c r="F532" s="1429"/>
      <c r="G532" s="1429"/>
      <c r="H532" s="1430"/>
      <c r="I532" s="94"/>
      <c r="J532" s="1164"/>
      <c r="K532" s="94"/>
      <c r="L532" s="94"/>
      <c r="M532" s="1430"/>
      <c r="N532" s="1430"/>
      <c r="O532" s="1430"/>
      <c r="P532" s="94"/>
      <c r="Q532" s="1431"/>
      <c r="R532" s="1430"/>
      <c r="S532" s="1164"/>
      <c r="T532" s="1164"/>
      <c r="U532" s="2174"/>
      <c r="V532" s="2174"/>
      <c r="W532" s="2174"/>
      <c r="X532" s="1164"/>
    </row>
    <row r="533" ht="15.75" customHeight="1">
      <c r="A533" s="94"/>
      <c r="B533" s="94"/>
      <c r="C533" s="1164"/>
      <c r="D533" s="1429"/>
      <c r="E533" s="1429"/>
      <c r="F533" s="1429"/>
      <c r="G533" s="1429"/>
      <c r="H533" s="1430"/>
      <c r="I533" s="94"/>
      <c r="J533" s="1164"/>
      <c r="K533" s="94"/>
      <c r="L533" s="94"/>
      <c r="M533" s="94"/>
      <c r="N533" s="94"/>
      <c r="O533" s="94"/>
      <c r="P533" s="94"/>
      <c r="Q533" s="1431"/>
      <c r="R533" s="1430"/>
      <c r="S533" s="1164"/>
      <c r="T533" s="1164"/>
      <c r="U533" s="2174"/>
      <c r="V533" s="2174"/>
      <c r="W533" s="2174"/>
      <c r="X533" s="1164"/>
    </row>
    <row r="534" ht="15.75" customHeight="1">
      <c r="A534" s="94"/>
      <c r="B534" s="94"/>
      <c r="C534" s="1164"/>
      <c r="D534" s="1429"/>
      <c r="E534" s="1429"/>
      <c r="F534" s="1429"/>
      <c r="G534" s="1429"/>
      <c r="H534" s="1430"/>
      <c r="I534" s="1430"/>
      <c r="J534" s="94"/>
      <c r="K534" s="94"/>
      <c r="L534" s="94"/>
      <c r="M534" s="1430"/>
      <c r="N534" s="1430"/>
      <c r="O534" s="1430"/>
      <c r="P534" s="94"/>
      <c r="Q534" s="1431"/>
      <c r="R534" s="1430"/>
      <c r="S534" s="1164"/>
      <c r="T534" s="1164"/>
      <c r="U534" s="2174"/>
      <c r="V534" s="2174"/>
      <c r="W534" s="2174"/>
      <c r="X534" s="1164"/>
    </row>
    <row r="535" ht="15.75" customHeight="1">
      <c r="A535" s="94"/>
      <c r="B535" s="94"/>
      <c r="C535" s="1164"/>
      <c r="D535" s="1429"/>
      <c r="E535" s="1429"/>
      <c r="F535" s="2175"/>
      <c r="G535" s="1429"/>
      <c r="H535" s="1430"/>
      <c r="I535" s="1430"/>
      <c r="J535" s="94"/>
      <c r="K535" s="94"/>
      <c r="L535" s="94"/>
      <c r="M535" s="1430"/>
      <c r="N535" s="1430"/>
      <c r="O535" s="1430"/>
      <c r="P535" s="94"/>
      <c r="Q535" s="1431"/>
      <c r="R535" s="1430"/>
      <c r="S535" s="1164"/>
      <c r="T535" s="1164"/>
      <c r="U535" s="2174"/>
      <c r="V535" s="2174"/>
      <c r="W535" s="2174"/>
      <c r="X535" s="1164"/>
    </row>
    <row r="536" ht="15.75" customHeight="1">
      <c r="A536" s="94"/>
      <c r="B536" s="94"/>
      <c r="C536" s="1164"/>
      <c r="D536" s="1429"/>
      <c r="E536" s="1429"/>
      <c r="F536" s="2175"/>
      <c r="G536" s="1429"/>
      <c r="H536" s="1430"/>
      <c r="I536" s="1430"/>
      <c r="J536" s="94"/>
      <c r="K536" s="94"/>
      <c r="L536" s="94"/>
      <c r="M536" s="94"/>
      <c r="N536" s="94"/>
      <c r="O536" s="94"/>
      <c r="P536" s="94"/>
      <c r="Q536" s="1431"/>
      <c r="R536" s="1430"/>
      <c r="S536" s="1164"/>
      <c r="T536" s="1164"/>
      <c r="U536" s="2174"/>
      <c r="V536" s="94"/>
      <c r="W536" s="2174"/>
      <c r="X536" s="1164"/>
    </row>
    <row r="537" ht="15.75" customHeight="1">
      <c r="A537" s="94"/>
      <c r="B537" s="94"/>
      <c r="C537" s="1164"/>
      <c r="D537" s="1429"/>
      <c r="E537" s="1429"/>
      <c r="F537" s="2175"/>
      <c r="G537" s="1429"/>
      <c r="H537" s="1430"/>
      <c r="I537" s="1430"/>
      <c r="J537" s="94"/>
      <c r="K537" s="94"/>
      <c r="L537" s="94"/>
      <c r="M537" s="1430"/>
      <c r="N537" s="1430"/>
      <c r="O537" s="1430"/>
      <c r="P537" s="94"/>
      <c r="Q537" s="1431"/>
      <c r="R537" s="1430"/>
      <c r="S537" s="1164"/>
      <c r="T537" s="1164"/>
      <c r="U537" s="2174"/>
      <c r="V537" s="2174"/>
      <c r="W537" s="2174"/>
      <c r="X537" s="1164"/>
    </row>
    <row r="538" ht="15.75" customHeight="1">
      <c r="A538" s="94"/>
      <c r="B538" s="94"/>
      <c r="C538" s="1164"/>
      <c r="D538" s="1429"/>
      <c r="E538" s="1429"/>
      <c r="F538" s="2175"/>
      <c r="G538" s="1429"/>
      <c r="H538" s="1430"/>
      <c r="I538" s="1430"/>
      <c r="J538" s="94"/>
      <c r="K538" s="94"/>
      <c r="L538" s="94"/>
      <c r="M538" s="1430"/>
      <c r="N538" s="1430"/>
      <c r="O538" s="1430"/>
      <c r="P538" s="94"/>
      <c r="Q538" s="1431"/>
      <c r="R538" s="1430"/>
      <c r="S538" s="1164"/>
      <c r="T538" s="1164"/>
      <c r="U538" s="2174"/>
      <c r="V538" s="2174"/>
      <c r="W538" s="2174"/>
      <c r="X538" s="1164"/>
    </row>
    <row r="539" ht="15.75" customHeight="1">
      <c r="A539" s="94"/>
      <c r="B539" s="94"/>
      <c r="C539" s="1164"/>
      <c r="D539" s="1429"/>
      <c r="E539" s="1429"/>
      <c r="F539" s="2175"/>
      <c r="G539" s="1429"/>
      <c r="H539" s="1430"/>
      <c r="I539" s="94"/>
      <c r="J539" s="1164"/>
      <c r="K539" s="94"/>
      <c r="L539" s="94"/>
      <c r="M539" s="1430"/>
      <c r="N539" s="1430"/>
      <c r="O539" s="1430"/>
      <c r="P539" s="94"/>
      <c r="Q539" s="1431"/>
      <c r="R539" s="1430"/>
      <c r="S539" s="1164"/>
      <c r="T539" s="1164"/>
      <c r="U539" s="2174"/>
      <c r="V539" s="2174"/>
      <c r="W539" s="2174"/>
      <c r="X539" s="1164"/>
    </row>
    <row r="540" ht="15.75" customHeight="1">
      <c r="A540" s="94"/>
      <c r="B540" s="94"/>
      <c r="C540" s="1164"/>
      <c r="D540" s="1429"/>
      <c r="E540" s="1429"/>
      <c r="F540" s="2175"/>
      <c r="G540" s="1429"/>
      <c r="H540" s="1430"/>
      <c r="I540" s="94"/>
      <c r="J540" s="1164"/>
      <c r="K540" s="94"/>
      <c r="L540" s="94"/>
      <c r="M540" s="1430"/>
      <c r="N540" s="1430"/>
      <c r="O540" s="1430"/>
      <c r="P540" s="94"/>
      <c r="Q540" s="1431"/>
      <c r="R540" s="1430"/>
      <c r="S540" s="1164"/>
      <c r="T540" s="1164"/>
      <c r="U540" s="2174"/>
      <c r="V540" s="2174"/>
      <c r="W540" s="2174"/>
      <c r="X540" s="1164"/>
    </row>
    <row r="541" ht="15.75" customHeight="1">
      <c r="A541" s="94"/>
      <c r="B541" s="94"/>
      <c r="C541" s="1164"/>
      <c r="D541" s="1429"/>
      <c r="E541" s="1429"/>
      <c r="F541" s="2175"/>
      <c r="G541" s="1429"/>
      <c r="H541" s="1430"/>
      <c r="I541" s="1430"/>
      <c r="J541" s="94"/>
      <c r="K541" s="94"/>
      <c r="L541" s="94"/>
      <c r="M541" s="94"/>
      <c r="N541" s="94"/>
      <c r="O541" s="94"/>
      <c r="P541" s="94"/>
      <c r="Q541" s="1431"/>
      <c r="R541" s="1430"/>
      <c r="S541" s="1164"/>
      <c r="T541" s="1164"/>
      <c r="U541" s="2174"/>
      <c r="V541" s="2174"/>
      <c r="W541" s="2174"/>
      <c r="X541" s="1164"/>
    </row>
    <row r="542" ht="15.75" customHeight="1">
      <c r="A542" s="94"/>
      <c r="B542" s="94"/>
      <c r="C542" s="1164"/>
      <c r="D542" s="1429"/>
      <c r="E542" s="1429"/>
      <c r="F542" s="2175"/>
      <c r="G542" s="1429"/>
      <c r="H542" s="1430"/>
      <c r="I542" s="94"/>
      <c r="J542" s="1164"/>
      <c r="K542" s="94"/>
      <c r="L542" s="94"/>
      <c r="M542" s="94"/>
      <c r="N542" s="94"/>
      <c r="O542" s="94"/>
      <c r="P542" s="94"/>
      <c r="Q542" s="1431"/>
      <c r="R542" s="1430"/>
      <c r="S542" s="1164"/>
      <c r="T542" s="1164"/>
      <c r="U542" s="2174"/>
      <c r="V542" s="2174"/>
      <c r="W542" s="2174"/>
      <c r="X542" s="1164"/>
    </row>
    <row r="543" ht="15.75" customHeight="1">
      <c r="A543" s="94"/>
      <c r="B543" s="94"/>
      <c r="C543" s="1164"/>
      <c r="D543" s="1429"/>
      <c r="E543" s="1429"/>
      <c r="F543" s="2175"/>
      <c r="G543" s="1429"/>
      <c r="H543" s="1430"/>
      <c r="I543" s="1430"/>
      <c r="J543" s="94"/>
      <c r="K543" s="94"/>
      <c r="L543" s="94"/>
      <c r="M543" s="94"/>
      <c r="N543" s="94"/>
      <c r="O543" s="94"/>
      <c r="P543" s="94"/>
      <c r="Q543" s="1431"/>
      <c r="R543" s="1430"/>
      <c r="S543" s="1164"/>
      <c r="T543" s="1164"/>
      <c r="U543" s="2174"/>
      <c r="V543" s="2174"/>
      <c r="W543" s="2174"/>
      <c r="X543" s="1164"/>
    </row>
    <row r="544" ht="15.75" customHeight="1">
      <c r="A544" s="94"/>
      <c r="B544" s="94"/>
      <c r="C544" s="1164"/>
      <c r="D544" s="1429"/>
      <c r="E544" s="1429"/>
      <c r="F544" s="2175"/>
      <c r="G544" s="1429"/>
      <c r="H544" s="1430"/>
      <c r="I544" s="94"/>
      <c r="J544" s="1164"/>
      <c r="K544" s="94"/>
      <c r="L544" s="94"/>
      <c r="M544" s="1430"/>
      <c r="N544" s="1430"/>
      <c r="O544" s="1430"/>
      <c r="P544" s="94"/>
      <c r="Q544" s="1431"/>
      <c r="R544" s="1430"/>
      <c r="S544" s="1164"/>
      <c r="T544" s="1164"/>
      <c r="U544" s="2174"/>
      <c r="V544" s="2174"/>
      <c r="W544" s="2174"/>
      <c r="X544" s="1164"/>
    </row>
    <row r="545" ht="15.75" customHeight="1">
      <c r="A545" s="94"/>
      <c r="B545" s="94"/>
      <c r="C545" s="1164"/>
      <c r="D545" s="1429"/>
      <c r="E545" s="1429"/>
      <c r="F545" s="2175"/>
      <c r="G545" s="1429"/>
      <c r="H545" s="1430"/>
      <c r="I545" s="1430"/>
      <c r="J545" s="94"/>
      <c r="K545" s="94"/>
      <c r="L545" s="94"/>
      <c r="M545" s="1430"/>
      <c r="N545" s="1430"/>
      <c r="O545" s="1430"/>
      <c r="P545" s="94"/>
      <c r="Q545" s="1431"/>
      <c r="R545" s="1430"/>
      <c r="S545" s="1164"/>
      <c r="T545" s="1164"/>
      <c r="U545" s="2174"/>
      <c r="V545" s="2174"/>
      <c r="W545" s="2174"/>
      <c r="X545" s="1164"/>
    </row>
    <row r="546" ht="15.75" customHeight="1">
      <c r="A546" s="94"/>
      <c r="B546" s="94"/>
      <c r="C546" s="1164"/>
      <c r="D546" s="1429"/>
      <c r="E546" s="1429"/>
      <c r="F546" s="2175"/>
      <c r="G546" s="1429"/>
      <c r="H546" s="1430"/>
      <c r="I546" s="1430"/>
      <c r="J546" s="94"/>
      <c r="K546" s="94"/>
      <c r="L546" s="94"/>
      <c r="M546" s="1430"/>
      <c r="N546" s="1430"/>
      <c r="O546" s="1430"/>
      <c r="P546" s="94"/>
      <c r="Q546" s="1431"/>
      <c r="R546" s="1430"/>
      <c r="S546" s="1164"/>
      <c r="T546" s="1164"/>
      <c r="U546" s="2174"/>
      <c r="V546" s="2174"/>
      <c r="W546" s="2174"/>
      <c r="X546" s="1164"/>
    </row>
    <row r="547" ht="15.75" customHeight="1">
      <c r="A547" s="94"/>
      <c r="B547" s="94"/>
      <c r="C547" s="1164"/>
      <c r="D547" s="1429"/>
      <c r="E547" s="1429"/>
      <c r="F547" s="2175"/>
      <c r="G547" s="1429"/>
      <c r="H547" s="1430"/>
      <c r="I547" s="94"/>
      <c r="J547" s="1164"/>
      <c r="K547" s="94"/>
      <c r="L547" s="94"/>
      <c r="M547" s="1430"/>
      <c r="N547" s="1430"/>
      <c r="O547" s="1430"/>
      <c r="P547" s="94"/>
      <c r="Q547" s="1431"/>
      <c r="R547" s="1430"/>
      <c r="S547" s="1164"/>
      <c r="T547" s="1164"/>
      <c r="U547" s="2174"/>
      <c r="V547" s="2174"/>
      <c r="W547" s="2174"/>
      <c r="X547" s="1164"/>
    </row>
    <row r="548" ht="15.75" customHeight="1">
      <c r="A548" s="94"/>
      <c r="B548" s="94"/>
      <c r="C548" s="1164"/>
      <c r="D548" s="1429"/>
      <c r="E548" s="1429"/>
      <c r="F548" s="2175"/>
      <c r="G548" s="1429"/>
      <c r="H548" s="1430"/>
      <c r="I548" s="1430"/>
      <c r="J548" s="94"/>
      <c r="K548" s="94"/>
      <c r="L548" s="94"/>
      <c r="M548" s="1430"/>
      <c r="N548" s="1430"/>
      <c r="O548" s="1430"/>
      <c r="P548" s="94"/>
      <c r="Q548" s="1431"/>
      <c r="R548" s="1430"/>
      <c r="S548" s="1164"/>
      <c r="T548" s="1164"/>
      <c r="U548" s="2174"/>
      <c r="V548" s="2174"/>
      <c r="W548" s="2174"/>
      <c r="X548" s="1164"/>
    </row>
    <row r="549" ht="15.75" customHeight="1">
      <c r="A549" s="94"/>
      <c r="B549" s="94"/>
      <c r="C549" s="1164"/>
      <c r="D549" s="1429"/>
      <c r="E549" s="1429"/>
      <c r="F549" s="2175"/>
      <c r="G549" s="1429"/>
      <c r="H549" s="1430"/>
      <c r="I549" s="94"/>
      <c r="J549" s="1164"/>
      <c r="K549" s="94"/>
      <c r="L549" s="94"/>
      <c r="M549" s="94"/>
      <c r="N549" s="94"/>
      <c r="O549" s="94"/>
      <c r="P549" s="94"/>
      <c r="Q549" s="1431"/>
      <c r="R549" s="1430"/>
      <c r="S549" s="1164"/>
      <c r="T549" s="1164"/>
      <c r="U549" s="2174"/>
      <c r="V549" s="2174"/>
      <c r="W549" s="2174"/>
      <c r="X549" s="1164"/>
    </row>
    <row r="550" ht="15.75" customHeight="1">
      <c r="A550" s="94"/>
      <c r="B550" s="94"/>
      <c r="C550" s="1164"/>
      <c r="D550" s="1429"/>
      <c r="E550" s="1429"/>
      <c r="F550" s="2175"/>
      <c r="G550" s="1429"/>
      <c r="H550" s="1430"/>
      <c r="I550" s="1430"/>
      <c r="J550" s="94"/>
      <c r="K550" s="94"/>
      <c r="L550" s="94"/>
      <c r="M550" s="94"/>
      <c r="N550" s="94"/>
      <c r="O550" s="94"/>
      <c r="P550" s="94"/>
      <c r="Q550" s="1431"/>
      <c r="R550" s="1430"/>
      <c r="S550" s="1164"/>
      <c r="T550" s="1164"/>
      <c r="U550" s="2174"/>
      <c r="V550" s="2174"/>
      <c r="W550" s="2174"/>
      <c r="X550" s="1164"/>
    </row>
    <row r="551" ht="15.75" customHeight="1">
      <c r="A551" s="94"/>
      <c r="B551" s="94"/>
      <c r="C551" s="1164"/>
      <c r="D551" s="1429"/>
      <c r="E551" s="1429"/>
      <c r="F551" s="2175"/>
      <c r="G551" s="1429"/>
      <c r="H551" s="1430"/>
      <c r="I551" s="94"/>
      <c r="J551" s="1164"/>
      <c r="K551" s="94"/>
      <c r="L551" s="94"/>
      <c r="M551" s="94"/>
      <c r="N551" s="94"/>
      <c r="O551" s="94"/>
      <c r="P551" s="94"/>
      <c r="Q551" s="1431"/>
      <c r="R551" s="1430"/>
      <c r="S551" s="1164"/>
      <c r="T551" s="1164"/>
      <c r="U551" s="2174"/>
      <c r="V551" s="2174"/>
      <c r="W551" s="2174"/>
      <c r="X551" s="1164"/>
    </row>
    <row r="552" ht="15.75" customHeight="1">
      <c r="A552" s="94"/>
      <c r="B552" s="94"/>
      <c r="C552" s="1164"/>
      <c r="D552" s="1429"/>
      <c r="E552" s="1429"/>
      <c r="F552" s="2175"/>
      <c r="G552" s="1429"/>
      <c r="H552" s="1430"/>
      <c r="I552" s="94"/>
      <c r="J552" s="1164"/>
      <c r="K552" s="94"/>
      <c r="L552" s="94"/>
      <c r="M552" s="94"/>
      <c r="N552" s="94"/>
      <c r="O552" s="94"/>
      <c r="P552" s="94"/>
      <c r="Q552" s="1431"/>
      <c r="R552" s="1430"/>
      <c r="S552" s="1164"/>
      <c r="T552" s="1164"/>
      <c r="U552" s="2174"/>
      <c r="V552" s="2174"/>
      <c r="W552" s="2174"/>
      <c r="X552" s="1164"/>
    </row>
    <row r="553" ht="15.75" customHeight="1">
      <c r="A553" s="94"/>
      <c r="B553" s="94"/>
      <c r="C553" s="1164"/>
      <c r="D553" s="1429"/>
      <c r="E553" s="1429"/>
      <c r="F553" s="2175"/>
      <c r="G553" s="1429"/>
      <c r="H553" s="1430"/>
      <c r="I553" s="94"/>
      <c r="J553" s="1164"/>
      <c r="K553" s="94"/>
      <c r="L553" s="94"/>
      <c r="M553" s="94"/>
      <c r="N553" s="94"/>
      <c r="O553" s="94"/>
      <c r="P553" s="94"/>
      <c r="Q553" s="1431"/>
      <c r="R553" s="1430"/>
      <c r="S553" s="1164"/>
      <c r="T553" s="1164"/>
      <c r="U553" s="2174"/>
      <c r="V553" s="2174"/>
      <c r="W553" s="2174"/>
      <c r="X553" s="1164"/>
    </row>
    <row r="554" ht="15.75" customHeight="1">
      <c r="A554" s="94"/>
      <c r="B554" s="94"/>
      <c r="C554" s="1164"/>
      <c r="D554" s="1429"/>
      <c r="E554" s="1429"/>
      <c r="F554" s="2175"/>
      <c r="G554" s="1429"/>
      <c r="H554" s="1430"/>
      <c r="I554" s="94"/>
      <c r="J554" s="1164"/>
      <c r="K554" s="94"/>
      <c r="L554" s="94"/>
      <c r="M554" s="94"/>
      <c r="N554" s="94"/>
      <c r="O554" s="94"/>
      <c r="P554" s="94"/>
      <c r="Q554" s="1431"/>
      <c r="R554" s="1430"/>
      <c r="S554" s="1164"/>
      <c r="T554" s="1164"/>
      <c r="U554" s="2174"/>
      <c r="V554" s="2174"/>
      <c r="W554" s="2174"/>
      <c r="X554" s="1164"/>
    </row>
    <row r="555" ht="15.75" customHeight="1">
      <c r="A555" s="94"/>
      <c r="B555" s="94"/>
      <c r="C555" s="1164"/>
      <c r="D555" s="1429"/>
      <c r="E555" s="1429"/>
      <c r="F555" s="2175"/>
      <c r="G555" s="1429"/>
      <c r="H555" s="1430"/>
      <c r="I555" s="94"/>
      <c r="J555" s="1164"/>
      <c r="K555" s="94"/>
      <c r="L555" s="94"/>
      <c r="M555" s="1430"/>
      <c r="N555" s="1430"/>
      <c r="O555" s="1430"/>
      <c r="P555" s="94"/>
      <c r="Q555" s="1431"/>
      <c r="R555" s="1430"/>
      <c r="S555" s="1164"/>
      <c r="T555" s="1164"/>
      <c r="U555" s="2174"/>
      <c r="V555" s="2174"/>
      <c r="W555" s="2174"/>
      <c r="X555" s="1164"/>
    </row>
    <row r="556" ht="15.75" customHeight="1">
      <c r="A556" s="94"/>
      <c r="B556" s="94"/>
      <c r="C556" s="1164"/>
      <c r="D556" s="1429"/>
      <c r="E556" s="1429"/>
      <c r="F556" s="2175"/>
      <c r="G556" s="1429"/>
      <c r="H556" s="1430"/>
      <c r="I556" s="1430"/>
      <c r="J556" s="94"/>
      <c r="K556" s="94"/>
      <c r="L556" s="94"/>
      <c r="M556" s="1430"/>
      <c r="N556" s="1430"/>
      <c r="O556" s="1430"/>
      <c r="P556" s="94"/>
      <c r="Q556" s="1431"/>
      <c r="R556" s="1430"/>
      <c r="S556" s="1164"/>
      <c r="T556" s="1164"/>
      <c r="U556" s="2174"/>
      <c r="V556" s="2174"/>
      <c r="W556" s="2174"/>
      <c r="X556" s="1164"/>
    </row>
    <row r="557" ht="15.75" customHeight="1">
      <c r="A557" s="94"/>
      <c r="B557" s="94"/>
      <c r="C557" s="1164"/>
      <c r="D557" s="1429"/>
      <c r="E557" s="1429"/>
      <c r="F557" s="2175"/>
      <c r="G557" s="1429"/>
      <c r="H557" s="1430"/>
      <c r="I557" s="1430"/>
      <c r="J557" s="94"/>
      <c r="K557" s="94"/>
      <c r="L557" s="94"/>
      <c r="M557" s="1430"/>
      <c r="N557" s="1430"/>
      <c r="O557" s="1430"/>
      <c r="P557" s="94"/>
      <c r="Q557" s="1431"/>
      <c r="R557" s="1430"/>
      <c r="S557" s="1164"/>
      <c r="T557" s="1164"/>
      <c r="U557" s="2174"/>
      <c r="V557" s="2174"/>
      <c r="W557" s="2174"/>
      <c r="X557" s="1164"/>
    </row>
    <row r="558" ht="15.75" customHeight="1">
      <c r="A558" s="94"/>
      <c r="B558" s="94"/>
      <c r="C558" s="1164"/>
      <c r="D558" s="1429"/>
      <c r="E558" s="1429"/>
      <c r="F558" s="2175"/>
      <c r="G558" s="1429"/>
      <c r="H558" s="1430"/>
      <c r="I558" s="1430"/>
      <c r="J558" s="94"/>
      <c r="K558" s="94"/>
      <c r="L558" s="94"/>
      <c r="M558" s="1430"/>
      <c r="N558" s="1430"/>
      <c r="O558" s="1430"/>
      <c r="P558" s="94"/>
      <c r="Q558" s="1431"/>
      <c r="R558" s="1430"/>
      <c r="S558" s="1164"/>
      <c r="T558" s="1164"/>
      <c r="U558" s="2174"/>
      <c r="V558" s="2174"/>
      <c r="W558" s="2174"/>
      <c r="X558" s="1164"/>
    </row>
    <row r="559" ht="15.75" customHeight="1">
      <c r="A559" s="94"/>
      <c r="B559" s="94"/>
      <c r="C559" s="1164"/>
      <c r="D559" s="1429"/>
      <c r="E559" s="1429"/>
      <c r="F559" s="2175"/>
      <c r="G559" s="1429"/>
      <c r="H559" s="1430"/>
      <c r="I559" s="1430"/>
      <c r="J559" s="94"/>
      <c r="K559" s="94"/>
      <c r="L559" s="94"/>
      <c r="M559" s="1430"/>
      <c r="N559" s="1430"/>
      <c r="O559" s="1430"/>
      <c r="P559" s="94"/>
      <c r="Q559" s="1431"/>
      <c r="R559" s="1430"/>
      <c r="S559" s="1164"/>
      <c r="T559" s="1164"/>
      <c r="U559" s="2174"/>
      <c r="V559" s="2174"/>
      <c r="W559" s="2174"/>
      <c r="X559" s="1164"/>
    </row>
    <row r="560" ht="15.75" customHeight="1">
      <c r="A560" s="94"/>
      <c r="B560" s="94"/>
      <c r="C560" s="1164"/>
      <c r="D560" s="1429"/>
      <c r="E560" s="1429"/>
      <c r="F560" s="1429"/>
      <c r="G560" s="1429"/>
      <c r="H560" s="1430"/>
      <c r="I560" s="94"/>
      <c r="J560" s="1164"/>
      <c r="K560" s="94"/>
      <c r="L560" s="94"/>
      <c r="M560" s="1430"/>
      <c r="N560" s="1430"/>
      <c r="O560" s="1430"/>
      <c r="P560" s="94"/>
      <c r="Q560" s="1431"/>
      <c r="R560" s="1430"/>
      <c r="S560" s="1164"/>
      <c r="T560" s="1164"/>
      <c r="U560" s="2174"/>
      <c r="V560" s="2174"/>
      <c r="W560" s="2174"/>
      <c r="X560" s="1164"/>
    </row>
    <row r="561" ht="15.75" customHeight="1">
      <c r="A561" s="94"/>
      <c r="B561" s="94"/>
      <c r="C561" s="1164"/>
      <c r="D561" s="1429"/>
      <c r="E561" s="1429"/>
      <c r="F561" s="1429"/>
      <c r="G561" s="1429"/>
      <c r="H561" s="1430"/>
      <c r="I561" s="1430"/>
      <c r="J561" s="94"/>
      <c r="K561" s="94"/>
      <c r="L561" s="94"/>
      <c r="M561" s="1430"/>
      <c r="N561" s="1430"/>
      <c r="O561" s="1430"/>
      <c r="P561" s="94"/>
      <c r="Q561" s="1431"/>
      <c r="R561" s="1430"/>
      <c r="S561" s="1164"/>
      <c r="T561" s="1164"/>
      <c r="U561" s="2174"/>
      <c r="V561" s="2174"/>
      <c r="W561" s="2174"/>
      <c r="X561" s="1164"/>
    </row>
    <row r="562" ht="15.75" customHeight="1">
      <c r="A562" s="94"/>
      <c r="B562" s="94"/>
      <c r="C562" s="1164"/>
      <c r="D562" s="1429"/>
      <c r="E562" s="1429"/>
      <c r="F562" s="1429"/>
      <c r="G562" s="1429"/>
      <c r="H562" s="1430"/>
      <c r="I562" s="94"/>
      <c r="J562" s="1164"/>
      <c r="K562" s="94"/>
      <c r="L562" s="94"/>
      <c r="M562" s="94"/>
      <c r="N562" s="94"/>
      <c r="O562" s="94"/>
      <c r="P562" s="94"/>
      <c r="Q562" s="1431"/>
      <c r="R562" s="1430"/>
      <c r="S562" s="1164"/>
      <c r="T562" s="1164"/>
      <c r="U562" s="2174"/>
      <c r="V562" s="2174"/>
      <c r="W562" s="2174"/>
      <c r="X562" s="1164"/>
    </row>
    <row r="563" ht="15.75" customHeight="1">
      <c r="A563" s="94"/>
      <c r="B563" s="94"/>
      <c r="C563" s="1164"/>
      <c r="D563" s="1429"/>
      <c r="E563" s="1429"/>
      <c r="F563" s="1429"/>
      <c r="G563" s="1429"/>
      <c r="H563" s="1430"/>
      <c r="I563" s="1430"/>
      <c r="J563" s="94"/>
      <c r="K563" s="94"/>
      <c r="L563" s="94"/>
      <c r="M563" s="94"/>
      <c r="N563" s="94"/>
      <c r="O563" s="94"/>
      <c r="P563" s="94"/>
      <c r="Q563" s="1431"/>
      <c r="R563" s="1430"/>
      <c r="S563" s="1164"/>
      <c r="T563" s="1164"/>
      <c r="U563" s="2174"/>
      <c r="V563" s="2174"/>
      <c r="W563" s="2174"/>
      <c r="X563" s="1164"/>
    </row>
    <row r="564" ht="15.75" customHeight="1">
      <c r="A564" s="94"/>
      <c r="B564" s="94"/>
      <c r="C564" s="1164"/>
      <c r="D564" s="1429"/>
      <c r="E564" s="1429"/>
      <c r="F564" s="1429"/>
      <c r="G564" s="1429"/>
      <c r="H564" s="1430"/>
      <c r="I564" s="1430"/>
      <c r="J564" s="94"/>
      <c r="K564" s="94"/>
      <c r="L564" s="94"/>
      <c r="M564" s="94"/>
      <c r="N564" s="94"/>
      <c r="O564" s="94"/>
      <c r="P564" s="94"/>
      <c r="Q564" s="1431"/>
      <c r="R564" s="1430"/>
      <c r="S564" s="1164"/>
      <c r="T564" s="1164"/>
      <c r="U564" s="2174"/>
      <c r="V564" s="94"/>
      <c r="W564" s="2174"/>
      <c r="X564" s="1164"/>
    </row>
    <row r="565" ht="15.75" customHeight="1">
      <c r="A565" s="94"/>
      <c r="B565" s="94"/>
      <c r="C565" s="1164"/>
      <c r="D565" s="1429"/>
      <c r="E565" s="1429"/>
      <c r="F565" s="1429"/>
      <c r="G565" s="1429"/>
      <c r="H565" s="1430"/>
      <c r="I565" s="94"/>
      <c r="J565" s="1164"/>
      <c r="K565" s="94"/>
      <c r="L565" s="94"/>
      <c r="M565" s="1430"/>
      <c r="N565" s="1430"/>
      <c r="O565" s="1430"/>
      <c r="P565" s="94"/>
      <c r="Q565" s="1431"/>
      <c r="R565" s="1430"/>
      <c r="S565" s="1164"/>
      <c r="T565" s="1164"/>
      <c r="U565" s="2174"/>
      <c r="V565" s="2174"/>
      <c r="W565" s="2174"/>
      <c r="X565" s="1164"/>
    </row>
    <row r="566" ht="15.75" customHeight="1">
      <c r="A566" s="94"/>
      <c r="B566" s="94"/>
      <c r="C566" s="1164"/>
      <c r="D566" s="1429"/>
      <c r="E566" s="1429"/>
      <c r="F566" s="1429"/>
      <c r="G566" s="1429"/>
      <c r="H566" s="1430"/>
      <c r="I566" s="94"/>
      <c r="J566" s="1164"/>
      <c r="K566" s="94"/>
      <c r="L566" s="94"/>
      <c r="M566" s="1430"/>
      <c r="N566" s="1430"/>
      <c r="O566" s="1430"/>
      <c r="P566" s="94"/>
      <c r="Q566" s="1431"/>
      <c r="R566" s="1430"/>
      <c r="S566" s="1164"/>
      <c r="T566" s="1164"/>
      <c r="U566" s="2174"/>
      <c r="V566" s="2174"/>
      <c r="W566" s="2174"/>
      <c r="X566" s="1164"/>
    </row>
    <row r="567" ht="15.75" customHeight="1">
      <c r="A567" s="94"/>
      <c r="B567" s="94"/>
      <c r="C567" s="1164"/>
      <c r="D567" s="1429"/>
      <c r="E567" s="1429"/>
      <c r="F567" s="1429"/>
      <c r="G567" s="1429"/>
      <c r="H567" s="1430"/>
      <c r="I567" s="94"/>
      <c r="J567" s="1164"/>
      <c r="K567" s="94"/>
      <c r="L567" s="94"/>
      <c r="M567" s="1430"/>
      <c r="N567" s="1430"/>
      <c r="O567" s="1430"/>
      <c r="P567" s="94"/>
      <c r="Q567" s="1431"/>
      <c r="R567" s="1430"/>
      <c r="S567" s="1164"/>
      <c r="T567" s="1164"/>
      <c r="U567" s="2174"/>
      <c r="V567" s="2174"/>
      <c r="W567" s="2174"/>
      <c r="X567" s="1164"/>
    </row>
    <row r="568" ht="15.75" customHeight="1">
      <c r="A568" s="94"/>
      <c r="B568" s="94"/>
      <c r="C568" s="1164"/>
      <c r="D568" s="1429"/>
      <c r="E568" s="1429"/>
      <c r="F568" s="1429"/>
      <c r="G568" s="1429"/>
      <c r="H568" s="1430"/>
      <c r="I568" s="1430"/>
      <c r="J568" s="94"/>
      <c r="K568" s="94"/>
      <c r="L568" s="94"/>
      <c r="M568" s="1430"/>
      <c r="N568" s="1430"/>
      <c r="O568" s="1430"/>
      <c r="P568" s="94"/>
      <c r="Q568" s="1431"/>
      <c r="R568" s="1430"/>
      <c r="S568" s="1164"/>
      <c r="T568" s="1164"/>
      <c r="U568" s="2174"/>
      <c r="V568" s="2174"/>
      <c r="W568" s="2174"/>
      <c r="X568" s="1164"/>
    </row>
    <row r="569" ht="15.75" customHeight="1">
      <c r="A569" s="94"/>
      <c r="B569" s="94"/>
      <c r="C569" s="1164"/>
      <c r="D569" s="1429"/>
      <c r="E569" s="1429"/>
      <c r="F569" s="1429"/>
      <c r="G569" s="1429"/>
      <c r="H569" s="1430"/>
      <c r="I569" s="1430"/>
      <c r="J569" s="94"/>
      <c r="K569" s="94"/>
      <c r="L569" s="94"/>
      <c r="M569" s="1430"/>
      <c r="N569" s="1430"/>
      <c r="O569" s="1430"/>
      <c r="P569" s="94"/>
      <c r="Q569" s="1431"/>
      <c r="R569" s="1430"/>
      <c r="S569" s="1164"/>
      <c r="T569" s="1164"/>
      <c r="U569" s="2174"/>
      <c r="V569" s="2174"/>
      <c r="W569" s="2174"/>
      <c r="X569" s="1164"/>
    </row>
    <row r="570" ht="15.75" customHeight="1">
      <c r="A570" s="94"/>
      <c r="B570" s="94"/>
      <c r="C570" s="1164"/>
      <c r="D570" s="1429"/>
      <c r="E570" s="1429"/>
      <c r="F570" s="1429"/>
      <c r="G570" s="1429"/>
      <c r="H570" s="1430"/>
      <c r="I570" s="1430"/>
      <c r="J570" s="94"/>
      <c r="K570" s="94"/>
      <c r="L570" s="94"/>
      <c r="M570" s="1430"/>
      <c r="N570" s="1430"/>
      <c r="O570" s="1430"/>
      <c r="P570" s="94"/>
      <c r="Q570" s="1431"/>
      <c r="R570" s="1430"/>
      <c r="S570" s="1164"/>
      <c r="T570" s="1164"/>
      <c r="U570" s="2174"/>
      <c r="V570" s="2174"/>
      <c r="W570" s="2174"/>
      <c r="X570" s="1164"/>
    </row>
    <row r="571" ht="15.75" customHeight="1">
      <c r="A571" s="94"/>
      <c r="B571" s="94"/>
      <c r="C571" s="1164"/>
      <c r="D571" s="1429"/>
      <c r="E571" s="1429"/>
      <c r="F571" s="1429"/>
      <c r="G571" s="1429"/>
      <c r="H571" s="1430"/>
      <c r="I571" s="94"/>
      <c r="J571" s="1164"/>
      <c r="K571" s="94"/>
      <c r="L571" s="94"/>
      <c r="M571" s="1430"/>
      <c r="N571" s="1430"/>
      <c r="O571" s="1430"/>
      <c r="P571" s="94"/>
      <c r="Q571" s="1431"/>
      <c r="R571" s="1430"/>
      <c r="S571" s="1164"/>
      <c r="T571" s="1164"/>
      <c r="U571" s="2174"/>
      <c r="V571" s="2174"/>
      <c r="W571" s="2174"/>
      <c r="X571" s="1164"/>
    </row>
    <row r="572" ht="15.75" customHeight="1">
      <c r="A572" s="94"/>
      <c r="B572" s="94"/>
      <c r="C572" s="1164"/>
      <c r="D572" s="1429"/>
      <c r="E572" s="1429"/>
      <c r="F572" s="1429"/>
      <c r="G572" s="1429"/>
      <c r="H572" s="1430"/>
      <c r="I572" s="94"/>
      <c r="J572" s="1164"/>
      <c r="K572" s="94"/>
      <c r="L572" s="94"/>
      <c r="M572" s="1430"/>
      <c r="N572" s="1430"/>
      <c r="O572" s="1430"/>
      <c r="P572" s="94"/>
      <c r="Q572" s="1431"/>
      <c r="R572" s="1430"/>
      <c r="S572" s="1164"/>
      <c r="T572" s="1164"/>
      <c r="U572" s="2174"/>
      <c r="V572" s="2174"/>
      <c r="W572" s="2174"/>
      <c r="X572" s="1164"/>
    </row>
    <row r="573" ht="15.75" customHeight="1">
      <c r="A573" s="94"/>
      <c r="B573" s="94"/>
      <c r="C573" s="1164"/>
      <c r="D573" s="1429"/>
      <c r="E573" s="1429"/>
      <c r="F573" s="1429"/>
      <c r="G573" s="1436"/>
      <c r="H573" s="1430"/>
      <c r="I573" s="1430"/>
      <c r="J573" s="94"/>
      <c r="K573" s="94"/>
      <c r="L573" s="94"/>
      <c r="M573" s="94"/>
      <c r="N573" s="94"/>
      <c r="O573" s="94"/>
      <c r="P573" s="94"/>
      <c r="Q573" s="1431"/>
      <c r="R573" s="1430"/>
      <c r="S573" s="1164"/>
      <c r="T573" s="1164"/>
      <c r="U573" s="2174"/>
      <c r="V573" s="94"/>
      <c r="W573" s="94"/>
      <c r="X573" s="1164"/>
    </row>
    <row r="574" ht="15.75" customHeight="1">
      <c r="A574" s="94"/>
      <c r="B574" s="94"/>
      <c r="C574" s="1164"/>
      <c r="D574" s="1429"/>
      <c r="E574" s="1429"/>
      <c r="F574" s="1429"/>
      <c r="G574" s="1429"/>
      <c r="H574" s="1430"/>
      <c r="I574" s="94"/>
      <c r="J574" s="1164"/>
      <c r="K574" s="94"/>
      <c r="L574" s="94"/>
      <c r="M574" s="94"/>
      <c r="N574" s="94"/>
      <c r="O574" s="94"/>
      <c r="P574" s="94"/>
      <c r="Q574" s="1431"/>
      <c r="R574" s="1430"/>
      <c r="S574" s="1164"/>
      <c r="T574" s="1164"/>
      <c r="U574" s="2174"/>
      <c r="V574" s="2174"/>
      <c r="W574" s="2174"/>
      <c r="X574" s="1164"/>
    </row>
    <row r="575" ht="15.75" customHeight="1">
      <c r="A575" s="94"/>
      <c r="B575" s="94"/>
      <c r="C575" s="1164"/>
      <c r="D575" s="1429"/>
      <c r="E575" s="1429"/>
      <c r="F575" s="1429"/>
      <c r="G575" s="1429"/>
      <c r="H575" s="1430"/>
      <c r="I575" s="1430"/>
      <c r="J575" s="94"/>
      <c r="K575" s="94"/>
      <c r="L575" s="94"/>
      <c r="M575" s="1430"/>
      <c r="N575" s="1430"/>
      <c r="O575" s="1430"/>
      <c r="P575" s="94"/>
      <c r="Q575" s="1431"/>
      <c r="R575" s="1430"/>
      <c r="S575" s="1164"/>
      <c r="T575" s="1164"/>
      <c r="U575" s="2174"/>
      <c r="V575" s="2174"/>
      <c r="W575" s="2174"/>
      <c r="X575" s="1164"/>
    </row>
    <row r="576" ht="15.75" customHeight="1">
      <c r="A576" s="94"/>
      <c r="B576" s="94"/>
      <c r="C576" s="1164"/>
      <c r="D576" s="1429"/>
      <c r="E576" s="1429"/>
      <c r="F576" s="1429"/>
      <c r="G576" s="1429"/>
      <c r="H576" s="1430"/>
      <c r="I576" s="1430"/>
      <c r="J576" s="94"/>
      <c r="K576" s="94"/>
      <c r="L576" s="94"/>
      <c r="M576" s="1430"/>
      <c r="N576" s="1430"/>
      <c r="O576" s="1430"/>
      <c r="P576" s="94"/>
      <c r="Q576" s="1431"/>
      <c r="R576" s="1430"/>
      <c r="S576" s="1164"/>
      <c r="T576" s="1164"/>
      <c r="U576" s="2174"/>
      <c r="V576" s="2174"/>
      <c r="W576" s="2174"/>
      <c r="X576" s="1164"/>
    </row>
    <row r="577" ht="15.75" customHeight="1">
      <c r="A577" s="94"/>
      <c r="B577" s="94"/>
      <c r="C577" s="1164"/>
      <c r="D577" s="1429"/>
      <c r="E577" s="1429"/>
      <c r="F577" s="1429"/>
      <c r="G577" s="1429"/>
      <c r="H577" s="1430"/>
      <c r="I577" s="94"/>
      <c r="J577" s="1164"/>
      <c r="K577" s="94"/>
      <c r="L577" s="94"/>
      <c r="M577" s="1430"/>
      <c r="N577" s="1430"/>
      <c r="O577" s="1430"/>
      <c r="P577" s="94"/>
      <c r="Q577" s="1431"/>
      <c r="R577" s="1430"/>
      <c r="S577" s="1164"/>
      <c r="T577" s="1164"/>
      <c r="U577" s="2174"/>
      <c r="V577" s="2174"/>
      <c r="W577" s="2174"/>
      <c r="X577" s="1164"/>
    </row>
    <row r="578" ht="15.75" customHeight="1">
      <c r="A578" s="94"/>
      <c r="B578" s="94"/>
      <c r="C578" s="1164"/>
      <c r="D578" s="1429"/>
      <c r="E578" s="1429"/>
      <c r="F578" s="1429"/>
      <c r="G578" s="1429"/>
      <c r="H578" s="1430"/>
      <c r="I578" s="94"/>
      <c r="J578" s="1164"/>
      <c r="K578" s="94"/>
      <c r="L578" s="94"/>
      <c r="M578" s="1430"/>
      <c r="N578" s="1430"/>
      <c r="O578" s="1430"/>
      <c r="P578" s="94"/>
      <c r="Q578" s="1431"/>
      <c r="R578" s="1430"/>
      <c r="S578" s="1164"/>
      <c r="T578" s="1164"/>
      <c r="U578" s="2174"/>
      <c r="V578" s="2174"/>
      <c r="W578" s="2174"/>
      <c r="X578" s="1164"/>
    </row>
    <row r="579" ht="15.75" customHeight="1">
      <c r="A579" s="94"/>
      <c r="B579" s="94"/>
      <c r="C579" s="1164"/>
      <c r="D579" s="1429"/>
      <c r="E579" s="1429"/>
      <c r="F579" s="1429"/>
      <c r="G579" s="1429"/>
      <c r="H579" s="1430"/>
      <c r="I579" s="1430"/>
      <c r="J579" s="94"/>
      <c r="K579" s="94"/>
      <c r="L579" s="94"/>
      <c r="M579" s="1430"/>
      <c r="N579" s="1430"/>
      <c r="O579" s="1430"/>
      <c r="P579" s="94"/>
      <c r="Q579" s="1431"/>
      <c r="R579" s="1430"/>
      <c r="S579" s="1164"/>
      <c r="T579" s="1164"/>
      <c r="U579" s="2174"/>
      <c r="V579" s="2174"/>
      <c r="W579" s="2174"/>
      <c r="X579" s="1164"/>
    </row>
    <row r="580" ht="15.75" customHeight="1">
      <c r="A580" s="94"/>
      <c r="B580" s="94"/>
      <c r="C580" s="1164"/>
      <c r="D580" s="1429"/>
      <c r="E580" s="1429"/>
      <c r="F580" s="1429"/>
      <c r="G580" s="1429"/>
      <c r="H580" s="1430"/>
      <c r="I580" s="94"/>
      <c r="J580" s="1164"/>
      <c r="K580" s="94"/>
      <c r="L580" s="94"/>
      <c r="M580" s="94"/>
      <c r="N580" s="94"/>
      <c r="O580" s="94"/>
      <c r="P580" s="94"/>
      <c r="Q580" s="1431"/>
      <c r="R580" s="1430"/>
      <c r="S580" s="1164"/>
      <c r="T580" s="1164"/>
      <c r="U580" s="2174"/>
      <c r="V580" s="2174"/>
      <c r="W580" s="2174"/>
      <c r="X580" s="1164"/>
    </row>
    <row r="581" ht="15.75" customHeight="1">
      <c r="A581" s="94"/>
      <c r="B581" s="94"/>
      <c r="C581" s="1164"/>
      <c r="D581" s="1429"/>
      <c r="E581" s="1429"/>
      <c r="F581" s="1429"/>
      <c r="G581" s="1429"/>
      <c r="H581" s="1430"/>
      <c r="I581" s="94"/>
      <c r="J581" s="1164"/>
      <c r="K581" s="94"/>
      <c r="L581" s="94"/>
      <c r="M581" s="1430"/>
      <c r="N581" s="1430"/>
      <c r="O581" s="1430"/>
      <c r="P581" s="94"/>
      <c r="Q581" s="1431"/>
      <c r="R581" s="1430"/>
      <c r="S581" s="1164"/>
      <c r="T581" s="1164"/>
      <c r="U581" s="2174"/>
      <c r="V581" s="2174"/>
      <c r="W581" s="2174"/>
      <c r="X581" s="1164"/>
    </row>
    <row r="582" ht="15.75" customHeight="1">
      <c r="A582" s="94"/>
      <c r="B582" s="94"/>
      <c r="C582" s="94"/>
      <c r="D582" s="94"/>
      <c r="E582" s="94"/>
      <c r="F582" s="94"/>
      <c r="G582" s="94"/>
      <c r="H582" s="1164"/>
      <c r="I582" s="1164"/>
      <c r="J582" s="1164"/>
      <c r="K582" s="1164"/>
      <c r="L582" s="1164"/>
      <c r="M582" s="1164"/>
      <c r="N582" s="1164"/>
      <c r="O582" s="1164"/>
      <c r="P582" s="1164"/>
      <c r="Q582" s="94"/>
      <c r="R582" s="1164"/>
      <c r="S582" s="94"/>
      <c r="T582" s="1164"/>
      <c r="U582" s="94"/>
      <c r="V582" s="94"/>
      <c r="W582" s="94"/>
      <c r="X582" s="1164"/>
    </row>
    <row r="583" ht="15.75" customHeight="1">
      <c r="A583" s="94"/>
      <c r="B583" s="94"/>
      <c r="C583" s="1164"/>
      <c r="D583" s="1429"/>
      <c r="E583" s="1429"/>
      <c r="F583" s="1429"/>
      <c r="G583" s="1429"/>
      <c r="H583" s="1430"/>
      <c r="I583" s="94"/>
      <c r="J583" s="1164"/>
      <c r="K583" s="94"/>
      <c r="L583" s="94"/>
      <c r="M583" s="94"/>
      <c r="N583" s="94"/>
      <c r="O583" s="94"/>
      <c r="P583" s="94"/>
      <c r="Q583" s="1431"/>
      <c r="R583" s="1430"/>
      <c r="S583" s="1164"/>
      <c r="T583" s="1164"/>
      <c r="U583" s="2174"/>
      <c r="V583" s="2174"/>
      <c r="W583" s="2174"/>
      <c r="X583" s="1164"/>
    </row>
    <row r="584" ht="15.75" customHeight="1">
      <c r="A584" s="94"/>
      <c r="B584" s="94"/>
      <c r="C584" s="1164"/>
      <c r="D584" s="1429"/>
      <c r="E584" s="1429"/>
      <c r="F584" s="1429"/>
      <c r="G584" s="1429"/>
      <c r="H584" s="1430"/>
      <c r="I584" s="1430"/>
      <c r="J584" s="94"/>
      <c r="K584" s="94"/>
      <c r="L584" s="94"/>
      <c r="M584" s="94"/>
      <c r="N584" s="94"/>
      <c r="O584" s="94"/>
      <c r="P584" s="94"/>
      <c r="Q584" s="1431"/>
      <c r="R584" s="1430"/>
      <c r="S584" s="1164"/>
      <c r="T584" s="1164"/>
      <c r="U584" s="2174"/>
      <c r="V584" s="2174"/>
      <c r="W584" s="2174"/>
      <c r="X584" s="1164"/>
    </row>
    <row r="585" ht="15.75" customHeight="1">
      <c r="A585" s="94"/>
      <c r="B585" s="94"/>
      <c r="C585" s="1164"/>
      <c r="D585" s="1429"/>
      <c r="E585" s="1429"/>
      <c r="F585" s="1429"/>
      <c r="G585" s="1429"/>
      <c r="H585" s="1430"/>
      <c r="I585" s="94"/>
      <c r="J585" s="1164"/>
      <c r="K585" s="94"/>
      <c r="L585" s="94"/>
      <c r="M585" s="94"/>
      <c r="N585" s="94"/>
      <c r="O585" s="94"/>
      <c r="P585" s="94"/>
      <c r="Q585" s="1431"/>
      <c r="R585" s="1430"/>
      <c r="S585" s="1164"/>
      <c r="T585" s="1164"/>
      <c r="U585" s="2174"/>
      <c r="V585" s="2174"/>
      <c r="W585" s="2174"/>
      <c r="X585" s="1164"/>
    </row>
    <row r="586" ht="15.75" customHeight="1">
      <c r="A586" s="94"/>
      <c r="B586" s="94"/>
      <c r="C586" s="1164"/>
      <c r="D586" s="1429"/>
      <c r="E586" s="1429"/>
      <c r="F586" s="1429"/>
      <c r="G586" s="1429"/>
      <c r="H586" s="1430"/>
      <c r="I586" s="94"/>
      <c r="J586" s="1164"/>
      <c r="K586" s="94"/>
      <c r="L586" s="94"/>
      <c r="M586" s="1430"/>
      <c r="N586" s="1430"/>
      <c r="O586" s="1430"/>
      <c r="P586" s="94"/>
      <c r="Q586" s="1431"/>
      <c r="R586" s="1430"/>
      <c r="S586" s="1164"/>
      <c r="T586" s="1164"/>
      <c r="U586" s="2174"/>
      <c r="V586" s="2174"/>
      <c r="W586" s="2174"/>
      <c r="X586" s="1164"/>
    </row>
    <row r="587" ht="15.75" customHeight="1">
      <c r="A587" s="94"/>
      <c r="B587" s="94"/>
      <c r="C587" s="1164"/>
      <c r="D587" s="1429"/>
      <c r="E587" s="1429"/>
      <c r="F587" s="1429"/>
      <c r="G587" s="1429"/>
      <c r="H587" s="1430"/>
      <c r="I587" s="1430"/>
      <c r="J587" s="94"/>
      <c r="K587" s="94"/>
      <c r="L587" s="94"/>
      <c r="M587" s="1430"/>
      <c r="N587" s="1430"/>
      <c r="O587" s="1430"/>
      <c r="P587" s="94"/>
      <c r="Q587" s="1431"/>
      <c r="R587" s="1430"/>
      <c r="S587" s="1164"/>
      <c r="T587" s="1164"/>
      <c r="U587" s="2174"/>
      <c r="V587" s="2174"/>
      <c r="W587" s="2174"/>
      <c r="X587" s="1164"/>
    </row>
    <row r="588" ht="15.75" customHeight="1">
      <c r="A588" s="94"/>
      <c r="B588" s="94"/>
      <c r="C588" s="1164"/>
      <c r="D588" s="1429"/>
      <c r="E588" s="1429"/>
      <c r="F588" s="1429"/>
      <c r="G588" s="1429"/>
      <c r="H588" s="1430"/>
      <c r="I588" s="94"/>
      <c r="J588" s="1164"/>
      <c r="K588" s="94"/>
      <c r="L588" s="94"/>
      <c r="M588" s="1430"/>
      <c r="N588" s="1430"/>
      <c r="O588" s="1430"/>
      <c r="P588" s="94"/>
      <c r="Q588" s="1431"/>
      <c r="R588" s="1430"/>
      <c r="S588" s="1164"/>
      <c r="T588" s="1164"/>
      <c r="U588" s="2174"/>
      <c r="V588" s="2174"/>
      <c r="W588" s="2174"/>
      <c r="X588" s="1164"/>
    </row>
    <row r="589" ht="15.75" customHeight="1">
      <c r="A589" s="94"/>
      <c r="B589" s="94"/>
      <c r="C589" s="1164"/>
      <c r="D589" s="1429"/>
      <c r="E589" s="1429"/>
      <c r="F589" s="1429"/>
      <c r="G589" s="1429"/>
      <c r="H589" s="1430"/>
      <c r="I589" s="1430"/>
      <c r="J589" s="94"/>
      <c r="K589" s="94"/>
      <c r="L589" s="94"/>
      <c r="M589" s="1430"/>
      <c r="N589" s="1430"/>
      <c r="O589" s="1430"/>
      <c r="P589" s="94"/>
      <c r="Q589" s="1431"/>
      <c r="R589" s="1430"/>
      <c r="S589" s="1164"/>
      <c r="T589" s="1164"/>
      <c r="U589" s="2174"/>
      <c r="V589" s="2174"/>
      <c r="W589" s="2174"/>
      <c r="X589" s="1164"/>
    </row>
    <row r="590" ht="15.75" customHeight="1">
      <c r="A590" s="94"/>
      <c r="B590" s="94"/>
      <c r="C590" s="1164"/>
      <c r="D590" s="1429"/>
      <c r="E590" s="1429"/>
      <c r="F590" s="1429"/>
      <c r="G590" s="1429"/>
      <c r="H590" s="1430"/>
      <c r="I590" s="1430"/>
      <c r="J590" s="94"/>
      <c r="K590" s="94"/>
      <c r="L590" s="94"/>
      <c r="M590" s="1430"/>
      <c r="N590" s="1430"/>
      <c r="O590" s="1430"/>
      <c r="P590" s="94"/>
      <c r="Q590" s="1431"/>
      <c r="R590" s="1430"/>
      <c r="S590" s="1164"/>
      <c r="T590" s="1164"/>
      <c r="U590" s="2174"/>
      <c r="V590" s="2174"/>
      <c r="W590" s="2174"/>
      <c r="X590" s="1164"/>
    </row>
    <row r="591" ht="15.75" customHeight="1">
      <c r="A591" s="94"/>
      <c r="B591" s="94"/>
      <c r="C591" s="1164"/>
      <c r="D591" s="1429"/>
      <c r="E591" s="1429"/>
      <c r="F591" s="1429"/>
      <c r="G591" s="1429"/>
      <c r="H591" s="1430"/>
      <c r="I591" s="94"/>
      <c r="J591" s="1164"/>
      <c r="K591" s="94"/>
      <c r="L591" s="94"/>
      <c r="M591" s="1430"/>
      <c r="N591" s="1430"/>
      <c r="O591" s="1430"/>
      <c r="P591" s="94"/>
      <c r="Q591" s="1431"/>
      <c r="R591" s="1430"/>
      <c r="S591" s="1164"/>
      <c r="T591" s="1164"/>
      <c r="U591" s="2174"/>
      <c r="V591" s="2174"/>
      <c r="W591" s="2174"/>
      <c r="X591" s="1164"/>
    </row>
    <row r="592" ht="15.75" customHeight="1">
      <c r="A592" s="94"/>
      <c r="B592" s="94"/>
      <c r="C592" s="1164"/>
      <c r="D592" s="1429"/>
      <c r="E592" s="1429"/>
      <c r="F592" s="1429"/>
      <c r="G592" s="1429"/>
      <c r="H592" s="1430"/>
      <c r="I592" s="1430"/>
      <c r="J592" s="94"/>
      <c r="K592" s="94"/>
      <c r="L592" s="94"/>
      <c r="M592" s="1430"/>
      <c r="N592" s="1430"/>
      <c r="O592" s="1430"/>
      <c r="P592" s="94"/>
      <c r="Q592" s="1431"/>
      <c r="R592" s="1430"/>
      <c r="S592" s="1164"/>
      <c r="T592" s="1164"/>
      <c r="U592" s="2174"/>
      <c r="V592" s="2174"/>
      <c r="W592" s="2174"/>
      <c r="X592" s="1164"/>
    </row>
    <row r="593" ht="15.75" customHeight="1">
      <c r="A593" s="94"/>
      <c r="B593" s="94"/>
      <c r="C593" s="1164"/>
      <c r="D593" s="1429"/>
      <c r="E593" s="1429"/>
      <c r="F593" s="1429"/>
      <c r="G593" s="1429"/>
      <c r="H593" s="1430"/>
      <c r="I593" s="1430"/>
      <c r="J593" s="94"/>
      <c r="K593" s="94"/>
      <c r="L593" s="94"/>
      <c r="M593" s="1430"/>
      <c r="N593" s="1430"/>
      <c r="O593" s="1430"/>
      <c r="P593" s="94"/>
      <c r="Q593" s="1431"/>
      <c r="R593" s="1430"/>
      <c r="S593" s="1164"/>
      <c r="T593" s="1164"/>
      <c r="U593" s="2174"/>
      <c r="V593" s="2174"/>
      <c r="W593" s="2174"/>
      <c r="X593" s="1164"/>
    </row>
    <row r="594" ht="15.75" customHeight="1">
      <c r="A594" s="94"/>
      <c r="B594" s="94"/>
      <c r="C594" s="1164"/>
      <c r="D594" s="1429"/>
      <c r="E594" s="1429"/>
      <c r="F594" s="1429"/>
      <c r="G594" s="1429"/>
      <c r="H594" s="1430"/>
      <c r="I594" s="1430"/>
      <c r="J594" s="94"/>
      <c r="K594" s="94"/>
      <c r="L594" s="94"/>
      <c r="M594" s="94"/>
      <c r="N594" s="94"/>
      <c r="O594" s="94"/>
      <c r="P594" s="94"/>
      <c r="Q594" s="1431"/>
      <c r="R594" s="1430"/>
      <c r="S594" s="1164"/>
      <c r="T594" s="1164"/>
      <c r="U594" s="2174"/>
      <c r="V594" s="2174"/>
      <c r="W594" s="2174"/>
      <c r="X594" s="1164"/>
    </row>
    <row r="595" ht="15.75" customHeight="1">
      <c r="A595" s="94"/>
      <c r="B595" s="94"/>
      <c r="C595" s="1164"/>
      <c r="D595" s="1429"/>
      <c r="E595" s="1429"/>
      <c r="F595" s="1429"/>
      <c r="G595" s="1429"/>
      <c r="H595" s="1430"/>
      <c r="I595" s="94"/>
      <c r="J595" s="1164"/>
      <c r="K595" s="94"/>
      <c r="L595" s="94"/>
      <c r="M595" s="94"/>
      <c r="N595" s="94"/>
      <c r="O595" s="94"/>
      <c r="P595" s="94"/>
      <c r="Q595" s="1431"/>
      <c r="R595" s="1430"/>
      <c r="S595" s="1164"/>
      <c r="T595" s="1164"/>
      <c r="U595" s="2174"/>
      <c r="V595" s="2174"/>
      <c r="W595" s="2174"/>
      <c r="X595" s="1164"/>
    </row>
    <row r="596" ht="15.75" customHeight="1">
      <c r="A596" s="94"/>
      <c r="B596" s="94"/>
      <c r="C596" s="1164"/>
      <c r="D596" s="1429"/>
      <c r="E596" s="1429"/>
      <c r="F596" s="1429"/>
      <c r="G596" s="1429"/>
      <c r="H596" s="1430"/>
      <c r="I596" s="94"/>
      <c r="J596" s="1164"/>
      <c r="K596" s="94"/>
      <c r="L596" s="94"/>
      <c r="M596" s="1430"/>
      <c r="N596" s="1430"/>
      <c r="O596" s="1430"/>
      <c r="P596" s="94"/>
      <c r="Q596" s="1431"/>
      <c r="R596" s="1430"/>
      <c r="S596" s="1164"/>
      <c r="T596" s="1164"/>
      <c r="U596" s="2174"/>
      <c r="V596" s="2174"/>
      <c r="W596" s="2174"/>
      <c r="X596" s="1164"/>
    </row>
    <row r="597" ht="15.75" customHeight="1">
      <c r="A597" s="94"/>
      <c r="B597" s="94"/>
      <c r="C597" s="1164"/>
      <c r="D597" s="1429"/>
      <c r="E597" s="1429"/>
      <c r="F597" s="1429"/>
      <c r="G597" s="1429"/>
      <c r="H597" s="1430"/>
      <c r="I597" s="1430"/>
      <c r="J597" s="94"/>
      <c r="K597" s="94"/>
      <c r="L597" s="94"/>
      <c r="M597" s="1430"/>
      <c r="N597" s="1430"/>
      <c r="O597" s="1430"/>
      <c r="P597" s="94"/>
      <c r="Q597" s="1431"/>
      <c r="R597" s="1430"/>
      <c r="S597" s="1164"/>
      <c r="T597" s="1164"/>
      <c r="U597" s="2174"/>
      <c r="V597" s="2174"/>
      <c r="W597" s="2174"/>
      <c r="X597" s="1164"/>
    </row>
    <row r="598" ht="15.75" customHeight="1">
      <c r="A598" s="94"/>
      <c r="B598" s="94"/>
      <c r="C598" s="1164"/>
      <c r="D598" s="1429"/>
      <c r="E598" s="1429"/>
      <c r="F598" s="1429"/>
      <c r="G598" s="1429"/>
      <c r="H598" s="1430"/>
      <c r="I598" s="1430"/>
      <c r="J598" s="94"/>
      <c r="K598" s="94"/>
      <c r="L598" s="94"/>
      <c r="M598" s="1430"/>
      <c r="N598" s="1430"/>
      <c r="O598" s="1430"/>
      <c r="P598" s="94"/>
      <c r="Q598" s="1431"/>
      <c r="R598" s="1430"/>
      <c r="S598" s="1164"/>
      <c r="T598" s="1164"/>
      <c r="U598" s="2174"/>
      <c r="V598" s="2174"/>
      <c r="W598" s="2174"/>
      <c r="X598" s="1164"/>
    </row>
    <row r="599" ht="15.75" customHeight="1">
      <c r="A599" s="94"/>
      <c r="B599" s="94"/>
      <c r="C599" s="1164"/>
      <c r="D599" s="1429"/>
      <c r="E599" s="1429"/>
      <c r="F599" s="1429"/>
      <c r="G599" s="1429"/>
      <c r="H599" s="1430"/>
      <c r="I599" s="1430"/>
      <c r="J599" s="94"/>
      <c r="K599" s="94"/>
      <c r="L599" s="94"/>
      <c r="M599" s="1430"/>
      <c r="N599" s="1430"/>
      <c r="O599" s="1430"/>
      <c r="P599" s="94"/>
      <c r="Q599" s="1431"/>
      <c r="R599" s="1430"/>
      <c r="S599" s="1164"/>
      <c r="T599" s="1164"/>
      <c r="U599" s="2174"/>
      <c r="V599" s="2174"/>
      <c r="W599" s="2174"/>
      <c r="X599" s="1164"/>
    </row>
    <row r="600" ht="15.75" customHeight="1">
      <c r="A600" s="94"/>
      <c r="B600" s="94"/>
      <c r="C600" s="1164"/>
      <c r="D600" s="1429"/>
      <c r="E600" s="1429"/>
      <c r="F600" s="1429"/>
      <c r="G600" s="1429"/>
      <c r="H600" s="1430"/>
      <c r="I600" s="1430"/>
      <c r="J600" s="94"/>
      <c r="K600" s="94"/>
      <c r="L600" s="94"/>
      <c r="M600" s="1430"/>
      <c r="N600" s="1430"/>
      <c r="O600" s="1430"/>
      <c r="P600" s="94"/>
      <c r="Q600" s="1431"/>
      <c r="R600" s="1430"/>
      <c r="S600" s="1164"/>
      <c r="T600" s="1164"/>
      <c r="U600" s="2174"/>
      <c r="V600" s="2174"/>
      <c r="W600" s="2174"/>
      <c r="X600" s="1164"/>
    </row>
    <row r="601" ht="15.75" customHeight="1">
      <c r="A601" s="94"/>
      <c r="B601" s="94"/>
      <c r="C601" s="1164"/>
      <c r="D601" s="1429"/>
      <c r="E601" s="1429"/>
      <c r="F601" s="1429"/>
      <c r="G601" s="1436"/>
      <c r="H601" s="1430"/>
      <c r="I601" s="1430"/>
      <c r="J601" s="94"/>
      <c r="K601" s="94"/>
      <c r="L601" s="94"/>
      <c r="M601" s="94"/>
      <c r="N601" s="94"/>
      <c r="O601" s="94"/>
      <c r="P601" s="94"/>
      <c r="Q601" s="1431"/>
      <c r="R601" s="1430"/>
      <c r="S601" s="1164"/>
      <c r="T601" s="1164"/>
      <c r="U601" s="2174"/>
      <c r="V601" s="2174"/>
      <c r="W601" s="2174"/>
      <c r="X601" s="1164"/>
    </row>
    <row r="602" ht="15.75" customHeight="1">
      <c r="A602" s="94"/>
      <c r="B602" s="94"/>
      <c r="C602" s="1164"/>
      <c r="D602" s="1429"/>
      <c r="E602" s="1429"/>
      <c r="F602" s="1429"/>
      <c r="G602" s="1429"/>
      <c r="H602" s="1430"/>
      <c r="I602" s="94"/>
      <c r="J602" s="1164"/>
      <c r="K602" s="94"/>
      <c r="L602" s="94"/>
      <c r="M602" s="1430"/>
      <c r="N602" s="1430"/>
      <c r="O602" s="1430"/>
      <c r="P602" s="94"/>
      <c r="Q602" s="1431"/>
      <c r="R602" s="1430"/>
      <c r="S602" s="1164"/>
      <c r="T602" s="1164"/>
      <c r="U602" s="2174"/>
      <c r="V602" s="2174"/>
      <c r="W602" s="2174"/>
      <c r="X602" s="1164"/>
    </row>
    <row r="603" ht="15.75" customHeight="1">
      <c r="A603" s="94"/>
      <c r="B603" s="94"/>
      <c r="C603" s="1164"/>
      <c r="D603" s="1429"/>
      <c r="E603" s="1429"/>
      <c r="F603" s="1429"/>
      <c r="G603" s="1429"/>
      <c r="H603" s="1430"/>
      <c r="I603" s="1430"/>
      <c r="J603" s="94"/>
      <c r="K603" s="94"/>
      <c r="L603" s="94"/>
      <c r="M603" s="1430"/>
      <c r="N603" s="1430"/>
      <c r="O603" s="1430"/>
      <c r="P603" s="94"/>
      <c r="Q603" s="1431"/>
      <c r="R603" s="1430"/>
      <c r="S603" s="1164"/>
      <c r="T603" s="1164"/>
      <c r="U603" s="2174"/>
      <c r="V603" s="2174"/>
      <c r="W603" s="2174"/>
      <c r="X603" s="1164"/>
    </row>
    <row r="604" ht="15.75" customHeight="1">
      <c r="A604" s="94"/>
      <c r="B604" s="94"/>
      <c r="C604" s="1164"/>
      <c r="D604" s="1429"/>
      <c r="E604" s="1429"/>
      <c r="F604" s="1429"/>
      <c r="G604" s="1429"/>
      <c r="H604" s="1430"/>
      <c r="I604" s="94"/>
      <c r="J604" s="1164"/>
      <c r="K604" s="94"/>
      <c r="L604" s="94"/>
      <c r="M604" s="94"/>
      <c r="N604" s="94"/>
      <c r="O604" s="94"/>
      <c r="P604" s="94"/>
      <c r="Q604" s="1431"/>
      <c r="R604" s="1430"/>
      <c r="S604" s="1164"/>
      <c r="T604" s="1164"/>
      <c r="U604" s="2174"/>
      <c r="V604" s="2174"/>
      <c r="W604" s="2174"/>
      <c r="X604" s="1164"/>
    </row>
    <row r="605" ht="15.75" customHeight="1">
      <c r="A605" s="94"/>
      <c r="B605" s="94"/>
      <c r="C605" s="1164"/>
      <c r="D605" s="1429"/>
      <c r="E605" s="1429"/>
      <c r="F605" s="1429"/>
      <c r="G605" s="1429"/>
      <c r="H605" s="1430"/>
      <c r="I605" s="94"/>
      <c r="J605" s="1164"/>
      <c r="K605" s="94"/>
      <c r="L605" s="94"/>
      <c r="M605" s="94"/>
      <c r="N605" s="94"/>
      <c r="O605" s="94"/>
      <c r="P605" s="94"/>
      <c r="Q605" s="1431"/>
      <c r="R605" s="1430"/>
      <c r="S605" s="1164"/>
      <c r="T605" s="1164"/>
      <c r="U605" s="2174"/>
      <c r="V605" s="2174"/>
      <c r="W605" s="2174"/>
      <c r="X605" s="1164"/>
    </row>
    <row r="606" ht="15.75" customHeight="1">
      <c r="A606" s="94"/>
      <c r="B606" s="94"/>
      <c r="C606" s="1164"/>
      <c r="D606" s="1429"/>
      <c r="E606" s="1429"/>
      <c r="F606" s="1429"/>
      <c r="G606" s="1429"/>
      <c r="H606" s="1430"/>
      <c r="I606" s="94"/>
      <c r="J606" s="1164"/>
      <c r="K606" s="94"/>
      <c r="L606" s="94"/>
      <c r="M606" s="1430"/>
      <c r="N606" s="1430"/>
      <c r="O606" s="1430"/>
      <c r="P606" s="94"/>
      <c r="Q606" s="1431"/>
      <c r="R606" s="1430"/>
      <c r="S606" s="1164"/>
      <c r="T606" s="1164"/>
      <c r="U606" s="2174"/>
      <c r="V606" s="2174"/>
      <c r="W606" s="2174"/>
      <c r="X606" s="1164"/>
    </row>
    <row r="607" ht="15.75" customHeight="1">
      <c r="A607" s="94"/>
      <c r="B607" s="94"/>
      <c r="C607" s="1164"/>
      <c r="D607" s="1429"/>
      <c r="E607" s="1429"/>
      <c r="F607" s="1429"/>
      <c r="G607" s="1429"/>
      <c r="H607" s="1430"/>
      <c r="I607" s="94"/>
      <c r="J607" s="1164"/>
      <c r="K607" s="94"/>
      <c r="L607" s="94"/>
      <c r="M607" s="1430"/>
      <c r="N607" s="1430"/>
      <c r="O607" s="1430"/>
      <c r="P607" s="94"/>
      <c r="Q607" s="1431"/>
      <c r="R607" s="1430"/>
      <c r="S607" s="1164"/>
      <c r="T607" s="1164"/>
      <c r="U607" s="2174"/>
      <c r="V607" s="2174"/>
      <c r="W607" s="2174"/>
      <c r="X607" s="1164"/>
    </row>
    <row r="608" ht="15.75" customHeight="1">
      <c r="A608" s="94"/>
      <c r="B608" s="94"/>
      <c r="C608" s="1164"/>
      <c r="D608" s="1429"/>
      <c r="E608" s="1429"/>
      <c r="F608" s="1429"/>
      <c r="G608" s="1429"/>
      <c r="H608" s="1430"/>
      <c r="I608" s="94"/>
      <c r="J608" s="1164"/>
      <c r="K608" s="94"/>
      <c r="L608" s="94"/>
      <c r="M608" s="1430"/>
      <c r="N608" s="1430"/>
      <c r="O608" s="1430"/>
      <c r="P608" s="94"/>
      <c r="Q608" s="1431"/>
      <c r="R608" s="1430"/>
      <c r="S608" s="1164"/>
      <c r="T608" s="1164"/>
      <c r="U608" s="2174"/>
      <c r="V608" s="2174"/>
      <c r="W608" s="2174"/>
      <c r="X608" s="1164"/>
    </row>
    <row r="609" ht="15.75" customHeight="1">
      <c r="A609" s="94"/>
      <c r="B609" s="94"/>
      <c r="C609" s="1164"/>
      <c r="D609" s="1429"/>
      <c r="E609" s="1429"/>
      <c r="F609" s="1429"/>
      <c r="G609" s="1429"/>
      <c r="H609" s="1430"/>
      <c r="I609" s="94"/>
      <c r="J609" s="1164"/>
      <c r="K609" s="94"/>
      <c r="L609" s="94"/>
      <c r="M609" s="1430"/>
      <c r="N609" s="1430"/>
      <c r="O609" s="1430"/>
      <c r="P609" s="94"/>
      <c r="Q609" s="1431"/>
      <c r="R609" s="1430"/>
      <c r="S609" s="1164"/>
      <c r="T609" s="1164"/>
      <c r="U609" s="2174"/>
      <c r="V609" s="2174"/>
      <c r="W609" s="2174"/>
      <c r="X609" s="1164"/>
    </row>
    <row r="610" ht="15.75" customHeight="1">
      <c r="A610" s="94"/>
      <c r="B610" s="94"/>
      <c r="C610" s="1164"/>
      <c r="D610" s="1429"/>
      <c r="E610" s="1429"/>
      <c r="F610" s="1429"/>
      <c r="G610" s="1429"/>
      <c r="H610" s="1430"/>
      <c r="I610" s="1430"/>
      <c r="J610" s="94"/>
      <c r="K610" s="94"/>
      <c r="L610" s="94"/>
      <c r="M610" s="1430"/>
      <c r="N610" s="1430"/>
      <c r="O610" s="1430"/>
      <c r="P610" s="94"/>
      <c r="Q610" s="1431"/>
      <c r="R610" s="1430"/>
      <c r="S610" s="1164"/>
      <c r="T610" s="1164"/>
      <c r="U610" s="2174"/>
      <c r="V610" s="2174"/>
      <c r="W610" s="2174"/>
      <c r="X610" s="1164"/>
    </row>
    <row r="611" ht="15.75" customHeight="1">
      <c r="A611" s="94"/>
      <c r="B611" s="94"/>
      <c r="C611" s="1164"/>
      <c r="D611" s="1429"/>
      <c r="E611" s="1429"/>
      <c r="F611" s="1429"/>
      <c r="G611" s="1429"/>
      <c r="H611" s="1430"/>
      <c r="I611" s="1430"/>
      <c r="J611" s="94"/>
      <c r="K611" s="94"/>
      <c r="L611" s="94"/>
      <c r="M611" s="1430"/>
      <c r="N611" s="1430"/>
      <c r="O611" s="1430"/>
      <c r="P611" s="94"/>
      <c r="Q611" s="1431"/>
      <c r="R611" s="1430"/>
      <c r="S611" s="1164"/>
      <c r="T611" s="1164"/>
      <c r="U611" s="2174"/>
      <c r="V611" s="2174"/>
      <c r="W611" s="2174"/>
      <c r="X611" s="1164"/>
    </row>
    <row r="612" ht="15.75" customHeight="1">
      <c r="A612" s="94"/>
      <c r="B612" s="94"/>
      <c r="C612" s="1164"/>
      <c r="D612" s="1429"/>
      <c r="E612" s="1429"/>
      <c r="F612" s="1429"/>
      <c r="G612" s="1429"/>
      <c r="H612" s="1430"/>
      <c r="I612" s="94"/>
      <c r="J612" s="1164"/>
      <c r="K612" s="94"/>
      <c r="L612" s="94"/>
      <c r="M612" s="1430"/>
      <c r="N612" s="1430"/>
      <c r="O612" s="1430"/>
      <c r="P612" s="94"/>
      <c r="Q612" s="1431"/>
      <c r="R612" s="1430"/>
      <c r="S612" s="1164"/>
      <c r="T612" s="1164"/>
      <c r="U612" s="2174"/>
      <c r="V612" s="2174"/>
      <c r="W612" s="2174"/>
      <c r="X612" s="1164"/>
    </row>
    <row r="613" ht="15.75" customHeight="1">
      <c r="A613" s="94"/>
      <c r="B613" s="94"/>
      <c r="C613" s="1164"/>
      <c r="D613" s="1429"/>
      <c r="E613" s="1429"/>
      <c r="F613" s="1429"/>
      <c r="G613" s="1429"/>
      <c r="H613" s="1430"/>
      <c r="I613" s="94"/>
      <c r="J613" s="1164"/>
      <c r="K613" s="94"/>
      <c r="L613" s="94"/>
      <c r="M613" s="1430"/>
      <c r="N613" s="1430"/>
      <c r="O613" s="1430"/>
      <c r="P613" s="94"/>
      <c r="Q613" s="1431"/>
      <c r="R613" s="1430"/>
      <c r="S613" s="1164"/>
      <c r="T613" s="1164"/>
      <c r="U613" s="2174"/>
      <c r="V613" s="2174"/>
      <c r="W613" s="2174"/>
      <c r="X613" s="1164"/>
    </row>
    <row r="614" ht="15.75" customHeight="1">
      <c r="A614" s="94"/>
      <c r="B614" s="94"/>
      <c r="C614" s="1164"/>
      <c r="D614" s="1429"/>
      <c r="E614" s="1429"/>
      <c r="F614" s="1429"/>
      <c r="G614" s="1429"/>
      <c r="H614" s="1430"/>
      <c r="I614" s="1430"/>
      <c r="J614" s="94"/>
      <c r="K614" s="94"/>
      <c r="L614" s="94"/>
      <c r="M614" s="94"/>
      <c r="N614" s="94"/>
      <c r="O614" s="94"/>
      <c r="P614" s="94"/>
      <c r="Q614" s="1431"/>
      <c r="R614" s="1430"/>
      <c r="S614" s="1164"/>
      <c r="T614" s="1164"/>
      <c r="U614" s="2174"/>
      <c r="V614" s="2174"/>
      <c r="W614" s="2174"/>
      <c r="X614" s="1164"/>
    </row>
    <row r="615" ht="15.75" customHeight="1">
      <c r="A615" s="94"/>
      <c r="B615" s="94"/>
      <c r="C615" s="1164"/>
      <c r="D615" s="1429"/>
      <c r="E615" s="1429"/>
      <c r="F615" s="1429"/>
      <c r="G615" s="1429"/>
      <c r="H615" s="1430"/>
      <c r="I615" s="94"/>
      <c r="J615" s="1164"/>
      <c r="K615" s="94"/>
      <c r="L615" s="94"/>
      <c r="M615" s="1430"/>
      <c r="N615" s="1430"/>
      <c r="O615" s="1430"/>
      <c r="P615" s="94"/>
      <c r="Q615" s="1431"/>
      <c r="R615" s="1430"/>
      <c r="S615" s="1164"/>
      <c r="T615" s="1164"/>
      <c r="U615" s="2174"/>
      <c r="V615" s="2174"/>
      <c r="W615" s="2174"/>
      <c r="X615" s="1164"/>
    </row>
    <row r="616" ht="15.75" customHeight="1">
      <c r="A616" s="94"/>
      <c r="B616" s="94"/>
      <c r="C616" s="1164"/>
      <c r="D616" s="1429"/>
      <c r="E616" s="1429"/>
      <c r="F616" s="1429"/>
      <c r="G616" s="1429"/>
      <c r="H616" s="1430"/>
      <c r="I616" s="94"/>
      <c r="J616" s="1164"/>
      <c r="K616" s="94"/>
      <c r="L616" s="94"/>
      <c r="M616" s="1430"/>
      <c r="N616" s="1430"/>
      <c r="O616" s="1430"/>
      <c r="P616" s="94"/>
      <c r="Q616" s="1431"/>
      <c r="R616" s="1430"/>
      <c r="S616" s="1164"/>
      <c r="T616" s="1164"/>
      <c r="U616" s="2174"/>
      <c r="V616" s="2174"/>
      <c r="W616" s="2174"/>
      <c r="X616" s="1164"/>
    </row>
    <row r="617" ht="15.75" customHeight="1">
      <c r="A617" s="94"/>
      <c r="B617" s="94"/>
      <c r="C617" s="1164"/>
      <c r="D617" s="1429"/>
      <c r="E617" s="1429"/>
      <c r="F617" s="1429"/>
      <c r="G617" s="1429"/>
      <c r="H617" s="1430"/>
      <c r="I617" s="1430"/>
      <c r="J617" s="94"/>
      <c r="K617" s="94"/>
      <c r="L617" s="94"/>
      <c r="M617" s="1430"/>
      <c r="N617" s="1430"/>
      <c r="O617" s="1430"/>
      <c r="P617" s="94"/>
      <c r="Q617" s="1431"/>
      <c r="R617" s="1430"/>
      <c r="S617" s="1164"/>
      <c r="T617" s="1164"/>
      <c r="U617" s="2174"/>
      <c r="V617" s="2174"/>
      <c r="W617" s="2174"/>
      <c r="X617" s="1164"/>
    </row>
    <row r="618" ht="15.75" customHeight="1">
      <c r="A618" s="94"/>
      <c r="B618" s="94"/>
      <c r="C618" s="1164"/>
      <c r="D618" s="1429"/>
      <c r="E618" s="1429"/>
      <c r="F618" s="1429"/>
      <c r="G618" s="1429"/>
      <c r="H618" s="1430"/>
      <c r="I618" s="1430"/>
      <c r="J618" s="94"/>
      <c r="K618" s="94"/>
      <c r="L618" s="94"/>
      <c r="M618" s="1430"/>
      <c r="N618" s="1430"/>
      <c r="O618" s="1430"/>
      <c r="P618" s="94"/>
      <c r="Q618" s="1431"/>
      <c r="R618" s="1430"/>
      <c r="S618" s="1164"/>
      <c r="T618" s="1164"/>
      <c r="U618" s="2174"/>
      <c r="V618" s="2174"/>
      <c r="W618" s="2174"/>
      <c r="X618" s="1164"/>
    </row>
    <row r="619" ht="15.75" customHeight="1">
      <c r="A619" s="94"/>
      <c r="B619" s="94"/>
      <c r="C619" s="1164"/>
      <c r="D619" s="1429"/>
      <c r="E619" s="1429"/>
      <c r="F619" s="1429"/>
      <c r="G619" s="1429"/>
      <c r="H619" s="1430"/>
      <c r="I619" s="1430"/>
      <c r="J619" s="94"/>
      <c r="K619" s="94"/>
      <c r="L619" s="94"/>
      <c r="M619" s="1430"/>
      <c r="N619" s="1430"/>
      <c r="O619" s="1430"/>
      <c r="P619" s="94"/>
      <c r="Q619" s="1431"/>
      <c r="R619" s="1430"/>
      <c r="S619" s="1164"/>
      <c r="T619" s="1164"/>
      <c r="U619" s="2174"/>
      <c r="V619" s="2174"/>
      <c r="W619" s="2174"/>
      <c r="X619" s="1164"/>
    </row>
    <row r="620" ht="15.75" customHeight="1">
      <c r="A620" s="94"/>
      <c r="B620" s="94"/>
      <c r="C620" s="1164"/>
      <c r="D620" s="1429"/>
      <c r="E620" s="1429"/>
      <c r="F620" s="1429"/>
      <c r="G620" s="1429"/>
      <c r="H620" s="1430"/>
      <c r="I620" s="94"/>
      <c r="J620" s="1164"/>
      <c r="K620" s="94"/>
      <c r="L620" s="94"/>
      <c r="M620" s="1430"/>
      <c r="N620" s="1430"/>
      <c r="O620" s="1430"/>
      <c r="P620" s="94"/>
      <c r="Q620" s="1431"/>
      <c r="R620" s="1430"/>
      <c r="S620" s="1164"/>
      <c r="T620" s="1164"/>
      <c r="U620" s="2174"/>
      <c r="V620" s="2174"/>
      <c r="W620" s="2174"/>
      <c r="X620" s="1164"/>
    </row>
    <row r="621" ht="15.75" customHeight="1">
      <c r="A621" s="94"/>
      <c r="B621" s="94"/>
      <c r="C621" s="1164"/>
      <c r="D621" s="1429"/>
      <c r="E621" s="1429"/>
      <c r="F621" s="1429"/>
      <c r="G621" s="1429"/>
      <c r="H621" s="1430"/>
      <c r="I621" s="1430"/>
      <c r="J621" s="94"/>
      <c r="K621" s="94"/>
      <c r="L621" s="94"/>
      <c r="M621" s="94"/>
      <c r="N621" s="94"/>
      <c r="O621" s="94"/>
      <c r="P621" s="94"/>
      <c r="Q621" s="1431"/>
      <c r="R621" s="1430"/>
      <c r="S621" s="1164"/>
      <c r="T621" s="1164"/>
      <c r="U621" s="2174"/>
      <c r="V621" s="2174"/>
      <c r="W621" s="2174"/>
      <c r="X621" s="94"/>
    </row>
    <row r="622" ht="15.75" customHeight="1">
      <c r="A622" s="94"/>
      <c r="B622" s="94"/>
      <c r="C622" s="1164"/>
      <c r="D622" s="1429"/>
      <c r="E622" s="1429"/>
      <c r="F622" s="1429"/>
      <c r="G622" s="1429"/>
      <c r="H622" s="1430"/>
      <c r="I622" s="1430"/>
      <c r="J622" s="94"/>
      <c r="K622" s="94"/>
      <c r="L622" s="94"/>
      <c r="M622" s="1430"/>
      <c r="N622" s="1430"/>
      <c r="O622" s="1430"/>
      <c r="P622" s="94"/>
      <c r="Q622" s="1431"/>
      <c r="R622" s="1430"/>
      <c r="S622" s="1164"/>
      <c r="T622" s="1164"/>
      <c r="U622" s="2174"/>
      <c r="V622" s="2174"/>
      <c r="W622" s="2174"/>
      <c r="X622" s="1164"/>
    </row>
    <row r="623" ht="15.75" customHeight="1">
      <c r="A623" s="94"/>
      <c r="B623" s="94"/>
      <c r="C623" s="1164"/>
      <c r="D623" s="1429"/>
      <c r="E623" s="1429"/>
      <c r="F623" s="1429"/>
      <c r="G623" s="1434"/>
      <c r="H623" s="1430"/>
      <c r="I623" s="1430"/>
      <c r="J623" s="94"/>
      <c r="K623" s="94"/>
      <c r="L623" s="94"/>
      <c r="M623" s="1430"/>
      <c r="N623" s="1430"/>
      <c r="O623" s="1430"/>
      <c r="P623" s="94"/>
      <c r="Q623" s="1431"/>
      <c r="R623" s="1430"/>
      <c r="S623" s="1164"/>
      <c r="T623" s="1164"/>
      <c r="U623" s="2174"/>
      <c r="V623" s="2174"/>
      <c r="W623" s="2174"/>
      <c r="X623" s="1164"/>
    </row>
    <row r="624" ht="15.75" customHeight="1">
      <c r="A624" s="94"/>
      <c r="B624" s="94"/>
      <c r="C624" s="1164"/>
      <c r="D624" s="1429"/>
      <c r="E624" s="1429"/>
      <c r="F624" s="1429"/>
      <c r="G624" s="1434"/>
      <c r="H624" s="1430"/>
      <c r="I624" s="94"/>
      <c r="J624" s="1164"/>
      <c r="K624" s="94"/>
      <c r="L624" s="94"/>
      <c r="M624" s="1430"/>
      <c r="N624" s="1430"/>
      <c r="O624" s="1430"/>
      <c r="P624" s="94"/>
      <c r="Q624" s="1431"/>
      <c r="R624" s="1430"/>
      <c r="S624" s="1164"/>
      <c r="T624" s="1164"/>
      <c r="U624" s="2174"/>
      <c r="V624" s="2174"/>
      <c r="W624" s="2174"/>
      <c r="X624" s="1164"/>
    </row>
    <row r="625" ht="15.75" customHeight="1">
      <c r="A625" s="94"/>
      <c r="B625" s="94"/>
      <c r="C625" s="1164"/>
      <c r="D625" s="1429"/>
      <c r="E625" s="1429"/>
      <c r="F625" s="1429"/>
      <c r="G625" s="1434"/>
      <c r="H625" s="1430"/>
      <c r="I625" s="94"/>
      <c r="J625" s="1164"/>
      <c r="K625" s="94"/>
      <c r="L625" s="94"/>
      <c r="M625" s="94"/>
      <c r="N625" s="94"/>
      <c r="O625" s="94"/>
      <c r="P625" s="94"/>
      <c r="Q625" s="1431"/>
      <c r="R625" s="1430"/>
      <c r="S625" s="1164"/>
      <c r="T625" s="1164"/>
      <c r="U625" s="2174"/>
      <c r="V625" s="2174"/>
      <c r="W625" s="2174"/>
      <c r="X625" s="1164"/>
    </row>
    <row r="626" ht="15.75" customHeight="1">
      <c r="A626" s="94"/>
      <c r="B626" s="94"/>
      <c r="C626" s="1164"/>
      <c r="D626" s="1429"/>
      <c r="E626" s="1429"/>
      <c r="F626" s="1429"/>
      <c r="G626" s="1434"/>
      <c r="H626" s="1430"/>
      <c r="I626" s="1430"/>
      <c r="J626" s="94"/>
      <c r="K626" s="94"/>
      <c r="L626" s="94"/>
      <c r="M626" s="94"/>
      <c r="N626" s="1430"/>
      <c r="O626" s="94"/>
      <c r="P626" s="94"/>
      <c r="Q626" s="1431"/>
      <c r="R626" s="1430"/>
      <c r="S626" s="1164"/>
      <c r="T626" s="1164"/>
      <c r="U626" s="2174"/>
      <c r="V626" s="2174"/>
      <c r="W626" s="2174"/>
      <c r="X626" s="1164"/>
    </row>
    <row r="627" ht="15.75" customHeight="1">
      <c r="A627" s="94"/>
      <c r="B627" s="94"/>
      <c r="C627" s="1164"/>
      <c r="D627" s="1429"/>
      <c r="E627" s="1429"/>
      <c r="F627" s="1429"/>
      <c r="G627" s="1434"/>
      <c r="H627" s="1430"/>
      <c r="I627" s="1430"/>
      <c r="J627" s="94"/>
      <c r="K627" s="94"/>
      <c r="L627" s="94"/>
      <c r="M627" s="94"/>
      <c r="N627" s="1430"/>
      <c r="O627" s="94"/>
      <c r="P627" s="94"/>
      <c r="Q627" s="1431"/>
      <c r="R627" s="1430"/>
      <c r="S627" s="1164"/>
      <c r="T627" s="1164"/>
      <c r="U627" s="2174"/>
      <c r="V627" s="2174"/>
      <c r="W627" s="2174"/>
      <c r="X627" s="1164"/>
    </row>
    <row r="628" ht="15.75" customHeight="1">
      <c r="A628" s="94"/>
      <c r="B628" s="94"/>
      <c r="C628" s="1164"/>
      <c r="D628" s="1429"/>
      <c r="E628" s="1429"/>
      <c r="F628" s="1429"/>
      <c r="G628" s="1434"/>
      <c r="H628" s="1430"/>
      <c r="I628" s="1430"/>
      <c r="J628" s="94"/>
      <c r="K628" s="94"/>
      <c r="L628" s="94"/>
      <c r="M628" s="94"/>
      <c r="N628" s="1430"/>
      <c r="O628" s="94"/>
      <c r="P628" s="94"/>
      <c r="Q628" s="1431"/>
      <c r="R628" s="1430"/>
      <c r="S628" s="1164"/>
      <c r="T628" s="1164"/>
      <c r="U628" s="2174"/>
      <c r="V628" s="2174"/>
      <c r="W628" s="2174"/>
      <c r="X628" s="1164"/>
    </row>
    <row r="629" ht="15.75" customHeight="1">
      <c r="A629" s="94"/>
      <c r="B629" s="94"/>
      <c r="C629" s="1164"/>
      <c r="D629" s="1429"/>
      <c r="E629" s="1429"/>
      <c r="F629" s="1429"/>
      <c r="G629" s="1434"/>
      <c r="H629" s="1430"/>
      <c r="I629" s="1430"/>
      <c r="J629" s="94"/>
      <c r="K629" s="94"/>
      <c r="L629" s="94"/>
      <c r="M629" s="94"/>
      <c r="N629" s="1430"/>
      <c r="O629" s="94"/>
      <c r="P629" s="94"/>
      <c r="Q629" s="1431"/>
      <c r="R629" s="1430"/>
      <c r="S629" s="1164"/>
      <c r="T629" s="1164"/>
      <c r="U629" s="2174"/>
      <c r="V629" s="2174"/>
      <c r="W629" s="2174"/>
      <c r="X629" s="1164"/>
    </row>
    <row r="630" ht="15.75" customHeight="1">
      <c r="A630" s="94"/>
      <c r="B630" s="94"/>
      <c r="C630" s="1164"/>
      <c r="D630" s="1429"/>
      <c r="E630" s="1429"/>
      <c r="F630" s="1429"/>
      <c r="G630" s="1434"/>
      <c r="H630" s="1430"/>
      <c r="I630" s="1430"/>
      <c r="J630" s="94"/>
      <c r="K630" s="94"/>
      <c r="L630" s="94"/>
      <c r="M630" s="94"/>
      <c r="N630" s="1430"/>
      <c r="O630" s="94"/>
      <c r="P630" s="94"/>
      <c r="Q630" s="1431"/>
      <c r="R630" s="1430"/>
      <c r="S630" s="1164"/>
      <c r="T630" s="1164"/>
      <c r="U630" s="2174"/>
      <c r="V630" s="2174"/>
      <c r="W630" s="2174"/>
      <c r="X630" s="1164"/>
    </row>
    <row r="631" ht="15.75" customHeight="1">
      <c r="A631" s="94"/>
      <c r="B631" s="94"/>
      <c r="C631" s="1164"/>
      <c r="D631" s="1429"/>
      <c r="E631" s="1429"/>
      <c r="F631" s="1429"/>
      <c r="G631" s="1434"/>
      <c r="H631" s="1430"/>
      <c r="I631" s="1430"/>
      <c r="J631" s="94"/>
      <c r="K631" s="94"/>
      <c r="L631" s="94"/>
      <c r="M631" s="1430"/>
      <c r="N631" s="1430"/>
      <c r="O631" s="1430"/>
      <c r="P631" s="94"/>
      <c r="Q631" s="1431"/>
      <c r="R631" s="1430"/>
      <c r="S631" s="1164"/>
      <c r="T631" s="1164"/>
      <c r="U631" s="2174"/>
      <c r="V631" s="2174"/>
      <c r="W631" s="2174"/>
      <c r="X631" s="1164"/>
    </row>
    <row r="632" ht="15.75" customHeight="1">
      <c r="A632" s="94"/>
      <c r="B632" s="94"/>
      <c r="C632" s="1164"/>
      <c r="D632" s="1429"/>
      <c r="E632" s="1429"/>
      <c r="F632" s="1429"/>
      <c r="G632" s="1434"/>
      <c r="H632" s="1430"/>
      <c r="I632" s="1430"/>
      <c r="J632" s="94"/>
      <c r="K632" s="94"/>
      <c r="L632" s="94"/>
      <c r="M632" s="1430"/>
      <c r="N632" s="1430"/>
      <c r="O632" s="1430"/>
      <c r="P632" s="94"/>
      <c r="Q632" s="1431"/>
      <c r="R632" s="1430"/>
      <c r="S632" s="1164"/>
      <c r="T632" s="1164"/>
      <c r="U632" s="2174"/>
      <c r="V632" s="2174"/>
      <c r="W632" s="2174"/>
      <c r="X632" s="1164"/>
    </row>
    <row r="633" ht="15.75" customHeight="1">
      <c r="A633" s="94"/>
      <c r="B633" s="94"/>
      <c r="C633" s="1164"/>
      <c r="D633" s="1429"/>
      <c r="E633" s="1429"/>
      <c r="F633" s="1429"/>
      <c r="G633" s="1434"/>
      <c r="H633" s="1430"/>
      <c r="I633" s="94"/>
      <c r="J633" s="1164"/>
      <c r="K633" s="94"/>
      <c r="L633" s="94"/>
      <c r="M633" s="1430"/>
      <c r="N633" s="1430"/>
      <c r="O633" s="1430"/>
      <c r="P633" s="94"/>
      <c r="Q633" s="1431"/>
      <c r="R633" s="1430"/>
      <c r="S633" s="1164"/>
      <c r="T633" s="1164"/>
      <c r="U633" s="2174"/>
      <c r="V633" s="2174"/>
      <c r="W633" s="2174"/>
      <c r="X633" s="1164"/>
    </row>
    <row r="634" ht="15.75" customHeight="1">
      <c r="A634" s="94"/>
      <c r="B634" s="94"/>
      <c r="C634" s="1164"/>
      <c r="D634" s="1429"/>
      <c r="E634" s="1429"/>
      <c r="F634" s="1429"/>
      <c r="G634" s="1434"/>
      <c r="H634" s="1430"/>
      <c r="I634" s="94"/>
      <c r="J634" s="1164"/>
      <c r="K634" s="94"/>
      <c r="L634" s="94"/>
      <c r="M634" s="1430"/>
      <c r="N634" s="1430"/>
      <c r="O634" s="1430"/>
      <c r="P634" s="94"/>
      <c r="Q634" s="1431"/>
      <c r="R634" s="1430"/>
      <c r="S634" s="1164"/>
      <c r="T634" s="1164"/>
      <c r="U634" s="2174"/>
      <c r="V634" s="2174"/>
      <c r="W634" s="2174"/>
      <c r="X634" s="1164"/>
    </row>
    <row r="635" ht="15.75" customHeight="1">
      <c r="A635" s="94"/>
      <c r="B635" s="94"/>
      <c r="C635" s="1164"/>
      <c r="D635" s="1429"/>
      <c r="E635" s="1429"/>
      <c r="F635" s="1429"/>
      <c r="G635" s="1434"/>
      <c r="H635" s="1430"/>
      <c r="I635" s="1430"/>
      <c r="J635" s="94"/>
      <c r="K635" s="94"/>
      <c r="L635" s="94"/>
      <c r="M635" s="1430"/>
      <c r="N635" s="1430"/>
      <c r="O635" s="1430"/>
      <c r="P635" s="94"/>
      <c r="Q635" s="1431"/>
      <c r="R635" s="1430"/>
      <c r="S635" s="1164"/>
      <c r="T635" s="1164"/>
      <c r="U635" s="2174"/>
      <c r="V635" s="2174"/>
      <c r="W635" s="2174"/>
      <c r="X635" s="1164"/>
    </row>
    <row r="636" ht="15.75" customHeight="1">
      <c r="A636" s="94"/>
      <c r="B636" s="94"/>
      <c r="C636" s="1164"/>
      <c r="D636" s="1429"/>
      <c r="E636" s="1429"/>
      <c r="F636" s="1429"/>
      <c r="G636" s="1434"/>
      <c r="H636" s="1430"/>
      <c r="I636" s="1430"/>
      <c r="J636" s="94"/>
      <c r="K636" s="94"/>
      <c r="L636" s="94"/>
      <c r="M636" s="1430"/>
      <c r="N636" s="1430"/>
      <c r="O636" s="1430"/>
      <c r="P636" s="94"/>
      <c r="Q636" s="1431"/>
      <c r="R636" s="1430"/>
      <c r="S636" s="1164"/>
      <c r="T636" s="1164"/>
      <c r="U636" s="2174"/>
      <c r="V636" s="2174"/>
      <c r="W636" s="2174"/>
      <c r="X636" s="1164"/>
    </row>
    <row r="637" ht="15.75" customHeight="1">
      <c r="A637" s="94"/>
      <c r="B637" s="94"/>
      <c r="C637" s="1164"/>
      <c r="D637" s="1429"/>
      <c r="E637" s="1429"/>
      <c r="F637" s="1429"/>
      <c r="G637" s="1434"/>
      <c r="H637" s="1430"/>
      <c r="I637" s="94"/>
      <c r="J637" s="1164"/>
      <c r="K637" s="94"/>
      <c r="L637" s="94"/>
      <c r="M637" s="94"/>
      <c r="N637" s="1430"/>
      <c r="O637" s="94"/>
      <c r="P637" s="94"/>
      <c r="Q637" s="1431"/>
      <c r="R637" s="1430"/>
      <c r="S637" s="1164"/>
      <c r="T637" s="1164"/>
      <c r="U637" s="2174"/>
      <c r="V637" s="2174"/>
      <c r="W637" s="2174"/>
      <c r="X637" s="1164"/>
    </row>
    <row r="638" ht="15.75" customHeight="1">
      <c r="A638" s="94"/>
      <c r="B638" s="94"/>
      <c r="C638" s="1164"/>
      <c r="D638" s="1429"/>
      <c r="E638" s="1429"/>
      <c r="F638" s="1429"/>
      <c r="G638" s="1434"/>
      <c r="H638" s="1430"/>
      <c r="I638" s="94"/>
      <c r="J638" s="1164"/>
      <c r="K638" s="94"/>
      <c r="L638" s="94"/>
      <c r="M638" s="94"/>
      <c r="N638" s="1430"/>
      <c r="O638" s="94"/>
      <c r="P638" s="94"/>
      <c r="Q638" s="1431"/>
      <c r="R638" s="1430"/>
      <c r="S638" s="1164"/>
      <c r="T638" s="1164"/>
      <c r="U638" s="2174"/>
      <c r="V638" s="2174"/>
      <c r="W638" s="2174"/>
      <c r="X638" s="1164"/>
    </row>
    <row r="639" ht="15.75" customHeight="1">
      <c r="A639" s="94"/>
      <c r="B639" s="94"/>
      <c r="C639" s="1164"/>
      <c r="D639" s="1429"/>
      <c r="E639" s="1429"/>
      <c r="F639" s="1429"/>
      <c r="G639" s="1434"/>
      <c r="H639" s="1430"/>
      <c r="I639" s="94"/>
      <c r="J639" s="1164"/>
      <c r="K639" s="94"/>
      <c r="L639" s="94"/>
      <c r="M639" s="1430"/>
      <c r="N639" s="1430"/>
      <c r="O639" s="1430"/>
      <c r="P639" s="94"/>
      <c r="Q639" s="1431"/>
      <c r="R639" s="1430"/>
      <c r="S639" s="1164"/>
      <c r="T639" s="1164"/>
      <c r="U639" s="2174"/>
      <c r="V639" s="2174"/>
      <c r="W639" s="2174"/>
      <c r="X639" s="1164"/>
    </row>
    <row r="640" ht="15.75" customHeight="1">
      <c r="A640" s="94"/>
      <c r="B640" s="94"/>
      <c r="C640" s="1164"/>
      <c r="D640" s="1429"/>
      <c r="E640" s="1429"/>
      <c r="F640" s="1429"/>
      <c r="G640" s="1434"/>
      <c r="H640" s="1430"/>
      <c r="I640" s="1430"/>
      <c r="J640" s="94"/>
      <c r="K640" s="94"/>
      <c r="L640" s="94"/>
      <c r="M640" s="1430"/>
      <c r="N640" s="1430"/>
      <c r="O640" s="1430"/>
      <c r="P640" s="94"/>
      <c r="Q640" s="1431"/>
      <c r="R640" s="1430"/>
      <c r="S640" s="1164"/>
      <c r="T640" s="1164"/>
      <c r="U640" s="2174"/>
      <c r="V640" s="2174"/>
      <c r="W640" s="2174"/>
      <c r="X640" s="1164"/>
    </row>
    <row r="641" ht="15.75" customHeight="1">
      <c r="A641" s="94"/>
      <c r="B641" s="94"/>
      <c r="C641" s="1164"/>
      <c r="D641" s="1429"/>
      <c r="E641" s="1429"/>
      <c r="F641" s="1429"/>
      <c r="G641" s="1434"/>
      <c r="H641" s="1430"/>
      <c r="I641" s="1430"/>
      <c r="J641" s="94"/>
      <c r="K641" s="94"/>
      <c r="L641" s="94"/>
      <c r="M641" s="1430"/>
      <c r="N641" s="1430"/>
      <c r="O641" s="1430"/>
      <c r="P641" s="94"/>
      <c r="Q641" s="1431"/>
      <c r="R641" s="1430"/>
      <c r="S641" s="1164"/>
      <c r="T641" s="1164"/>
      <c r="U641" s="2174"/>
      <c r="V641" s="2174"/>
      <c r="W641" s="2174"/>
      <c r="X641" s="1164"/>
    </row>
    <row r="642" ht="15.75" customHeight="1">
      <c r="A642" s="94"/>
      <c r="B642" s="94"/>
      <c r="C642" s="1164"/>
      <c r="D642" s="1429"/>
      <c r="E642" s="1429"/>
      <c r="F642" s="1429"/>
      <c r="G642" s="1434"/>
      <c r="H642" s="1430"/>
      <c r="I642" s="1430"/>
      <c r="J642" s="94"/>
      <c r="K642" s="94"/>
      <c r="L642" s="94"/>
      <c r="M642" s="1430"/>
      <c r="N642" s="1430"/>
      <c r="O642" s="1430"/>
      <c r="P642" s="94"/>
      <c r="Q642" s="1431"/>
      <c r="R642" s="1430"/>
      <c r="S642" s="1164"/>
      <c r="T642" s="1164"/>
      <c r="U642" s="2174"/>
      <c r="V642" s="2174"/>
      <c r="W642" s="2174"/>
      <c r="X642" s="1164"/>
    </row>
    <row r="643" ht="15.75" customHeight="1">
      <c r="A643" s="94"/>
      <c r="B643" s="94"/>
      <c r="C643" s="1164"/>
      <c r="D643" s="1429"/>
      <c r="E643" s="1429"/>
      <c r="F643" s="1429"/>
      <c r="G643" s="1434"/>
      <c r="H643" s="1430"/>
      <c r="I643" s="94"/>
      <c r="J643" s="1164"/>
      <c r="K643" s="94"/>
      <c r="L643" s="94"/>
      <c r="M643" s="1430"/>
      <c r="N643" s="1430"/>
      <c r="O643" s="1430"/>
      <c r="P643" s="94"/>
      <c r="Q643" s="1431"/>
      <c r="R643" s="1430"/>
      <c r="S643" s="1164"/>
      <c r="T643" s="1164"/>
      <c r="U643" s="2174"/>
      <c r="V643" s="2174"/>
      <c r="W643" s="2174"/>
      <c r="X643" s="1164"/>
    </row>
    <row r="644" ht="15.75" customHeight="1">
      <c r="A644" s="94"/>
      <c r="B644" s="94"/>
      <c r="C644" s="1164"/>
      <c r="D644" s="1429"/>
      <c r="E644" s="1429"/>
      <c r="F644" s="1429"/>
      <c r="G644" s="1434"/>
      <c r="H644" s="1430"/>
      <c r="I644" s="1430"/>
      <c r="J644" s="94"/>
      <c r="K644" s="94"/>
      <c r="L644" s="94"/>
      <c r="M644" s="1430"/>
      <c r="N644" s="1430"/>
      <c r="O644" s="1430"/>
      <c r="P644" s="94"/>
      <c r="Q644" s="1431"/>
      <c r="R644" s="1430"/>
      <c r="S644" s="1164"/>
      <c r="T644" s="1164"/>
      <c r="U644" s="2174"/>
      <c r="V644" s="2174"/>
      <c r="W644" s="2174"/>
      <c r="X644" s="1164"/>
    </row>
    <row r="645" ht="15.75" customHeight="1">
      <c r="A645" s="94"/>
      <c r="B645" s="94"/>
      <c r="C645" s="1164"/>
      <c r="D645" s="1429"/>
      <c r="E645" s="1429"/>
      <c r="F645" s="1429"/>
      <c r="G645" s="1434"/>
      <c r="H645" s="1430"/>
      <c r="I645" s="1430"/>
      <c r="J645" s="94"/>
      <c r="K645" s="94"/>
      <c r="L645" s="94"/>
      <c r="M645" s="1430"/>
      <c r="N645" s="1430"/>
      <c r="O645" s="1430"/>
      <c r="P645" s="94"/>
      <c r="Q645" s="1431"/>
      <c r="R645" s="1430"/>
      <c r="S645" s="1164"/>
      <c r="T645" s="1164"/>
      <c r="U645" s="2174"/>
      <c r="V645" s="2174"/>
      <c r="W645" s="2174"/>
      <c r="X645" s="1164"/>
    </row>
    <row r="646" ht="15.75" customHeight="1">
      <c r="A646" s="94"/>
      <c r="B646" s="94"/>
      <c r="C646" s="1164"/>
      <c r="D646" s="1429"/>
      <c r="E646" s="1429"/>
      <c r="F646" s="1429"/>
      <c r="G646" s="1434"/>
      <c r="H646" s="1430"/>
      <c r="I646" s="94"/>
      <c r="J646" s="1164"/>
      <c r="K646" s="94"/>
      <c r="L646" s="94"/>
      <c r="M646" s="1430"/>
      <c r="N646" s="1430"/>
      <c r="O646" s="1430"/>
      <c r="P646" s="94"/>
      <c r="Q646" s="1431"/>
      <c r="R646" s="1430"/>
      <c r="S646" s="1164"/>
      <c r="T646" s="1164"/>
      <c r="U646" s="2174"/>
      <c r="V646" s="2174"/>
      <c r="W646" s="2174"/>
      <c r="X646" s="1164"/>
    </row>
    <row r="647" ht="15.75" customHeight="1">
      <c r="A647" s="94"/>
      <c r="B647" s="94"/>
      <c r="C647" s="1164"/>
      <c r="D647" s="1429"/>
      <c r="E647" s="1429"/>
      <c r="F647" s="1429"/>
      <c r="G647" s="1434"/>
      <c r="H647" s="1430"/>
      <c r="I647" s="94"/>
      <c r="J647" s="1164"/>
      <c r="K647" s="94"/>
      <c r="L647" s="94"/>
      <c r="M647" s="1430"/>
      <c r="N647" s="1430"/>
      <c r="O647" s="1430"/>
      <c r="P647" s="94"/>
      <c r="Q647" s="1431"/>
      <c r="R647" s="1430"/>
      <c r="S647" s="1164"/>
      <c r="T647" s="1164"/>
      <c r="U647" s="2174"/>
      <c r="V647" s="2174"/>
      <c r="W647" s="2174"/>
      <c r="X647" s="1164"/>
    </row>
    <row r="648" ht="15.75" customHeight="1">
      <c r="A648" s="94"/>
      <c r="B648" s="94"/>
      <c r="C648" s="1164"/>
      <c r="D648" s="1429"/>
      <c r="E648" s="1429"/>
      <c r="F648" s="1429"/>
      <c r="G648" s="1434"/>
      <c r="H648" s="1430"/>
      <c r="I648" s="1430"/>
      <c r="J648" s="94"/>
      <c r="K648" s="94"/>
      <c r="L648" s="94"/>
      <c r="M648" s="1430"/>
      <c r="N648" s="1430"/>
      <c r="O648" s="1430"/>
      <c r="P648" s="94"/>
      <c r="Q648" s="1431"/>
      <c r="R648" s="1430"/>
      <c r="S648" s="1164"/>
      <c r="T648" s="1164"/>
      <c r="U648" s="2174"/>
      <c r="V648" s="2174"/>
      <c r="W648" s="2174"/>
      <c r="X648" s="1164"/>
    </row>
    <row r="649" ht="15.75" customHeight="1">
      <c r="A649" s="94"/>
      <c r="B649" s="94"/>
      <c r="C649" s="1164"/>
      <c r="D649" s="1429"/>
      <c r="E649" s="1429"/>
      <c r="F649" s="1429"/>
      <c r="G649" s="1434"/>
      <c r="H649" s="1430"/>
      <c r="I649" s="1430"/>
      <c r="J649" s="94"/>
      <c r="K649" s="94"/>
      <c r="L649" s="94"/>
      <c r="M649" s="1430"/>
      <c r="N649" s="1430"/>
      <c r="O649" s="1430"/>
      <c r="P649" s="94"/>
      <c r="Q649" s="1431"/>
      <c r="R649" s="1430"/>
      <c r="S649" s="1164"/>
      <c r="T649" s="1164"/>
      <c r="U649" s="2174"/>
      <c r="V649" s="2174"/>
      <c r="W649" s="2174"/>
      <c r="X649" s="1164"/>
    </row>
    <row r="650" ht="15.75" customHeight="1">
      <c r="A650" s="94"/>
      <c r="B650" s="94"/>
      <c r="C650" s="94"/>
      <c r="D650" s="94"/>
      <c r="E650" s="94"/>
      <c r="F650" s="94"/>
      <c r="G650" s="94"/>
      <c r="H650" s="1164"/>
      <c r="I650" s="1164"/>
      <c r="J650" s="1164"/>
      <c r="K650" s="1430"/>
      <c r="L650" s="1430"/>
      <c r="M650" s="1430"/>
      <c r="N650" s="1430"/>
      <c r="O650" s="1430"/>
      <c r="P650" s="1430"/>
      <c r="Q650" s="1430"/>
      <c r="R650" s="1430"/>
      <c r="S650" s="1430"/>
      <c r="T650" s="1164"/>
      <c r="U650" s="94"/>
      <c r="V650" s="94"/>
      <c r="W650" s="94"/>
      <c r="X650" s="1430"/>
    </row>
    <row r="651" ht="15.75" customHeight="1">
      <c r="A651" s="94"/>
      <c r="B651" s="94"/>
      <c r="C651" s="1164"/>
      <c r="D651" s="1429"/>
      <c r="E651" s="1429"/>
      <c r="F651" s="1429"/>
      <c r="G651" s="1434"/>
      <c r="H651" s="1430"/>
      <c r="I651" s="94"/>
      <c r="J651" s="1164"/>
      <c r="K651" s="94"/>
      <c r="L651" s="94"/>
      <c r="M651" s="94"/>
      <c r="N651" s="94"/>
      <c r="O651" s="94"/>
      <c r="P651" s="94"/>
      <c r="Q651" s="1431"/>
      <c r="R651" s="1430"/>
      <c r="S651" s="1164"/>
      <c r="T651" s="1164"/>
      <c r="U651" s="2174"/>
      <c r="V651" s="2174"/>
      <c r="W651" s="94"/>
      <c r="X651" s="1164"/>
    </row>
    <row r="652" ht="15.75" customHeight="1">
      <c r="A652" s="94"/>
      <c r="B652" s="94"/>
      <c r="C652" s="1164"/>
      <c r="D652" s="1429"/>
      <c r="E652" s="1429"/>
      <c r="F652" s="1429"/>
      <c r="G652" s="1429"/>
      <c r="H652" s="1430"/>
      <c r="I652" s="1430"/>
      <c r="J652" s="94"/>
      <c r="K652" s="94"/>
      <c r="L652" s="94"/>
      <c r="M652" s="94"/>
      <c r="N652" s="94"/>
      <c r="O652" s="94"/>
      <c r="P652" s="94"/>
      <c r="Q652" s="1431"/>
      <c r="R652" s="1430"/>
      <c r="S652" s="1164"/>
      <c r="T652" s="1164"/>
      <c r="U652" s="2174"/>
      <c r="V652" s="94"/>
      <c r="W652" s="94"/>
      <c r="X652" s="1164"/>
    </row>
    <row r="653" ht="15.75" customHeight="1">
      <c r="A653" s="94"/>
      <c r="B653" s="94"/>
      <c r="C653" s="1164"/>
      <c r="D653" s="1429"/>
      <c r="E653" s="1429"/>
      <c r="F653" s="1429"/>
      <c r="G653" s="1429"/>
      <c r="H653" s="1430"/>
      <c r="I653" s="1430"/>
      <c r="J653" s="94"/>
      <c r="K653" s="94"/>
      <c r="L653" s="94"/>
      <c r="M653" s="1430"/>
      <c r="N653" s="1430"/>
      <c r="O653" s="1430"/>
      <c r="P653" s="94"/>
      <c r="Q653" s="1431"/>
      <c r="R653" s="1430"/>
      <c r="S653" s="1164"/>
      <c r="T653" s="1164"/>
      <c r="U653" s="2174"/>
      <c r="V653" s="2174"/>
      <c r="W653" s="2174"/>
      <c r="X653" s="1164"/>
    </row>
    <row r="654" ht="15.75" customHeight="1">
      <c r="A654" s="94"/>
      <c r="B654" s="94"/>
      <c r="C654" s="1164"/>
      <c r="D654" s="1429"/>
      <c r="E654" s="1429"/>
      <c r="F654" s="1429"/>
      <c r="G654" s="1435"/>
      <c r="H654" s="1430"/>
      <c r="I654" s="1430"/>
      <c r="J654" s="94"/>
      <c r="K654" s="94"/>
      <c r="L654" s="94"/>
      <c r="M654" s="1430"/>
      <c r="N654" s="1430"/>
      <c r="O654" s="1430"/>
      <c r="P654" s="94"/>
      <c r="Q654" s="1431"/>
      <c r="R654" s="1430"/>
      <c r="S654" s="1164"/>
      <c r="T654" s="1164"/>
      <c r="U654" s="2174"/>
      <c r="V654" s="2174"/>
      <c r="W654" s="2174"/>
      <c r="X654" s="1164"/>
    </row>
    <row r="655" ht="15.75" customHeight="1">
      <c r="A655" s="94"/>
      <c r="B655" s="94"/>
      <c r="C655" s="1164"/>
      <c r="D655" s="1429"/>
      <c r="E655" s="1429"/>
      <c r="F655" s="1429"/>
      <c r="G655" s="1429"/>
      <c r="H655" s="1430"/>
      <c r="I655" s="1430"/>
      <c r="J655" s="94"/>
      <c r="K655" s="94"/>
      <c r="L655" s="94"/>
      <c r="M655" s="1430"/>
      <c r="N655" s="1430"/>
      <c r="O655" s="1430"/>
      <c r="P655" s="94"/>
      <c r="Q655" s="1431"/>
      <c r="R655" s="1430"/>
      <c r="S655" s="1164"/>
      <c r="T655" s="1164"/>
      <c r="U655" s="2174"/>
      <c r="V655" s="2174"/>
      <c r="W655" s="2174"/>
      <c r="X655" s="1164"/>
    </row>
    <row r="656" ht="15.75" customHeight="1">
      <c r="A656" s="94"/>
      <c r="B656" s="94"/>
      <c r="C656" s="1164"/>
      <c r="D656" s="1429"/>
      <c r="E656" s="1429"/>
      <c r="F656" s="1429"/>
      <c r="G656" s="1429"/>
      <c r="H656" s="1430"/>
      <c r="I656" s="1430"/>
      <c r="J656" s="94"/>
      <c r="K656" s="94"/>
      <c r="L656" s="94"/>
      <c r="M656" s="1430"/>
      <c r="N656" s="1430"/>
      <c r="O656" s="1430"/>
      <c r="P656" s="94"/>
      <c r="Q656" s="1431"/>
      <c r="R656" s="1430"/>
      <c r="S656" s="1164"/>
      <c r="T656" s="1164"/>
      <c r="U656" s="2174"/>
      <c r="V656" s="2174"/>
      <c r="W656" s="2174"/>
      <c r="X656" s="1164"/>
    </row>
    <row r="657" ht="15.75" customHeight="1">
      <c r="A657" s="94"/>
      <c r="B657" s="94"/>
      <c r="C657" s="1164"/>
      <c r="D657" s="1429"/>
      <c r="E657" s="1429"/>
      <c r="F657" s="1429"/>
      <c r="G657" s="1429"/>
      <c r="H657" s="1430"/>
      <c r="I657" s="94"/>
      <c r="J657" s="1164"/>
      <c r="K657" s="94"/>
      <c r="L657" s="94"/>
      <c r="M657" s="1430"/>
      <c r="N657" s="1430"/>
      <c r="O657" s="1430"/>
      <c r="P657" s="94"/>
      <c r="Q657" s="1431"/>
      <c r="R657" s="1430"/>
      <c r="S657" s="1164"/>
      <c r="T657" s="1164"/>
      <c r="U657" s="2174"/>
      <c r="V657" s="2174"/>
      <c r="W657" s="94"/>
      <c r="X657" s="1164"/>
    </row>
    <row r="658" ht="15.75" customHeight="1">
      <c r="A658" s="94"/>
      <c r="B658" s="94"/>
      <c r="C658" s="1164"/>
      <c r="D658" s="1429"/>
      <c r="E658" s="1429"/>
      <c r="F658" s="1429"/>
      <c r="G658" s="1429"/>
      <c r="H658" s="1430"/>
      <c r="I658" s="1430"/>
      <c r="J658" s="94"/>
      <c r="K658" s="94"/>
      <c r="L658" s="94"/>
      <c r="M658" s="1430"/>
      <c r="N658" s="1430"/>
      <c r="O658" s="1430"/>
      <c r="P658" s="94"/>
      <c r="Q658" s="1431"/>
      <c r="R658" s="1430"/>
      <c r="S658" s="1164"/>
      <c r="T658" s="1164"/>
      <c r="U658" s="2174"/>
      <c r="V658" s="2174"/>
      <c r="W658" s="2174"/>
      <c r="X658" s="1164"/>
    </row>
    <row r="659" ht="15.75" customHeight="1">
      <c r="A659" s="94"/>
      <c r="B659" s="94"/>
      <c r="C659" s="1164"/>
      <c r="D659" s="1429"/>
      <c r="E659" s="1429"/>
      <c r="F659" s="1429"/>
      <c r="G659" s="1429"/>
      <c r="H659" s="1430"/>
      <c r="I659" s="94"/>
      <c r="J659" s="1164"/>
      <c r="K659" s="94"/>
      <c r="L659" s="94"/>
      <c r="M659" s="1430"/>
      <c r="N659" s="1430"/>
      <c r="O659" s="1430"/>
      <c r="P659" s="94"/>
      <c r="Q659" s="1431"/>
      <c r="R659" s="1430"/>
      <c r="S659" s="1164"/>
      <c r="T659" s="1164"/>
      <c r="U659" s="2174"/>
      <c r="V659" s="2174"/>
      <c r="W659" s="94"/>
      <c r="X659" s="1164"/>
    </row>
    <row r="660" ht="15.75" customHeight="1">
      <c r="A660" s="94"/>
      <c r="B660" s="94"/>
      <c r="C660" s="1164"/>
      <c r="D660" s="1429"/>
      <c r="E660" s="1429"/>
      <c r="F660" s="1429"/>
      <c r="G660" s="1429"/>
      <c r="H660" s="1430"/>
      <c r="I660" s="94"/>
      <c r="J660" s="1164"/>
      <c r="K660" s="94"/>
      <c r="L660" s="94"/>
      <c r="M660" s="1430"/>
      <c r="N660" s="1430"/>
      <c r="O660" s="1430"/>
      <c r="P660" s="94"/>
      <c r="Q660" s="1431"/>
      <c r="R660" s="1430"/>
      <c r="S660" s="1164"/>
      <c r="T660" s="1164"/>
      <c r="U660" s="2174"/>
      <c r="V660" s="2174"/>
      <c r="W660" s="94"/>
      <c r="X660" s="1164"/>
    </row>
    <row r="661" ht="15.75" customHeight="1">
      <c r="A661" s="94"/>
      <c r="B661" s="94"/>
      <c r="C661" s="1164"/>
      <c r="D661" s="1429"/>
      <c r="E661" s="1429"/>
      <c r="F661" s="1429"/>
      <c r="G661" s="1429"/>
      <c r="H661" s="1430"/>
      <c r="I661" s="94"/>
      <c r="J661" s="1164"/>
      <c r="K661" s="94"/>
      <c r="L661" s="94"/>
      <c r="M661" s="1430"/>
      <c r="N661" s="1430"/>
      <c r="O661" s="1430"/>
      <c r="P661" s="94"/>
      <c r="Q661" s="1431"/>
      <c r="R661" s="1430"/>
      <c r="S661" s="1164"/>
      <c r="T661" s="1164"/>
      <c r="U661" s="2174"/>
      <c r="V661" s="2174"/>
      <c r="W661" s="94"/>
      <c r="X661" s="1164"/>
    </row>
    <row r="662" ht="15.75" customHeight="1">
      <c r="A662" s="94"/>
      <c r="B662" s="94"/>
      <c r="C662" s="1164"/>
      <c r="D662" s="1429"/>
      <c r="E662" s="1429"/>
      <c r="F662" s="1429"/>
      <c r="G662" s="1429"/>
      <c r="H662" s="1430"/>
      <c r="I662" s="94"/>
      <c r="J662" s="1164"/>
      <c r="K662" s="94"/>
      <c r="L662" s="94"/>
      <c r="M662" s="94"/>
      <c r="N662" s="94"/>
      <c r="O662" s="94"/>
      <c r="P662" s="94"/>
      <c r="Q662" s="1431"/>
      <c r="R662" s="1430"/>
      <c r="S662" s="1164"/>
      <c r="T662" s="1164"/>
      <c r="U662" s="2174"/>
      <c r="V662" s="2174"/>
      <c r="W662" s="94"/>
      <c r="X662" s="1164"/>
    </row>
    <row r="663" ht="15.75" customHeight="1">
      <c r="A663" s="94"/>
      <c r="B663" s="94"/>
      <c r="C663" s="1164"/>
      <c r="D663" s="1429"/>
      <c r="E663" s="1429"/>
      <c r="F663" s="1429"/>
      <c r="G663" s="1429"/>
      <c r="H663" s="1430"/>
      <c r="I663" s="1430"/>
      <c r="J663" s="94"/>
      <c r="K663" s="94"/>
      <c r="L663" s="94"/>
      <c r="M663" s="1430"/>
      <c r="N663" s="1430"/>
      <c r="O663" s="1430"/>
      <c r="P663" s="94"/>
      <c r="Q663" s="1431"/>
      <c r="R663" s="1430"/>
      <c r="S663" s="1164"/>
      <c r="T663" s="1164"/>
      <c r="U663" s="2174"/>
      <c r="V663" s="2174"/>
      <c r="W663" s="2174"/>
      <c r="X663" s="1164"/>
    </row>
    <row r="664" ht="15.75" customHeight="1">
      <c r="A664" s="94"/>
      <c r="B664" s="94"/>
      <c r="C664" s="1164"/>
      <c r="D664" s="1429"/>
      <c r="E664" s="1429"/>
      <c r="F664" s="1429"/>
      <c r="G664" s="1429"/>
      <c r="H664" s="1430"/>
      <c r="I664" s="94"/>
      <c r="J664" s="1164"/>
      <c r="K664" s="94"/>
      <c r="L664" s="94"/>
      <c r="M664" s="94"/>
      <c r="N664" s="94"/>
      <c r="O664" s="94"/>
      <c r="P664" s="94"/>
      <c r="Q664" s="1431"/>
      <c r="R664" s="1430"/>
      <c r="S664" s="1164"/>
      <c r="T664" s="1164"/>
      <c r="U664" s="2174"/>
      <c r="V664" s="94"/>
      <c r="W664" s="94"/>
      <c r="X664" s="1164"/>
    </row>
    <row r="665" ht="15.75" customHeight="1">
      <c r="A665" s="94"/>
      <c r="B665" s="94"/>
      <c r="C665" s="1164"/>
      <c r="D665" s="1429"/>
      <c r="E665" s="1429"/>
      <c r="F665" s="1429"/>
      <c r="G665" s="1429"/>
      <c r="H665" s="1430"/>
      <c r="I665" s="94"/>
      <c r="J665" s="1164"/>
      <c r="K665" s="94"/>
      <c r="L665" s="94"/>
      <c r="M665" s="1430"/>
      <c r="N665" s="1430"/>
      <c r="O665" s="1430"/>
      <c r="P665" s="94"/>
      <c r="Q665" s="1431"/>
      <c r="R665" s="1430"/>
      <c r="S665" s="1164"/>
      <c r="T665" s="1164"/>
      <c r="U665" s="2174"/>
      <c r="V665" s="2174"/>
      <c r="W665" s="94"/>
      <c r="X665" s="1164"/>
    </row>
    <row r="666" ht="15.75" customHeight="1">
      <c r="A666" s="94"/>
      <c r="B666" s="94"/>
      <c r="C666" s="1164"/>
      <c r="D666" s="1429"/>
      <c r="E666" s="1429"/>
      <c r="F666" s="1429"/>
      <c r="G666" s="1429"/>
      <c r="H666" s="1430"/>
      <c r="I666" s="94"/>
      <c r="J666" s="1164"/>
      <c r="K666" s="94"/>
      <c r="L666" s="94"/>
      <c r="M666" s="1430"/>
      <c r="N666" s="1430"/>
      <c r="O666" s="1430"/>
      <c r="P666" s="94"/>
      <c r="Q666" s="1431"/>
      <c r="R666" s="1430"/>
      <c r="S666" s="1164"/>
      <c r="T666" s="1164"/>
      <c r="U666" s="2174"/>
      <c r="V666" s="2174"/>
      <c r="W666" s="94"/>
      <c r="X666" s="1164"/>
    </row>
    <row r="667" ht="15.75" customHeight="1">
      <c r="A667" s="94"/>
      <c r="B667" s="94"/>
      <c r="C667" s="1164"/>
      <c r="D667" s="1429"/>
      <c r="E667" s="1429"/>
      <c r="F667" s="1429"/>
      <c r="G667" s="1429"/>
      <c r="H667" s="1430"/>
      <c r="I667" s="94"/>
      <c r="J667" s="1164"/>
      <c r="K667" s="94"/>
      <c r="L667" s="94"/>
      <c r="M667" s="1430"/>
      <c r="N667" s="1430"/>
      <c r="O667" s="1430"/>
      <c r="P667" s="94"/>
      <c r="Q667" s="1431"/>
      <c r="R667" s="1430"/>
      <c r="S667" s="1164"/>
      <c r="T667" s="1164"/>
      <c r="U667" s="2174"/>
      <c r="V667" s="2174"/>
      <c r="W667" s="94"/>
      <c r="X667" s="1164"/>
    </row>
    <row r="668" ht="15.75" customHeight="1">
      <c r="A668" s="94"/>
      <c r="B668" s="94"/>
      <c r="C668" s="1164"/>
      <c r="D668" s="1429"/>
      <c r="E668" s="1429"/>
      <c r="F668" s="1429"/>
      <c r="G668" s="1429"/>
      <c r="H668" s="1430"/>
      <c r="I668" s="1430"/>
      <c r="J668" s="94"/>
      <c r="K668" s="94"/>
      <c r="L668" s="94"/>
      <c r="M668" s="1430"/>
      <c r="N668" s="1430"/>
      <c r="O668" s="1430"/>
      <c r="P668" s="94"/>
      <c r="Q668" s="1431"/>
      <c r="R668" s="1430"/>
      <c r="S668" s="1164"/>
      <c r="T668" s="1164"/>
      <c r="U668" s="2174"/>
      <c r="V668" s="2174"/>
      <c r="W668" s="2174"/>
      <c r="X668" s="1164"/>
    </row>
    <row r="669" ht="15.75" customHeight="1">
      <c r="A669" s="94"/>
      <c r="B669" s="94"/>
      <c r="C669" s="1164"/>
      <c r="D669" s="1429"/>
      <c r="E669" s="1429"/>
      <c r="F669" s="1429"/>
      <c r="G669" s="1429"/>
      <c r="H669" s="1430"/>
      <c r="I669" s="1430"/>
      <c r="J669" s="94"/>
      <c r="K669" s="94"/>
      <c r="L669" s="94"/>
      <c r="M669" s="1430"/>
      <c r="N669" s="1430"/>
      <c r="O669" s="1430"/>
      <c r="P669" s="94"/>
      <c r="Q669" s="1431"/>
      <c r="R669" s="1430"/>
      <c r="S669" s="1164"/>
      <c r="T669" s="1164"/>
      <c r="U669" s="2174"/>
      <c r="V669" s="2174"/>
      <c r="W669" s="2174"/>
      <c r="X669" s="1164"/>
    </row>
    <row r="670" ht="15.75" customHeight="1">
      <c r="A670" s="94"/>
      <c r="B670" s="94"/>
      <c r="C670" s="1164"/>
      <c r="D670" s="1429"/>
      <c r="E670" s="1429"/>
      <c r="F670" s="1429"/>
      <c r="G670" s="1429"/>
      <c r="H670" s="1430"/>
      <c r="I670" s="1430"/>
      <c r="J670" s="94"/>
      <c r="K670" s="94"/>
      <c r="L670" s="94"/>
      <c r="M670" s="1430"/>
      <c r="N670" s="1430"/>
      <c r="O670" s="1430"/>
      <c r="P670" s="94"/>
      <c r="Q670" s="1431"/>
      <c r="R670" s="1430"/>
      <c r="S670" s="1164"/>
      <c r="T670" s="1164"/>
      <c r="U670" s="2174"/>
      <c r="V670" s="2174"/>
      <c r="W670" s="2174"/>
      <c r="X670" s="1164"/>
    </row>
    <row r="671" ht="15.75" customHeight="1">
      <c r="A671" s="94"/>
      <c r="B671" s="94"/>
      <c r="C671" s="1164"/>
      <c r="D671" s="1429"/>
      <c r="E671" s="1429"/>
      <c r="F671" s="1429"/>
      <c r="G671" s="1429"/>
      <c r="H671" s="1430"/>
      <c r="I671" s="94"/>
      <c r="J671" s="1164"/>
      <c r="K671" s="94"/>
      <c r="L671" s="94"/>
      <c r="M671" s="94"/>
      <c r="N671" s="94"/>
      <c r="O671" s="94"/>
      <c r="P671" s="94"/>
      <c r="Q671" s="1431"/>
      <c r="R671" s="1430"/>
      <c r="S671" s="1164"/>
      <c r="T671" s="1164"/>
      <c r="U671" s="2174"/>
      <c r="V671" s="2174"/>
      <c r="W671" s="94"/>
      <c r="X671" s="1164"/>
    </row>
    <row r="672" ht="15.75" customHeight="1">
      <c r="A672" s="94"/>
      <c r="B672" s="94"/>
      <c r="C672" s="1164"/>
      <c r="D672" s="1429"/>
      <c r="E672" s="1429"/>
      <c r="F672" s="1429"/>
      <c r="G672" s="1429"/>
      <c r="H672" s="1430"/>
      <c r="I672" s="1430"/>
      <c r="J672" s="94"/>
      <c r="K672" s="94"/>
      <c r="L672" s="94"/>
      <c r="M672" s="94"/>
      <c r="N672" s="94"/>
      <c r="O672" s="94"/>
      <c r="P672" s="94"/>
      <c r="Q672" s="1431"/>
      <c r="R672" s="1430"/>
      <c r="S672" s="1164"/>
      <c r="T672" s="1164"/>
      <c r="U672" s="2174"/>
      <c r="V672" s="2174"/>
      <c r="W672" s="2174"/>
      <c r="X672" s="1164"/>
    </row>
    <row r="673" ht="15.75" customHeight="1">
      <c r="A673" s="94"/>
      <c r="B673" s="94"/>
      <c r="C673" s="1164"/>
      <c r="D673" s="1429"/>
      <c r="E673" s="1429"/>
      <c r="F673" s="1429"/>
      <c r="G673" s="1429"/>
      <c r="H673" s="1430"/>
      <c r="I673" s="1430"/>
      <c r="J673" s="94"/>
      <c r="K673" s="94"/>
      <c r="L673" s="94"/>
      <c r="M673" s="94"/>
      <c r="N673" s="94"/>
      <c r="O673" s="94"/>
      <c r="P673" s="94"/>
      <c r="Q673" s="1431"/>
      <c r="R673" s="1430"/>
      <c r="S673" s="1164"/>
      <c r="T673" s="1164"/>
      <c r="U673" s="2174"/>
      <c r="V673" s="94"/>
      <c r="W673" s="2174"/>
      <c r="X673" s="1164"/>
    </row>
    <row r="674" ht="15.75" customHeight="1">
      <c r="A674" s="94"/>
      <c r="B674" s="94"/>
      <c r="C674" s="1164"/>
      <c r="D674" s="1429"/>
      <c r="E674" s="1429"/>
      <c r="F674" s="1429"/>
      <c r="G674" s="1429"/>
      <c r="H674" s="1430"/>
      <c r="I674" s="94"/>
      <c r="J674" s="1164"/>
      <c r="K674" s="94"/>
      <c r="L674" s="94"/>
      <c r="M674" s="94"/>
      <c r="N674" s="94"/>
      <c r="O674" s="94"/>
      <c r="P674" s="94"/>
      <c r="Q674" s="1431"/>
      <c r="R674" s="1430"/>
      <c r="S674" s="1164"/>
      <c r="T674" s="1164"/>
      <c r="U674" s="2174"/>
      <c r="V674" s="2174"/>
      <c r="W674" s="94"/>
      <c r="X674" s="1164"/>
    </row>
    <row r="675" ht="15.75" customHeight="1">
      <c r="A675" s="94"/>
      <c r="B675" s="94"/>
      <c r="C675" s="1164"/>
      <c r="D675" s="1429"/>
      <c r="E675" s="1429"/>
      <c r="F675" s="1429"/>
      <c r="G675" s="1429"/>
      <c r="H675" s="1430"/>
      <c r="I675" s="1430"/>
      <c r="J675" s="94"/>
      <c r="K675" s="94"/>
      <c r="L675" s="94"/>
      <c r="M675" s="94"/>
      <c r="N675" s="94"/>
      <c r="O675" s="94"/>
      <c r="P675" s="94"/>
      <c r="Q675" s="1431"/>
      <c r="R675" s="1430"/>
      <c r="S675" s="1164"/>
      <c r="T675" s="1164"/>
      <c r="U675" s="2174"/>
      <c r="V675" s="2174"/>
      <c r="W675" s="2174"/>
      <c r="X675" s="1164"/>
    </row>
    <row r="676" ht="15.75" customHeight="1">
      <c r="A676" s="94"/>
      <c r="B676" s="94"/>
      <c r="C676" s="1164"/>
      <c r="D676" s="1429"/>
      <c r="E676" s="1429"/>
      <c r="F676" s="1429"/>
      <c r="G676" s="1429"/>
      <c r="H676" s="1430"/>
      <c r="I676" s="1430"/>
      <c r="J676" s="94"/>
      <c r="K676" s="94"/>
      <c r="L676" s="94"/>
      <c r="M676" s="1430"/>
      <c r="N676" s="1430"/>
      <c r="O676" s="1430"/>
      <c r="P676" s="94"/>
      <c r="Q676" s="1431"/>
      <c r="R676" s="1430"/>
      <c r="S676" s="1164"/>
      <c r="T676" s="1164"/>
      <c r="U676" s="2174"/>
      <c r="V676" s="2174"/>
      <c r="W676" s="2174"/>
      <c r="X676" s="1164"/>
    </row>
    <row r="677" ht="15.75" customHeight="1">
      <c r="A677" s="94"/>
      <c r="B677" s="94"/>
      <c r="C677" s="1164"/>
      <c r="D677" s="1429"/>
      <c r="E677" s="1429"/>
      <c r="F677" s="1429"/>
      <c r="G677" s="1429"/>
      <c r="H677" s="1430"/>
      <c r="I677" s="1430"/>
      <c r="J677" s="94"/>
      <c r="K677" s="94"/>
      <c r="L677" s="94"/>
      <c r="M677" s="1430"/>
      <c r="N677" s="1430"/>
      <c r="O677" s="1430"/>
      <c r="P677" s="94"/>
      <c r="Q677" s="1431"/>
      <c r="R677" s="1430"/>
      <c r="S677" s="1164"/>
      <c r="T677" s="1164"/>
      <c r="U677" s="2174"/>
      <c r="V677" s="2174"/>
      <c r="W677" s="2174"/>
      <c r="X677" s="1164"/>
    </row>
    <row r="678" ht="15.75" customHeight="1">
      <c r="A678" s="94"/>
      <c r="B678" s="94"/>
      <c r="C678" s="1164"/>
      <c r="D678" s="1429"/>
      <c r="E678" s="1429"/>
      <c r="F678" s="1429"/>
      <c r="G678" s="1429"/>
      <c r="H678" s="1430"/>
      <c r="I678" s="1430"/>
      <c r="J678" s="94"/>
      <c r="K678" s="94"/>
      <c r="L678" s="94"/>
      <c r="M678" s="1430"/>
      <c r="N678" s="1430"/>
      <c r="O678" s="1430"/>
      <c r="P678" s="94"/>
      <c r="Q678" s="1431"/>
      <c r="R678" s="1430"/>
      <c r="S678" s="1164"/>
      <c r="T678" s="1164"/>
      <c r="U678" s="2174"/>
      <c r="V678" s="2174"/>
      <c r="W678" s="2174"/>
      <c r="X678" s="1164"/>
    </row>
    <row r="679" ht="15.75" customHeight="1">
      <c r="A679" s="94"/>
      <c r="B679" s="94"/>
      <c r="C679" s="1164"/>
      <c r="D679" s="1429"/>
      <c r="E679" s="1429"/>
      <c r="F679" s="1429"/>
      <c r="G679" s="1429"/>
      <c r="H679" s="1430"/>
      <c r="I679" s="1430"/>
      <c r="J679" s="94"/>
      <c r="K679" s="94"/>
      <c r="L679" s="94"/>
      <c r="M679" s="94"/>
      <c r="N679" s="94"/>
      <c r="O679" s="94"/>
      <c r="P679" s="94"/>
      <c r="Q679" s="1431"/>
      <c r="R679" s="1430"/>
      <c r="S679" s="1164"/>
      <c r="T679" s="1164"/>
      <c r="U679" s="2174"/>
      <c r="V679" s="2174"/>
      <c r="W679" s="2174"/>
      <c r="X679" s="1164"/>
    </row>
    <row r="680" ht="15.75" customHeight="1">
      <c r="A680" s="94"/>
      <c r="B680" s="94"/>
      <c r="C680" s="1164"/>
      <c r="D680" s="1429"/>
      <c r="E680" s="1429"/>
      <c r="F680" s="1429"/>
      <c r="G680" s="1434"/>
      <c r="H680" s="1430"/>
      <c r="I680" s="94"/>
      <c r="J680" s="1164"/>
      <c r="K680" s="94"/>
      <c r="L680" s="94"/>
      <c r="M680" s="94"/>
      <c r="N680" s="94"/>
      <c r="O680" s="94"/>
      <c r="P680" s="94"/>
      <c r="Q680" s="1431"/>
      <c r="R680" s="1430"/>
      <c r="S680" s="1164"/>
      <c r="T680" s="1164"/>
      <c r="U680" s="2174"/>
      <c r="V680" s="2174"/>
      <c r="W680" s="94"/>
      <c r="X680" s="1164"/>
    </row>
    <row r="681" ht="15.75" customHeight="1">
      <c r="A681" s="94"/>
      <c r="B681" s="94"/>
      <c r="C681" s="1164"/>
      <c r="D681" s="1429"/>
      <c r="E681" s="1429"/>
      <c r="F681" s="1429"/>
      <c r="G681" s="1434"/>
      <c r="H681" s="1430"/>
      <c r="I681" s="1430"/>
      <c r="J681" s="94"/>
      <c r="K681" s="94"/>
      <c r="L681" s="94"/>
      <c r="M681" s="1430"/>
      <c r="N681" s="1430"/>
      <c r="O681" s="1430"/>
      <c r="P681" s="94"/>
      <c r="Q681" s="1431"/>
      <c r="R681" s="1430"/>
      <c r="S681" s="1164"/>
      <c r="T681" s="1164"/>
      <c r="U681" s="2174"/>
      <c r="V681" s="2174"/>
      <c r="W681" s="2174"/>
      <c r="X681" s="1164"/>
    </row>
    <row r="682" ht="15.75" customHeight="1">
      <c r="A682" s="94"/>
      <c r="B682" s="94"/>
      <c r="C682" s="1164"/>
      <c r="D682" s="1429"/>
      <c r="E682" s="1429"/>
      <c r="F682" s="1429"/>
      <c r="G682" s="1434"/>
      <c r="H682" s="1430"/>
      <c r="I682" s="1430"/>
      <c r="J682" s="94"/>
      <c r="K682" s="94"/>
      <c r="L682" s="94"/>
      <c r="M682" s="94"/>
      <c r="N682" s="94"/>
      <c r="O682" s="94"/>
      <c r="P682" s="94"/>
      <c r="Q682" s="1431"/>
      <c r="R682" s="1430"/>
      <c r="S682" s="1164"/>
      <c r="T682" s="1164"/>
      <c r="U682" s="2174"/>
      <c r="V682" s="94"/>
      <c r="W682" s="94"/>
      <c r="X682" s="1164"/>
    </row>
    <row r="683" ht="15.75" customHeight="1">
      <c r="A683" s="94"/>
      <c r="B683" s="94"/>
      <c r="C683" s="1164"/>
      <c r="D683" s="1429"/>
      <c r="E683" s="1429"/>
      <c r="F683" s="1429"/>
      <c r="G683" s="1434"/>
      <c r="H683" s="1430"/>
      <c r="I683" s="1430"/>
      <c r="J683" s="94"/>
      <c r="K683" s="94"/>
      <c r="L683" s="94"/>
      <c r="M683" s="1430"/>
      <c r="N683" s="1430"/>
      <c r="O683" s="1430"/>
      <c r="P683" s="94"/>
      <c r="Q683" s="1431"/>
      <c r="R683" s="1430"/>
      <c r="S683" s="1164"/>
      <c r="T683" s="1164"/>
      <c r="U683" s="2174"/>
      <c r="V683" s="2174"/>
      <c r="W683" s="2174"/>
      <c r="X683" s="1164"/>
    </row>
    <row r="684" ht="15.75" customHeight="1">
      <c r="A684" s="94"/>
      <c r="B684" s="94"/>
      <c r="C684" s="1164"/>
      <c r="D684" s="1429"/>
      <c r="E684" s="1429"/>
      <c r="F684" s="1429"/>
      <c r="G684" s="1434"/>
      <c r="H684" s="1430"/>
      <c r="I684" s="94"/>
      <c r="J684" s="1164"/>
      <c r="K684" s="94"/>
      <c r="L684" s="94"/>
      <c r="M684" s="1430"/>
      <c r="N684" s="1430"/>
      <c r="O684" s="1430"/>
      <c r="P684" s="94"/>
      <c r="Q684" s="1431"/>
      <c r="R684" s="1430"/>
      <c r="S684" s="1164"/>
      <c r="T684" s="1164"/>
      <c r="U684" s="2174"/>
      <c r="V684" s="2174"/>
      <c r="W684" s="94"/>
      <c r="X684" s="1164"/>
    </row>
    <row r="685" ht="15.75" customHeight="1">
      <c r="A685" s="94"/>
      <c r="B685" s="94"/>
      <c r="C685" s="1164"/>
      <c r="D685" s="1429"/>
      <c r="E685" s="1429"/>
      <c r="F685" s="1429"/>
      <c r="G685" s="1434"/>
      <c r="H685" s="1430"/>
      <c r="I685" s="94"/>
      <c r="J685" s="1164"/>
      <c r="K685" s="94"/>
      <c r="L685" s="94"/>
      <c r="M685" s="1430"/>
      <c r="N685" s="1430"/>
      <c r="O685" s="1430"/>
      <c r="P685" s="94"/>
      <c r="Q685" s="1431"/>
      <c r="R685" s="1430"/>
      <c r="S685" s="1164"/>
      <c r="T685" s="1164"/>
      <c r="U685" s="2174"/>
      <c r="V685" s="2174"/>
      <c r="W685" s="94"/>
      <c r="X685" s="1164"/>
    </row>
    <row r="686" ht="15.75" customHeight="1">
      <c r="A686" s="94"/>
      <c r="B686" s="94"/>
      <c r="C686" s="1164"/>
      <c r="D686" s="1429"/>
      <c r="E686" s="1429"/>
      <c r="F686" s="1429"/>
      <c r="G686" s="1434"/>
      <c r="H686" s="1430"/>
      <c r="I686" s="1430"/>
      <c r="J686" s="94"/>
      <c r="K686" s="94"/>
      <c r="L686" s="94"/>
      <c r="M686" s="1430"/>
      <c r="N686" s="1430"/>
      <c r="O686" s="1430"/>
      <c r="P686" s="94"/>
      <c r="Q686" s="1431"/>
      <c r="R686" s="1430"/>
      <c r="S686" s="1164"/>
      <c r="T686" s="1164"/>
      <c r="U686" s="2174"/>
      <c r="V686" s="2174"/>
      <c r="W686" s="2174"/>
      <c r="X686" s="1164"/>
    </row>
    <row r="687" ht="15.75" customHeight="1">
      <c r="A687" s="94"/>
      <c r="B687" s="94"/>
      <c r="C687" s="1164"/>
      <c r="D687" s="1429"/>
      <c r="E687" s="1429"/>
      <c r="F687" s="1429"/>
      <c r="G687" s="1434"/>
      <c r="H687" s="1430"/>
      <c r="I687" s="1430"/>
      <c r="J687" s="94"/>
      <c r="K687" s="94"/>
      <c r="L687" s="94"/>
      <c r="M687" s="1430"/>
      <c r="N687" s="1430"/>
      <c r="O687" s="1430"/>
      <c r="P687" s="94"/>
      <c r="Q687" s="1431"/>
      <c r="R687" s="1430"/>
      <c r="S687" s="1164"/>
      <c r="T687" s="1164"/>
      <c r="U687" s="2174"/>
      <c r="V687" s="2174"/>
      <c r="W687" s="2174"/>
      <c r="X687" s="1164"/>
    </row>
    <row r="688" ht="15.75" customHeight="1">
      <c r="A688" s="94"/>
      <c r="B688" s="94"/>
      <c r="C688" s="1164"/>
      <c r="D688" s="1429"/>
      <c r="E688" s="1429"/>
      <c r="F688" s="1429"/>
      <c r="G688" s="1434"/>
      <c r="H688" s="1430"/>
      <c r="I688" s="1430"/>
      <c r="J688" s="94"/>
      <c r="K688" s="94"/>
      <c r="L688" s="94"/>
      <c r="M688" s="1430"/>
      <c r="N688" s="1430"/>
      <c r="O688" s="1430"/>
      <c r="P688" s="94"/>
      <c r="Q688" s="1431"/>
      <c r="R688" s="1430"/>
      <c r="S688" s="1164"/>
      <c r="T688" s="1164"/>
      <c r="U688" s="2174"/>
      <c r="V688" s="2174"/>
      <c r="W688" s="2174"/>
      <c r="X688" s="1164"/>
    </row>
    <row r="689" ht="15.75" customHeight="1">
      <c r="A689" s="94"/>
      <c r="B689" s="94"/>
      <c r="C689" s="1164"/>
      <c r="D689" s="1429"/>
      <c r="E689" s="1429"/>
      <c r="F689" s="1429"/>
      <c r="G689" s="1434"/>
      <c r="H689" s="1430"/>
      <c r="I689" s="1430"/>
      <c r="J689" s="94"/>
      <c r="K689" s="94"/>
      <c r="L689" s="94"/>
      <c r="M689" s="1430"/>
      <c r="N689" s="1430"/>
      <c r="O689" s="1430"/>
      <c r="P689" s="94"/>
      <c r="Q689" s="1431"/>
      <c r="R689" s="1430"/>
      <c r="S689" s="1164"/>
      <c r="T689" s="1164"/>
      <c r="U689" s="2174"/>
      <c r="V689" s="2174"/>
      <c r="W689" s="2174"/>
      <c r="X689" s="1164"/>
    </row>
    <row r="690" ht="15.75" customHeight="1">
      <c r="A690" s="94"/>
      <c r="B690" s="94"/>
      <c r="C690" s="1164"/>
      <c r="D690" s="1429"/>
      <c r="E690" s="1429"/>
      <c r="F690" s="1429"/>
      <c r="G690" s="1434"/>
      <c r="H690" s="1430"/>
      <c r="I690" s="1430"/>
      <c r="J690" s="94"/>
      <c r="K690" s="94"/>
      <c r="L690" s="94"/>
      <c r="M690" s="1430"/>
      <c r="N690" s="1430"/>
      <c r="O690" s="1430"/>
      <c r="P690" s="94"/>
      <c r="Q690" s="1431"/>
      <c r="R690" s="1430"/>
      <c r="S690" s="1164"/>
      <c r="T690" s="1164"/>
      <c r="U690" s="2174"/>
      <c r="V690" s="2174"/>
      <c r="W690" s="2174"/>
      <c r="X690" s="1164"/>
    </row>
    <row r="691" ht="15.75" customHeight="1">
      <c r="A691" s="94"/>
      <c r="B691" s="94"/>
      <c r="C691" s="1164"/>
      <c r="D691" s="1429"/>
      <c r="E691" s="1429"/>
      <c r="F691" s="1429"/>
      <c r="G691" s="1434"/>
      <c r="H691" s="1430"/>
      <c r="I691" s="1430"/>
      <c r="J691" s="94"/>
      <c r="K691" s="94"/>
      <c r="L691" s="94"/>
      <c r="M691" s="1430"/>
      <c r="N691" s="1430"/>
      <c r="O691" s="1430"/>
      <c r="P691" s="94"/>
      <c r="Q691" s="1431"/>
      <c r="R691" s="1430"/>
      <c r="S691" s="1164"/>
      <c r="T691" s="1164"/>
      <c r="U691" s="2174"/>
      <c r="V691" s="2174"/>
      <c r="W691" s="2174"/>
      <c r="X691" s="1164"/>
    </row>
    <row r="692" ht="15.75" customHeight="1">
      <c r="A692" s="94"/>
      <c r="B692" s="94"/>
      <c r="C692" s="1164"/>
      <c r="D692" s="1429"/>
      <c r="E692" s="1429"/>
      <c r="F692" s="1429"/>
      <c r="G692" s="1434"/>
      <c r="H692" s="1430"/>
      <c r="I692" s="94"/>
      <c r="J692" s="1164"/>
      <c r="K692" s="94"/>
      <c r="L692" s="94"/>
      <c r="M692" s="1430"/>
      <c r="N692" s="1430"/>
      <c r="O692" s="1430"/>
      <c r="P692" s="94"/>
      <c r="Q692" s="1431"/>
      <c r="R692" s="1430"/>
      <c r="S692" s="1164"/>
      <c r="T692" s="1164"/>
      <c r="U692" s="2174"/>
      <c r="V692" s="2174"/>
      <c r="W692" s="94"/>
      <c r="X692" s="1164"/>
    </row>
    <row r="693" ht="15.75" customHeight="1">
      <c r="A693" s="94"/>
      <c r="B693" s="94"/>
      <c r="C693" s="1164"/>
      <c r="D693" s="1429"/>
      <c r="E693" s="1429"/>
      <c r="F693" s="1429"/>
      <c r="G693" s="1434"/>
      <c r="H693" s="1430"/>
      <c r="I693" s="1430"/>
      <c r="J693" s="94"/>
      <c r="K693" s="94"/>
      <c r="L693" s="94"/>
      <c r="M693" s="1430"/>
      <c r="N693" s="1430"/>
      <c r="O693" s="1430"/>
      <c r="P693" s="94"/>
      <c r="Q693" s="1431"/>
      <c r="R693" s="1430"/>
      <c r="S693" s="1164"/>
      <c r="T693" s="1164"/>
      <c r="U693" s="2174"/>
      <c r="V693" s="2174"/>
      <c r="W693" s="2174"/>
      <c r="X693" s="1164"/>
    </row>
    <row r="694" ht="15.75" customHeight="1">
      <c r="A694" s="94"/>
      <c r="B694" s="94"/>
      <c r="C694" s="1164"/>
      <c r="D694" s="1429"/>
      <c r="E694" s="1429"/>
      <c r="F694" s="1429"/>
      <c r="G694" s="1429"/>
      <c r="H694" s="1430"/>
      <c r="I694" s="1430"/>
      <c r="J694" s="94"/>
      <c r="K694" s="94"/>
      <c r="L694" s="94"/>
      <c r="M694" s="1430"/>
      <c r="N694" s="1430"/>
      <c r="O694" s="1430"/>
      <c r="P694" s="94"/>
      <c r="Q694" s="1431"/>
      <c r="R694" s="1430"/>
      <c r="S694" s="1164"/>
      <c r="T694" s="1164"/>
      <c r="U694" s="2174"/>
      <c r="V694" s="2174"/>
      <c r="W694" s="2174"/>
      <c r="X694" s="1164"/>
    </row>
    <row r="695" ht="15.75" customHeight="1">
      <c r="A695" s="94"/>
      <c r="B695" s="94"/>
      <c r="C695" s="1164"/>
      <c r="D695" s="1429"/>
      <c r="E695" s="1429"/>
      <c r="F695" s="1429"/>
      <c r="G695" s="1429"/>
      <c r="H695" s="1430"/>
      <c r="I695" s="94"/>
      <c r="J695" s="1164"/>
      <c r="K695" s="94"/>
      <c r="L695" s="94"/>
      <c r="M695" s="1430"/>
      <c r="N695" s="1430"/>
      <c r="O695" s="1430"/>
      <c r="P695" s="94"/>
      <c r="Q695" s="1431"/>
      <c r="R695" s="1430"/>
      <c r="S695" s="1164"/>
      <c r="T695" s="1164"/>
      <c r="U695" s="2174"/>
      <c r="V695" s="2174"/>
      <c r="W695" s="94"/>
      <c r="X695" s="1164"/>
    </row>
    <row r="696" ht="15.75" customHeight="1">
      <c r="A696" s="94"/>
      <c r="B696" s="94"/>
      <c r="C696" s="1164"/>
      <c r="D696" s="1429"/>
      <c r="E696" s="1429"/>
      <c r="F696" s="1429"/>
      <c r="G696" s="1429"/>
      <c r="H696" s="1430"/>
      <c r="I696" s="1430"/>
      <c r="J696" s="94"/>
      <c r="K696" s="94"/>
      <c r="L696" s="94"/>
      <c r="M696" s="1430"/>
      <c r="N696" s="1430"/>
      <c r="O696" s="1430"/>
      <c r="P696" s="94"/>
      <c r="Q696" s="1431"/>
      <c r="R696" s="1430"/>
      <c r="S696" s="1164"/>
      <c r="T696" s="1164"/>
      <c r="U696" s="2174"/>
      <c r="V696" s="2174"/>
      <c r="W696" s="2174"/>
      <c r="X696" s="1164"/>
    </row>
    <row r="697" ht="15.75" customHeight="1">
      <c r="A697" s="94"/>
      <c r="B697" s="94"/>
      <c r="C697" s="1164"/>
      <c r="D697" s="1429"/>
      <c r="E697" s="1429"/>
      <c r="F697" s="1429"/>
      <c r="G697" s="1429"/>
      <c r="H697" s="1430"/>
      <c r="I697" s="94"/>
      <c r="J697" s="1164"/>
      <c r="K697" s="94"/>
      <c r="L697" s="94"/>
      <c r="M697" s="1430"/>
      <c r="N697" s="1430"/>
      <c r="O697" s="1430"/>
      <c r="P697" s="94"/>
      <c r="Q697" s="1431"/>
      <c r="R697" s="1430"/>
      <c r="S697" s="1164"/>
      <c r="T697" s="1164"/>
      <c r="U697" s="2174"/>
      <c r="V697" s="2174"/>
      <c r="W697" s="94"/>
      <c r="X697" s="1164"/>
    </row>
    <row r="698" ht="15.75" customHeight="1">
      <c r="A698" s="94"/>
      <c r="B698" s="94"/>
      <c r="C698" s="1164"/>
      <c r="D698" s="1429"/>
      <c r="E698" s="1429"/>
      <c r="F698" s="1429"/>
      <c r="G698" s="1429"/>
      <c r="H698" s="1430"/>
      <c r="I698" s="94"/>
      <c r="J698" s="1164"/>
      <c r="K698" s="94"/>
      <c r="L698" s="94"/>
      <c r="M698" s="94"/>
      <c r="N698" s="94"/>
      <c r="O698" s="94"/>
      <c r="P698" s="94"/>
      <c r="Q698" s="1431"/>
      <c r="R698" s="1430"/>
      <c r="S698" s="1164"/>
      <c r="T698" s="1164"/>
      <c r="U698" s="2174"/>
      <c r="V698" s="2174"/>
      <c r="W698" s="94"/>
      <c r="X698" s="1164"/>
    </row>
    <row r="699" ht="15.75" customHeight="1">
      <c r="A699" s="94"/>
      <c r="B699" s="94"/>
      <c r="C699" s="1164"/>
      <c r="D699" s="1429"/>
      <c r="E699" s="1429"/>
      <c r="F699" s="1429"/>
      <c r="G699" s="1429"/>
      <c r="H699" s="1430"/>
      <c r="I699" s="94"/>
      <c r="J699" s="1164"/>
      <c r="K699" s="94"/>
      <c r="L699" s="94"/>
      <c r="M699" s="94"/>
      <c r="N699" s="94"/>
      <c r="O699" s="94"/>
      <c r="P699" s="94"/>
      <c r="Q699" s="1431"/>
      <c r="R699" s="1430"/>
      <c r="S699" s="1164"/>
      <c r="T699" s="1164"/>
      <c r="U699" s="2174"/>
      <c r="V699" s="2174"/>
      <c r="W699" s="94"/>
      <c r="X699" s="1164"/>
    </row>
    <row r="700" ht="15.75" customHeight="1">
      <c r="A700" s="94"/>
      <c r="B700" s="94"/>
      <c r="C700" s="1164"/>
      <c r="D700" s="1429"/>
      <c r="E700" s="1429"/>
      <c r="F700" s="1429"/>
      <c r="G700" s="1429"/>
      <c r="H700" s="1430"/>
      <c r="I700" s="94"/>
      <c r="J700" s="1164"/>
      <c r="K700" s="94"/>
      <c r="L700" s="94"/>
      <c r="M700" s="94"/>
      <c r="N700" s="94"/>
      <c r="O700" s="94"/>
      <c r="P700" s="94"/>
      <c r="Q700" s="1431"/>
      <c r="R700" s="1430"/>
      <c r="S700" s="1164"/>
      <c r="T700" s="1164"/>
      <c r="U700" s="2174"/>
      <c r="V700" s="2174"/>
      <c r="W700" s="94"/>
      <c r="X700" s="1164"/>
    </row>
    <row r="701" ht="15.75" customHeight="1">
      <c r="A701" s="94"/>
      <c r="B701" s="94"/>
      <c r="C701" s="1164"/>
      <c r="D701" s="1429"/>
      <c r="E701" s="1429"/>
      <c r="F701" s="1429"/>
      <c r="G701" s="1429"/>
      <c r="H701" s="1430"/>
      <c r="I701" s="94"/>
      <c r="J701" s="1164"/>
      <c r="K701" s="94"/>
      <c r="L701" s="94"/>
      <c r="M701" s="1430"/>
      <c r="N701" s="1430"/>
      <c r="O701" s="1430"/>
      <c r="P701" s="94"/>
      <c r="Q701" s="1431"/>
      <c r="R701" s="1430"/>
      <c r="S701" s="1164"/>
      <c r="T701" s="1164"/>
      <c r="U701" s="2174"/>
      <c r="V701" s="2174"/>
      <c r="W701" s="94"/>
      <c r="X701" s="1164"/>
    </row>
    <row r="702" ht="15.75" customHeight="1">
      <c r="A702" s="94"/>
      <c r="B702" s="94"/>
      <c r="C702" s="1164"/>
      <c r="D702" s="1429"/>
      <c r="E702" s="1429"/>
      <c r="F702" s="1429"/>
      <c r="G702" s="1429"/>
      <c r="H702" s="1430"/>
      <c r="I702" s="1430"/>
      <c r="J702" s="94"/>
      <c r="K702" s="94"/>
      <c r="L702" s="94"/>
      <c r="M702" s="1430"/>
      <c r="N702" s="1430"/>
      <c r="O702" s="1430"/>
      <c r="P702" s="94"/>
      <c r="Q702" s="1431"/>
      <c r="R702" s="1430"/>
      <c r="S702" s="1164"/>
      <c r="T702" s="1164"/>
      <c r="U702" s="2174"/>
      <c r="V702" s="2174"/>
      <c r="W702" s="2174"/>
      <c r="X702" s="1164"/>
    </row>
    <row r="703" ht="15.75" customHeight="1">
      <c r="A703" s="94"/>
      <c r="B703" s="94"/>
      <c r="C703" s="1164"/>
      <c r="D703" s="1429"/>
      <c r="E703" s="1429"/>
      <c r="F703" s="1429"/>
      <c r="G703" s="1429"/>
      <c r="H703" s="1430"/>
      <c r="I703" s="94"/>
      <c r="J703" s="1164"/>
      <c r="K703" s="94"/>
      <c r="L703" s="94"/>
      <c r="M703" s="1430"/>
      <c r="N703" s="1430"/>
      <c r="O703" s="1430"/>
      <c r="P703" s="94"/>
      <c r="Q703" s="1431"/>
      <c r="R703" s="1430"/>
      <c r="S703" s="1164"/>
      <c r="T703" s="1164"/>
      <c r="U703" s="2174"/>
      <c r="V703" s="2174"/>
      <c r="W703" s="94"/>
      <c r="X703" s="1164"/>
    </row>
    <row r="704" ht="15.75" customHeight="1">
      <c r="A704" s="94"/>
      <c r="B704" s="94"/>
      <c r="C704" s="1164"/>
      <c r="D704" s="1429"/>
      <c r="E704" s="1429"/>
      <c r="F704" s="1429"/>
      <c r="G704" s="1429"/>
      <c r="H704" s="1430"/>
      <c r="I704" s="94"/>
      <c r="J704" s="1164"/>
      <c r="K704" s="94"/>
      <c r="L704" s="94"/>
      <c r="M704" s="1430"/>
      <c r="N704" s="1430"/>
      <c r="O704" s="1430"/>
      <c r="P704" s="94"/>
      <c r="Q704" s="1431"/>
      <c r="R704" s="1430"/>
      <c r="S704" s="1164"/>
      <c r="T704" s="1164"/>
      <c r="U704" s="2174"/>
      <c r="V704" s="2174"/>
      <c r="W704" s="94"/>
      <c r="X704" s="1164"/>
    </row>
    <row r="705" ht="15.75" customHeight="1">
      <c r="A705" s="94"/>
      <c r="B705" s="94"/>
      <c r="C705" s="1164"/>
      <c r="D705" s="1429"/>
      <c r="E705" s="1429"/>
      <c r="F705" s="1429"/>
      <c r="G705" s="1429"/>
      <c r="H705" s="1430"/>
      <c r="I705" s="1430"/>
      <c r="J705" s="94"/>
      <c r="K705" s="94"/>
      <c r="L705" s="94"/>
      <c r="M705" s="1430"/>
      <c r="N705" s="1430"/>
      <c r="O705" s="1430"/>
      <c r="P705" s="94"/>
      <c r="Q705" s="1431"/>
      <c r="R705" s="1430"/>
      <c r="S705" s="1164"/>
      <c r="T705" s="1164"/>
      <c r="U705" s="2174"/>
      <c r="V705" s="2174"/>
      <c r="W705" s="2174"/>
      <c r="X705" s="1164"/>
    </row>
    <row r="706" ht="15.75" customHeight="1">
      <c r="A706" s="94"/>
      <c r="B706" s="94"/>
      <c r="C706" s="1164"/>
      <c r="D706" s="1429"/>
      <c r="E706" s="1429"/>
      <c r="F706" s="1429"/>
      <c r="G706" s="1429"/>
      <c r="H706" s="1430"/>
      <c r="I706" s="1430"/>
      <c r="J706" s="94"/>
      <c r="K706" s="94"/>
      <c r="L706" s="94"/>
      <c r="M706" s="1430"/>
      <c r="N706" s="1430"/>
      <c r="O706" s="1430"/>
      <c r="P706" s="94"/>
      <c r="Q706" s="1431"/>
      <c r="R706" s="1430"/>
      <c r="S706" s="1164"/>
      <c r="T706" s="1164"/>
      <c r="U706" s="2174"/>
      <c r="V706" s="2174"/>
      <c r="W706" s="2174"/>
      <c r="X706" s="1164"/>
    </row>
    <row r="707" ht="15.75" customHeight="1">
      <c r="A707" s="94"/>
      <c r="B707" s="94"/>
      <c r="C707" s="1164"/>
      <c r="D707" s="1429"/>
      <c r="E707" s="1429"/>
      <c r="F707" s="1429"/>
      <c r="G707" s="1429"/>
      <c r="H707" s="1430"/>
      <c r="I707" s="1430"/>
      <c r="J707" s="94"/>
      <c r="K707" s="94"/>
      <c r="L707" s="94"/>
      <c r="M707" s="94"/>
      <c r="N707" s="94"/>
      <c r="O707" s="94"/>
      <c r="P707" s="94"/>
      <c r="Q707" s="1431"/>
      <c r="R707" s="1430"/>
      <c r="S707" s="1164"/>
      <c r="T707" s="1164"/>
      <c r="U707" s="2174"/>
      <c r="V707" s="94"/>
      <c r="W707" s="94"/>
      <c r="X707" s="1164"/>
    </row>
    <row r="708" ht="15.75" customHeight="1">
      <c r="A708" s="94"/>
      <c r="B708" s="94"/>
      <c r="C708" s="1164"/>
      <c r="D708" s="1429"/>
      <c r="E708" s="1429"/>
      <c r="F708" s="1429"/>
      <c r="G708" s="1429"/>
      <c r="H708" s="1430"/>
      <c r="I708" s="1430"/>
      <c r="J708" s="94"/>
      <c r="K708" s="94"/>
      <c r="L708" s="94"/>
      <c r="M708" s="1430"/>
      <c r="N708" s="1430"/>
      <c r="O708" s="1430"/>
      <c r="P708" s="94"/>
      <c r="Q708" s="1431"/>
      <c r="R708" s="1430"/>
      <c r="S708" s="1164"/>
      <c r="T708" s="1164"/>
      <c r="U708" s="2174"/>
      <c r="V708" s="2174"/>
      <c r="W708" s="2174"/>
      <c r="X708" s="1164"/>
    </row>
    <row r="709" ht="15.75" customHeight="1">
      <c r="A709" s="94"/>
      <c r="B709" s="94"/>
      <c r="C709" s="1164"/>
      <c r="D709" s="1429"/>
      <c r="E709" s="1429"/>
      <c r="F709" s="1429"/>
      <c r="G709" s="1429"/>
      <c r="H709" s="1430"/>
      <c r="I709" s="94"/>
      <c r="J709" s="1164"/>
      <c r="K709" s="94"/>
      <c r="L709" s="94"/>
      <c r="M709" s="94"/>
      <c r="N709" s="94"/>
      <c r="O709" s="94"/>
      <c r="P709" s="94"/>
      <c r="Q709" s="1431"/>
      <c r="R709" s="1430"/>
      <c r="S709" s="1164"/>
      <c r="T709" s="1164"/>
      <c r="U709" s="2174"/>
      <c r="V709" s="2174"/>
      <c r="W709" s="94"/>
      <c r="X709" s="1164"/>
    </row>
    <row r="710" ht="15.75" customHeight="1">
      <c r="A710" s="94"/>
      <c r="B710" s="94"/>
      <c r="C710" s="1164"/>
      <c r="D710" s="1429"/>
      <c r="E710" s="1429"/>
      <c r="F710" s="1429"/>
      <c r="G710" s="1429"/>
      <c r="H710" s="1430"/>
      <c r="I710" s="1430"/>
      <c r="J710" s="94"/>
      <c r="K710" s="94"/>
      <c r="L710" s="94"/>
      <c r="M710" s="1430"/>
      <c r="N710" s="1430"/>
      <c r="O710" s="1430"/>
      <c r="P710" s="94"/>
      <c r="Q710" s="1431"/>
      <c r="R710" s="1430"/>
      <c r="S710" s="1164"/>
      <c r="T710" s="1164"/>
      <c r="U710" s="2174"/>
      <c r="V710" s="2174"/>
      <c r="W710" s="2174"/>
      <c r="X710" s="1164"/>
    </row>
    <row r="711" ht="15.75" customHeight="1">
      <c r="A711" s="94"/>
      <c r="B711" s="94"/>
      <c r="C711" s="1164"/>
      <c r="D711" s="1429"/>
      <c r="E711" s="1429"/>
      <c r="F711" s="1429"/>
      <c r="G711" s="1429"/>
      <c r="H711" s="1430"/>
      <c r="I711" s="1430"/>
      <c r="J711" s="94"/>
      <c r="K711" s="94"/>
      <c r="L711" s="94"/>
      <c r="M711" s="1430"/>
      <c r="N711" s="1430"/>
      <c r="O711" s="1430"/>
      <c r="P711" s="94"/>
      <c r="Q711" s="1431"/>
      <c r="R711" s="1430"/>
      <c r="S711" s="1164"/>
      <c r="T711" s="1164"/>
      <c r="U711" s="2174"/>
      <c r="V711" s="2174"/>
      <c r="W711" s="2174"/>
      <c r="X711" s="1164"/>
    </row>
    <row r="712" ht="15.75" customHeight="1">
      <c r="A712" s="94"/>
      <c r="B712" s="94"/>
      <c r="C712" s="1164"/>
      <c r="D712" s="1429"/>
      <c r="E712" s="1429"/>
      <c r="F712" s="1429"/>
      <c r="G712" s="1429"/>
      <c r="H712" s="1430"/>
      <c r="I712" s="94"/>
      <c r="J712" s="1164"/>
      <c r="K712" s="94"/>
      <c r="L712" s="94"/>
      <c r="M712" s="1430"/>
      <c r="N712" s="1430"/>
      <c r="O712" s="1430"/>
      <c r="P712" s="94"/>
      <c r="Q712" s="1431"/>
      <c r="R712" s="1430"/>
      <c r="S712" s="1164"/>
      <c r="T712" s="1164"/>
      <c r="U712" s="2174"/>
      <c r="V712" s="2174"/>
      <c r="W712" s="94"/>
      <c r="X712" s="1164"/>
    </row>
    <row r="713" ht="15.75" customHeight="1">
      <c r="A713" s="94"/>
      <c r="B713" s="94"/>
      <c r="C713" s="1164"/>
      <c r="D713" s="1429"/>
      <c r="E713" s="1429"/>
      <c r="F713" s="1429"/>
      <c r="G713" s="1429"/>
      <c r="H713" s="1430"/>
      <c r="I713" s="94"/>
      <c r="J713" s="1164"/>
      <c r="K713" s="94"/>
      <c r="L713" s="94"/>
      <c r="M713" s="1430"/>
      <c r="N713" s="1430"/>
      <c r="O713" s="1430"/>
      <c r="P713" s="94"/>
      <c r="Q713" s="1431"/>
      <c r="R713" s="1430"/>
      <c r="S713" s="1164"/>
      <c r="T713" s="1164"/>
      <c r="U713" s="2174"/>
      <c r="V713" s="2174"/>
      <c r="W713" s="94"/>
      <c r="X713" s="1164"/>
    </row>
    <row r="714" ht="15.75" customHeight="1">
      <c r="A714" s="94"/>
      <c r="B714" s="94"/>
      <c r="C714" s="1164"/>
      <c r="D714" s="1429"/>
      <c r="E714" s="1429"/>
      <c r="F714" s="1429"/>
      <c r="G714" s="1429"/>
      <c r="H714" s="1430"/>
      <c r="I714" s="1430"/>
      <c r="J714" s="94"/>
      <c r="K714" s="94"/>
      <c r="L714" s="94"/>
      <c r="M714" s="94"/>
      <c r="N714" s="94"/>
      <c r="O714" s="1430"/>
      <c r="P714" s="94"/>
      <c r="Q714" s="1431"/>
      <c r="R714" s="1430"/>
      <c r="S714" s="1164"/>
      <c r="T714" s="1164"/>
      <c r="U714" s="2174"/>
      <c r="V714" s="94"/>
      <c r="W714" s="94"/>
      <c r="X714" s="1164"/>
    </row>
    <row r="715" ht="15.75" customHeight="1">
      <c r="A715" s="94"/>
      <c r="B715" s="94"/>
      <c r="C715" s="1164"/>
      <c r="D715" s="1429"/>
      <c r="E715" s="1429"/>
      <c r="F715" s="1429"/>
      <c r="G715" s="1429"/>
      <c r="H715" s="1430"/>
      <c r="I715" s="1430"/>
      <c r="J715" s="94"/>
      <c r="K715" s="94"/>
      <c r="L715" s="94"/>
      <c r="M715" s="1430"/>
      <c r="N715" s="1430"/>
      <c r="O715" s="1430"/>
      <c r="P715" s="94"/>
      <c r="Q715" s="1431"/>
      <c r="R715" s="1430"/>
      <c r="S715" s="1164"/>
      <c r="T715" s="1164"/>
      <c r="U715" s="2174"/>
      <c r="V715" s="2174"/>
      <c r="W715" s="2174"/>
      <c r="X715" s="1164"/>
    </row>
    <row r="716" ht="15.75" customHeight="1">
      <c r="A716" s="94"/>
      <c r="B716" s="94"/>
      <c r="C716" s="1164"/>
      <c r="D716" s="1429"/>
      <c r="E716" s="1429"/>
      <c r="F716" s="1429"/>
      <c r="G716" s="1429"/>
      <c r="H716" s="1430"/>
      <c r="I716" s="1430"/>
      <c r="J716" s="94"/>
      <c r="K716" s="94"/>
      <c r="L716" s="94"/>
      <c r="M716" s="1430"/>
      <c r="N716" s="1430"/>
      <c r="O716" s="1430"/>
      <c r="P716" s="94"/>
      <c r="Q716" s="1431"/>
      <c r="R716" s="1430"/>
      <c r="S716" s="1164"/>
      <c r="T716" s="1164"/>
      <c r="U716" s="2174"/>
      <c r="V716" s="2174"/>
      <c r="W716" s="2174"/>
      <c r="X716" s="1164"/>
    </row>
    <row r="717" ht="15.75" customHeight="1">
      <c r="A717" s="94"/>
      <c r="B717" s="94"/>
      <c r="C717" s="1164"/>
      <c r="D717" s="1429"/>
      <c r="E717" s="1429"/>
      <c r="F717" s="1429"/>
      <c r="G717" s="1429"/>
      <c r="H717" s="1430"/>
      <c r="I717" s="94"/>
      <c r="J717" s="1164"/>
      <c r="K717" s="94"/>
      <c r="L717" s="94"/>
      <c r="M717" s="1430"/>
      <c r="N717" s="1430"/>
      <c r="O717" s="1430"/>
      <c r="P717" s="94"/>
      <c r="Q717" s="1431"/>
      <c r="R717" s="1430"/>
      <c r="S717" s="1164"/>
      <c r="T717" s="1164"/>
      <c r="U717" s="2174"/>
      <c r="V717" s="2174"/>
      <c r="W717" s="94"/>
      <c r="X717" s="1164"/>
    </row>
    <row r="718" ht="15.75" customHeight="1">
      <c r="A718" s="94"/>
      <c r="B718" s="94"/>
      <c r="C718" s="1164"/>
      <c r="D718" s="1429"/>
      <c r="E718" s="1429"/>
      <c r="F718" s="1429"/>
      <c r="G718" s="1429"/>
      <c r="H718" s="1430"/>
      <c r="I718" s="94"/>
      <c r="J718" s="1164"/>
      <c r="K718" s="94"/>
      <c r="L718" s="94"/>
      <c r="M718" s="1430"/>
      <c r="N718" s="1430"/>
      <c r="O718" s="1430"/>
      <c r="P718" s="94"/>
      <c r="Q718" s="1431"/>
      <c r="R718" s="1430"/>
      <c r="S718" s="1164"/>
      <c r="T718" s="1164"/>
      <c r="U718" s="2174"/>
      <c r="V718" s="2174"/>
      <c r="W718" s="94"/>
      <c r="X718" s="1164"/>
    </row>
    <row r="719" ht="15.75" customHeight="1">
      <c r="A719" s="94"/>
      <c r="B719" s="94"/>
      <c r="C719" s="1164"/>
      <c r="D719" s="1429"/>
      <c r="E719" s="1429"/>
      <c r="F719" s="1429"/>
      <c r="G719" s="1429"/>
      <c r="H719" s="1430"/>
      <c r="I719" s="1430"/>
      <c r="J719" s="94"/>
      <c r="K719" s="94"/>
      <c r="L719" s="94"/>
      <c r="M719" s="1430"/>
      <c r="N719" s="1430"/>
      <c r="O719" s="1430"/>
      <c r="P719" s="94"/>
      <c r="Q719" s="1431"/>
      <c r="R719" s="1430"/>
      <c r="S719" s="1164"/>
      <c r="T719" s="1164"/>
      <c r="U719" s="2174"/>
      <c r="V719" s="2174"/>
      <c r="W719" s="2174"/>
      <c r="X719" s="1164"/>
    </row>
    <row r="720" ht="15.75" customHeight="1">
      <c r="A720" s="94"/>
      <c r="B720" s="94"/>
      <c r="C720" s="1164"/>
      <c r="D720" s="1429"/>
      <c r="E720" s="1429"/>
      <c r="F720" s="1429"/>
      <c r="G720" s="1429"/>
      <c r="H720" s="1430"/>
      <c r="I720" s="1430"/>
      <c r="J720" s="94"/>
      <c r="K720" s="94"/>
      <c r="L720" s="94"/>
      <c r="M720" s="1430"/>
      <c r="N720" s="1430"/>
      <c r="O720" s="1430"/>
      <c r="P720" s="94"/>
      <c r="Q720" s="1431"/>
      <c r="R720" s="1430"/>
      <c r="S720" s="1164"/>
      <c r="T720" s="1164"/>
      <c r="U720" s="2174"/>
      <c r="V720" s="2174"/>
      <c r="W720" s="2174"/>
      <c r="X720" s="1164"/>
    </row>
    <row r="721" ht="15.75" customHeight="1">
      <c r="A721" s="94"/>
      <c r="B721" s="94"/>
      <c r="C721" s="1164"/>
      <c r="D721" s="1429"/>
      <c r="E721" s="1429"/>
      <c r="F721" s="1429"/>
      <c r="G721" s="1429"/>
      <c r="H721" s="1430"/>
      <c r="I721" s="1430"/>
      <c r="J721" s="94"/>
      <c r="K721" s="94"/>
      <c r="L721" s="94"/>
      <c r="M721" s="1430"/>
      <c r="N721" s="1430"/>
      <c r="O721" s="1430"/>
      <c r="P721" s="94"/>
      <c r="Q721" s="1431"/>
      <c r="R721" s="1430"/>
      <c r="S721" s="1164"/>
      <c r="T721" s="1164"/>
      <c r="U721" s="2174"/>
      <c r="V721" s="2174"/>
      <c r="W721" s="2174"/>
      <c r="X721" s="1164"/>
    </row>
    <row r="722" ht="15.75" customHeight="1">
      <c r="A722" s="94"/>
      <c r="B722" s="94"/>
      <c r="C722" s="1164"/>
      <c r="D722" s="1429"/>
      <c r="E722" s="1429"/>
      <c r="F722" s="1429"/>
      <c r="G722" s="1429"/>
      <c r="H722" s="1430"/>
      <c r="I722" s="94"/>
      <c r="J722" s="1164"/>
      <c r="K722" s="94"/>
      <c r="L722" s="94"/>
      <c r="M722" s="1430"/>
      <c r="N722" s="1430"/>
      <c r="O722" s="1430"/>
      <c r="P722" s="94"/>
      <c r="Q722" s="1431"/>
      <c r="R722" s="1430"/>
      <c r="S722" s="1164"/>
      <c r="T722" s="1164"/>
      <c r="U722" s="2174"/>
      <c r="V722" s="2174"/>
      <c r="W722" s="94"/>
      <c r="X722" s="1164"/>
    </row>
    <row r="723" ht="15.75" customHeight="1">
      <c r="A723" s="94"/>
      <c r="B723" s="94"/>
      <c r="C723" s="1164"/>
      <c r="D723" s="1429"/>
      <c r="E723" s="1429"/>
      <c r="F723" s="1429"/>
      <c r="G723" s="1429"/>
      <c r="H723" s="1430"/>
      <c r="I723" s="1430"/>
      <c r="J723" s="94"/>
      <c r="K723" s="94"/>
      <c r="L723" s="94"/>
      <c r="M723" s="1430"/>
      <c r="N723" s="1430"/>
      <c r="O723" s="1430"/>
      <c r="P723" s="94"/>
      <c r="Q723" s="1431"/>
      <c r="R723" s="1430"/>
      <c r="S723" s="1164"/>
      <c r="T723" s="1164"/>
      <c r="U723" s="2174"/>
      <c r="V723" s="2174"/>
      <c r="W723" s="2174"/>
      <c r="X723" s="1164"/>
    </row>
    <row r="724" ht="15.75" customHeight="1">
      <c r="A724" s="94"/>
      <c r="B724" s="94"/>
      <c r="C724" s="1164"/>
      <c r="D724" s="1429"/>
      <c r="E724" s="1429"/>
      <c r="F724" s="1429"/>
      <c r="G724" s="1429"/>
      <c r="H724" s="1430"/>
      <c r="I724" s="94"/>
      <c r="J724" s="1164"/>
      <c r="K724" s="94"/>
      <c r="L724" s="94"/>
      <c r="M724" s="1430"/>
      <c r="N724" s="1430"/>
      <c r="O724" s="1430"/>
      <c r="P724" s="94"/>
      <c r="Q724" s="1431"/>
      <c r="R724" s="1430"/>
      <c r="S724" s="1164"/>
      <c r="T724" s="1164"/>
      <c r="U724" s="2174"/>
      <c r="V724" s="2174"/>
      <c r="W724" s="94"/>
      <c r="X724" s="1164"/>
    </row>
    <row r="725" ht="15.75" customHeight="1">
      <c r="A725" s="94"/>
      <c r="B725" s="94"/>
      <c r="C725" s="1164"/>
      <c r="D725" s="1429"/>
      <c r="E725" s="1429"/>
      <c r="F725" s="1429"/>
      <c r="G725" s="1429"/>
      <c r="H725" s="1430"/>
      <c r="I725" s="1430"/>
      <c r="J725" s="94"/>
      <c r="K725" s="94"/>
      <c r="L725" s="94"/>
      <c r="M725" s="1430"/>
      <c r="N725" s="1430"/>
      <c r="O725" s="1430"/>
      <c r="P725" s="94"/>
      <c r="Q725" s="1431"/>
      <c r="R725" s="1430"/>
      <c r="S725" s="1164"/>
      <c r="T725" s="1164"/>
      <c r="U725" s="2174"/>
      <c r="V725" s="2174"/>
      <c r="W725" s="2174"/>
      <c r="X725" s="1164"/>
    </row>
    <row r="726" ht="15.75" customHeight="1">
      <c r="A726" s="94"/>
      <c r="B726" s="94"/>
      <c r="C726" s="1164"/>
      <c r="D726" s="1429"/>
      <c r="E726" s="1429"/>
      <c r="F726" s="1429"/>
      <c r="G726" s="1429"/>
      <c r="H726" s="1430"/>
      <c r="I726" s="1430"/>
      <c r="J726" s="94"/>
      <c r="K726" s="94"/>
      <c r="L726" s="94"/>
      <c r="M726" s="94"/>
      <c r="N726" s="94"/>
      <c r="O726" s="94"/>
      <c r="P726" s="94"/>
      <c r="Q726" s="1431"/>
      <c r="R726" s="1430"/>
      <c r="S726" s="1164"/>
      <c r="T726" s="1164"/>
      <c r="U726" s="2174"/>
      <c r="V726" s="2174"/>
      <c r="W726" s="2174"/>
      <c r="X726" s="1164"/>
    </row>
    <row r="727" ht="15.75" customHeight="1">
      <c r="A727" s="94"/>
      <c r="B727" s="94"/>
      <c r="C727" s="1164"/>
      <c r="D727" s="1429"/>
      <c r="E727" s="1429"/>
      <c r="F727" s="1429"/>
      <c r="G727" s="1429"/>
      <c r="H727" s="1430"/>
      <c r="I727" s="94"/>
      <c r="J727" s="1164"/>
      <c r="K727" s="94"/>
      <c r="L727" s="94"/>
      <c r="M727" s="94"/>
      <c r="N727" s="94"/>
      <c r="O727" s="94"/>
      <c r="P727" s="94"/>
      <c r="Q727" s="1431"/>
      <c r="R727" s="1430"/>
      <c r="S727" s="1164"/>
      <c r="T727" s="1164"/>
      <c r="U727" s="2174"/>
      <c r="V727" s="2174"/>
      <c r="W727" s="94"/>
      <c r="X727" s="1164"/>
    </row>
    <row r="728" ht="15.75" customHeight="1">
      <c r="A728" s="94"/>
      <c r="B728" s="94"/>
      <c r="C728" s="1164"/>
      <c r="D728" s="1429"/>
      <c r="E728" s="1429"/>
      <c r="F728" s="1429"/>
      <c r="G728" s="1429"/>
      <c r="H728" s="1430"/>
      <c r="I728" s="1430"/>
      <c r="J728" s="94"/>
      <c r="K728" s="94"/>
      <c r="L728" s="94"/>
      <c r="M728" s="94"/>
      <c r="N728" s="94"/>
      <c r="O728" s="94"/>
      <c r="P728" s="94"/>
      <c r="Q728" s="1431"/>
      <c r="R728" s="1430"/>
      <c r="S728" s="1164"/>
      <c r="T728" s="1164"/>
      <c r="U728" s="2174"/>
      <c r="V728" s="94"/>
      <c r="W728" s="2174"/>
      <c r="X728" s="1164"/>
    </row>
    <row r="729" ht="15.75" customHeight="1">
      <c r="A729" s="94"/>
      <c r="B729" s="94"/>
      <c r="C729" s="1164"/>
      <c r="D729" s="1429"/>
      <c r="E729" s="1429"/>
      <c r="F729" s="1429"/>
      <c r="G729" s="1429"/>
      <c r="H729" s="1430"/>
      <c r="I729" s="1430"/>
      <c r="J729" s="94"/>
      <c r="K729" s="94"/>
      <c r="L729" s="94"/>
      <c r="M729" s="94"/>
      <c r="N729" s="94"/>
      <c r="O729" s="94"/>
      <c r="P729" s="94"/>
      <c r="Q729" s="1431"/>
      <c r="R729" s="1430"/>
      <c r="S729" s="1164"/>
      <c r="T729" s="1164"/>
      <c r="U729" s="2174"/>
      <c r="V729" s="2174"/>
      <c r="W729" s="2174"/>
      <c r="X729" s="1164"/>
    </row>
    <row r="730" ht="15.75" customHeight="1">
      <c r="A730" s="94"/>
      <c r="B730" s="94"/>
      <c r="C730" s="1164"/>
      <c r="D730" s="1429"/>
      <c r="E730" s="1429"/>
      <c r="F730" s="1429"/>
      <c r="G730" s="1429"/>
      <c r="H730" s="1430"/>
      <c r="I730" s="1430"/>
      <c r="J730" s="94"/>
      <c r="K730" s="94"/>
      <c r="L730" s="94"/>
      <c r="M730" s="94"/>
      <c r="N730" s="94"/>
      <c r="O730" s="94"/>
      <c r="P730" s="94"/>
      <c r="Q730" s="1431"/>
      <c r="R730" s="1430"/>
      <c r="S730" s="1164"/>
      <c r="T730" s="1164"/>
      <c r="U730" s="2174"/>
      <c r="V730" s="2174"/>
      <c r="W730" s="2174"/>
      <c r="X730" s="1164"/>
    </row>
    <row r="731" ht="15.75" customHeight="1">
      <c r="A731" s="94"/>
      <c r="B731" s="94"/>
      <c r="C731" s="1164"/>
      <c r="D731" s="1429"/>
      <c r="E731" s="1429"/>
      <c r="F731" s="1429"/>
      <c r="G731" s="1429"/>
      <c r="H731" s="1430"/>
      <c r="I731" s="94"/>
      <c r="J731" s="1164"/>
      <c r="K731" s="94"/>
      <c r="L731" s="94"/>
      <c r="M731" s="94"/>
      <c r="N731" s="94"/>
      <c r="O731" s="94"/>
      <c r="P731" s="94"/>
      <c r="Q731" s="1431"/>
      <c r="R731" s="1430"/>
      <c r="S731" s="1164"/>
      <c r="T731" s="1164"/>
      <c r="U731" s="2174"/>
      <c r="V731" s="2174"/>
      <c r="W731" s="94"/>
      <c r="X731" s="1164"/>
    </row>
    <row r="732" ht="15.75" customHeight="1">
      <c r="A732" s="94"/>
      <c r="B732" s="94"/>
      <c r="C732" s="1164"/>
      <c r="D732" s="1429"/>
      <c r="E732" s="1429"/>
      <c r="F732" s="1429"/>
      <c r="G732" s="1429"/>
      <c r="H732" s="1430"/>
      <c r="I732" s="94"/>
      <c r="J732" s="1164"/>
      <c r="K732" s="94"/>
      <c r="L732" s="94"/>
      <c r="M732" s="1430"/>
      <c r="N732" s="1430"/>
      <c r="O732" s="1430"/>
      <c r="P732" s="94"/>
      <c r="Q732" s="1431"/>
      <c r="R732" s="1430"/>
      <c r="S732" s="1164"/>
      <c r="T732" s="1164"/>
      <c r="U732" s="2174"/>
      <c r="V732" s="2174"/>
      <c r="W732" s="94"/>
      <c r="X732" s="1164"/>
    </row>
    <row r="733" ht="15.75" customHeight="1">
      <c r="A733" s="94"/>
      <c r="B733" s="94"/>
      <c r="C733" s="1164"/>
      <c r="D733" s="1429"/>
      <c r="E733" s="1429"/>
      <c r="F733" s="1429"/>
      <c r="G733" s="1429"/>
      <c r="H733" s="1430"/>
      <c r="I733" s="1430"/>
      <c r="J733" s="94"/>
      <c r="K733" s="94"/>
      <c r="L733" s="94"/>
      <c r="M733" s="1430"/>
      <c r="N733" s="1430"/>
      <c r="O733" s="1430"/>
      <c r="P733" s="94"/>
      <c r="Q733" s="1431"/>
      <c r="R733" s="1430"/>
      <c r="S733" s="1164"/>
      <c r="T733" s="1164"/>
      <c r="U733" s="2174"/>
      <c r="V733" s="2174"/>
      <c r="W733" s="2174"/>
      <c r="X733" s="1164"/>
    </row>
    <row r="734" ht="15.75" customHeight="1">
      <c r="A734" s="94"/>
      <c r="B734" s="94"/>
      <c r="C734" s="94"/>
      <c r="D734" s="94"/>
      <c r="E734" s="94"/>
      <c r="F734" s="94"/>
      <c r="G734" s="94"/>
      <c r="H734" s="1164"/>
      <c r="I734" s="1164"/>
      <c r="J734" s="1164"/>
      <c r="K734" s="94"/>
      <c r="L734" s="1430"/>
      <c r="M734" s="1430"/>
      <c r="N734" s="1430"/>
      <c r="O734" s="1430"/>
      <c r="P734" s="94"/>
      <c r="Q734" s="94"/>
      <c r="R734" s="1430"/>
      <c r="S734" s="1430"/>
      <c r="T734" s="1164"/>
      <c r="U734" s="94"/>
      <c r="V734" s="94"/>
      <c r="W734" s="94"/>
      <c r="X734" s="1430"/>
    </row>
    <row r="735" ht="15.75" customHeight="1">
      <c r="A735" s="94"/>
      <c r="B735" s="94"/>
      <c r="C735" s="1164"/>
      <c r="D735" s="1429"/>
      <c r="E735" s="1429"/>
      <c r="F735" s="1429"/>
      <c r="G735" s="1429"/>
      <c r="H735" s="1430"/>
      <c r="I735" s="94"/>
      <c r="J735" s="1164"/>
      <c r="K735" s="94"/>
      <c r="L735" s="94"/>
      <c r="M735" s="1430"/>
      <c r="N735" s="1430"/>
      <c r="O735" s="1430"/>
      <c r="P735" s="94"/>
      <c r="Q735" s="1431"/>
      <c r="R735" s="1430"/>
      <c r="S735" s="1164"/>
      <c r="T735" s="1164"/>
      <c r="U735" s="2174"/>
      <c r="V735" s="2174"/>
      <c r="W735" s="94"/>
      <c r="X735" s="1164"/>
    </row>
    <row r="736" ht="15.75" customHeight="1">
      <c r="A736" s="94"/>
      <c r="B736" s="94"/>
      <c r="C736" s="1164"/>
      <c r="D736" s="1429"/>
      <c r="E736" s="1429"/>
      <c r="F736" s="1429"/>
      <c r="G736" s="1429"/>
      <c r="H736" s="1430"/>
      <c r="I736" s="94"/>
      <c r="J736" s="1164"/>
      <c r="K736" s="94"/>
      <c r="L736" s="94"/>
      <c r="M736" s="1430"/>
      <c r="N736" s="1430"/>
      <c r="O736" s="1430"/>
      <c r="P736" s="94"/>
      <c r="Q736" s="1431"/>
      <c r="R736" s="1430"/>
      <c r="S736" s="1164"/>
      <c r="T736" s="1164"/>
      <c r="U736" s="2174"/>
      <c r="V736" s="2174"/>
      <c r="W736" s="94"/>
      <c r="X736" s="1164"/>
    </row>
    <row r="737" ht="15.75" customHeight="1">
      <c r="A737" s="94"/>
      <c r="B737" s="94"/>
      <c r="C737" s="1164"/>
      <c r="D737" s="1429"/>
      <c r="E737" s="1429"/>
      <c r="F737" s="1429"/>
      <c r="G737" s="1429"/>
      <c r="H737" s="1430"/>
      <c r="I737" s="94"/>
      <c r="J737" s="1164"/>
      <c r="K737" s="94"/>
      <c r="L737" s="94"/>
      <c r="M737" s="1430"/>
      <c r="N737" s="1430"/>
      <c r="O737" s="1430"/>
      <c r="P737" s="94"/>
      <c r="Q737" s="1431"/>
      <c r="R737" s="1430"/>
      <c r="S737" s="1164"/>
      <c r="T737" s="1164"/>
      <c r="U737" s="2174"/>
      <c r="V737" s="2174"/>
      <c r="W737" s="94"/>
      <c r="X737" s="1164"/>
    </row>
    <row r="738" ht="15.75" customHeight="1">
      <c r="A738" s="94"/>
      <c r="B738" s="94"/>
      <c r="C738" s="1164"/>
      <c r="D738" s="1429"/>
      <c r="E738" s="1429"/>
      <c r="F738" s="1429"/>
      <c r="G738" s="1429"/>
      <c r="H738" s="1430"/>
      <c r="I738" s="94"/>
      <c r="J738" s="1164"/>
      <c r="K738" s="94"/>
      <c r="L738" s="94"/>
      <c r="M738" s="1430"/>
      <c r="N738" s="1430"/>
      <c r="O738" s="1430"/>
      <c r="P738" s="94"/>
      <c r="Q738" s="1431"/>
      <c r="R738" s="1430"/>
      <c r="S738" s="1164"/>
      <c r="T738" s="1164"/>
      <c r="U738" s="2174"/>
      <c r="V738" s="2174"/>
      <c r="W738" s="94"/>
      <c r="X738" s="1164"/>
    </row>
    <row r="739" ht="15.75" customHeight="1">
      <c r="A739" s="94"/>
      <c r="B739" s="94"/>
      <c r="C739" s="1164"/>
      <c r="D739" s="1429"/>
      <c r="E739" s="1429"/>
      <c r="F739" s="1429"/>
      <c r="G739" s="1429"/>
      <c r="H739" s="1430"/>
      <c r="I739" s="1430"/>
      <c r="J739" s="1164"/>
      <c r="K739" s="94"/>
      <c r="L739" s="94"/>
      <c r="M739" s="1430"/>
      <c r="N739" s="1430"/>
      <c r="O739" s="1430"/>
      <c r="P739" s="94"/>
      <c r="Q739" s="1431"/>
      <c r="R739" s="1430"/>
      <c r="S739" s="1164"/>
      <c r="T739" s="1164"/>
      <c r="U739" s="2174"/>
      <c r="V739" s="2174"/>
      <c r="W739" s="2174"/>
      <c r="X739" s="1164"/>
    </row>
    <row r="740" ht="15.75" customHeight="1">
      <c r="A740" s="94"/>
      <c r="B740" s="94"/>
      <c r="C740" s="1164"/>
      <c r="D740" s="1429"/>
      <c r="E740" s="1429"/>
      <c r="F740" s="1429"/>
      <c r="G740" s="1429"/>
      <c r="H740" s="1430"/>
      <c r="I740" s="94"/>
      <c r="J740" s="1164"/>
      <c r="K740" s="94"/>
      <c r="L740" s="94"/>
      <c r="M740" s="94"/>
      <c r="N740" s="94"/>
      <c r="O740" s="94"/>
      <c r="P740" s="94"/>
      <c r="Q740" s="1431"/>
      <c r="R740" s="1430"/>
      <c r="S740" s="1164"/>
      <c r="T740" s="1164"/>
      <c r="U740" s="2174"/>
      <c r="V740" s="2174"/>
      <c r="W740" s="94"/>
      <c r="X740" s="1164"/>
    </row>
    <row r="741" ht="15.75" customHeight="1">
      <c r="A741" s="94"/>
      <c r="B741" s="94"/>
      <c r="C741" s="1164"/>
      <c r="D741" s="1429"/>
      <c r="E741" s="1429"/>
      <c r="F741" s="1429"/>
      <c r="G741" s="1429"/>
      <c r="H741" s="1430"/>
      <c r="I741" s="1430"/>
      <c r="J741" s="1164"/>
      <c r="K741" s="94"/>
      <c r="L741" s="94"/>
      <c r="M741" s="1430"/>
      <c r="N741" s="1430"/>
      <c r="O741" s="1430"/>
      <c r="P741" s="94"/>
      <c r="Q741" s="1431"/>
      <c r="R741" s="1430"/>
      <c r="S741" s="1164"/>
      <c r="T741" s="1164"/>
      <c r="U741" s="2174"/>
      <c r="V741" s="2174"/>
      <c r="W741" s="2174"/>
      <c r="X741" s="1164"/>
    </row>
    <row r="742" ht="15.75" customHeight="1">
      <c r="A742" s="94"/>
      <c r="B742" s="94"/>
      <c r="C742" s="1164"/>
      <c r="D742" s="1429"/>
      <c r="E742" s="1429"/>
      <c r="F742" s="1429"/>
      <c r="G742" s="1429"/>
      <c r="H742" s="1430"/>
      <c r="I742" s="94"/>
      <c r="J742" s="1164"/>
      <c r="K742" s="94"/>
      <c r="L742" s="94"/>
      <c r="M742" s="1430"/>
      <c r="N742" s="1430"/>
      <c r="O742" s="1430"/>
      <c r="P742" s="94"/>
      <c r="Q742" s="1431"/>
      <c r="R742" s="1430"/>
      <c r="S742" s="1164"/>
      <c r="T742" s="1164"/>
      <c r="U742" s="2174"/>
      <c r="V742" s="2174"/>
      <c r="W742" s="94"/>
      <c r="X742" s="1164"/>
    </row>
    <row r="743" ht="15.75" customHeight="1">
      <c r="A743" s="94"/>
      <c r="B743" s="94"/>
      <c r="C743" s="1164"/>
      <c r="D743" s="1429"/>
      <c r="E743" s="1429"/>
      <c r="F743" s="1429"/>
      <c r="G743" s="1429"/>
      <c r="H743" s="1430"/>
      <c r="I743" s="94"/>
      <c r="J743" s="1164"/>
      <c r="K743" s="94"/>
      <c r="L743" s="94"/>
      <c r="M743" s="1430"/>
      <c r="N743" s="1430"/>
      <c r="O743" s="1430"/>
      <c r="P743" s="94"/>
      <c r="Q743" s="1431"/>
      <c r="R743" s="1430"/>
      <c r="S743" s="1164"/>
      <c r="T743" s="1164"/>
      <c r="U743" s="2174"/>
      <c r="V743" s="2174"/>
      <c r="W743" s="94"/>
      <c r="X743" s="1164"/>
    </row>
    <row r="744" ht="15.75" customHeight="1">
      <c r="A744" s="94"/>
      <c r="B744" s="94"/>
      <c r="C744" s="1164"/>
      <c r="D744" s="1429"/>
      <c r="E744" s="1429"/>
      <c r="F744" s="1429"/>
      <c r="G744" s="1429"/>
      <c r="H744" s="1430"/>
      <c r="I744" s="94"/>
      <c r="J744" s="1164"/>
      <c r="K744" s="94"/>
      <c r="L744" s="94"/>
      <c r="M744" s="1430"/>
      <c r="N744" s="1430"/>
      <c r="O744" s="1430"/>
      <c r="P744" s="94"/>
      <c r="Q744" s="1431"/>
      <c r="R744" s="1430"/>
      <c r="S744" s="1164"/>
      <c r="T744" s="1164"/>
      <c r="U744" s="2174"/>
      <c r="V744" s="2174"/>
      <c r="W744" s="94"/>
      <c r="X744" s="1164"/>
    </row>
    <row r="745" ht="15.75" customHeight="1">
      <c r="A745" s="94"/>
      <c r="B745" s="94"/>
      <c r="C745" s="1164"/>
      <c r="D745" s="1429"/>
      <c r="E745" s="1429"/>
      <c r="F745" s="1429"/>
      <c r="G745" s="1429"/>
      <c r="H745" s="1430"/>
      <c r="I745" s="94"/>
      <c r="J745" s="1164"/>
      <c r="K745" s="94"/>
      <c r="L745" s="94"/>
      <c r="M745" s="1430"/>
      <c r="N745" s="1430"/>
      <c r="O745" s="1430"/>
      <c r="P745" s="94"/>
      <c r="Q745" s="1431"/>
      <c r="R745" s="1430"/>
      <c r="S745" s="1164"/>
      <c r="T745" s="1164"/>
      <c r="U745" s="2174"/>
      <c r="V745" s="2174"/>
      <c r="W745" s="94"/>
      <c r="X745" s="1164"/>
    </row>
    <row r="746" ht="15.75" customHeight="1">
      <c r="A746" s="94"/>
      <c r="B746" s="94"/>
      <c r="C746" s="1164"/>
      <c r="D746" s="1429"/>
      <c r="E746" s="1429"/>
      <c r="F746" s="1429"/>
      <c r="G746" s="1429"/>
      <c r="H746" s="1430"/>
      <c r="I746" s="94"/>
      <c r="J746" s="1164"/>
      <c r="K746" s="94"/>
      <c r="L746" s="94"/>
      <c r="M746" s="1430"/>
      <c r="N746" s="1430"/>
      <c r="O746" s="1430"/>
      <c r="P746" s="94"/>
      <c r="Q746" s="1431"/>
      <c r="R746" s="1430"/>
      <c r="S746" s="1164"/>
      <c r="T746" s="1164"/>
      <c r="U746" s="2174"/>
      <c r="V746" s="2174"/>
      <c r="W746" s="94"/>
      <c r="X746" s="1164"/>
    </row>
    <row r="747" ht="15.75" customHeight="1">
      <c r="A747" s="94"/>
      <c r="B747" s="94"/>
      <c r="C747" s="1164"/>
      <c r="D747" s="1429"/>
      <c r="E747" s="1429"/>
      <c r="F747" s="1429"/>
      <c r="G747" s="1429"/>
      <c r="H747" s="1430"/>
      <c r="I747" s="94"/>
      <c r="J747" s="1164"/>
      <c r="K747" s="94"/>
      <c r="L747" s="94"/>
      <c r="M747" s="94"/>
      <c r="N747" s="94"/>
      <c r="O747" s="94"/>
      <c r="P747" s="94"/>
      <c r="Q747" s="1431"/>
      <c r="R747" s="1430"/>
      <c r="S747" s="1164"/>
      <c r="T747" s="1164"/>
      <c r="U747" s="2174"/>
      <c r="V747" s="2174"/>
      <c r="W747" s="94"/>
      <c r="X747" s="1164"/>
    </row>
    <row r="748" ht="15.75" customHeight="1">
      <c r="A748" s="94"/>
      <c r="B748" s="94"/>
      <c r="C748" s="1164"/>
      <c r="D748" s="1429"/>
      <c r="E748" s="1429"/>
      <c r="F748" s="1429"/>
      <c r="G748" s="1429"/>
      <c r="H748" s="1430"/>
      <c r="I748" s="1430"/>
      <c r="J748" s="1164"/>
      <c r="K748" s="94"/>
      <c r="L748" s="94"/>
      <c r="M748" s="94"/>
      <c r="N748" s="94"/>
      <c r="O748" s="94"/>
      <c r="P748" s="94"/>
      <c r="Q748" s="1431"/>
      <c r="R748" s="1430"/>
      <c r="S748" s="1164"/>
      <c r="T748" s="1164"/>
      <c r="U748" s="2174"/>
      <c r="V748" s="2174"/>
      <c r="W748" s="2174"/>
      <c r="X748" s="1164"/>
    </row>
    <row r="749" ht="15.75" customHeight="1">
      <c r="A749" s="94"/>
      <c r="B749" s="94"/>
      <c r="C749" s="1164"/>
      <c r="D749" s="1429"/>
      <c r="E749" s="1429"/>
      <c r="F749" s="1429"/>
      <c r="G749" s="1429"/>
      <c r="H749" s="1430"/>
      <c r="I749" s="1430"/>
      <c r="J749" s="1164"/>
      <c r="K749" s="94"/>
      <c r="L749" s="94"/>
      <c r="M749" s="1430"/>
      <c r="N749" s="1430"/>
      <c r="O749" s="1430"/>
      <c r="P749" s="94"/>
      <c r="Q749" s="1431"/>
      <c r="R749" s="1430"/>
      <c r="S749" s="1164"/>
      <c r="T749" s="1164"/>
      <c r="U749" s="2174"/>
      <c r="V749" s="2174"/>
      <c r="W749" s="2174"/>
      <c r="X749" s="1164"/>
    </row>
    <row r="750" ht="15.75" customHeight="1">
      <c r="A750" s="94"/>
      <c r="B750" s="94"/>
      <c r="C750" s="1164"/>
      <c r="D750" s="1429"/>
      <c r="E750" s="1429"/>
      <c r="F750" s="1429"/>
      <c r="G750" s="1429"/>
      <c r="H750" s="1430"/>
      <c r="I750" s="1430"/>
      <c r="J750" s="1164"/>
      <c r="K750" s="94"/>
      <c r="L750" s="94"/>
      <c r="M750" s="1430"/>
      <c r="N750" s="1430"/>
      <c r="O750" s="1430"/>
      <c r="P750" s="94"/>
      <c r="Q750" s="1431"/>
      <c r="R750" s="1430"/>
      <c r="S750" s="1164"/>
      <c r="T750" s="1164"/>
      <c r="U750" s="2174"/>
      <c r="V750" s="2174"/>
      <c r="W750" s="2174"/>
      <c r="X750" s="1164"/>
    </row>
    <row r="751" ht="15.75" customHeight="1">
      <c r="A751" s="94"/>
      <c r="B751" s="94"/>
      <c r="C751" s="1164"/>
      <c r="D751" s="1429"/>
      <c r="E751" s="1429"/>
      <c r="F751" s="1429"/>
      <c r="G751" s="1429"/>
      <c r="H751" s="1430"/>
      <c r="I751" s="1430"/>
      <c r="J751" s="1164"/>
      <c r="K751" s="94"/>
      <c r="L751" s="94"/>
      <c r="M751" s="1430"/>
      <c r="N751" s="1430"/>
      <c r="O751" s="1430"/>
      <c r="P751" s="94"/>
      <c r="Q751" s="1431"/>
      <c r="R751" s="1430"/>
      <c r="S751" s="1164"/>
      <c r="T751" s="1164"/>
      <c r="U751" s="2174"/>
      <c r="V751" s="2174"/>
      <c r="W751" s="2174"/>
      <c r="X751" s="1164"/>
    </row>
    <row r="752" ht="15.75" customHeight="1">
      <c r="A752" s="94"/>
      <c r="B752" s="94"/>
      <c r="C752" s="1164"/>
      <c r="D752" s="1429"/>
      <c r="E752" s="1429"/>
      <c r="F752" s="1429"/>
      <c r="G752" s="1429"/>
      <c r="H752" s="1430"/>
      <c r="I752" s="94"/>
      <c r="J752" s="1164"/>
      <c r="K752" s="94"/>
      <c r="L752" s="94"/>
      <c r="M752" s="1430"/>
      <c r="N752" s="1430"/>
      <c r="O752" s="1430"/>
      <c r="P752" s="94"/>
      <c r="Q752" s="1431"/>
      <c r="R752" s="1430"/>
      <c r="S752" s="1164"/>
      <c r="T752" s="1164"/>
      <c r="U752" s="2174"/>
      <c r="V752" s="2174"/>
      <c r="W752" s="94"/>
      <c r="X752" s="1164"/>
    </row>
    <row r="753" ht="15.75" customHeight="1">
      <c r="A753" s="94"/>
      <c r="B753" s="94"/>
      <c r="C753" s="1164"/>
      <c r="D753" s="1429"/>
      <c r="E753" s="1429"/>
      <c r="F753" s="1429"/>
      <c r="G753" s="1429"/>
      <c r="H753" s="1430"/>
      <c r="I753" s="1430"/>
      <c r="J753" s="1164"/>
      <c r="K753" s="94"/>
      <c r="L753" s="94"/>
      <c r="M753" s="1430"/>
      <c r="N753" s="1430"/>
      <c r="O753" s="1430"/>
      <c r="P753" s="94"/>
      <c r="Q753" s="1431"/>
      <c r="R753" s="1430"/>
      <c r="S753" s="1164"/>
      <c r="T753" s="1164"/>
      <c r="U753" s="2174"/>
      <c r="V753" s="2174"/>
      <c r="W753" s="94"/>
      <c r="X753" s="1164"/>
    </row>
    <row r="754" ht="15.75" customHeight="1">
      <c r="A754" s="94"/>
      <c r="B754" s="94"/>
      <c r="C754" s="1164"/>
      <c r="D754" s="1429"/>
      <c r="E754" s="1429"/>
      <c r="F754" s="1429"/>
      <c r="G754" s="1429"/>
      <c r="H754" s="1430"/>
      <c r="I754" s="94"/>
      <c r="J754" s="1164"/>
      <c r="K754" s="94"/>
      <c r="L754" s="94"/>
      <c r="M754" s="1430"/>
      <c r="N754" s="1430"/>
      <c r="O754" s="1430"/>
      <c r="P754" s="94"/>
      <c r="Q754" s="1431"/>
      <c r="R754" s="1430"/>
      <c r="S754" s="1164"/>
      <c r="T754" s="1164"/>
      <c r="U754" s="2174"/>
      <c r="V754" s="2174"/>
      <c r="W754" s="94"/>
      <c r="X754" s="1164"/>
    </row>
    <row r="755" ht="15.75" customHeight="1">
      <c r="A755" s="94"/>
      <c r="B755" s="94"/>
      <c r="C755" s="1164"/>
      <c r="D755" s="1429"/>
      <c r="E755" s="1429"/>
      <c r="F755" s="1429"/>
      <c r="G755" s="1429"/>
      <c r="H755" s="1430"/>
      <c r="I755" s="1430"/>
      <c r="J755" s="1164"/>
      <c r="K755" s="94"/>
      <c r="L755" s="94"/>
      <c r="M755" s="94"/>
      <c r="N755" s="94"/>
      <c r="O755" s="94"/>
      <c r="P755" s="94"/>
      <c r="Q755" s="1431"/>
      <c r="R755" s="1430"/>
      <c r="S755" s="1164"/>
      <c r="T755" s="1164"/>
      <c r="U755" s="94"/>
      <c r="V755" s="94"/>
      <c r="W755" s="94"/>
      <c r="X755" s="1164"/>
    </row>
    <row r="756" ht="15.75" customHeight="1">
      <c r="A756" s="94"/>
      <c r="B756" s="94"/>
      <c r="C756" s="1164"/>
      <c r="D756" s="1429"/>
      <c r="E756" s="1429"/>
      <c r="F756" s="1429"/>
      <c r="G756" s="1429"/>
      <c r="H756" s="1430"/>
      <c r="I756" s="1430"/>
      <c r="J756" s="1164"/>
      <c r="K756" s="94"/>
      <c r="L756" s="94"/>
      <c r="M756" s="1430"/>
      <c r="N756" s="1430"/>
      <c r="O756" s="1430"/>
      <c r="P756" s="94"/>
      <c r="Q756" s="1431"/>
      <c r="R756" s="1430"/>
      <c r="S756" s="1164"/>
      <c r="T756" s="1164"/>
      <c r="U756" s="2174"/>
      <c r="V756" s="2174"/>
      <c r="W756" s="2174"/>
      <c r="X756" s="1164"/>
    </row>
    <row r="757" ht="15.75" customHeight="1">
      <c r="A757" s="94"/>
      <c r="B757" s="94"/>
      <c r="C757" s="1164"/>
      <c r="D757" s="1429"/>
      <c r="E757" s="1429"/>
      <c r="F757" s="1429"/>
      <c r="G757" s="1429"/>
      <c r="H757" s="1430"/>
      <c r="I757" s="1430"/>
      <c r="J757" s="1164"/>
      <c r="K757" s="94"/>
      <c r="L757" s="94"/>
      <c r="M757" s="94"/>
      <c r="N757" s="94"/>
      <c r="O757" s="94"/>
      <c r="P757" s="94"/>
      <c r="Q757" s="1431"/>
      <c r="R757" s="1430"/>
      <c r="S757" s="94"/>
      <c r="T757" s="94"/>
      <c r="U757" s="94"/>
      <c r="V757" s="94"/>
      <c r="W757" s="94"/>
      <c r="X757" s="1164"/>
    </row>
    <row r="758" ht="15.75" customHeight="1">
      <c r="A758" s="94"/>
      <c r="B758" s="94"/>
      <c r="C758" s="1164"/>
      <c r="D758" s="1429"/>
      <c r="E758" s="1429"/>
      <c r="F758" s="1429"/>
      <c r="G758" s="1429"/>
      <c r="H758" s="1430"/>
      <c r="I758" s="1430"/>
      <c r="J758" s="1164"/>
      <c r="K758" s="94"/>
      <c r="L758" s="94"/>
      <c r="M758" s="1430"/>
      <c r="N758" s="1430"/>
      <c r="O758" s="1430"/>
      <c r="P758" s="94"/>
      <c r="Q758" s="1431"/>
      <c r="R758" s="1430"/>
      <c r="S758" s="1164"/>
      <c r="T758" s="1164"/>
      <c r="U758" s="2174"/>
      <c r="V758" s="2174"/>
      <c r="W758" s="2174"/>
      <c r="X758" s="1164"/>
    </row>
    <row r="759" ht="15.75" customHeight="1">
      <c r="A759" s="94"/>
      <c r="B759" s="94"/>
      <c r="C759" s="1164"/>
      <c r="D759" s="1429"/>
      <c r="E759" s="1429"/>
      <c r="F759" s="1429"/>
      <c r="G759" s="1429"/>
      <c r="H759" s="1430"/>
      <c r="I759" s="1430"/>
      <c r="J759" s="1164"/>
      <c r="K759" s="94"/>
      <c r="L759" s="94"/>
      <c r="M759" s="1430"/>
      <c r="N759" s="1430"/>
      <c r="O759" s="1430"/>
      <c r="P759" s="94"/>
      <c r="Q759" s="1431"/>
      <c r="R759" s="1430"/>
      <c r="S759" s="1164"/>
      <c r="T759" s="1164"/>
      <c r="U759" s="2174"/>
      <c r="V759" s="2174"/>
      <c r="W759" s="2174"/>
      <c r="X759" s="1164"/>
    </row>
    <row r="760" ht="15.75" customHeight="1">
      <c r="A760" s="94"/>
      <c r="B760" s="94"/>
      <c r="C760" s="1164"/>
      <c r="D760" s="1429"/>
      <c r="E760" s="1429"/>
      <c r="F760" s="1429"/>
      <c r="G760" s="1429"/>
      <c r="H760" s="1430"/>
      <c r="I760" s="94"/>
      <c r="J760" s="1164"/>
      <c r="K760" s="94"/>
      <c r="L760" s="94"/>
      <c r="M760" s="1430"/>
      <c r="N760" s="1430"/>
      <c r="O760" s="1430"/>
      <c r="P760" s="94"/>
      <c r="Q760" s="1431"/>
      <c r="R760" s="1430"/>
      <c r="S760" s="1164"/>
      <c r="T760" s="1164"/>
      <c r="U760" s="2174"/>
      <c r="V760" s="2174"/>
      <c r="W760" s="94"/>
      <c r="X760" s="1164"/>
    </row>
    <row r="761" ht="15.75" customHeight="1">
      <c r="A761" s="94"/>
      <c r="B761" s="94"/>
      <c r="C761" s="1164"/>
      <c r="D761" s="1429"/>
      <c r="E761" s="1429"/>
      <c r="F761" s="1429"/>
      <c r="G761" s="1429"/>
      <c r="H761" s="1430"/>
      <c r="I761" s="94"/>
      <c r="J761" s="1164"/>
      <c r="K761" s="94"/>
      <c r="L761" s="94"/>
      <c r="M761" s="1430"/>
      <c r="N761" s="1430"/>
      <c r="O761" s="1430"/>
      <c r="P761" s="94"/>
      <c r="Q761" s="1431"/>
      <c r="R761" s="1430"/>
      <c r="S761" s="1164"/>
      <c r="T761" s="1164"/>
      <c r="U761" s="2174"/>
      <c r="V761" s="2174"/>
      <c r="W761" s="94"/>
      <c r="X761" s="1164"/>
    </row>
    <row r="762" ht="15.75" customHeight="1">
      <c r="A762" s="94"/>
      <c r="B762" s="94"/>
      <c r="C762" s="1164"/>
      <c r="D762" s="1429"/>
      <c r="E762" s="1429"/>
      <c r="F762" s="1429"/>
      <c r="G762" s="1429"/>
      <c r="H762" s="1430"/>
      <c r="I762" s="1430"/>
      <c r="J762" s="1164"/>
      <c r="K762" s="94"/>
      <c r="L762" s="94"/>
      <c r="M762" s="1430"/>
      <c r="N762" s="1430"/>
      <c r="O762" s="1430"/>
      <c r="P762" s="94"/>
      <c r="Q762" s="1431"/>
      <c r="R762" s="1430"/>
      <c r="S762" s="1164"/>
      <c r="T762" s="1164"/>
      <c r="U762" s="2174"/>
      <c r="V762" s="2174"/>
      <c r="W762" s="2174"/>
      <c r="X762" s="1164"/>
    </row>
    <row r="763" ht="15.75" customHeight="1">
      <c r="A763" s="94"/>
      <c r="B763" s="94"/>
      <c r="C763" s="1164"/>
      <c r="D763" s="1429"/>
      <c r="E763" s="1429"/>
      <c r="F763" s="1429"/>
      <c r="G763" s="1429"/>
      <c r="H763" s="1430"/>
      <c r="I763" s="1430"/>
      <c r="J763" s="1164"/>
      <c r="K763" s="94"/>
      <c r="L763" s="94"/>
      <c r="M763" s="1430"/>
      <c r="N763" s="1430"/>
      <c r="O763" s="1430"/>
      <c r="P763" s="94"/>
      <c r="Q763" s="1431"/>
      <c r="R763" s="1430"/>
      <c r="S763" s="1164"/>
      <c r="T763" s="1164"/>
      <c r="U763" s="2174"/>
      <c r="V763" s="2174"/>
      <c r="W763" s="2174"/>
      <c r="X763" s="1164"/>
    </row>
    <row r="764" ht="15.75" customHeight="1">
      <c r="A764" s="94"/>
      <c r="B764" s="94"/>
      <c r="C764" s="1164"/>
      <c r="D764" s="1429"/>
      <c r="E764" s="1429"/>
      <c r="F764" s="1435"/>
      <c r="G764" s="94"/>
      <c r="H764" s="94"/>
      <c r="I764" s="1430"/>
      <c r="J764" s="1164"/>
      <c r="K764" s="94"/>
      <c r="L764" s="94"/>
      <c r="M764" s="94"/>
      <c r="N764" s="94"/>
      <c r="O764" s="94"/>
      <c r="P764" s="94"/>
      <c r="Q764" s="1431"/>
      <c r="R764" s="1430"/>
      <c r="S764" s="1164"/>
      <c r="T764" s="1164"/>
      <c r="U764" s="94"/>
      <c r="V764" s="94"/>
      <c r="W764" s="94"/>
      <c r="X764" s="1164"/>
    </row>
    <row r="765" ht="15.75" customHeight="1">
      <c r="A765" s="94"/>
      <c r="B765" s="94"/>
      <c r="C765" s="1164"/>
      <c r="D765" s="1429"/>
      <c r="E765" s="1429"/>
      <c r="F765" s="1429"/>
      <c r="G765" s="1429"/>
      <c r="H765" s="1430"/>
      <c r="I765" s="94"/>
      <c r="J765" s="1164"/>
      <c r="K765" s="94"/>
      <c r="L765" s="94"/>
      <c r="M765" s="1430"/>
      <c r="N765" s="1430"/>
      <c r="O765" s="1430"/>
      <c r="P765" s="94"/>
      <c r="Q765" s="1431"/>
      <c r="R765" s="1430"/>
      <c r="S765" s="1164"/>
      <c r="T765" s="1164"/>
      <c r="U765" s="2174"/>
      <c r="V765" s="2174"/>
      <c r="W765" s="94"/>
      <c r="X765" s="1164"/>
    </row>
    <row r="766" ht="15.75" customHeight="1">
      <c r="A766" s="94"/>
      <c r="B766" s="94"/>
      <c r="C766" s="1164"/>
      <c r="D766" s="1429"/>
      <c r="E766" s="1429"/>
      <c r="F766" s="1429"/>
      <c r="G766" s="1429"/>
      <c r="H766" s="1430"/>
      <c r="I766" s="94"/>
      <c r="J766" s="1164"/>
      <c r="K766" s="94"/>
      <c r="L766" s="94"/>
      <c r="M766" s="1430"/>
      <c r="N766" s="1430"/>
      <c r="O766" s="1430"/>
      <c r="P766" s="94"/>
      <c r="Q766" s="1431"/>
      <c r="R766" s="1430"/>
      <c r="S766" s="1164"/>
      <c r="T766" s="1164"/>
      <c r="U766" s="2174"/>
      <c r="V766" s="2174"/>
      <c r="W766" s="94"/>
      <c r="X766" s="1164"/>
    </row>
    <row r="767" ht="15.75" customHeight="1">
      <c r="A767" s="94"/>
      <c r="B767" s="94"/>
      <c r="C767" s="1164"/>
      <c r="D767" s="1429"/>
      <c r="E767" s="1429"/>
      <c r="F767" s="1429"/>
      <c r="G767" s="1429"/>
      <c r="H767" s="1430"/>
      <c r="I767" s="94"/>
      <c r="J767" s="1164"/>
      <c r="K767" s="94"/>
      <c r="L767" s="94"/>
      <c r="M767" s="94"/>
      <c r="N767" s="94"/>
      <c r="O767" s="94"/>
      <c r="P767" s="94"/>
      <c r="Q767" s="1431"/>
      <c r="R767" s="1430"/>
      <c r="S767" s="1164"/>
      <c r="T767" s="1164"/>
      <c r="U767" s="94"/>
      <c r="V767" s="94"/>
      <c r="W767" s="94"/>
      <c r="X767" s="1164"/>
    </row>
    <row r="768" ht="15.75" customHeight="1">
      <c r="A768" s="94"/>
      <c r="B768" s="94"/>
      <c r="C768" s="1164"/>
      <c r="D768" s="1429"/>
      <c r="E768" s="1429"/>
      <c r="F768" s="1429"/>
      <c r="G768" s="1435"/>
      <c r="H768" s="1430"/>
      <c r="I768" s="94"/>
      <c r="J768" s="1164"/>
      <c r="K768" s="94"/>
      <c r="L768" s="94"/>
      <c r="M768" s="94"/>
      <c r="N768" s="94"/>
      <c r="O768" s="94"/>
      <c r="P768" s="94"/>
      <c r="Q768" s="1431"/>
      <c r="R768" s="1430"/>
      <c r="S768" s="1164"/>
      <c r="T768" s="1164"/>
      <c r="U768" s="2174"/>
      <c r="V768" s="2174"/>
      <c r="W768" s="94"/>
      <c r="X768" s="1164"/>
    </row>
    <row r="769" ht="15.75" customHeight="1">
      <c r="A769" s="94"/>
      <c r="B769" s="94"/>
      <c r="C769" s="1164"/>
      <c r="D769" s="1429"/>
      <c r="E769" s="1429"/>
      <c r="F769" s="1429"/>
      <c r="G769" s="1435"/>
      <c r="H769" s="1430"/>
      <c r="I769" s="94"/>
      <c r="J769" s="1164"/>
      <c r="K769" s="94"/>
      <c r="L769" s="94"/>
      <c r="M769" s="94"/>
      <c r="N769" s="94"/>
      <c r="O769" s="94"/>
      <c r="P769" s="94"/>
      <c r="Q769" s="1431"/>
      <c r="R769" s="1430"/>
      <c r="S769" s="1164"/>
      <c r="T769" s="1164"/>
      <c r="U769" s="2174"/>
      <c r="V769" s="2174"/>
      <c r="W769" s="94"/>
      <c r="X769" s="1164"/>
    </row>
    <row r="770" ht="15.75" customHeight="1">
      <c r="A770" s="94"/>
      <c r="B770" s="94"/>
      <c r="C770" s="1164"/>
      <c r="D770" s="1429"/>
      <c r="E770" s="1429"/>
      <c r="F770" s="1429"/>
      <c r="G770" s="1429"/>
      <c r="H770" s="1430"/>
      <c r="I770" s="1430"/>
      <c r="J770" s="1164"/>
      <c r="K770" s="94"/>
      <c r="L770" s="94"/>
      <c r="M770" s="94"/>
      <c r="N770" s="94"/>
      <c r="O770" s="94"/>
      <c r="P770" s="94"/>
      <c r="Q770" s="1431"/>
      <c r="R770" s="1430"/>
      <c r="S770" s="1164"/>
      <c r="T770" s="1164"/>
      <c r="U770" s="2174"/>
      <c r="V770" s="2174"/>
      <c r="W770" s="2174"/>
      <c r="X770" s="1164"/>
    </row>
    <row r="771" ht="15.75" customHeight="1">
      <c r="A771" s="94"/>
      <c r="B771" s="94"/>
      <c r="C771" s="1164"/>
      <c r="D771" s="1429"/>
      <c r="E771" s="1429"/>
      <c r="F771" s="1429"/>
      <c r="G771" s="1429"/>
      <c r="H771" s="1430"/>
      <c r="I771" s="1430"/>
      <c r="J771" s="1164"/>
      <c r="K771" s="94"/>
      <c r="L771" s="94"/>
      <c r="M771" s="94"/>
      <c r="N771" s="94"/>
      <c r="O771" s="94"/>
      <c r="P771" s="94"/>
      <c r="Q771" s="1431"/>
      <c r="R771" s="1430"/>
      <c r="S771" s="1164"/>
      <c r="T771" s="1164"/>
      <c r="U771" s="2174"/>
      <c r="V771" s="2174"/>
      <c r="W771" s="2174"/>
      <c r="X771" s="1164"/>
    </row>
    <row r="772" ht="15.75" customHeight="1">
      <c r="A772" s="94"/>
      <c r="B772" s="94"/>
      <c r="C772" s="1164"/>
      <c r="D772" s="1429"/>
      <c r="E772" s="1429"/>
      <c r="F772" s="1429"/>
      <c r="G772" s="1429"/>
      <c r="H772" s="1430"/>
      <c r="I772" s="1430"/>
      <c r="J772" s="1164"/>
      <c r="K772" s="94"/>
      <c r="L772" s="94"/>
      <c r="M772" s="94"/>
      <c r="N772" s="94"/>
      <c r="O772" s="94"/>
      <c r="P772" s="94"/>
      <c r="Q772" s="1431"/>
      <c r="R772" s="1430"/>
      <c r="S772" s="1164"/>
      <c r="T772" s="1164"/>
      <c r="U772" s="2174"/>
      <c r="V772" s="2174"/>
      <c r="W772" s="2174"/>
      <c r="X772" s="1164"/>
    </row>
    <row r="773" ht="15.75" customHeight="1">
      <c r="A773" s="94"/>
      <c r="B773" s="94"/>
      <c r="C773" s="1164"/>
      <c r="D773" s="1429"/>
      <c r="E773" s="1429"/>
      <c r="F773" s="1429"/>
      <c r="G773" s="1429"/>
      <c r="H773" s="1430"/>
      <c r="I773" s="94"/>
      <c r="J773" s="1164"/>
      <c r="K773" s="94"/>
      <c r="L773" s="94"/>
      <c r="M773" s="94"/>
      <c r="N773" s="94"/>
      <c r="O773" s="94"/>
      <c r="P773" s="94"/>
      <c r="Q773" s="1431"/>
      <c r="R773" s="1430"/>
      <c r="S773" s="1164"/>
      <c r="T773" s="1164"/>
      <c r="U773" s="2174"/>
      <c r="V773" s="2174"/>
      <c r="W773" s="94"/>
      <c r="X773" s="1164"/>
    </row>
    <row r="774" ht="15.75" customHeight="1">
      <c r="A774" s="94"/>
      <c r="B774" s="94"/>
      <c r="C774" s="1164"/>
      <c r="D774" s="1429"/>
      <c r="E774" s="1429"/>
      <c r="F774" s="1429"/>
      <c r="G774" s="1429"/>
      <c r="H774" s="1430"/>
      <c r="I774" s="94"/>
      <c r="J774" s="1164"/>
      <c r="K774" s="94"/>
      <c r="L774" s="94"/>
      <c r="M774" s="94"/>
      <c r="N774" s="94"/>
      <c r="O774" s="94"/>
      <c r="P774" s="94"/>
      <c r="Q774" s="1431"/>
      <c r="R774" s="1430"/>
      <c r="S774" s="1164"/>
      <c r="T774" s="1164"/>
      <c r="U774" s="2174"/>
      <c r="V774" s="2174"/>
      <c r="W774" s="94"/>
      <c r="X774" s="1164"/>
    </row>
    <row r="775" ht="15.75" customHeight="1">
      <c r="A775" s="94"/>
      <c r="B775" s="94"/>
      <c r="C775" s="1164"/>
      <c r="D775" s="1429"/>
      <c r="E775" s="1429"/>
      <c r="F775" s="1429"/>
      <c r="G775" s="1429"/>
      <c r="H775" s="1430"/>
      <c r="I775" s="1430"/>
      <c r="J775" s="1164"/>
      <c r="K775" s="94"/>
      <c r="L775" s="94"/>
      <c r="M775" s="1430"/>
      <c r="N775" s="1430"/>
      <c r="O775" s="1430"/>
      <c r="P775" s="94"/>
      <c r="Q775" s="1431"/>
      <c r="R775" s="1430"/>
      <c r="S775" s="1164"/>
      <c r="T775" s="1164"/>
      <c r="U775" s="2174"/>
      <c r="V775" s="2174"/>
      <c r="W775" s="2174"/>
      <c r="X775" s="1164"/>
    </row>
    <row r="776" ht="15.75" customHeight="1">
      <c r="A776" s="94"/>
      <c r="B776" s="94"/>
      <c r="C776" s="1164"/>
      <c r="D776" s="1429"/>
      <c r="E776" s="1429"/>
      <c r="F776" s="1429"/>
      <c r="G776" s="1429"/>
      <c r="H776" s="1430"/>
      <c r="I776" s="94"/>
      <c r="J776" s="1164"/>
      <c r="K776" s="94"/>
      <c r="L776" s="94"/>
      <c r="M776" s="1430"/>
      <c r="N776" s="1430"/>
      <c r="O776" s="1430"/>
      <c r="P776" s="94"/>
      <c r="Q776" s="1431"/>
      <c r="R776" s="1430"/>
      <c r="S776" s="1164"/>
      <c r="T776" s="1164"/>
      <c r="U776" s="2174"/>
      <c r="V776" s="2174"/>
      <c r="W776" s="94"/>
      <c r="X776" s="1164"/>
    </row>
    <row r="777" ht="15.75" customHeight="1">
      <c r="A777" s="94"/>
      <c r="B777" s="94"/>
      <c r="C777" s="1164"/>
      <c r="D777" s="1429"/>
      <c r="E777" s="1429"/>
      <c r="F777" s="1429"/>
      <c r="G777" s="1429"/>
      <c r="H777" s="1430"/>
      <c r="I777" s="1430"/>
      <c r="J777" s="1164"/>
      <c r="K777" s="94"/>
      <c r="L777" s="94"/>
      <c r="M777" s="94"/>
      <c r="N777" s="94"/>
      <c r="O777" s="94"/>
      <c r="P777" s="94"/>
      <c r="Q777" s="1431"/>
      <c r="R777" s="1430"/>
      <c r="S777" s="1164"/>
      <c r="T777" s="1164"/>
      <c r="U777" s="2174"/>
      <c r="V777" s="2174"/>
      <c r="W777" s="2174"/>
      <c r="X777" s="1164"/>
    </row>
    <row r="778" ht="15.75" customHeight="1">
      <c r="A778" s="94"/>
      <c r="B778" s="94"/>
      <c r="C778" s="1164"/>
      <c r="D778" s="1429"/>
      <c r="E778" s="1429"/>
      <c r="F778" s="1429"/>
      <c r="G778" s="1429"/>
      <c r="H778" s="1430"/>
      <c r="I778" s="1430"/>
      <c r="J778" s="1164"/>
      <c r="K778" s="94"/>
      <c r="L778" s="94"/>
      <c r="M778" s="1430"/>
      <c r="N778" s="1430"/>
      <c r="O778" s="1430"/>
      <c r="P778" s="94"/>
      <c r="Q778" s="1431"/>
      <c r="R778" s="1430"/>
      <c r="S778" s="1164"/>
      <c r="T778" s="1164"/>
      <c r="U778" s="2174"/>
      <c r="V778" s="2174"/>
      <c r="W778" s="2174"/>
      <c r="X778" s="1164"/>
    </row>
    <row r="779" ht="15.75" customHeight="1">
      <c r="A779" s="94"/>
      <c r="B779" s="94"/>
      <c r="C779" s="1164"/>
      <c r="D779" s="1429"/>
      <c r="E779" s="1429"/>
      <c r="F779" s="1429"/>
      <c r="G779" s="94"/>
      <c r="H779" s="94"/>
      <c r="I779" s="1430"/>
      <c r="J779" s="1164"/>
      <c r="K779" s="94"/>
      <c r="L779" s="94"/>
      <c r="M779" s="94"/>
      <c r="N779" s="94"/>
      <c r="O779" s="94"/>
      <c r="P779" s="94"/>
      <c r="Q779" s="1431"/>
      <c r="R779" s="1430"/>
      <c r="S779" s="1164"/>
      <c r="T779" s="1164"/>
      <c r="U779" s="94"/>
      <c r="V779" s="94"/>
      <c r="W779" s="94"/>
      <c r="X779" s="1164"/>
    </row>
    <row r="780" ht="15.75" customHeight="1">
      <c r="A780" s="94"/>
      <c r="B780" s="94"/>
      <c r="C780" s="1164"/>
      <c r="D780" s="1429"/>
      <c r="E780" s="1429"/>
      <c r="F780" s="1429"/>
      <c r="G780" s="1429"/>
      <c r="H780" s="1430"/>
      <c r="I780" s="94"/>
      <c r="J780" s="1164"/>
      <c r="K780" s="94"/>
      <c r="L780" s="94"/>
      <c r="M780" s="1430"/>
      <c r="N780" s="1430"/>
      <c r="O780" s="1430"/>
      <c r="P780" s="94"/>
      <c r="Q780" s="1431"/>
      <c r="R780" s="1430"/>
      <c r="S780" s="1164"/>
      <c r="T780" s="1164"/>
      <c r="U780" s="2174"/>
      <c r="V780" s="2174"/>
      <c r="W780" s="94"/>
      <c r="X780" s="1164"/>
    </row>
    <row r="781" ht="15.75" customHeight="1">
      <c r="A781" s="94"/>
      <c r="B781" s="94"/>
      <c r="C781" s="1164"/>
      <c r="D781" s="1429"/>
      <c r="E781" s="1429"/>
      <c r="F781" s="1434"/>
      <c r="G781" s="1429"/>
      <c r="H781" s="1430"/>
      <c r="I781" s="94"/>
      <c r="J781" s="1164"/>
      <c r="K781" s="94"/>
      <c r="L781" s="94"/>
      <c r="M781" s="1430"/>
      <c r="N781" s="1430"/>
      <c r="O781" s="1430"/>
      <c r="P781" s="94"/>
      <c r="Q781" s="1431"/>
      <c r="R781" s="1430"/>
      <c r="S781" s="1164"/>
      <c r="T781" s="1164"/>
      <c r="U781" s="2174"/>
      <c r="V781" s="2174"/>
      <c r="W781" s="94"/>
      <c r="X781" s="1164"/>
    </row>
    <row r="782" ht="15.75" customHeight="1">
      <c r="A782" s="94"/>
      <c r="B782" s="94"/>
      <c r="C782" s="1164"/>
      <c r="D782" s="1429"/>
      <c r="E782" s="1429"/>
      <c r="F782" s="1434"/>
      <c r="G782" s="1429"/>
      <c r="H782" s="1430"/>
      <c r="I782" s="1430"/>
      <c r="J782" s="1164"/>
      <c r="K782" s="94"/>
      <c r="L782" s="94"/>
      <c r="M782" s="1430"/>
      <c r="N782" s="1430"/>
      <c r="O782" s="1430"/>
      <c r="P782" s="94"/>
      <c r="Q782" s="1431"/>
      <c r="R782" s="1430"/>
      <c r="S782" s="1164"/>
      <c r="T782" s="1164"/>
      <c r="U782" s="2174"/>
      <c r="V782" s="2174"/>
      <c r="W782" s="2174"/>
      <c r="X782" s="1164"/>
    </row>
    <row r="783" ht="15.75" customHeight="1">
      <c r="A783" s="94"/>
      <c r="B783" s="94"/>
      <c r="C783" s="1164"/>
      <c r="D783" s="1429"/>
      <c r="E783" s="1429"/>
      <c r="F783" s="1434"/>
      <c r="G783" s="1429"/>
      <c r="H783" s="1430"/>
      <c r="I783" s="94"/>
      <c r="J783" s="1164"/>
      <c r="K783" s="94"/>
      <c r="L783" s="94"/>
      <c r="M783" s="1430"/>
      <c r="N783" s="1430"/>
      <c r="O783" s="1430"/>
      <c r="P783" s="94"/>
      <c r="Q783" s="1431"/>
      <c r="R783" s="1430"/>
      <c r="S783" s="1164"/>
      <c r="T783" s="1164"/>
      <c r="U783" s="2174"/>
      <c r="V783" s="2174"/>
      <c r="W783" s="94"/>
      <c r="X783" s="1164"/>
    </row>
    <row r="784" ht="15.75" customHeight="1">
      <c r="A784" s="94"/>
      <c r="B784" s="94"/>
      <c r="C784" s="1164"/>
      <c r="D784" s="1429"/>
      <c r="E784" s="1429"/>
      <c r="F784" s="1434"/>
      <c r="G784" s="1429"/>
      <c r="H784" s="1430"/>
      <c r="I784" s="94"/>
      <c r="J784" s="1164"/>
      <c r="K784" s="94"/>
      <c r="L784" s="94"/>
      <c r="M784" s="1430"/>
      <c r="N784" s="1430"/>
      <c r="O784" s="1430"/>
      <c r="P784" s="94"/>
      <c r="Q784" s="1431"/>
      <c r="R784" s="1430"/>
      <c r="S784" s="1164"/>
      <c r="T784" s="1164"/>
      <c r="U784" s="2174"/>
      <c r="V784" s="2174"/>
      <c r="W784" s="94"/>
      <c r="X784" s="1164"/>
    </row>
    <row r="785" ht="15.75" customHeight="1">
      <c r="A785" s="94"/>
      <c r="B785" s="94"/>
      <c r="C785" s="1164"/>
      <c r="D785" s="1429"/>
      <c r="E785" s="1429"/>
      <c r="F785" s="1429"/>
      <c r="G785" s="1429"/>
      <c r="H785" s="1430"/>
      <c r="I785" s="94"/>
      <c r="J785" s="1164"/>
      <c r="K785" s="94"/>
      <c r="L785" s="94"/>
      <c r="M785" s="1430"/>
      <c r="N785" s="1430"/>
      <c r="O785" s="1430"/>
      <c r="P785" s="94"/>
      <c r="Q785" s="1431"/>
      <c r="R785" s="1430"/>
      <c r="S785" s="1164"/>
      <c r="T785" s="1164"/>
      <c r="U785" s="2174"/>
      <c r="V785" s="2174"/>
      <c r="W785" s="94"/>
      <c r="X785" s="1164"/>
    </row>
    <row r="786" ht="15.75" customHeight="1">
      <c r="A786" s="94"/>
      <c r="B786" s="94"/>
      <c r="C786" s="1164"/>
      <c r="D786" s="1429"/>
      <c r="E786" s="1429"/>
      <c r="F786" s="1429"/>
      <c r="G786" s="1429"/>
      <c r="H786" s="1430"/>
      <c r="I786" s="1430"/>
      <c r="J786" s="1164"/>
      <c r="K786" s="94"/>
      <c r="L786" s="94"/>
      <c r="M786" s="1430"/>
      <c r="N786" s="1430"/>
      <c r="O786" s="1430"/>
      <c r="P786" s="94"/>
      <c r="Q786" s="1431"/>
      <c r="R786" s="1430"/>
      <c r="S786" s="1164"/>
      <c r="T786" s="1164"/>
      <c r="U786" s="2174"/>
      <c r="V786" s="2174"/>
      <c r="W786" s="2174"/>
      <c r="X786" s="1164"/>
    </row>
    <row r="787" ht="15.75" customHeight="1">
      <c r="A787" s="94"/>
      <c r="B787" s="94"/>
      <c r="C787" s="1164"/>
      <c r="D787" s="1429"/>
      <c r="E787" s="1429"/>
      <c r="F787" s="1429"/>
      <c r="G787" s="1429"/>
      <c r="H787" s="1430"/>
      <c r="I787" s="1430"/>
      <c r="J787" s="1164"/>
      <c r="K787" s="94"/>
      <c r="L787" s="94"/>
      <c r="M787" s="1430"/>
      <c r="N787" s="1430"/>
      <c r="O787" s="1430"/>
      <c r="P787" s="94"/>
      <c r="Q787" s="1431"/>
      <c r="R787" s="1430"/>
      <c r="S787" s="1164"/>
      <c r="T787" s="1164"/>
      <c r="U787" s="2174"/>
      <c r="V787" s="2174"/>
      <c r="W787" s="2174"/>
      <c r="X787" s="1164"/>
    </row>
    <row r="788" ht="15.75" customHeight="1">
      <c r="A788" s="94"/>
      <c r="B788" s="94"/>
      <c r="C788" s="1164"/>
      <c r="D788" s="1429"/>
      <c r="E788" s="1429"/>
      <c r="F788" s="1429"/>
      <c r="G788" s="1429"/>
      <c r="H788" s="1430"/>
      <c r="I788" s="1430"/>
      <c r="J788" s="1164"/>
      <c r="K788" s="94"/>
      <c r="L788" s="94"/>
      <c r="M788" s="1430"/>
      <c r="N788" s="1430"/>
      <c r="O788" s="1430"/>
      <c r="P788" s="94"/>
      <c r="Q788" s="1431"/>
      <c r="R788" s="1430"/>
      <c r="S788" s="1164"/>
      <c r="T788" s="1164"/>
      <c r="U788" s="2174"/>
      <c r="V788" s="2174"/>
      <c r="W788" s="2174"/>
      <c r="X788" s="1164"/>
    </row>
    <row r="789" ht="15.75" customHeight="1">
      <c r="A789" s="94"/>
      <c r="B789" s="94"/>
      <c r="C789" s="1164"/>
      <c r="D789" s="1429"/>
      <c r="E789" s="1429"/>
      <c r="F789" s="1429"/>
      <c r="G789" s="1429"/>
      <c r="H789" s="1430"/>
      <c r="I789" s="94"/>
      <c r="J789" s="1164"/>
      <c r="K789" s="94"/>
      <c r="L789" s="94"/>
      <c r="M789" s="94"/>
      <c r="N789" s="94"/>
      <c r="O789" s="94"/>
      <c r="P789" s="94"/>
      <c r="Q789" s="1431"/>
      <c r="R789" s="1430"/>
      <c r="S789" s="1164"/>
      <c r="T789" s="1164"/>
      <c r="U789" s="94"/>
      <c r="V789" s="94"/>
      <c r="W789" s="94"/>
      <c r="X789" s="1164"/>
    </row>
    <row r="790" ht="15.75" customHeight="1">
      <c r="A790" s="94"/>
      <c r="B790" s="94"/>
      <c r="C790" s="1164"/>
      <c r="D790" s="1429"/>
      <c r="E790" s="1429"/>
      <c r="F790" s="1429"/>
      <c r="G790" s="1429"/>
      <c r="H790" s="1430"/>
      <c r="I790" s="94"/>
      <c r="J790" s="1164"/>
      <c r="K790" s="94"/>
      <c r="L790" s="94"/>
      <c r="M790" s="94"/>
      <c r="N790" s="94"/>
      <c r="O790" s="94"/>
      <c r="P790" s="94"/>
      <c r="Q790" s="1431"/>
      <c r="R790" s="1430"/>
      <c r="S790" s="1164"/>
      <c r="T790" s="1164"/>
      <c r="U790" s="2174"/>
      <c r="V790" s="2174"/>
      <c r="W790" s="94"/>
      <c r="X790" s="1164"/>
    </row>
    <row r="791" ht="15.75" customHeight="1">
      <c r="A791" s="94"/>
      <c r="B791" s="94"/>
      <c r="C791" s="1164"/>
      <c r="D791" s="1429"/>
      <c r="E791" s="1429"/>
      <c r="F791" s="1429"/>
      <c r="G791" s="1429"/>
      <c r="H791" s="1430"/>
      <c r="I791" s="94"/>
      <c r="J791" s="1164"/>
      <c r="K791" s="94"/>
      <c r="L791" s="94"/>
      <c r="M791" s="1430"/>
      <c r="N791" s="1430"/>
      <c r="O791" s="1430"/>
      <c r="P791" s="94"/>
      <c r="Q791" s="1431"/>
      <c r="R791" s="1430"/>
      <c r="S791" s="1164"/>
      <c r="T791" s="1164"/>
      <c r="U791" s="2174"/>
      <c r="V791" s="2174"/>
      <c r="W791" s="94"/>
      <c r="X791" s="1164"/>
    </row>
    <row r="792" ht="15.75" customHeight="1">
      <c r="A792" s="94"/>
      <c r="B792" s="94"/>
      <c r="C792" s="1164"/>
      <c r="D792" s="1429"/>
      <c r="E792" s="1429"/>
      <c r="F792" s="1429"/>
      <c r="G792" s="1429"/>
      <c r="H792" s="1430"/>
      <c r="I792" s="1430"/>
      <c r="J792" s="1164"/>
      <c r="K792" s="94"/>
      <c r="L792" s="94"/>
      <c r="M792" s="1430"/>
      <c r="N792" s="1430"/>
      <c r="O792" s="1430"/>
      <c r="P792" s="94"/>
      <c r="Q792" s="1431"/>
      <c r="R792" s="1430"/>
      <c r="S792" s="1164"/>
      <c r="T792" s="1164"/>
      <c r="U792" s="2174"/>
      <c r="V792" s="2174"/>
      <c r="W792" s="2174"/>
      <c r="X792" s="1164"/>
    </row>
    <row r="793" ht="15.75" customHeight="1">
      <c r="A793" s="94"/>
      <c r="B793" s="94"/>
      <c r="C793" s="1164"/>
      <c r="D793" s="1429"/>
      <c r="E793" s="1429"/>
      <c r="F793" s="1429"/>
      <c r="G793" s="1429"/>
      <c r="H793" s="1430"/>
      <c r="I793" s="1430"/>
      <c r="J793" s="1164"/>
      <c r="K793" s="94"/>
      <c r="L793" s="94"/>
      <c r="M793" s="1430"/>
      <c r="N793" s="1430"/>
      <c r="O793" s="1430"/>
      <c r="P793" s="94"/>
      <c r="Q793" s="1431"/>
      <c r="R793" s="1430"/>
      <c r="S793" s="1164"/>
      <c r="T793" s="1164"/>
      <c r="U793" s="2174"/>
      <c r="V793" s="2174"/>
      <c r="W793" s="2174"/>
      <c r="X793" s="1164"/>
    </row>
    <row r="794" ht="15.75" customHeight="1">
      <c r="A794" s="94"/>
      <c r="B794" s="94"/>
      <c r="C794" s="1164"/>
      <c r="D794" s="1429"/>
      <c r="E794" s="1429"/>
      <c r="F794" s="1429"/>
      <c r="G794" s="1429"/>
      <c r="H794" s="1430"/>
      <c r="I794" s="94"/>
      <c r="J794" s="1164"/>
      <c r="K794" s="94"/>
      <c r="L794" s="94"/>
      <c r="M794" s="1430"/>
      <c r="N794" s="1430"/>
      <c r="O794" s="1430"/>
      <c r="P794" s="94"/>
      <c r="Q794" s="1431"/>
      <c r="R794" s="1430"/>
      <c r="S794" s="1164"/>
      <c r="T794" s="1164"/>
      <c r="U794" s="2174"/>
      <c r="V794" s="2174"/>
      <c r="W794" s="94"/>
      <c r="X794" s="1164"/>
    </row>
    <row r="795" ht="15.75" customHeight="1">
      <c r="A795" s="94"/>
      <c r="B795" s="94"/>
      <c r="C795" s="1164"/>
      <c r="D795" s="1429"/>
      <c r="E795" s="1429"/>
      <c r="F795" s="1429"/>
      <c r="G795" s="1429"/>
      <c r="H795" s="1430"/>
      <c r="I795" s="1430"/>
      <c r="J795" s="1164"/>
      <c r="K795" s="94"/>
      <c r="L795" s="94"/>
      <c r="M795" s="1430"/>
      <c r="N795" s="1430"/>
      <c r="O795" s="1430"/>
      <c r="P795" s="94"/>
      <c r="Q795" s="1431"/>
      <c r="R795" s="1430"/>
      <c r="S795" s="1164"/>
      <c r="T795" s="1164"/>
      <c r="U795" s="2174"/>
      <c r="V795" s="2174"/>
      <c r="W795" s="2174"/>
      <c r="X795" s="1164"/>
    </row>
    <row r="796" ht="15.75" customHeight="1">
      <c r="A796" s="94"/>
      <c r="B796" s="94"/>
      <c r="C796" s="1164"/>
      <c r="D796" s="1429"/>
      <c r="E796" s="1429"/>
      <c r="F796" s="1429"/>
      <c r="G796" s="1429"/>
      <c r="H796" s="1430"/>
      <c r="I796" s="1430"/>
      <c r="J796" s="1164"/>
      <c r="K796" s="94"/>
      <c r="L796" s="94"/>
      <c r="M796" s="1430"/>
      <c r="N796" s="1430"/>
      <c r="O796" s="1430"/>
      <c r="P796" s="94"/>
      <c r="Q796" s="1431"/>
      <c r="R796" s="1430"/>
      <c r="S796" s="1164"/>
      <c r="T796" s="1164"/>
      <c r="U796" s="2174"/>
      <c r="V796" s="2174"/>
      <c r="W796" s="2174"/>
      <c r="X796" s="1164"/>
    </row>
    <row r="797" ht="15.75" customHeight="1">
      <c r="A797" s="94"/>
      <c r="B797" s="94"/>
      <c r="C797" s="1164"/>
      <c r="D797" s="1429"/>
      <c r="E797" s="1429"/>
      <c r="F797" s="1429"/>
      <c r="G797" s="1429"/>
      <c r="H797" s="1430"/>
      <c r="I797" s="1430"/>
      <c r="J797" s="1164"/>
      <c r="K797" s="94"/>
      <c r="L797" s="94"/>
      <c r="M797" s="1430"/>
      <c r="N797" s="1430"/>
      <c r="O797" s="1430"/>
      <c r="P797" s="94"/>
      <c r="Q797" s="1431"/>
      <c r="R797" s="1430"/>
      <c r="S797" s="1164"/>
      <c r="T797" s="1164"/>
      <c r="U797" s="2174"/>
      <c r="V797" s="2174"/>
      <c r="W797" s="2174"/>
      <c r="X797" s="1164"/>
    </row>
    <row r="798" ht="15.75" customHeight="1">
      <c r="A798" s="94"/>
      <c r="B798" s="94"/>
      <c r="C798" s="1164"/>
      <c r="D798" s="1429"/>
      <c r="E798" s="1429"/>
      <c r="F798" s="1429"/>
      <c r="G798" s="1429"/>
      <c r="H798" s="1430"/>
      <c r="I798" s="94"/>
      <c r="J798" s="94"/>
      <c r="K798" s="94"/>
      <c r="L798" s="94"/>
      <c r="M798" s="94"/>
      <c r="N798" s="94"/>
      <c r="O798" s="94"/>
      <c r="P798" s="94"/>
      <c r="Q798" s="94"/>
      <c r="R798" s="94"/>
      <c r="S798" s="94"/>
      <c r="T798" s="94"/>
      <c r="U798" s="94"/>
      <c r="V798" s="94"/>
      <c r="W798" s="94"/>
      <c r="X798" s="1164"/>
    </row>
    <row r="799" ht="15.75" customHeight="1">
      <c r="A799" s="94"/>
      <c r="B799" s="94"/>
      <c r="C799" s="1164"/>
      <c r="D799" s="1429"/>
      <c r="E799" s="1429"/>
      <c r="F799" s="1429"/>
      <c r="G799" s="1429"/>
      <c r="H799" s="1430"/>
      <c r="I799" s="94"/>
      <c r="J799" s="1164"/>
      <c r="K799" s="94"/>
      <c r="L799" s="94"/>
      <c r="M799" s="1430"/>
      <c r="N799" s="1430"/>
      <c r="O799" s="1430"/>
      <c r="P799" s="94"/>
      <c r="Q799" s="1431"/>
      <c r="R799" s="1430"/>
      <c r="S799" s="1164"/>
      <c r="T799" s="1164"/>
      <c r="U799" s="2174"/>
      <c r="V799" s="2174"/>
      <c r="W799" s="94"/>
      <c r="X799" s="1164"/>
    </row>
    <row r="800" ht="15.75" customHeight="1">
      <c r="A800" s="94"/>
      <c r="B800" s="94"/>
      <c r="C800" s="1164"/>
      <c r="D800" s="1429"/>
      <c r="E800" s="1429"/>
      <c r="F800" s="1429"/>
      <c r="G800" s="1429"/>
      <c r="H800" s="1430"/>
      <c r="I800" s="1430"/>
      <c r="J800" s="1164"/>
      <c r="K800" s="94"/>
      <c r="L800" s="94"/>
      <c r="M800" s="1430"/>
      <c r="N800" s="1430"/>
      <c r="O800" s="1430"/>
      <c r="P800" s="94"/>
      <c r="Q800" s="1431"/>
      <c r="R800" s="1430"/>
      <c r="S800" s="1164"/>
      <c r="T800" s="1164"/>
      <c r="U800" s="2174"/>
      <c r="V800" s="2174"/>
      <c r="W800" s="2174"/>
      <c r="X800" s="1164"/>
    </row>
    <row r="801" ht="15.75" customHeight="1">
      <c r="A801" s="94"/>
      <c r="B801" s="94"/>
      <c r="C801" s="1164"/>
      <c r="D801" s="1429"/>
      <c r="E801" s="1429"/>
      <c r="F801" s="1429"/>
      <c r="G801" s="1429"/>
      <c r="H801" s="1430"/>
      <c r="I801" s="94"/>
      <c r="J801" s="1164"/>
      <c r="K801" s="94"/>
      <c r="L801" s="94"/>
      <c r="M801" s="1430"/>
      <c r="N801" s="1430"/>
      <c r="O801" s="1430"/>
      <c r="P801" s="94"/>
      <c r="Q801" s="1431"/>
      <c r="R801" s="1430"/>
      <c r="S801" s="1164"/>
      <c r="T801" s="1164"/>
      <c r="U801" s="2174"/>
      <c r="V801" s="2174"/>
      <c r="W801" s="94"/>
      <c r="X801" s="1164"/>
    </row>
    <row r="802" ht="15.75" customHeight="1">
      <c r="A802" s="94"/>
      <c r="B802" s="94"/>
      <c r="C802" s="1164"/>
      <c r="D802" s="1429"/>
      <c r="E802" s="1429"/>
      <c r="F802" s="1429"/>
      <c r="G802" s="1429"/>
      <c r="H802" s="1430"/>
      <c r="I802" s="1430"/>
      <c r="J802" s="1164"/>
      <c r="K802" s="94"/>
      <c r="L802" s="94"/>
      <c r="M802" s="1430"/>
      <c r="N802" s="1430"/>
      <c r="O802" s="1430"/>
      <c r="P802" s="94"/>
      <c r="Q802" s="1431"/>
      <c r="R802" s="1430"/>
      <c r="S802" s="1164"/>
      <c r="T802" s="1164"/>
      <c r="U802" s="2174"/>
      <c r="V802" s="2174"/>
      <c r="W802" s="2174"/>
      <c r="X802" s="1164"/>
    </row>
    <row r="803" ht="15.75" customHeight="1">
      <c r="A803" s="94"/>
      <c r="B803" s="94"/>
      <c r="C803" s="1164"/>
      <c r="D803" s="1429"/>
      <c r="E803" s="1429"/>
      <c r="F803" s="1429"/>
      <c r="G803" s="1429"/>
      <c r="H803" s="1430"/>
      <c r="I803" s="1430"/>
      <c r="J803" s="1164"/>
      <c r="K803" s="94"/>
      <c r="L803" s="94"/>
      <c r="M803" s="1430"/>
      <c r="N803" s="1430"/>
      <c r="O803" s="1430"/>
      <c r="P803" s="94"/>
      <c r="Q803" s="1431"/>
      <c r="R803" s="1430"/>
      <c r="S803" s="1164"/>
      <c r="T803" s="1164"/>
      <c r="U803" s="2174"/>
      <c r="V803" s="2174"/>
      <c r="W803" s="2174"/>
      <c r="X803" s="1164"/>
    </row>
    <row r="804" ht="15.75" customHeight="1">
      <c r="A804" s="94"/>
      <c r="B804" s="94"/>
      <c r="C804" s="1164"/>
      <c r="D804" s="1429"/>
      <c r="E804" s="1429"/>
      <c r="F804" s="1429"/>
      <c r="G804" s="1429"/>
      <c r="H804" s="1430"/>
      <c r="I804" s="1430"/>
      <c r="J804" s="94"/>
      <c r="K804" s="94"/>
      <c r="L804" s="94"/>
      <c r="M804" s="94"/>
      <c r="N804" s="94"/>
      <c r="O804" s="94"/>
      <c r="P804" s="94"/>
      <c r="Q804" s="1431"/>
      <c r="R804" s="1430"/>
      <c r="S804" s="1164"/>
      <c r="T804" s="1164"/>
      <c r="U804" s="2174"/>
      <c r="V804" s="2174"/>
      <c r="W804" s="94"/>
      <c r="X804" s="1164"/>
    </row>
    <row r="805" ht="15.75" customHeight="1">
      <c r="A805" s="94"/>
      <c r="B805" s="94"/>
      <c r="C805" s="1164"/>
      <c r="D805" s="1429"/>
      <c r="E805" s="1429"/>
      <c r="F805" s="1429"/>
      <c r="G805" s="1429"/>
      <c r="H805" s="1430"/>
      <c r="I805" s="1430"/>
      <c r="J805" s="94"/>
      <c r="K805" s="94"/>
      <c r="L805" s="94"/>
      <c r="M805" s="94"/>
      <c r="N805" s="94"/>
      <c r="O805" s="94"/>
      <c r="P805" s="94"/>
      <c r="Q805" s="1431"/>
      <c r="R805" s="1430"/>
      <c r="S805" s="1164"/>
      <c r="T805" s="1164"/>
      <c r="U805" s="2174"/>
      <c r="V805" s="2174"/>
      <c r="W805" s="94"/>
      <c r="X805" s="1164"/>
    </row>
    <row r="806" ht="15.75" customHeight="1">
      <c r="A806" s="94"/>
      <c r="B806" s="94"/>
      <c r="C806" s="1164"/>
      <c r="D806" s="1429"/>
      <c r="E806" s="1429"/>
      <c r="F806" s="1429"/>
      <c r="G806" s="1429"/>
      <c r="H806" s="1430"/>
      <c r="I806" s="1430"/>
      <c r="J806" s="1164"/>
      <c r="K806" s="94"/>
      <c r="L806" s="94"/>
      <c r="M806" s="1430"/>
      <c r="N806" s="1430"/>
      <c r="O806" s="1430"/>
      <c r="P806" s="94"/>
      <c r="Q806" s="1431"/>
      <c r="R806" s="1430"/>
      <c r="S806" s="1164"/>
      <c r="T806" s="1164"/>
      <c r="U806" s="2174"/>
      <c r="V806" s="2174"/>
      <c r="W806" s="2174"/>
      <c r="X806" s="1164"/>
    </row>
    <row r="807" ht="15.75" customHeight="1">
      <c r="A807" s="94"/>
      <c r="B807" s="94"/>
      <c r="C807" s="1164"/>
      <c r="D807" s="1429"/>
      <c r="E807" s="1429"/>
      <c r="F807" s="1429"/>
      <c r="G807" s="1429"/>
      <c r="H807" s="1430"/>
      <c r="I807" s="1430"/>
      <c r="J807" s="1164"/>
      <c r="K807" s="94"/>
      <c r="L807" s="94"/>
      <c r="M807" s="1430"/>
      <c r="N807" s="1430"/>
      <c r="O807" s="1430"/>
      <c r="P807" s="94"/>
      <c r="Q807" s="1431"/>
      <c r="R807" s="1430"/>
      <c r="S807" s="1164"/>
      <c r="T807" s="1164"/>
      <c r="U807" s="2174"/>
      <c r="V807" s="2174"/>
      <c r="W807" s="2174"/>
      <c r="X807" s="1164"/>
    </row>
    <row r="808" ht="15.75" customHeight="1">
      <c r="A808" s="94"/>
      <c r="B808" s="94"/>
      <c r="C808" s="1164"/>
      <c r="D808" s="1429"/>
      <c r="E808" s="1429"/>
      <c r="F808" s="1429"/>
      <c r="G808" s="1429"/>
      <c r="H808" s="1430"/>
      <c r="I808" s="1430"/>
      <c r="J808" s="1164"/>
      <c r="K808" s="94"/>
      <c r="L808" s="94"/>
      <c r="M808" s="1430"/>
      <c r="N808" s="1430"/>
      <c r="O808" s="1430"/>
      <c r="P808" s="94"/>
      <c r="Q808" s="1431"/>
      <c r="R808" s="1430"/>
      <c r="S808" s="1164"/>
      <c r="T808" s="1164"/>
      <c r="U808" s="2174"/>
      <c r="V808" s="2174"/>
      <c r="W808" s="2174"/>
      <c r="X808" s="1164"/>
    </row>
    <row r="809" ht="15.75" customHeight="1">
      <c r="A809" s="94"/>
      <c r="B809" s="94"/>
      <c r="C809" s="1164"/>
      <c r="D809" s="1429"/>
      <c r="E809" s="1429"/>
      <c r="F809" s="1434"/>
      <c r="G809" s="1429"/>
      <c r="H809" s="1430"/>
      <c r="I809" s="1430"/>
      <c r="J809" s="1164"/>
      <c r="K809" s="94"/>
      <c r="L809" s="94"/>
      <c r="M809" s="1430"/>
      <c r="N809" s="1430"/>
      <c r="O809" s="1430"/>
      <c r="P809" s="94"/>
      <c r="Q809" s="1431"/>
      <c r="R809" s="1430"/>
      <c r="S809" s="1164"/>
      <c r="T809" s="1164"/>
      <c r="U809" s="2174"/>
      <c r="V809" s="2174"/>
      <c r="W809" s="2174"/>
      <c r="X809" s="1164"/>
    </row>
    <row r="810" ht="15.75" customHeight="1">
      <c r="A810" s="94"/>
      <c r="B810" s="94"/>
      <c r="C810" s="1164"/>
      <c r="D810" s="1429"/>
      <c r="E810" s="1429"/>
      <c r="F810" s="1429"/>
      <c r="G810" s="1429"/>
      <c r="H810" s="1430"/>
      <c r="I810" s="1430"/>
      <c r="J810" s="1164"/>
      <c r="K810" s="94"/>
      <c r="L810" s="94"/>
      <c r="M810" s="1430"/>
      <c r="N810" s="1430"/>
      <c r="O810" s="1430"/>
      <c r="P810" s="94"/>
      <c r="Q810" s="1431"/>
      <c r="R810" s="1430"/>
      <c r="S810" s="1164"/>
      <c r="T810" s="1164"/>
      <c r="U810" s="2174"/>
      <c r="V810" s="2174"/>
      <c r="W810" s="2174"/>
      <c r="X810" s="1164"/>
    </row>
    <row r="811" ht="15.75" customHeight="1">
      <c r="A811" s="94"/>
      <c r="B811" s="94"/>
      <c r="C811" s="1164"/>
      <c r="D811" s="1429"/>
      <c r="E811" s="1429"/>
      <c r="F811" s="1429"/>
      <c r="G811" s="1429"/>
      <c r="H811" s="1430"/>
      <c r="I811" s="1430"/>
      <c r="J811" s="1164"/>
      <c r="K811" s="94"/>
      <c r="L811" s="94"/>
      <c r="M811" s="1430"/>
      <c r="N811" s="1430"/>
      <c r="O811" s="1430"/>
      <c r="P811" s="94"/>
      <c r="Q811" s="1431"/>
      <c r="R811" s="1430"/>
      <c r="S811" s="1164"/>
      <c r="T811" s="1164"/>
      <c r="U811" s="2174"/>
      <c r="V811" s="2174"/>
      <c r="W811" s="2174"/>
      <c r="X811" s="1164"/>
    </row>
    <row r="812" ht="15.75" customHeight="1">
      <c r="A812" s="94"/>
      <c r="B812" s="94"/>
      <c r="C812" s="1164"/>
      <c r="D812" s="1429"/>
      <c r="E812" s="1429"/>
      <c r="F812" s="1429"/>
      <c r="G812" s="1429"/>
      <c r="H812" s="1430"/>
      <c r="I812" s="94"/>
      <c r="J812" s="1164"/>
      <c r="K812" s="94"/>
      <c r="L812" s="94"/>
      <c r="M812" s="1430"/>
      <c r="N812" s="1430"/>
      <c r="O812" s="1430"/>
      <c r="P812" s="94"/>
      <c r="Q812" s="1431"/>
      <c r="R812" s="1430"/>
      <c r="S812" s="1164"/>
      <c r="T812" s="1164"/>
      <c r="U812" s="2174"/>
      <c r="V812" s="2174"/>
      <c r="W812" s="2174"/>
      <c r="X812" s="1164"/>
    </row>
    <row r="813" ht="15.75" customHeight="1">
      <c r="A813" s="94"/>
      <c r="B813" s="94"/>
      <c r="C813" s="1164"/>
      <c r="D813" s="1429"/>
      <c r="E813" s="1429"/>
      <c r="F813" s="1429"/>
      <c r="G813" s="1429"/>
      <c r="H813" s="1430"/>
      <c r="I813" s="94"/>
      <c r="J813" s="1164"/>
      <c r="K813" s="94"/>
      <c r="L813" s="94"/>
      <c r="M813" s="1430"/>
      <c r="N813" s="1430"/>
      <c r="O813" s="1430"/>
      <c r="P813" s="94"/>
      <c r="Q813" s="1431"/>
      <c r="R813" s="1430"/>
      <c r="S813" s="1164"/>
      <c r="T813" s="1164"/>
      <c r="U813" s="2174"/>
      <c r="V813" s="2174"/>
      <c r="W813" s="94"/>
      <c r="X813" s="1164"/>
    </row>
    <row r="814" ht="15.75" customHeight="1">
      <c r="A814" s="94"/>
      <c r="B814" s="94"/>
      <c r="C814" s="1164"/>
      <c r="D814" s="1429"/>
      <c r="E814" s="1429"/>
      <c r="F814" s="1429"/>
      <c r="G814" s="1429"/>
      <c r="H814" s="1430"/>
      <c r="I814" s="94"/>
      <c r="J814" s="1164"/>
      <c r="K814" s="94"/>
      <c r="L814" s="94"/>
      <c r="M814" s="1430"/>
      <c r="N814" s="1430"/>
      <c r="O814" s="1430"/>
      <c r="P814" s="94"/>
      <c r="Q814" s="1431"/>
      <c r="R814" s="1430"/>
      <c r="S814" s="1164"/>
      <c r="T814" s="1164"/>
      <c r="U814" s="2174"/>
      <c r="V814" s="2174"/>
      <c r="W814" s="94"/>
      <c r="X814" s="1164"/>
    </row>
    <row r="815" ht="15.75" customHeight="1">
      <c r="A815" s="94"/>
      <c r="B815" s="94"/>
      <c r="C815" s="1164"/>
      <c r="D815" s="1429"/>
      <c r="E815" s="1429"/>
      <c r="F815" s="1429"/>
      <c r="G815" s="1429"/>
      <c r="H815" s="1430"/>
      <c r="I815" s="1430"/>
      <c r="J815" s="1164"/>
      <c r="K815" s="94"/>
      <c r="L815" s="94"/>
      <c r="M815" s="1430"/>
      <c r="N815" s="1430"/>
      <c r="O815" s="1430"/>
      <c r="P815" s="94"/>
      <c r="Q815" s="1431"/>
      <c r="R815" s="1430"/>
      <c r="S815" s="1164"/>
      <c r="T815" s="1164"/>
      <c r="U815" s="2174"/>
      <c r="V815" s="2174"/>
      <c r="W815" s="2174"/>
      <c r="X815" s="1164"/>
    </row>
    <row r="816" ht="15.75" customHeight="1">
      <c r="A816" s="94"/>
      <c r="B816" s="94"/>
      <c r="C816" s="1164"/>
      <c r="D816" s="1429"/>
      <c r="E816" s="1429"/>
      <c r="F816" s="1429"/>
      <c r="G816" s="1429"/>
      <c r="H816" s="1430"/>
      <c r="I816" s="1430"/>
      <c r="J816" s="1164"/>
      <c r="K816" s="94"/>
      <c r="L816" s="94"/>
      <c r="M816" s="94"/>
      <c r="N816" s="94"/>
      <c r="O816" s="94"/>
      <c r="P816" s="94"/>
      <c r="Q816" s="1431"/>
      <c r="R816" s="1430"/>
      <c r="S816" s="94"/>
      <c r="T816" s="94"/>
      <c r="U816" s="94"/>
      <c r="V816" s="94"/>
      <c r="W816" s="2174"/>
      <c r="X816" s="1164"/>
    </row>
    <row r="817" ht="15.75" customHeight="1">
      <c r="A817" s="94"/>
      <c r="B817" s="94"/>
      <c r="C817" s="94"/>
      <c r="D817" s="94"/>
      <c r="E817" s="94"/>
      <c r="F817" s="94"/>
      <c r="G817" s="94"/>
      <c r="H817" s="1164"/>
      <c r="I817" s="1164"/>
      <c r="J817" s="1164"/>
      <c r="K817" s="1430"/>
      <c r="L817" s="1430"/>
      <c r="M817" s="1430"/>
      <c r="N817" s="1430"/>
      <c r="O817" s="1430"/>
      <c r="P817" s="1430"/>
      <c r="Q817" s="94"/>
      <c r="R817" s="1430"/>
      <c r="S817" s="1430"/>
      <c r="T817" s="1164"/>
      <c r="U817" s="94"/>
      <c r="V817" s="94"/>
      <c r="W817" s="94"/>
      <c r="X817" s="1430"/>
    </row>
    <row r="818" ht="15.75" customHeight="1">
      <c r="A818" s="94"/>
      <c r="B818" s="94"/>
      <c r="C818" s="1164"/>
      <c r="D818" s="1429"/>
      <c r="E818" s="1429"/>
      <c r="F818" s="1429"/>
      <c r="G818" s="1429"/>
      <c r="H818" s="1430"/>
      <c r="I818" s="1430"/>
      <c r="J818" s="1164"/>
      <c r="K818" s="94"/>
      <c r="L818" s="94"/>
      <c r="M818" s="1430"/>
      <c r="N818" s="1430"/>
      <c r="O818" s="1430"/>
      <c r="P818" s="94"/>
      <c r="Q818" s="1431"/>
      <c r="R818" s="1430"/>
      <c r="S818" s="1164"/>
      <c r="T818" s="1164"/>
      <c r="U818" s="2174"/>
      <c r="V818" s="2174"/>
      <c r="W818" s="2174"/>
      <c r="X818" s="1164"/>
    </row>
    <row r="819" ht="15.75" customHeight="1">
      <c r="A819" s="94"/>
      <c r="B819" s="94"/>
      <c r="C819" s="1164"/>
      <c r="D819" s="1429"/>
      <c r="E819" s="1429"/>
      <c r="F819" s="1429"/>
      <c r="G819" s="1429"/>
      <c r="H819" s="1430"/>
      <c r="I819" s="1430"/>
      <c r="J819" s="1164"/>
      <c r="K819" s="94"/>
      <c r="L819" s="94"/>
      <c r="M819" s="1430"/>
      <c r="N819" s="1430"/>
      <c r="O819" s="1430"/>
      <c r="P819" s="94"/>
      <c r="Q819" s="1431"/>
      <c r="R819" s="1430"/>
      <c r="S819" s="1164"/>
      <c r="T819" s="1164"/>
      <c r="U819" s="2174"/>
      <c r="V819" s="2174"/>
      <c r="W819" s="94"/>
      <c r="X819" s="1164"/>
    </row>
    <row r="820" ht="15.75" customHeight="1">
      <c r="A820" s="94"/>
      <c r="B820" s="94"/>
      <c r="C820" s="1164"/>
      <c r="D820" s="1429"/>
      <c r="E820" s="1429"/>
      <c r="F820" s="1429"/>
      <c r="G820" s="1429"/>
      <c r="H820" s="1430"/>
      <c r="I820" s="1430"/>
      <c r="J820" s="1164"/>
      <c r="K820" s="94"/>
      <c r="L820" s="94"/>
      <c r="M820" s="1430"/>
      <c r="N820" s="1430"/>
      <c r="O820" s="1430"/>
      <c r="P820" s="94"/>
      <c r="Q820" s="1431"/>
      <c r="R820" s="1430"/>
      <c r="S820" s="1164"/>
      <c r="T820" s="1164"/>
      <c r="U820" s="2174"/>
      <c r="V820" s="2174"/>
      <c r="W820" s="2174"/>
      <c r="X820" s="1164"/>
    </row>
    <row r="821" ht="15.75" customHeight="1">
      <c r="A821" s="94"/>
      <c r="B821" s="94"/>
      <c r="C821" s="1164"/>
      <c r="D821" s="1429"/>
      <c r="E821" s="1429"/>
      <c r="F821" s="1429"/>
      <c r="G821" s="1429"/>
      <c r="H821" s="1430"/>
      <c r="I821" s="94"/>
      <c r="J821" s="1164"/>
      <c r="K821" s="94"/>
      <c r="L821" s="94"/>
      <c r="M821" s="1430"/>
      <c r="N821" s="1430"/>
      <c r="O821" s="1430"/>
      <c r="P821" s="94"/>
      <c r="Q821" s="1431"/>
      <c r="R821" s="1430"/>
      <c r="S821" s="1164"/>
      <c r="T821" s="1164"/>
      <c r="U821" s="2174"/>
      <c r="V821" s="2174"/>
      <c r="W821" s="94"/>
      <c r="X821" s="1164"/>
    </row>
    <row r="822" ht="15.75" customHeight="1">
      <c r="A822" s="94"/>
      <c r="B822" s="94"/>
      <c r="C822" s="1164"/>
      <c r="D822" s="1429"/>
      <c r="E822" s="1429"/>
      <c r="F822" s="1429"/>
      <c r="G822" s="1429"/>
      <c r="H822" s="1430"/>
      <c r="I822" s="94"/>
      <c r="J822" s="1164"/>
      <c r="K822" s="94"/>
      <c r="L822" s="94"/>
      <c r="M822" s="94"/>
      <c r="N822" s="94"/>
      <c r="O822" s="94"/>
      <c r="P822" s="94"/>
      <c r="Q822" s="1431"/>
      <c r="R822" s="1430"/>
      <c r="S822" s="1164"/>
      <c r="T822" s="1164"/>
      <c r="U822" s="2174"/>
      <c r="V822" s="2174"/>
      <c r="W822" s="94"/>
      <c r="X822" s="1164"/>
    </row>
    <row r="823" ht="15.75" customHeight="1">
      <c r="A823" s="94"/>
      <c r="B823" s="94"/>
      <c r="C823" s="1164"/>
      <c r="D823" s="1429"/>
      <c r="E823" s="1429"/>
      <c r="F823" s="1429"/>
      <c r="G823" s="1429"/>
      <c r="H823" s="1430"/>
      <c r="I823" s="94"/>
      <c r="J823" s="1164"/>
      <c r="K823" s="94"/>
      <c r="L823" s="94"/>
      <c r="M823" s="1430"/>
      <c r="N823" s="1430"/>
      <c r="O823" s="1430"/>
      <c r="P823" s="94"/>
      <c r="Q823" s="1431"/>
      <c r="R823" s="1430"/>
      <c r="S823" s="1164"/>
      <c r="T823" s="1164"/>
      <c r="U823" s="2174"/>
      <c r="V823" s="2174"/>
      <c r="W823" s="94"/>
      <c r="X823" s="1164"/>
    </row>
    <row r="824" ht="15.75" customHeight="1">
      <c r="A824" s="94"/>
      <c r="B824" s="94"/>
      <c r="C824" s="1164"/>
      <c r="D824" s="1429"/>
      <c r="E824" s="1429"/>
      <c r="F824" s="1429"/>
      <c r="G824" s="1429"/>
      <c r="H824" s="1430"/>
      <c r="I824" s="1430"/>
      <c r="J824" s="1164"/>
      <c r="K824" s="94"/>
      <c r="L824" s="94"/>
      <c r="M824" s="94"/>
      <c r="N824" s="94"/>
      <c r="O824" s="1430"/>
      <c r="P824" s="94"/>
      <c r="Q824" s="1431"/>
      <c r="R824" s="1430"/>
      <c r="S824" s="1164"/>
      <c r="T824" s="1164"/>
      <c r="U824" s="2174"/>
      <c r="V824" s="2174"/>
      <c r="W824" s="2174"/>
      <c r="X824" s="1164"/>
    </row>
    <row r="825" ht="15.75" customHeight="1">
      <c r="A825" s="94"/>
      <c r="B825" s="94"/>
      <c r="C825" s="1164"/>
      <c r="D825" s="1429"/>
      <c r="E825" s="1429"/>
      <c r="F825" s="1429"/>
      <c r="G825" s="1429"/>
      <c r="H825" s="1430"/>
      <c r="I825" s="1430"/>
      <c r="J825" s="1164"/>
      <c r="K825" s="94"/>
      <c r="L825" s="94"/>
      <c r="M825" s="1430"/>
      <c r="N825" s="1430"/>
      <c r="O825" s="1430"/>
      <c r="P825" s="94"/>
      <c r="Q825" s="1431"/>
      <c r="R825" s="1430"/>
      <c r="S825" s="1164"/>
      <c r="T825" s="1164"/>
      <c r="U825" s="2174"/>
      <c r="V825" s="2174"/>
      <c r="W825" s="2174"/>
      <c r="X825" s="1164"/>
    </row>
    <row r="826" ht="15.75" customHeight="1">
      <c r="A826" s="94"/>
      <c r="B826" s="94"/>
      <c r="C826" s="1164"/>
      <c r="D826" s="1429"/>
      <c r="E826" s="1429"/>
      <c r="F826" s="1429"/>
      <c r="G826" s="1429"/>
      <c r="H826" s="1430"/>
      <c r="I826" s="94"/>
      <c r="J826" s="1164"/>
      <c r="K826" s="94"/>
      <c r="L826" s="94"/>
      <c r="M826" s="1430"/>
      <c r="N826" s="1430"/>
      <c r="O826" s="1430"/>
      <c r="P826" s="94"/>
      <c r="Q826" s="1431"/>
      <c r="R826" s="1430"/>
      <c r="S826" s="1164"/>
      <c r="T826" s="1164"/>
      <c r="U826" s="2174"/>
      <c r="V826" s="2174"/>
      <c r="W826" s="94"/>
      <c r="X826" s="1164"/>
    </row>
    <row r="827" ht="15.75" customHeight="1">
      <c r="A827" s="94"/>
      <c r="B827" s="94"/>
      <c r="C827" s="1164"/>
      <c r="D827" s="1429"/>
      <c r="E827" s="1429"/>
      <c r="F827" s="1429"/>
      <c r="G827" s="1429"/>
      <c r="H827" s="1430"/>
      <c r="I827" s="94"/>
      <c r="J827" s="1164"/>
      <c r="K827" s="94"/>
      <c r="L827" s="94"/>
      <c r="M827" s="1430"/>
      <c r="N827" s="1430"/>
      <c r="O827" s="1430"/>
      <c r="P827" s="94"/>
      <c r="Q827" s="1431"/>
      <c r="R827" s="1430"/>
      <c r="S827" s="1164"/>
      <c r="T827" s="1164"/>
      <c r="U827" s="2174"/>
      <c r="V827" s="2174"/>
      <c r="W827" s="94"/>
      <c r="X827" s="1164"/>
    </row>
    <row r="828" ht="15.75" customHeight="1">
      <c r="A828" s="94"/>
      <c r="B828" s="94"/>
      <c r="C828" s="1164"/>
      <c r="D828" s="1429"/>
      <c r="E828" s="1429"/>
      <c r="F828" s="1429"/>
      <c r="G828" s="1429"/>
      <c r="H828" s="1430"/>
      <c r="I828" s="1430"/>
      <c r="J828" s="1164"/>
      <c r="K828" s="94"/>
      <c r="L828" s="94"/>
      <c r="M828" s="94"/>
      <c r="N828" s="94"/>
      <c r="O828" s="94"/>
      <c r="P828" s="94"/>
      <c r="Q828" s="1431"/>
      <c r="R828" s="1430"/>
      <c r="S828" s="1164"/>
      <c r="T828" s="1164"/>
      <c r="U828" s="94"/>
      <c r="V828" s="94"/>
      <c r="W828" s="94"/>
      <c r="X828" s="1164"/>
    </row>
    <row r="829" ht="15.75" customHeight="1">
      <c r="A829" s="94"/>
      <c r="B829" s="94"/>
      <c r="C829" s="1164"/>
      <c r="D829" s="1429"/>
      <c r="E829" s="1429"/>
      <c r="F829" s="1429"/>
      <c r="G829" s="1429"/>
      <c r="H829" s="1430"/>
      <c r="I829" s="1430"/>
      <c r="J829" s="1164"/>
      <c r="K829" s="94"/>
      <c r="L829" s="94"/>
      <c r="M829" s="1430"/>
      <c r="N829" s="1430"/>
      <c r="O829" s="1430"/>
      <c r="P829" s="94"/>
      <c r="Q829" s="1431"/>
      <c r="R829" s="1430"/>
      <c r="S829" s="1164"/>
      <c r="T829" s="1164"/>
      <c r="U829" s="2174"/>
      <c r="V829" s="2174"/>
      <c r="W829" s="2174"/>
      <c r="X829" s="1164"/>
    </row>
    <row r="830" ht="15.75" customHeight="1">
      <c r="A830" s="94"/>
      <c r="B830" s="94"/>
      <c r="C830" s="1164"/>
      <c r="D830" s="1429"/>
      <c r="E830" s="1429"/>
      <c r="F830" s="1429"/>
      <c r="G830" s="1429"/>
      <c r="H830" s="1430"/>
      <c r="I830" s="94"/>
      <c r="J830" s="1164"/>
      <c r="K830" s="94"/>
      <c r="L830" s="94"/>
      <c r="M830" s="1430"/>
      <c r="N830" s="1430"/>
      <c r="O830" s="1430"/>
      <c r="P830" s="94"/>
      <c r="Q830" s="1431"/>
      <c r="R830" s="1430"/>
      <c r="S830" s="1164"/>
      <c r="T830" s="1164"/>
      <c r="U830" s="2174"/>
      <c r="V830" s="2174"/>
      <c r="W830" s="2174"/>
      <c r="X830" s="1164"/>
    </row>
    <row r="831" ht="15.75" customHeight="1">
      <c r="A831" s="94"/>
      <c r="B831" s="94"/>
      <c r="C831" s="1164"/>
      <c r="D831" s="1429"/>
      <c r="E831" s="1429"/>
      <c r="F831" s="1429"/>
      <c r="G831" s="1429"/>
      <c r="H831" s="1430"/>
      <c r="I831" s="94"/>
      <c r="J831" s="1164"/>
      <c r="K831" s="94"/>
      <c r="L831" s="94"/>
      <c r="M831" s="1430"/>
      <c r="N831" s="1430"/>
      <c r="O831" s="1430"/>
      <c r="P831" s="94"/>
      <c r="Q831" s="1431"/>
      <c r="R831" s="1430"/>
      <c r="S831" s="1164"/>
      <c r="T831" s="1164"/>
      <c r="U831" s="2174"/>
      <c r="V831" s="2174"/>
      <c r="W831" s="94"/>
      <c r="X831" s="1164"/>
    </row>
    <row r="832" ht="15.75" customHeight="1">
      <c r="A832" s="94"/>
      <c r="B832" s="94"/>
      <c r="C832" s="1164"/>
      <c r="D832" s="1429"/>
      <c r="E832" s="1429"/>
      <c r="F832" s="1429"/>
      <c r="G832" s="1429"/>
      <c r="H832" s="1430"/>
      <c r="I832" s="94"/>
      <c r="J832" s="1164"/>
      <c r="K832" s="94"/>
      <c r="L832" s="94"/>
      <c r="M832" s="1430"/>
      <c r="N832" s="1430"/>
      <c r="O832" s="1430"/>
      <c r="P832" s="94"/>
      <c r="Q832" s="1431"/>
      <c r="R832" s="1430"/>
      <c r="S832" s="1164"/>
      <c r="T832" s="1164"/>
      <c r="U832" s="2174"/>
      <c r="V832" s="2174"/>
      <c r="W832" s="94"/>
      <c r="X832" s="1164"/>
    </row>
    <row r="833" ht="15.75" customHeight="1">
      <c r="A833" s="94"/>
      <c r="B833" s="94"/>
      <c r="C833" s="1164"/>
      <c r="D833" s="1429"/>
      <c r="E833" s="1429"/>
      <c r="F833" s="1429"/>
      <c r="G833" s="1429"/>
      <c r="H833" s="1430"/>
      <c r="I833" s="94"/>
      <c r="J833" s="1164"/>
      <c r="K833" s="94"/>
      <c r="L833" s="94"/>
      <c r="M833" s="1430"/>
      <c r="N833" s="1430"/>
      <c r="O833" s="1430"/>
      <c r="P833" s="94"/>
      <c r="Q833" s="1431"/>
      <c r="R833" s="1430"/>
      <c r="S833" s="1164"/>
      <c r="T833" s="1164"/>
      <c r="U833" s="2174"/>
      <c r="V833" s="2174"/>
      <c r="W833" s="94"/>
      <c r="X833" s="1164"/>
    </row>
    <row r="834" ht="15.75" customHeight="1">
      <c r="A834" s="94"/>
      <c r="B834" s="94"/>
      <c r="C834" s="1164"/>
      <c r="D834" s="1429"/>
      <c r="E834" s="1429"/>
      <c r="F834" s="1429"/>
      <c r="G834" s="1429"/>
      <c r="H834" s="1430"/>
      <c r="I834" s="94"/>
      <c r="J834" s="1164"/>
      <c r="K834" s="94"/>
      <c r="L834" s="94"/>
      <c r="M834" s="1430"/>
      <c r="N834" s="1430"/>
      <c r="O834" s="1430"/>
      <c r="P834" s="94"/>
      <c r="Q834" s="1431"/>
      <c r="R834" s="1430"/>
      <c r="S834" s="1164"/>
      <c r="T834" s="1164"/>
      <c r="U834" s="2174"/>
      <c r="V834" s="2174"/>
      <c r="W834" s="94"/>
      <c r="X834" s="1164"/>
    </row>
    <row r="835" ht="15.75" customHeight="1">
      <c r="A835" s="94"/>
      <c r="B835" s="94"/>
      <c r="C835" s="1164"/>
      <c r="D835" s="1429"/>
      <c r="E835" s="1429"/>
      <c r="F835" s="1429"/>
      <c r="G835" s="1429"/>
      <c r="H835" s="1430"/>
      <c r="I835" s="94"/>
      <c r="J835" s="1164"/>
      <c r="K835" s="94"/>
      <c r="L835" s="94"/>
      <c r="M835" s="1430"/>
      <c r="N835" s="1430"/>
      <c r="O835" s="1430"/>
      <c r="P835" s="94"/>
      <c r="Q835" s="1431"/>
      <c r="R835" s="1430"/>
      <c r="S835" s="1164"/>
      <c r="T835" s="1164"/>
      <c r="U835" s="2174"/>
      <c r="V835" s="2174"/>
      <c r="W835" s="94"/>
      <c r="X835" s="1164"/>
    </row>
    <row r="836" ht="15.75" customHeight="1">
      <c r="A836" s="94"/>
      <c r="B836" s="94"/>
      <c r="C836" s="1164"/>
      <c r="D836" s="1429"/>
      <c r="E836" s="1429"/>
      <c r="F836" s="1429"/>
      <c r="G836" s="1429"/>
      <c r="H836" s="1430"/>
      <c r="I836" s="1430"/>
      <c r="J836" s="1164"/>
      <c r="K836" s="94"/>
      <c r="L836" s="94"/>
      <c r="M836" s="1430"/>
      <c r="N836" s="1430"/>
      <c r="O836" s="1430"/>
      <c r="P836" s="94"/>
      <c r="Q836" s="1431"/>
      <c r="R836" s="1430"/>
      <c r="S836" s="1164"/>
      <c r="T836" s="1164"/>
      <c r="U836" s="2174"/>
      <c r="V836" s="2174"/>
      <c r="W836" s="2174"/>
      <c r="X836" s="1164"/>
    </row>
    <row r="837" ht="15.75" customHeight="1">
      <c r="A837" s="94"/>
      <c r="B837" s="94"/>
      <c r="C837" s="1164"/>
      <c r="D837" s="1429"/>
      <c r="E837" s="1429"/>
      <c r="F837" s="1429"/>
      <c r="G837" s="1429"/>
      <c r="H837" s="1430"/>
      <c r="I837" s="94"/>
      <c r="J837" s="1164"/>
      <c r="K837" s="94"/>
      <c r="L837" s="94"/>
      <c r="M837" s="1430"/>
      <c r="N837" s="1430"/>
      <c r="O837" s="1430"/>
      <c r="P837" s="94"/>
      <c r="Q837" s="1431"/>
      <c r="R837" s="1430"/>
      <c r="S837" s="1164"/>
      <c r="T837" s="1164"/>
      <c r="U837" s="2174"/>
      <c r="V837" s="2174"/>
      <c r="W837" s="94"/>
      <c r="X837" s="1164"/>
    </row>
    <row r="838" ht="15.75" customHeight="1">
      <c r="A838" s="94"/>
      <c r="B838" s="94"/>
      <c r="C838" s="1164"/>
      <c r="D838" s="1429"/>
      <c r="E838" s="1429"/>
      <c r="F838" s="1429"/>
      <c r="G838" s="1429"/>
      <c r="H838" s="1430"/>
      <c r="I838" s="1430"/>
      <c r="J838" s="1164"/>
      <c r="K838" s="94"/>
      <c r="L838" s="94"/>
      <c r="M838" s="1430"/>
      <c r="N838" s="1430"/>
      <c r="O838" s="1430"/>
      <c r="P838" s="94"/>
      <c r="Q838" s="1431"/>
      <c r="R838" s="1430"/>
      <c r="S838" s="1164"/>
      <c r="T838" s="1164"/>
      <c r="U838" s="2174"/>
      <c r="V838" s="2174"/>
      <c r="W838" s="2174"/>
      <c r="X838" s="1164"/>
    </row>
    <row r="839" ht="15.75" customHeight="1">
      <c r="A839" s="94"/>
      <c r="B839" s="94"/>
      <c r="C839" s="1164"/>
      <c r="D839" s="1429"/>
      <c r="E839" s="1429"/>
      <c r="F839" s="1429"/>
      <c r="G839" s="1429"/>
      <c r="H839" s="1430"/>
      <c r="I839" s="1430"/>
      <c r="J839" s="1164"/>
      <c r="K839" s="94"/>
      <c r="L839" s="94"/>
      <c r="M839" s="94"/>
      <c r="N839" s="94"/>
      <c r="O839" s="94"/>
      <c r="P839" s="94"/>
      <c r="Q839" s="1431"/>
      <c r="R839" s="1430"/>
      <c r="S839" s="1164"/>
      <c r="T839" s="1164"/>
      <c r="U839" s="2174"/>
      <c r="V839" s="2174"/>
      <c r="W839" s="2174"/>
      <c r="X839" s="1164"/>
    </row>
    <row r="840" ht="15.75" customHeight="1">
      <c r="A840" s="94"/>
      <c r="B840" s="94"/>
      <c r="C840" s="1164"/>
      <c r="D840" s="1429"/>
      <c r="E840" s="1429"/>
      <c r="F840" s="1429"/>
      <c r="G840" s="1429"/>
      <c r="H840" s="1430"/>
      <c r="I840" s="1430"/>
      <c r="J840" s="1164"/>
      <c r="K840" s="94"/>
      <c r="L840" s="94"/>
      <c r="M840" s="1430"/>
      <c r="N840" s="1430"/>
      <c r="O840" s="1430"/>
      <c r="P840" s="94"/>
      <c r="Q840" s="1431"/>
      <c r="R840" s="1430"/>
      <c r="S840" s="1164"/>
      <c r="T840" s="1164"/>
      <c r="U840" s="2174"/>
      <c r="V840" s="2174"/>
      <c r="W840" s="2174"/>
      <c r="X840" s="1164"/>
    </row>
    <row r="841" ht="15.75" customHeight="1">
      <c r="A841" s="94"/>
      <c r="B841" s="94"/>
      <c r="C841" s="1164"/>
      <c r="D841" s="1429"/>
      <c r="E841" s="1429"/>
      <c r="F841" s="1429"/>
      <c r="G841" s="1429"/>
      <c r="H841" s="1430"/>
      <c r="I841" s="94"/>
      <c r="J841" s="1164"/>
      <c r="K841" s="94"/>
      <c r="L841" s="94"/>
      <c r="M841" s="1430"/>
      <c r="N841" s="1430"/>
      <c r="O841" s="1430"/>
      <c r="P841" s="94"/>
      <c r="Q841" s="1431"/>
      <c r="R841" s="1430"/>
      <c r="S841" s="1164"/>
      <c r="T841" s="1164"/>
      <c r="U841" s="2174"/>
      <c r="V841" s="2174"/>
      <c r="W841" s="94"/>
      <c r="X841" s="1164"/>
    </row>
    <row r="842" ht="15.75" customHeight="1">
      <c r="A842" s="94"/>
      <c r="B842" s="94"/>
      <c r="C842" s="1164"/>
      <c r="D842" s="1429"/>
      <c r="E842" s="1429"/>
      <c r="F842" s="1429"/>
      <c r="G842" s="1429"/>
      <c r="H842" s="1430"/>
      <c r="I842" s="1430"/>
      <c r="J842" s="1164"/>
      <c r="K842" s="94"/>
      <c r="L842" s="94"/>
      <c r="M842" s="1430"/>
      <c r="N842" s="1430"/>
      <c r="O842" s="1430"/>
      <c r="P842" s="94"/>
      <c r="Q842" s="1431"/>
      <c r="R842" s="1430"/>
      <c r="S842" s="1164"/>
      <c r="T842" s="1164"/>
      <c r="U842" s="2174"/>
      <c r="V842" s="2174"/>
      <c r="W842" s="2174"/>
      <c r="X842" s="1164"/>
    </row>
    <row r="843" ht="15.75" customHeight="1">
      <c r="A843" s="94"/>
      <c r="B843" s="94"/>
      <c r="C843" s="1164"/>
      <c r="D843" s="1429"/>
      <c r="E843" s="1429"/>
      <c r="F843" s="1429"/>
      <c r="G843" s="1429"/>
      <c r="H843" s="1430"/>
      <c r="I843" s="1430"/>
      <c r="J843" s="1164"/>
      <c r="K843" s="94"/>
      <c r="L843" s="94"/>
      <c r="M843" s="1430"/>
      <c r="N843" s="1430"/>
      <c r="O843" s="1430"/>
      <c r="P843" s="94"/>
      <c r="Q843" s="1431"/>
      <c r="R843" s="1430"/>
      <c r="S843" s="1164"/>
      <c r="T843" s="1164"/>
      <c r="U843" s="2174"/>
      <c r="V843" s="2174"/>
      <c r="W843" s="2174"/>
      <c r="X843" s="1164"/>
    </row>
    <row r="844" ht="15.75" customHeight="1">
      <c r="A844" s="94"/>
      <c r="B844" s="94"/>
      <c r="C844" s="1164"/>
      <c r="D844" s="1429"/>
      <c r="E844" s="1429"/>
      <c r="F844" s="1429"/>
      <c r="G844" s="1429"/>
      <c r="H844" s="1430"/>
      <c r="I844" s="1430"/>
      <c r="J844" s="1164"/>
      <c r="K844" s="94"/>
      <c r="L844" s="94"/>
      <c r="M844" s="1430"/>
      <c r="N844" s="1430"/>
      <c r="O844" s="1430"/>
      <c r="P844" s="94"/>
      <c r="Q844" s="1431"/>
      <c r="R844" s="1430"/>
      <c r="S844" s="1164"/>
      <c r="T844" s="1164"/>
      <c r="U844" s="2174"/>
      <c r="V844" s="2174"/>
      <c r="W844" s="2174"/>
      <c r="X844" s="1164"/>
    </row>
    <row r="845" ht="15.75" customHeight="1">
      <c r="A845" s="94"/>
      <c r="B845" s="94"/>
      <c r="C845" s="1164"/>
      <c r="D845" s="1429"/>
      <c r="E845" s="1429"/>
      <c r="F845" s="1429"/>
      <c r="G845" s="1429"/>
      <c r="H845" s="1430"/>
      <c r="I845" s="94"/>
      <c r="J845" s="1164"/>
      <c r="K845" s="94"/>
      <c r="L845" s="94"/>
      <c r="M845" s="1430"/>
      <c r="N845" s="1430"/>
      <c r="O845" s="1430"/>
      <c r="P845" s="94"/>
      <c r="Q845" s="1431"/>
      <c r="R845" s="1430"/>
      <c r="S845" s="1164"/>
      <c r="T845" s="1164"/>
      <c r="U845" s="2174"/>
      <c r="V845" s="2174"/>
      <c r="W845" s="94"/>
      <c r="X845" s="1164"/>
    </row>
    <row r="846" ht="15.75" customHeight="1">
      <c r="A846" s="94"/>
      <c r="B846" s="94"/>
      <c r="C846" s="1164"/>
      <c r="D846" s="1429"/>
      <c r="E846" s="1429"/>
      <c r="F846" s="1429"/>
      <c r="G846" s="1429"/>
      <c r="H846" s="1430"/>
      <c r="I846" s="94"/>
      <c r="J846" s="1164"/>
      <c r="K846" s="94"/>
      <c r="L846" s="94"/>
      <c r="M846" s="1430"/>
      <c r="N846" s="1430"/>
      <c r="O846" s="1430"/>
      <c r="P846" s="94"/>
      <c r="Q846" s="1431"/>
      <c r="R846" s="1430"/>
      <c r="S846" s="1164"/>
      <c r="T846" s="1164"/>
      <c r="U846" s="2174"/>
      <c r="V846" s="2174"/>
      <c r="W846" s="94"/>
      <c r="X846" s="1164"/>
    </row>
    <row r="847" ht="15.75" customHeight="1">
      <c r="A847" s="94"/>
      <c r="B847" s="94"/>
      <c r="C847" s="1164"/>
      <c r="D847" s="1429"/>
      <c r="E847" s="1429"/>
      <c r="F847" s="1429"/>
      <c r="G847" s="1429"/>
      <c r="H847" s="1430"/>
      <c r="I847" s="1430"/>
      <c r="J847" s="1164"/>
      <c r="K847" s="94"/>
      <c r="L847" s="94"/>
      <c r="M847" s="1430"/>
      <c r="N847" s="1430"/>
      <c r="O847" s="1430"/>
      <c r="P847" s="94"/>
      <c r="Q847" s="1431"/>
      <c r="R847" s="1430"/>
      <c r="S847" s="1164"/>
      <c r="T847" s="1164"/>
      <c r="U847" s="2174"/>
      <c r="V847" s="2174"/>
      <c r="W847" s="2174"/>
      <c r="X847" s="1164"/>
    </row>
    <row r="848" ht="15.75" customHeight="1">
      <c r="A848" s="94"/>
      <c r="B848" s="94"/>
      <c r="C848" s="1164"/>
      <c r="D848" s="1429"/>
      <c r="E848" s="1429"/>
      <c r="F848" s="1429"/>
      <c r="G848" s="1429"/>
      <c r="H848" s="1430"/>
      <c r="I848" s="94"/>
      <c r="J848" s="1164"/>
      <c r="K848" s="94"/>
      <c r="L848" s="94"/>
      <c r="M848" s="1430"/>
      <c r="N848" s="1430"/>
      <c r="O848" s="1430"/>
      <c r="P848" s="94"/>
      <c r="Q848" s="1431"/>
      <c r="R848" s="1430"/>
      <c r="S848" s="1164"/>
      <c r="T848" s="1164"/>
      <c r="U848" s="2174"/>
      <c r="V848" s="2174"/>
      <c r="W848" s="94"/>
      <c r="X848" s="1164"/>
    </row>
    <row r="849" ht="15.75" customHeight="1">
      <c r="A849" s="94"/>
      <c r="B849" s="94"/>
      <c r="C849" s="1164"/>
      <c r="D849" s="1429"/>
      <c r="E849" s="1429"/>
      <c r="F849" s="1429"/>
      <c r="G849" s="1429"/>
      <c r="H849" s="1430"/>
      <c r="I849" s="1430"/>
      <c r="J849" s="1164"/>
      <c r="K849" s="94"/>
      <c r="L849" s="94"/>
      <c r="M849" s="1430"/>
      <c r="N849" s="1430"/>
      <c r="O849" s="1430"/>
      <c r="P849" s="94"/>
      <c r="Q849" s="1431"/>
      <c r="R849" s="1430"/>
      <c r="S849" s="1164"/>
      <c r="T849" s="1164"/>
      <c r="U849" s="2174"/>
      <c r="V849" s="2174"/>
      <c r="W849" s="2174"/>
      <c r="X849" s="1164"/>
    </row>
    <row r="850" ht="15.75" customHeight="1">
      <c r="A850" s="94"/>
      <c r="B850" s="94"/>
      <c r="C850" s="1164"/>
      <c r="D850" s="1429"/>
      <c r="E850" s="1429"/>
      <c r="F850" s="1429"/>
      <c r="G850" s="1429"/>
      <c r="H850" s="1430"/>
      <c r="I850" s="1430"/>
      <c r="J850" s="1164"/>
      <c r="K850" s="94"/>
      <c r="L850" s="94"/>
      <c r="M850" s="1430"/>
      <c r="N850" s="1430"/>
      <c r="O850" s="1430"/>
      <c r="P850" s="94"/>
      <c r="Q850" s="1431"/>
      <c r="R850" s="1430"/>
      <c r="S850" s="1164"/>
      <c r="T850" s="1164"/>
      <c r="U850" s="2174"/>
      <c r="V850" s="2174"/>
      <c r="W850" s="2174"/>
      <c r="X850" s="1164"/>
    </row>
    <row r="851" ht="15.75" customHeight="1">
      <c r="A851" s="94"/>
      <c r="B851" s="94"/>
      <c r="C851" s="1164"/>
      <c r="D851" s="1429"/>
      <c r="E851" s="1429"/>
      <c r="F851" s="1429"/>
      <c r="G851" s="1429"/>
      <c r="H851" s="1430"/>
      <c r="I851" s="94"/>
      <c r="J851" s="1164"/>
      <c r="K851" s="94"/>
      <c r="L851" s="94"/>
      <c r="M851" s="1430"/>
      <c r="N851" s="1430"/>
      <c r="O851" s="1430"/>
      <c r="P851" s="94"/>
      <c r="Q851" s="1431"/>
      <c r="R851" s="1430"/>
      <c r="S851" s="1164"/>
      <c r="T851" s="1164"/>
      <c r="U851" s="2174"/>
      <c r="V851" s="2174"/>
      <c r="W851" s="94"/>
      <c r="X851" s="1164"/>
    </row>
    <row r="852" ht="15.75" customHeight="1">
      <c r="A852" s="94"/>
      <c r="B852" s="94"/>
      <c r="C852" s="1164"/>
      <c r="D852" s="1429"/>
      <c r="E852" s="1429"/>
      <c r="F852" s="1429"/>
      <c r="G852" s="1429"/>
      <c r="H852" s="1430"/>
      <c r="I852" s="94"/>
      <c r="J852" s="1164"/>
      <c r="K852" s="94"/>
      <c r="L852" s="94"/>
      <c r="M852" s="94"/>
      <c r="N852" s="94"/>
      <c r="O852" s="94"/>
      <c r="P852" s="94"/>
      <c r="Q852" s="1431"/>
      <c r="R852" s="1430"/>
      <c r="S852" s="1164"/>
      <c r="T852" s="1164"/>
      <c r="U852" s="2174"/>
      <c r="V852" s="2174"/>
      <c r="W852" s="94"/>
      <c r="X852" s="1164"/>
    </row>
    <row r="853" ht="15.75" customHeight="1">
      <c r="A853" s="94"/>
      <c r="B853" s="94"/>
      <c r="C853" s="1164"/>
      <c r="D853" s="1429"/>
      <c r="E853" s="1429"/>
      <c r="F853" s="1429"/>
      <c r="G853" s="1429"/>
      <c r="H853" s="1430"/>
      <c r="I853" s="94"/>
      <c r="J853" s="1164"/>
      <c r="K853" s="94"/>
      <c r="L853" s="94"/>
      <c r="M853" s="94"/>
      <c r="N853" s="94"/>
      <c r="O853" s="94"/>
      <c r="P853" s="94"/>
      <c r="Q853" s="1431"/>
      <c r="R853" s="1430"/>
      <c r="S853" s="1164"/>
      <c r="T853" s="1164"/>
      <c r="U853" s="2174"/>
      <c r="V853" s="2174"/>
      <c r="W853" s="94"/>
      <c r="X853" s="1164"/>
    </row>
    <row r="854" ht="15.75" customHeight="1">
      <c r="A854" s="94"/>
      <c r="B854" s="94"/>
      <c r="C854" s="1164"/>
      <c r="D854" s="1429"/>
      <c r="E854" s="1429"/>
      <c r="F854" s="1429"/>
      <c r="G854" s="1429"/>
      <c r="H854" s="1430"/>
      <c r="I854" s="94"/>
      <c r="J854" s="1164"/>
      <c r="K854" s="94"/>
      <c r="L854" s="94"/>
      <c r="M854" s="94"/>
      <c r="N854" s="94"/>
      <c r="O854" s="94"/>
      <c r="P854" s="94"/>
      <c r="Q854" s="1431"/>
      <c r="R854" s="1430"/>
      <c r="S854" s="1164"/>
      <c r="T854" s="1164"/>
      <c r="U854" s="2174"/>
      <c r="V854" s="2174"/>
      <c r="W854" s="94"/>
      <c r="X854" s="1164"/>
    </row>
    <row r="855" ht="15.75" customHeight="1">
      <c r="A855" s="94"/>
      <c r="B855" s="94"/>
      <c r="C855" s="1164"/>
      <c r="D855" s="1429"/>
      <c r="E855" s="1429"/>
      <c r="F855" s="1429"/>
      <c r="G855" s="1429"/>
      <c r="H855" s="1430"/>
      <c r="I855" s="94"/>
      <c r="J855" s="1164"/>
      <c r="K855" s="94"/>
      <c r="L855" s="94"/>
      <c r="M855" s="94"/>
      <c r="N855" s="94"/>
      <c r="O855" s="94"/>
      <c r="P855" s="94"/>
      <c r="Q855" s="1431"/>
      <c r="R855" s="1430"/>
      <c r="S855" s="1164"/>
      <c r="T855" s="1164"/>
      <c r="U855" s="2174"/>
      <c r="V855" s="2174"/>
      <c r="W855" s="94"/>
      <c r="X855" s="1164"/>
    </row>
    <row r="856" ht="15.75" customHeight="1">
      <c r="A856" s="94"/>
      <c r="B856" s="94"/>
      <c r="C856" s="1164"/>
      <c r="D856" s="1429"/>
      <c r="E856" s="1429"/>
      <c r="F856" s="1429"/>
      <c r="G856" s="1429"/>
      <c r="H856" s="1430"/>
      <c r="I856" s="1430"/>
      <c r="J856" s="1164"/>
      <c r="K856" s="94"/>
      <c r="L856" s="94"/>
      <c r="M856" s="1430"/>
      <c r="N856" s="1430"/>
      <c r="O856" s="1430"/>
      <c r="P856" s="94"/>
      <c r="Q856" s="1431"/>
      <c r="R856" s="1430"/>
      <c r="S856" s="1164"/>
      <c r="T856" s="1164"/>
      <c r="U856" s="2174"/>
      <c r="V856" s="2174"/>
      <c r="W856" s="2174"/>
      <c r="X856" s="1164"/>
    </row>
    <row r="857" ht="15.75" customHeight="1">
      <c r="A857" s="94"/>
      <c r="B857" s="94"/>
      <c r="C857" s="1164"/>
      <c r="D857" s="1429"/>
      <c r="E857" s="1429"/>
      <c r="F857" s="1429"/>
      <c r="G857" s="1429"/>
      <c r="H857" s="1430"/>
      <c r="I857" s="1430"/>
      <c r="J857" s="1164"/>
      <c r="K857" s="94"/>
      <c r="L857" s="94"/>
      <c r="M857" s="1430"/>
      <c r="N857" s="1430"/>
      <c r="O857" s="1430"/>
      <c r="P857" s="94"/>
      <c r="Q857" s="1431"/>
      <c r="R857" s="1430"/>
      <c r="S857" s="1164"/>
      <c r="T857" s="1164"/>
      <c r="U857" s="2174"/>
      <c r="V857" s="2174"/>
      <c r="W857" s="2174"/>
      <c r="X857" s="1164"/>
    </row>
    <row r="858" ht="15.75" customHeight="1">
      <c r="A858" s="94"/>
      <c r="B858" s="94"/>
      <c r="C858" s="1164"/>
      <c r="D858" s="1429"/>
      <c r="E858" s="1429"/>
      <c r="F858" s="1429"/>
      <c r="G858" s="1429"/>
      <c r="H858" s="1430"/>
      <c r="I858" s="94"/>
      <c r="J858" s="1164"/>
      <c r="K858" s="94"/>
      <c r="L858" s="94"/>
      <c r="M858" s="94"/>
      <c r="N858" s="94"/>
      <c r="O858" s="94"/>
      <c r="P858" s="94"/>
      <c r="Q858" s="1431"/>
      <c r="R858" s="1430"/>
      <c r="S858" s="1164"/>
      <c r="T858" s="1164"/>
      <c r="U858" s="2174"/>
      <c r="V858" s="2174"/>
      <c r="W858" s="94"/>
      <c r="X858" s="1164"/>
    </row>
    <row r="859" ht="15.75" customHeight="1">
      <c r="A859" s="94"/>
      <c r="B859" s="94"/>
      <c r="C859" s="1164"/>
      <c r="D859" s="1429"/>
      <c r="E859" s="1429"/>
      <c r="F859" s="1429"/>
      <c r="G859" s="1429"/>
      <c r="H859" s="1430"/>
      <c r="I859" s="1430"/>
      <c r="J859" s="1164"/>
      <c r="K859" s="94"/>
      <c r="L859" s="94"/>
      <c r="M859" s="94"/>
      <c r="N859" s="94"/>
      <c r="O859" s="94"/>
      <c r="P859" s="94"/>
      <c r="Q859" s="1431"/>
      <c r="R859" s="1430"/>
      <c r="S859" s="1164"/>
      <c r="T859" s="1164"/>
      <c r="U859" s="2174"/>
      <c r="V859" s="2174"/>
      <c r="W859" s="2174"/>
      <c r="X859" s="1164"/>
    </row>
    <row r="860" ht="15.75" customHeight="1">
      <c r="A860" s="94"/>
      <c r="B860" s="94"/>
      <c r="C860" s="1164"/>
      <c r="D860" s="1429"/>
      <c r="E860" s="1429"/>
      <c r="F860" s="1429"/>
      <c r="G860" s="1429"/>
      <c r="H860" s="1430"/>
      <c r="I860" s="1430"/>
      <c r="J860" s="1164"/>
      <c r="K860" s="94"/>
      <c r="L860" s="94"/>
      <c r="M860" s="1430"/>
      <c r="N860" s="1430"/>
      <c r="O860" s="1430"/>
      <c r="P860" s="94"/>
      <c r="Q860" s="1431"/>
      <c r="R860" s="1430"/>
      <c r="S860" s="1164"/>
      <c r="T860" s="1164"/>
      <c r="U860" s="2174"/>
      <c r="V860" s="2174"/>
      <c r="W860" s="2174"/>
      <c r="X860" s="1164"/>
    </row>
    <row r="861" ht="15.75" customHeight="1">
      <c r="A861" s="94"/>
      <c r="B861" s="94"/>
      <c r="C861" s="1164"/>
      <c r="D861" s="1429"/>
      <c r="E861" s="1429"/>
      <c r="F861" s="1429"/>
      <c r="G861" s="1429"/>
      <c r="H861" s="1430"/>
      <c r="I861" s="1430"/>
      <c r="J861" s="1164"/>
      <c r="K861" s="94"/>
      <c r="L861" s="94"/>
      <c r="M861" s="94"/>
      <c r="N861" s="94"/>
      <c r="O861" s="94"/>
      <c r="P861" s="94"/>
      <c r="Q861" s="1431"/>
      <c r="R861" s="1430"/>
      <c r="S861" s="1164"/>
      <c r="T861" s="1164"/>
      <c r="U861" s="2174"/>
      <c r="V861" s="2174"/>
      <c r="W861" s="2174"/>
      <c r="X861" s="1164"/>
    </row>
    <row r="862" ht="15.75" customHeight="1">
      <c r="A862" s="94"/>
      <c r="B862" s="94"/>
      <c r="C862" s="1164"/>
      <c r="D862" s="1429"/>
      <c r="E862" s="1429"/>
      <c r="F862" s="1429"/>
      <c r="G862" s="1429"/>
      <c r="H862" s="1430"/>
      <c r="I862" s="94"/>
      <c r="J862" s="1164"/>
      <c r="K862" s="94"/>
      <c r="L862" s="94"/>
      <c r="M862" s="94"/>
      <c r="N862" s="94"/>
      <c r="O862" s="94"/>
      <c r="P862" s="94"/>
      <c r="Q862" s="1431"/>
      <c r="R862" s="1430"/>
      <c r="S862" s="1164"/>
      <c r="T862" s="1164"/>
      <c r="U862" s="2174"/>
      <c r="V862" s="2174"/>
      <c r="W862" s="94"/>
      <c r="X862" s="1164"/>
    </row>
    <row r="863" ht="15.75" customHeight="1">
      <c r="A863" s="94"/>
      <c r="B863" s="94"/>
      <c r="C863" s="1164"/>
      <c r="D863" s="1429"/>
      <c r="E863" s="1429"/>
      <c r="F863" s="2175"/>
      <c r="G863" s="1434"/>
      <c r="H863" s="1430"/>
      <c r="I863" s="1430"/>
      <c r="J863" s="1164"/>
      <c r="K863" s="94"/>
      <c r="L863" s="94"/>
      <c r="M863" s="1430"/>
      <c r="N863" s="1430"/>
      <c r="O863" s="1430"/>
      <c r="P863" s="94"/>
      <c r="Q863" s="1431"/>
      <c r="R863" s="1430"/>
      <c r="S863" s="1164"/>
      <c r="T863" s="1164"/>
      <c r="U863" s="2174"/>
      <c r="V863" s="2174"/>
      <c r="W863" s="2174"/>
      <c r="X863" s="1164"/>
    </row>
    <row r="864" ht="15.75" customHeight="1">
      <c r="A864" s="94"/>
      <c r="B864" s="94"/>
      <c r="C864" s="1164"/>
      <c r="D864" s="1429"/>
      <c r="E864" s="1429"/>
      <c r="F864" s="2175"/>
      <c r="G864" s="1434"/>
      <c r="H864" s="1430"/>
      <c r="I864" s="94"/>
      <c r="J864" s="1164"/>
      <c r="K864" s="94"/>
      <c r="L864" s="94"/>
      <c r="M864" s="1430"/>
      <c r="N864" s="1430"/>
      <c r="O864" s="1430"/>
      <c r="P864" s="94"/>
      <c r="Q864" s="1431"/>
      <c r="R864" s="1430"/>
      <c r="S864" s="1164"/>
      <c r="T864" s="1164"/>
      <c r="U864" s="2174"/>
      <c r="V864" s="2174"/>
      <c r="W864" s="94"/>
      <c r="X864" s="1164"/>
    </row>
    <row r="865" ht="15.75" customHeight="1">
      <c r="A865" s="94"/>
      <c r="B865" s="94"/>
      <c r="C865" s="1164"/>
      <c r="D865" s="1429"/>
      <c r="E865" s="1429"/>
      <c r="F865" s="2175"/>
      <c r="G865" s="1429"/>
      <c r="H865" s="1430"/>
      <c r="I865" s="1430"/>
      <c r="J865" s="1164"/>
      <c r="K865" s="94"/>
      <c r="L865" s="94"/>
      <c r="M865" s="1430"/>
      <c r="N865" s="1430"/>
      <c r="O865" s="1430"/>
      <c r="P865" s="94"/>
      <c r="Q865" s="1431"/>
      <c r="R865" s="1430"/>
      <c r="S865" s="1164"/>
      <c r="T865" s="1164"/>
      <c r="U865" s="2174"/>
      <c r="V865" s="94"/>
      <c r="W865" s="2174"/>
      <c r="X865" s="1164"/>
    </row>
    <row r="866" ht="15.75" customHeight="1">
      <c r="A866" s="94"/>
      <c r="B866" s="94"/>
      <c r="C866" s="1164"/>
      <c r="D866" s="1429"/>
      <c r="E866" s="1429"/>
      <c r="F866" s="1429"/>
      <c r="G866" s="1429"/>
      <c r="H866" s="1430"/>
      <c r="I866" s="94"/>
      <c r="J866" s="1164"/>
      <c r="K866" s="94"/>
      <c r="L866" s="94"/>
      <c r="M866" s="94"/>
      <c r="N866" s="94"/>
      <c r="O866" s="94"/>
      <c r="P866" s="94"/>
      <c r="Q866" s="1431"/>
      <c r="R866" s="1430"/>
      <c r="S866" s="1164"/>
      <c r="T866" s="1164"/>
      <c r="U866" s="2174"/>
      <c r="V866" s="2174"/>
      <c r="W866" s="94"/>
      <c r="X866" s="1164"/>
    </row>
    <row r="867" ht="15.75" customHeight="1">
      <c r="A867" s="94"/>
      <c r="B867" s="94"/>
      <c r="C867" s="1164"/>
      <c r="D867" s="1429"/>
      <c r="E867" s="1429"/>
      <c r="F867" s="1429"/>
      <c r="G867" s="1429"/>
      <c r="H867" s="1430"/>
      <c r="I867" s="94"/>
      <c r="J867" s="1164"/>
      <c r="K867" s="94"/>
      <c r="L867" s="94"/>
      <c r="M867" s="1430"/>
      <c r="N867" s="1430"/>
      <c r="O867" s="1430"/>
      <c r="P867" s="94"/>
      <c r="Q867" s="1431"/>
      <c r="R867" s="1430"/>
      <c r="S867" s="1164"/>
      <c r="T867" s="1164"/>
      <c r="U867" s="2174"/>
      <c r="V867" s="2174"/>
      <c r="W867" s="94"/>
      <c r="X867" s="1164"/>
    </row>
    <row r="868" ht="15.75" customHeight="1">
      <c r="A868" s="94"/>
      <c r="B868" s="94"/>
      <c r="C868" s="1164"/>
      <c r="D868" s="1429"/>
      <c r="E868" s="1429"/>
      <c r="F868" s="1435"/>
      <c r="G868" s="1429"/>
      <c r="H868" s="1430"/>
      <c r="I868" s="94"/>
      <c r="J868" s="1164"/>
      <c r="K868" s="94"/>
      <c r="L868" s="94"/>
      <c r="M868" s="1430"/>
      <c r="N868" s="1430"/>
      <c r="O868" s="1430"/>
      <c r="P868" s="94"/>
      <c r="Q868" s="1431"/>
      <c r="R868" s="1430"/>
      <c r="S868" s="1164"/>
      <c r="T868" s="1164"/>
      <c r="U868" s="2174"/>
      <c r="V868" s="2174"/>
      <c r="W868" s="94"/>
      <c r="X868" s="1164"/>
    </row>
    <row r="869" ht="15.75" customHeight="1">
      <c r="A869" s="94"/>
      <c r="B869" s="94"/>
      <c r="C869" s="1164"/>
      <c r="D869" s="1429"/>
      <c r="E869" s="1429"/>
      <c r="F869" s="1429"/>
      <c r="G869" s="1429"/>
      <c r="H869" s="1430"/>
      <c r="I869" s="1430"/>
      <c r="J869" s="1164"/>
      <c r="K869" s="94"/>
      <c r="L869" s="94"/>
      <c r="M869" s="1430"/>
      <c r="N869" s="1430"/>
      <c r="O869" s="1430"/>
      <c r="P869" s="94"/>
      <c r="Q869" s="1431"/>
      <c r="R869" s="1430"/>
      <c r="S869" s="1164"/>
      <c r="T869" s="1164"/>
      <c r="U869" s="2174"/>
      <c r="V869" s="2174"/>
      <c r="W869" s="2174"/>
      <c r="X869" s="1164"/>
    </row>
    <row r="870" ht="15.75" customHeight="1">
      <c r="A870" s="94"/>
      <c r="B870" s="94"/>
      <c r="C870" s="1164"/>
      <c r="D870" s="1429"/>
      <c r="E870" s="1429"/>
      <c r="F870" s="1429"/>
      <c r="G870" s="1429"/>
      <c r="H870" s="1430"/>
      <c r="I870" s="1430"/>
      <c r="J870" s="1164"/>
      <c r="K870" s="94"/>
      <c r="L870" s="94"/>
      <c r="M870" s="1430"/>
      <c r="N870" s="1430"/>
      <c r="O870" s="1430"/>
      <c r="P870" s="94"/>
      <c r="Q870" s="1431"/>
      <c r="R870" s="1430"/>
      <c r="S870" s="1164"/>
      <c r="T870" s="1164"/>
      <c r="U870" s="2174"/>
      <c r="V870" s="2174"/>
      <c r="W870" s="2174"/>
      <c r="X870" s="1164"/>
    </row>
    <row r="871" ht="15.75" customHeight="1">
      <c r="A871" s="94"/>
      <c r="B871" s="94"/>
      <c r="C871" s="1164"/>
      <c r="D871" s="1429"/>
      <c r="E871" s="1429"/>
      <c r="F871" s="1429"/>
      <c r="G871" s="1429"/>
      <c r="H871" s="1430"/>
      <c r="I871" s="94"/>
      <c r="J871" s="1164"/>
      <c r="K871" s="94"/>
      <c r="L871" s="94"/>
      <c r="M871" s="1430"/>
      <c r="N871" s="1430"/>
      <c r="O871" s="1430"/>
      <c r="P871" s="94"/>
      <c r="Q871" s="1431"/>
      <c r="R871" s="1430"/>
      <c r="S871" s="1164"/>
      <c r="T871" s="1164"/>
      <c r="U871" s="2174"/>
      <c r="V871" s="2174"/>
      <c r="W871" s="94"/>
      <c r="X871" s="1164"/>
    </row>
    <row r="872" ht="15.75" customHeight="1">
      <c r="A872" s="94"/>
      <c r="B872" s="94"/>
      <c r="C872" s="1164"/>
      <c r="D872" s="1429"/>
      <c r="E872" s="1429"/>
      <c r="F872" s="1429"/>
      <c r="G872" s="1429"/>
      <c r="H872" s="1430"/>
      <c r="I872" s="94"/>
      <c r="J872" s="1164"/>
      <c r="K872" s="94"/>
      <c r="L872" s="94"/>
      <c r="M872" s="1430"/>
      <c r="N872" s="1430"/>
      <c r="O872" s="1430"/>
      <c r="P872" s="94"/>
      <c r="Q872" s="1431"/>
      <c r="R872" s="1430"/>
      <c r="S872" s="1164"/>
      <c r="T872" s="1164"/>
      <c r="U872" s="2174"/>
      <c r="V872" s="2174"/>
      <c r="W872" s="94"/>
      <c r="X872" s="1164"/>
    </row>
    <row r="873" ht="15.75" customHeight="1">
      <c r="A873" s="94"/>
      <c r="B873" s="94"/>
      <c r="C873" s="1164"/>
      <c r="D873" s="1429"/>
      <c r="E873" s="1429"/>
      <c r="F873" s="1429"/>
      <c r="G873" s="1429"/>
      <c r="H873" s="1430"/>
      <c r="I873" s="1430"/>
      <c r="J873" s="1164"/>
      <c r="K873" s="94"/>
      <c r="L873" s="94"/>
      <c r="M873" s="1430"/>
      <c r="N873" s="1430"/>
      <c r="O873" s="1430"/>
      <c r="P873" s="94"/>
      <c r="Q873" s="1431"/>
      <c r="R873" s="1430"/>
      <c r="S873" s="1164"/>
      <c r="T873" s="1164"/>
      <c r="U873" s="2174"/>
      <c r="V873" s="2174"/>
      <c r="W873" s="2174"/>
      <c r="X873" s="1164"/>
    </row>
    <row r="874" ht="15.75" customHeight="1">
      <c r="A874" s="94"/>
      <c r="B874" s="94"/>
      <c r="C874" s="1164"/>
      <c r="D874" s="1429"/>
      <c r="E874" s="1429"/>
      <c r="F874" s="1429"/>
      <c r="G874" s="1429"/>
      <c r="H874" s="1430"/>
      <c r="I874" s="94"/>
      <c r="J874" s="1164"/>
      <c r="K874" s="94"/>
      <c r="L874" s="94"/>
      <c r="M874" s="1430"/>
      <c r="N874" s="1430"/>
      <c r="O874" s="1430"/>
      <c r="P874" s="94"/>
      <c r="Q874" s="1431"/>
      <c r="R874" s="1430"/>
      <c r="S874" s="1164"/>
      <c r="T874" s="1164"/>
      <c r="U874" s="2174"/>
      <c r="V874" s="2174"/>
      <c r="W874" s="94"/>
      <c r="X874" s="1164"/>
    </row>
    <row r="875" ht="15.75" customHeight="1">
      <c r="A875" s="94"/>
      <c r="B875" s="94"/>
      <c r="C875" s="1164"/>
      <c r="D875" s="1429"/>
      <c r="E875" s="1429"/>
      <c r="F875" s="1429"/>
      <c r="G875" s="1429"/>
      <c r="H875" s="1430"/>
      <c r="I875" s="94"/>
      <c r="J875" s="1164"/>
      <c r="K875" s="94"/>
      <c r="L875" s="94"/>
      <c r="M875" s="1430"/>
      <c r="N875" s="1430"/>
      <c r="O875" s="1430"/>
      <c r="P875" s="94"/>
      <c r="Q875" s="1431"/>
      <c r="R875" s="1430"/>
      <c r="S875" s="1164"/>
      <c r="T875" s="1164"/>
      <c r="U875" s="2174"/>
      <c r="V875" s="2174"/>
      <c r="W875" s="94"/>
      <c r="X875" s="1164"/>
    </row>
    <row r="876" ht="15.75" customHeight="1">
      <c r="A876" s="94"/>
      <c r="B876" s="94"/>
      <c r="C876" s="1164"/>
      <c r="D876" s="1429"/>
      <c r="E876" s="1429"/>
      <c r="F876" s="1429"/>
      <c r="G876" s="1429"/>
      <c r="H876" s="1430"/>
      <c r="I876" s="94"/>
      <c r="J876" s="1164"/>
      <c r="K876" s="94"/>
      <c r="L876" s="94"/>
      <c r="M876" s="1430"/>
      <c r="N876" s="1430"/>
      <c r="O876" s="1430"/>
      <c r="P876" s="94"/>
      <c r="Q876" s="1431"/>
      <c r="R876" s="1430"/>
      <c r="S876" s="1164"/>
      <c r="T876" s="1164"/>
      <c r="U876" s="2174"/>
      <c r="V876" s="2174"/>
      <c r="W876" s="94"/>
      <c r="X876" s="1164"/>
    </row>
    <row r="877" ht="15.75" customHeight="1">
      <c r="A877" s="94"/>
      <c r="B877" s="94"/>
      <c r="C877" s="1164"/>
      <c r="D877" s="1429"/>
      <c r="E877" s="1429"/>
      <c r="F877" s="1429"/>
      <c r="G877" s="1429"/>
      <c r="H877" s="1430"/>
      <c r="I877" s="1430"/>
      <c r="J877" s="1164"/>
      <c r="K877" s="94"/>
      <c r="L877" s="94"/>
      <c r="M877" s="1430"/>
      <c r="N877" s="1430"/>
      <c r="O877" s="1430"/>
      <c r="P877" s="94"/>
      <c r="Q877" s="1431"/>
      <c r="R877" s="1430"/>
      <c r="S877" s="1164"/>
      <c r="T877" s="1164"/>
      <c r="U877" s="2174"/>
      <c r="V877" s="2174"/>
      <c r="W877" s="2174"/>
      <c r="X877" s="1164"/>
    </row>
    <row r="878" ht="15.75" customHeight="1">
      <c r="A878" s="94"/>
      <c r="B878" s="94"/>
      <c r="C878" s="1164"/>
      <c r="D878" s="1429"/>
      <c r="E878" s="1429"/>
      <c r="F878" s="1429"/>
      <c r="G878" s="1429"/>
      <c r="H878" s="1430"/>
      <c r="I878" s="1430"/>
      <c r="J878" s="1164"/>
      <c r="K878" s="94"/>
      <c r="L878" s="94"/>
      <c r="M878" s="1430"/>
      <c r="N878" s="1430"/>
      <c r="O878" s="1430"/>
      <c r="P878" s="94"/>
      <c r="Q878" s="1431"/>
      <c r="R878" s="1430"/>
      <c r="S878" s="1164"/>
      <c r="T878" s="1164"/>
      <c r="U878" s="2174"/>
      <c r="V878" s="2174"/>
      <c r="W878" s="2174"/>
      <c r="X878" s="1164"/>
    </row>
    <row r="879" ht="15.75" customHeight="1">
      <c r="A879" s="94"/>
      <c r="B879" s="94"/>
      <c r="C879" s="1164"/>
      <c r="D879" s="1429"/>
      <c r="E879" s="1429"/>
      <c r="F879" s="1429"/>
      <c r="G879" s="1429"/>
      <c r="H879" s="1430"/>
      <c r="I879" s="1430"/>
      <c r="J879" s="1164"/>
      <c r="K879" s="94"/>
      <c r="L879" s="94"/>
      <c r="M879" s="94"/>
      <c r="N879" s="94"/>
      <c r="O879" s="94"/>
      <c r="P879" s="94"/>
      <c r="Q879" s="1431"/>
      <c r="R879" s="1430"/>
      <c r="S879" s="1164"/>
      <c r="T879" s="1164"/>
      <c r="U879" s="2174"/>
      <c r="V879" s="2174"/>
      <c r="W879" s="2174"/>
      <c r="X879" s="1164"/>
    </row>
    <row r="880" ht="15.75" customHeight="1">
      <c r="A880" s="94"/>
      <c r="B880" s="94"/>
      <c r="C880" s="1164"/>
      <c r="D880" s="1429"/>
      <c r="E880" s="1429"/>
      <c r="F880" s="1429"/>
      <c r="G880" s="1429"/>
      <c r="H880" s="1430"/>
      <c r="I880" s="1430"/>
      <c r="J880" s="1164"/>
      <c r="K880" s="94"/>
      <c r="L880" s="94"/>
      <c r="M880" s="1430"/>
      <c r="N880" s="1430"/>
      <c r="O880" s="1430"/>
      <c r="P880" s="94"/>
      <c r="Q880" s="1431"/>
      <c r="R880" s="1430"/>
      <c r="S880" s="1164"/>
      <c r="T880" s="1164"/>
      <c r="U880" s="2174"/>
      <c r="V880" s="2174"/>
      <c r="W880" s="2174"/>
      <c r="X880" s="1164"/>
    </row>
    <row r="881" ht="15.75" customHeight="1">
      <c r="A881" s="94"/>
      <c r="B881" s="94"/>
      <c r="C881" s="1164"/>
      <c r="D881" s="1429"/>
      <c r="E881" s="1429"/>
      <c r="F881" s="1429"/>
      <c r="G881" s="1429"/>
      <c r="H881" s="1430"/>
      <c r="I881" s="1430"/>
      <c r="J881" s="1164"/>
      <c r="K881" s="94"/>
      <c r="L881" s="94"/>
      <c r="M881" s="1430"/>
      <c r="N881" s="1430"/>
      <c r="O881" s="1430"/>
      <c r="P881" s="94"/>
      <c r="Q881" s="1431"/>
      <c r="R881" s="1430"/>
      <c r="S881" s="1164"/>
      <c r="T881" s="1164"/>
      <c r="U881" s="2174"/>
      <c r="V881" s="2174"/>
      <c r="W881" s="2174"/>
      <c r="X881" s="1164"/>
    </row>
    <row r="882" ht="15.75" customHeight="1">
      <c r="A882" s="94"/>
      <c r="B882" s="94"/>
      <c r="C882" s="1164"/>
      <c r="D882" s="1429"/>
      <c r="E882" s="1429"/>
      <c r="F882" s="1429"/>
      <c r="G882" s="1429"/>
      <c r="H882" s="1430"/>
      <c r="I882" s="94"/>
      <c r="J882" s="1164"/>
      <c r="K882" s="94"/>
      <c r="L882" s="94"/>
      <c r="M882" s="1430"/>
      <c r="N882" s="1430"/>
      <c r="O882" s="1430"/>
      <c r="P882" s="94"/>
      <c r="Q882" s="1431"/>
      <c r="R882" s="1430"/>
      <c r="S882" s="1164"/>
      <c r="T882" s="1164"/>
      <c r="U882" s="2174"/>
      <c r="V882" s="2174"/>
      <c r="W882" s="94"/>
      <c r="X882" s="1164"/>
    </row>
    <row r="883" ht="15.75" customHeight="1">
      <c r="A883" s="94"/>
      <c r="B883" s="94"/>
      <c r="C883" s="1164"/>
      <c r="D883" s="1429"/>
      <c r="E883" s="1429"/>
      <c r="F883" s="1429"/>
      <c r="G883" s="1429"/>
      <c r="H883" s="1430"/>
      <c r="I883" s="94"/>
      <c r="J883" s="1164"/>
      <c r="K883" s="94"/>
      <c r="L883" s="94"/>
      <c r="M883" s="1430"/>
      <c r="N883" s="1430"/>
      <c r="O883" s="1430"/>
      <c r="P883" s="94"/>
      <c r="Q883" s="1431"/>
      <c r="R883" s="1430"/>
      <c r="S883" s="1164"/>
      <c r="T883" s="1164"/>
      <c r="U883" s="2174"/>
      <c r="V883" s="2174"/>
      <c r="W883" s="94"/>
      <c r="X883" s="1164"/>
    </row>
    <row r="884" ht="15.75" customHeight="1">
      <c r="A884" s="94"/>
      <c r="B884" s="94"/>
      <c r="C884" s="1164"/>
      <c r="D884" s="1429"/>
      <c r="E884" s="1429"/>
      <c r="F884" s="1429"/>
      <c r="G884" s="1429"/>
      <c r="H884" s="1430"/>
      <c r="I884" s="94"/>
      <c r="J884" s="1164"/>
      <c r="K884" s="94"/>
      <c r="L884" s="94"/>
      <c r="M884" s="1430"/>
      <c r="N884" s="1430"/>
      <c r="O884" s="1430"/>
      <c r="P884" s="94"/>
      <c r="Q884" s="1431"/>
      <c r="R884" s="1430"/>
      <c r="S884" s="1164"/>
      <c r="T884" s="1164"/>
      <c r="U884" s="2174"/>
      <c r="V884" s="2174"/>
      <c r="W884" s="94"/>
      <c r="X884" s="1164"/>
    </row>
    <row r="885" ht="15.75" customHeight="1">
      <c r="A885" s="94"/>
      <c r="B885" s="94"/>
      <c r="C885" s="1164"/>
      <c r="D885" s="1429"/>
      <c r="E885" s="1429"/>
      <c r="F885" s="1429"/>
      <c r="G885" s="1429"/>
      <c r="H885" s="1430"/>
      <c r="I885" s="1430"/>
      <c r="J885" s="1164"/>
      <c r="K885" s="94"/>
      <c r="L885" s="94"/>
      <c r="M885" s="1430"/>
      <c r="N885" s="1430"/>
      <c r="O885" s="1430"/>
      <c r="P885" s="94"/>
      <c r="Q885" s="1431"/>
      <c r="R885" s="1430"/>
      <c r="S885" s="1164"/>
      <c r="T885" s="1164"/>
      <c r="U885" s="2174"/>
      <c r="V885" s="2174"/>
      <c r="W885" s="2174"/>
      <c r="X885" s="1164"/>
    </row>
    <row r="886" ht="15.75" customHeight="1">
      <c r="A886" s="94"/>
      <c r="B886" s="94"/>
      <c r="C886" s="1164"/>
      <c r="D886" s="1429"/>
      <c r="E886" s="1429"/>
      <c r="F886" s="1429"/>
      <c r="G886" s="1429"/>
      <c r="H886" s="1430"/>
      <c r="I886" s="1430"/>
      <c r="J886" s="1164"/>
      <c r="K886" s="94"/>
      <c r="L886" s="94"/>
      <c r="M886" s="1430"/>
      <c r="N886" s="1430"/>
      <c r="O886" s="1430"/>
      <c r="P886" s="94"/>
      <c r="Q886" s="1431"/>
      <c r="R886" s="1430"/>
      <c r="S886" s="1164"/>
      <c r="T886" s="1164"/>
      <c r="U886" s="2174"/>
      <c r="V886" s="2174"/>
      <c r="W886" s="2174"/>
      <c r="X886" s="1164"/>
    </row>
    <row r="887" ht="15.75" customHeight="1">
      <c r="A887" s="94"/>
      <c r="B887" s="94"/>
      <c r="C887" s="1164"/>
      <c r="D887" s="1429"/>
      <c r="E887" s="1429"/>
      <c r="F887" s="1429"/>
      <c r="G887" s="1429"/>
      <c r="H887" s="1430"/>
      <c r="I887" s="94"/>
      <c r="J887" s="1164"/>
      <c r="K887" s="94"/>
      <c r="L887" s="94"/>
      <c r="M887" s="1430"/>
      <c r="N887" s="1430"/>
      <c r="O887" s="1430"/>
      <c r="P887" s="94"/>
      <c r="Q887" s="1431"/>
      <c r="R887" s="1430"/>
      <c r="S887" s="1164"/>
      <c r="T887" s="1164"/>
      <c r="U887" s="2174"/>
      <c r="V887" s="2174"/>
      <c r="W887" s="94"/>
      <c r="X887" s="1164"/>
    </row>
    <row r="888" ht="15.75" customHeight="1">
      <c r="A888" s="94"/>
      <c r="B888" s="94"/>
      <c r="C888" s="1164"/>
      <c r="D888" s="1429"/>
      <c r="E888" s="1429"/>
      <c r="F888" s="1429"/>
      <c r="G888" s="1429"/>
      <c r="H888" s="1430"/>
      <c r="I888" s="94"/>
      <c r="J888" s="1164"/>
      <c r="K888" s="94"/>
      <c r="L888" s="94"/>
      <c r="M888" s="1430"/>
      <c r="N888" s="1430"/>
      <c r="O888" s="1430"/>
      <c r="P888" s="94"/>
      <c r="Q888" s="1431"/>
      <c r="R888" s="1430"/>
      <c r="S888" s="1164"/>
      <c r="T888" s="1164"/>
      <c r="U888" s="2174"/>
      <c r="V888" s="2174"/>
      <c r="W888" s="94"/>
      <c r="X888" s="1164"/>
    </row>
    <row r="889" ht="15.75" customHeight="1">
      <c r="A889" s="94"/>
      <c r="B889" s="94"/>
      <c r="C889" s="1164"/>
      <c r="D889" s="1429"/>
      <c r="E889" s="1429"/>
      <c r="F889" s="1429"/>
      <c r="G889" s="1429"/>
      <c r="H889" s="1430"/>
      <c r="I889" s="1430"/>
      <c r="J889" s="1164"/>
      <c r="K889" s="94"/>
      <c r="L889" s="94"/>
      <c r="M889" s="94"/>
      <c r="N889" s="94"/>
      <c r="O889" s="94"/>
      <c r="P889" s="94"/>
      <c r="Q889" s="1431"/>
      <c r="R889" s="1430"/>
      <c r="S889" s="1164"/>
      <c r="T889" s="1164"/>
      <c r="U889" s="2174"/>
      <c r="V889" s="2174"/>
      <c r="W889" s="2174"/>
      <c r="X889" s="1164"/>
    </row>
    <row r="890" ht="15.75" customHeight="1">
      <c r="A890" s="94"/>
      <c r="B890" s="94"/>
      <c r="C890" s="1164"/>
      <c r="D890" s="1429"/>
      <c r="E890" s="1429"/>
      <c r="F890" s="1429"/>
      <c r="G890" s="1429"/>
      <c r="H890" s="1430"/>
      <c r="I890" s="94"/>
      <c r="J890" s="1164"/>
      <c r="K890" s="94"/>
      <c r="L890" s="94"/>
      <c r="M890" s="94"/>
      <c r="N890" s="94"/>
      <c r="O890" s="94"/>
      <c r="P890" s="94"/>
      <c r="Q890" s="1431"/>
      <c r="R890" s="1430"/>
      <c r="S890" s="1164"/>
      <c r="T890" s="1164"/>
      <c r="U890" s="2174"/>
      <c r="V890" s="2174"/>
      <c r="W890" s="94"/>
      <c r="X890" s="1164"/>
    </row>
    <row r="891" ht="15.75" customHeight="1">
      <c r="A891" s="94"/>
      <c r="B891" s="94"/>
      <c r="C891" s="1164"/>
      <c r="D891" s="1429"/>
      <c r="E891" s="1429"/>
      <c r="F891" s="1429"/>
      <c r="G891" s="1429"/>
      <c r="H891" s="1430"/>
      <c r="I891" s="1430"/>
      <c r="J891" s="1164"/>
      <c r="K891" s="94"/>
      <c r="L891" s="94"/>
      <c r="M891" s="94"/>
      <c r="N891" s="94"/>
      <c r="O891" s="94"/>
      <c r="P891" s="94"/>
      <c r="Q891" s="1431"/>
      <c r="R891" s="1430"/>
      <c r="S891" s="1164"/>
      <c r="T891" s="1164"/>
      <c r="U891" s="2174"/>
      <c r="V891" s="94"/>
      <c r="W891" s="2174"/>
      <c r="X891" s="1164"/>
    </row>
    <row r="892" ht="15.75" customHeight="1">
      <c r="A892" s="94"/>
      <c r="B892" s="94"/>
      <c r="C892" s="1164"/>
      <c r="D892" s="1429"/>
      <c r="E892" s="1429"/>
      <c r="F892" s="1429"/>
      <c r="G892" s="1434"/>
      <c r="H892" s="1430"/>
      <c r="I892" s="1430"/>
      <c r="J892" s="1164"/>
      <c r="K892" s="94"/>
      <c r="L892" s="94"/>
      <c r="M892" s="1430"/>
      <c r="N892" s="1430"/>
      <c r="O892" s="1430"/>
      <c r="P892" s="94"/>
      <c r="Q892" s="1431"/>
      <c r="R892" s="1430"/>
      <c r="S892" s="1164"/>
      <c r="T892" s="1164"/>
      <c r="U892" s="2174"/>
      <c r="V892" s="2174"/>
      <c r="W892" s="2174"/>
      <c r="X892" s="1164"/>
    </row>
    <row r="893" ht="15.75" customHeight="1">
      <c r="A893" s="94"/>
      <c r="B893" s="94"/>
      <c r="C893" s="1164"/>
      <c r="D893" s="1429"/>
      <c r="E893" s="1429"/>
      <c r="F893" s="1429"/>
      <c r="G893" s="1434"/>
      <c r="H893" s="1430"/>
      <c r="I893" s="1430"/>
      <c r="J893" s="1164"/>
      <c r="K893" s="94"/>
      <c r="L893" s="94"/>
      <c r="M893" s="1430"/>
      <c r="N893" s="1430"/>
      <c r="O893" s="1430"/>
      <c r="P893" s="94"/>
      <c r="Q893" s="1431"/>
      <c r="R893" s="1430"/>
      <c r="S893" s="1164"/>
      <c r="T893" s="1164"/>
      <c r="U893" s="2174"/>
      <c r="V893" s="2174"/>
      <c r="W893" s="2174"/>
      <c r="X893" s="1164"/>
    </row>
    <row r="894" ht="15.75" customHeight="1">
      <c r="A894" s="94"/>
      <c r="B894" s="94"/>
      <c r="C894" s="1164"/>
      <c r="D894" s="1429"/>
      <c r="E894" s="1429"/>
      <c r="F894" s="1429"/>
      <c r="G894" s="1434"/>
      <c r="H894" s="1430"/>
      <c r="I894" s="94"/>
      <c r="J894" s="1164"/>
      <c r="K894" s="94"/>
      <c r="L894" s="94"/>
      <c r="M894" s="1430"/>
      <c r="N894" s="1430"/>
      <c r="O894" s="1430"/>
      <c r="P894" s="94"/>
      <c r="Q894" s="1431"/>
      <c r="R894" s="1430"/>
      <c r="S894" s="1164"/>
      <c r="T894" s="1164"/>
      <c r="U894" s="2174"/>
      <c r="V894" s="2174"/>
      <c r="W894" s="2174"/>
      <c r="X894" s="1164"/>
    </row>
    <row r="895" ht="15.75" customHeight="1">
      <c r="A895" s="94"/>
      <c r="B895" s="94"/>
      <c r="C895" s="1164"/>
      <c r="D895" s="1429"/>
      <c r="E895" s="1429"/>
      <c r="F895" s="1429"/>
      <c r="G895" s="1434"/>
      <c r="H895" s="1430"/>
      <c r="I895" s="94"/>
      <c r="J895" s="1164"/>
      <c r="K895" s="94"/>
      <c r="L895" s="94"/>
      <c r="M895" s="1430"/>
      <c r="N895" s="1430"/>
      <c r="O895" s="1430"/>
      <c r="P895" s="94"/>
      <c r="Q895" s="1431"/>
      <c r="R895" s="1430"/>
      <c r="S895" s="1164"/>
      <c r="T895" s="1164"/>
      <c r="U895" s="2174"/>
      <c r="V895" s="2174"/>
      <c r="W895" s="2174"/>
      <c r="X895" s="1164"/>
    </row>
    <row r="896" ht="15.75" customHeight="1">
      <c r="A896" s="94"/>
      <c r="B896" s="94"/>
      <c r="C896" s="1164"/>
      <c r="D896" s="1429"/>
      <c r="E896" s="1429"/>
      <c r="F896" s="1429"/>
      <c r="G896" s="1434"/>
      <c r="H896" s="1430"/>
      <c r="I896" s="94"/>
      <c r="J896" s="1164"/>
      <c r="K896" s="94"/>
      <c r="L896" s="94"/>
      <c r="M896" s="1430"/>
      <c r="N896" s="1430"/>
      <c r="O896" s="1430"/>
      <c r="P896" s="94"/>
      <c r="Q896" s="1431"/>
      <c r="R896" s="1430"/>
      <c r="S896" s="1164"/>
      <c r="T896" s="1164"/>
      <c r="U896" s="2174"/>
      <c r="V896" s="2174"/>
      <c r="W896" s="94"/>
      <c r="X896" s="1164"/>
    </row>
    <row r="897" ht="15.75" customHeight="1">
      <c r="A897" s="94"/>
      <c r="B897" s="94"/>
      <c r="C897" s="94"/>
      <c r="D897" s="94"/>
      <c r="E897" s="94"/>
      <c r="F897" s="94"/>
      <c r="G897" s="94"/>
      <c r="H897" s="1164"/>
      <c r="I897" s="1164"/>
      <c r="J897" s="1164"/>
      <c r="K897" s="1430"/>
      <c r="L897" s="1430"/>
      <c r="M897" s="1430"/>
      <c r="N897" s="1430"/>
      <c r="O897" s="1430"/>
      <c r="P897" s="1430"/>
      <c r="Q897" s="1430"/>
      <c r="R897" s="1430"/>
      <c r="S897" s="1430"/>
      <c r="T897" s="1164"/>
      <c r="U897" s="94"/>
      <c r="V897" s="94"/>
      <c r="W897" s="94"/>
      <c r="X897" s="1430"/>
    </row>
    <row r="898" ht="15.75" customHeight="1">
      <c r="A898" s="94"/>
      <c r="B898" s="94"/>
      <c r="C898" s="1164"/>
      <c r="D898" s="1429"/>
      <c r="E898" s="1429"/>
      <c r="F898" s="1429"/>
      <c r="G898" s="1429"/>
      <c r="H898" s="1430"/>
      <c r="I898" s="1430"/>
      <c r="J898" s="1164"/>
      <c r="K898" s="94"/>
      <c r="L898" s="94"/>
      <c r="M898" s="1430"/>
      <c r="N898" s="94"/>
      <c r="O898" s="1430"/>
      <c r="P898" s="94"/>
      <c r="Q898" s="1431"/>
      <c r="R898" s="1164"/>
      <c r="S898" s="1164"/>
      <c r="T898" s="1164"/>
      <c r="U898" s="2174"/>
      <c r="V898" s="2174"/>
      <c r="W898" s="2174"/>
      <c r="X898" s="1164"/>
    </row>
    <row r="899" ht="15.75" customHeight="1">
      <c r="A899" s="94"/>
      <c r="B899" s="94"/>
      <c r="C899" s="1164"/>
      <c r="D899" s="1429"/>
      <c r="E899" s="1429"/>
      <c r="F899" s="1429"/>
      <c r="G899" s="1429"/>
      <c r="H899" s="1430"/>
      <c r="I899" s="94"/>
      <c r="J899" s="1164"/>
      <c r="K899" s="94"/>
      <c r="L899" s="94"/>
      <c r="M899" s="1430"/>
      <c r="N899" s="94"/>
      <c r="O899" s="1430"/>
      <c r="P899" s="94"/>
      <c r="Q899" s="1431"/>
      <c r="R899" s="1164"/>
      <c r="S899" s="1164"/>
      <c r="T899" s="1164"/>
      <c r="U899" s="2174"/>
      <c r="V899" s="2174"/>
      <c r="W899" s="94"/>
      <c r="X899" s="1164"/>
    </row>
    <row r="900" ht="15.75" customHeight="1">
      <c r="A900" s="94"/>
      <c r="B900" s="94"/>
      <c r="C900" s="1164"/>
      <c r="D900" s="1429"/>
      <c r="E900" s="1429"/>
      <c r="F900" s="1429"/>
      <c r="G900" s="1429"/>
      <c r="H900" s="1430"/>
      <c r="I900" s="94"/>
      <c r="J900" s="1164"/>
      <c r="K900" s="94"/>
      <c r="L900" s="94"/>
      <c r="M900" s="1430"/>
      <c r="N900" s="94"/>
      <c r="O900" s="1430"/>
      <c r="P900" s="94"/>
      <c r="Q900" s="1431"/>
      <c r="R900" s="1164"/>
      <c r="S900" s="1164"/>
      <c r="T900" s="1164"/>
      <c r="U900" s="2174"/>
      <c r="V900" s="2174"/>
      <c r="W900" s="94"/>
      <c r="X900" s="1164"/>
    </row>
    <row r="901" ht="15.75" customHeight="1">
      <c r="A901" s="94"/>
      <c r="B901" s="94"/>
      <c r="C901" s="1164"/>
      <c r="D901" s="1429"/>
      <c r="E901" s="1429"/>
      <c r="F901" s="1429"/>
      <c r="G901" s="1429"/>
      <c r="H901" s="1430"/>
      <c r="I901" s="1430"/>
      <c r="J901" s="1164"/>
      <c r="K901" s="94"/>
      <c r="L901" s="94"/>
      <c r="M901" s="1430"/>
      <c r="N901" s="94"/>
      <c r="O901" s="1430"/>
      <c r="P901" s="94"/>
      <c r="Q901" s="1431"/>
      <c r="R901" s="1164"/>
      <c r="S901" s="1164"/>
      <c r="T901" s="1164"/>
      <c r="U901" s="2174"/>
      <c r="V901" s="2174"/>
      <c r="W901" s="2174"/>
      <c r="X901" s="1164"/>
    </row>
    <row r="902" ht="15.75" customHeight="1">
      <c r="A902" s="94"/>
      <c r="B902" s="94"/>
      <c r="C902" s="1164"/>
      <c r="D902" s="1429"/>
      <c r="E902" s="1429"/>
      <c r="F902" s="1429"/>
      <c r="G902" s="1429"/>
      <c r="H902" s="1430"/>
      <c r="I902" s="94"/>
      <c r="J902" s="1164"/>
      <c r="K902" s="94"/>
      <c r="L902" s="94"/>
      <c r="M902" s="1430"/>
      <c r="N902" s="94"/>
      <c r="O902" s="1430"/>
      <c r="P902" s="94"/>
      <c r="Q902" s="1431"/>
      <c r="R902" s="1164"/>
      <c r="S902" s="1164"/>
      <c r="T902" s="1164"/>
      <c r="U902" s="2174"/>
      <c r="V902" s="2174"/>
      <c r="W902" s="94"/>
      <c r="X902" s="1164"/>
    </row>
    <row r="903" ht="15.75" customHeight="1">
      <c r="A903" s="94"/>
      <c r="B903" s="94"/>
      <c r="C903" s="1164"/>
      <c r="D903" s="1429"/>
      <c r="E903" s="1429"/>
      <c r="F903" s="1429"/>
      <c r="G903" s="1429"/>
      <c r="H903" s="1430"/>
      <c r="I903" s="94"/>
      <c r="J903" s="1164"/>
      <c r="K903" s="94"/>
      <c r="L903" s="94"/>
      <c r="M903" s="1430"/>
      <c r="N903" s="94"/>
      <c r="O903" s="1430"/>
      <c r="P903" s="94"/>
      <c r="Q903" s="1431"/>
      <c r="R903" s="1164"/>
      <c r="S903" s="1164"/>
      <c r="T903" s="1164"/>
      <c r="U903" s="2174"/>
      <c r="V903" s="2174"/>
      <c r="W903" s="94"/>
      <c r="X903" s="1164"/>
    </row>
    <row r="904" ht="15.75" customHeight="1">
      <c r="A904" s="94"/>
      <c r="B904" s="94"/>
      <c r="C904" s="1164"/>
      <c r="D904" s="1429"/>
      <c r="E904" s="1429"/>
      <c r="F904" s="1429"/>
      <c r="G904" s="1429"/>
      <c r="H904" s="1430"/>
      <c r="I904" s="1430"/>
      <c r="J904" s="1164"/>
      <c r="K904" s="94"/>
      <c r="L904" s="94"/>
      <c r="M904" s="1430"/>
      <c r="N904" s="94"/>
      <c r="O904" s="1430"/>
      <c r="P904" s="94"/>
      <c r="Q904" s="1431"/>
      <c r="R904" s="1164"/>
      <c r="S904" s="1164"/>
      <c r="T904" s="1164"/>
      <c r="U904" s="2174"/>
      <c r="V904" s="2174"/>
      <c r="W904" s="2174"/>
      <c r="X904" s="1164"/>
    </row>
    <row r="905" ht="15.75" customHeight="1">
      <c r="A905" s="94"/>
      <c r="B905" s="94"/>
      <c r="C905" s="1164"/>
      <c r="D905" s="1429"/>
      <c r="E905" s="1429"/>
      <c r="F905" s="1429"/>
      <c r="G905" s="1429"/>
      <c r="H905" s="1430"/>
      <c r="I905" s="1430"/>
      <c r="J905" s="1164"/>
      <c r="K905" s="94"/>
      <c r="L905" s="94"/>
      <c r="M905" s="1430"/>
      <c r="N905" s="94"/>
      <c r="O905" s="1430"/>
      <c r="P905" s="94"/>
      <c r="Q905" s="1431"/>
      <c r="R905" s="1164"/>
      <c r="S905" s="1164"/>
      <c r="T905" s="1164"/>
      <c r="U905" s="2174"/>
      <c r="V905" s="2174"/>
      <c r="W905" s="2174"/>
      <c r="X905" s="1164"/>
    </row>
    <row r="906" ht="15.75" customHeight="1">
      <c r="A906" s="94"/>
      <c r="B906" s="94"/>
      <c r="C906" s="1164"/>
      <c r="D906" s="1429"/>
      <c r="E906" s="1429"/>
      <c r="F906" s="1429"/>
      <c r="G906" s="1429"/>
      <c r="H906" s="1430"/>
      <c r="I906" s="94"/>
      <c r="J906" s="1164"/>
      <c r="K906" s="94"/>
      <c r="L906" s="94"/>
      <c r="M906" s="94"/>
      <c r="N906" s="94"/>
      <c r="O906" s="94"/>
      <c r="P906" s="94"/>
      <c r="Q906" s="1431"/>
      <c r="R906" s="1164"/>
      <c r="S906" s="1164"/>
      <c r="T906" s="1164"/>
      <c r="U906" s="2174"/>
      <c r="V906" s="2174"/>
      <c r="W906" s="94"/>
      <c r="X906" s="1164"/>
    </row>
    <row r="907" ht="15.75" customHeight="1">
      <c r="A907" s="94"/>
      <c r="B907" s="94"/>
      <c r="C907" s="1164"/>
      <c r="D907" s="1429"/>
      <c r="E907" s="1429"/>
      <c r="F907" s="1429"/>
      <c r="G907" s="1429"/>
      <c r="H907" s="1430"/>
      <c r="I907" s="94"/>
      <c r="J907" s="1164"/>
      <c r="K907" s="94"/>
      <c r="L907" s="94"/>
      <c r="M907" s="94"/>
      <c r="N907" s="94"/>
      <c r="O907" s="94"/>
      <c r="P907" s="94"/>
      <c r="Q907" s="1431"/>
      <c r="R907" s="1164"/>
      <c r="S907" s="1164"/>
      <c r="T907" s="1164"/>
      <c r="U907" s="2174"/>
      <c r="V907" s="2174"/>
      <c r="W907" s="94"/>
      <c r="X907" s="1164"/>
    </row>
    <row r="908" ht="15.75" customHeight="1">
      <c r="A908" s="94"/>
      <c r="B908" s="94"/>
      <c r="C908" s="1164"/>
      <c r="D908" s="1429"/>
      <c r="E908" s="1429"/>
      <c r="F908" s="1429"/>
      <c r="G908" s="1429"/>
      <c r="H908" s="1430"/>
      <c r="I908" s="1430"/>
      <c r="J908" s="1164"/>
      <c r="K908" s="94"/>
      <c r="L908" s="94"/>
      <c r="M908" s="1430"/>
      <c r="N908" s="94"/>
      <c r="O908" s="1430"/>
      <c r="P908" s="94"/>
      <c r="Q908" s="1431"/>
      <c r="R908" s="1164"/>
      <c r="S908" s="1164"/>
      <c r="T908" s="1164"/>
      <c r="U908" s="2174"/>
      <c r="V908" s="2174"/>
      <c r="W908" s="2174"/>
      <c r="X908" s="1164"/>
    </row>
    <row r="909" ht="15.75" customHeight="1">
      <c r="A909" s="94"/>
      <c r="B909" s="94"/>
      <c r="C909" s="1164"/>
      <c r="D909" s="1429"/>
      <c r="E909" s="1429"/>
      <c r="F909" s="1429"/>
      <c r="G909" s="1436"/>
      <c r="H909" s="1430"/>
      <c r="I909" s="1430"/>
      <c r="J909" s="1164"/>
      <c r="K909" s="94"/>
      <c r="L909" s="94"/>
      <c r="M909" s="94"/>
      <c r="N909" s="94"/>
      <c r="O909" s="94"/>
      <c r="P909" s="94"/>
      <c r="Q909" s="1431"/>
      <c r="R909" s="1164"/>
      <c r="S909" s="1164"/>
      <c r="T909" s="1164"/>
      <c r="U909" s="94"/>
      <c r="V909" s="94"/>
      <c r="W909" s="94"/>
      <c r="X909" s="1164"/>
    </row>
    <row r="910" ht="15.75" customHeight="1">
      <c r="A910" s="94"/>
      <c r="B910" s="94"/>
      <c r="C910" s="1164"/>
      <c r="D910" s="1429"/>
      <c r="E910" s="1429"/>
      <c r="F910" s="1434"/>
      <c r="G910" s="1429"/>
      <c r="H910" s="1430"/>
      <c r="I910" s="1430"/>
      <c r="J910" s="1164"/>
      <c r="K910" s="94"/>
      <c r="L910" s="94"/>
      <c r="M910" s="1430"/>
      <c r="N910" s="94"/>
      <c r="O910" s="1430"/>
      <c r="P910" s="94"/>
      <c r="Q910" s="1431"/>
      <c r="R910" s="1164"/>
      <c r="S910" s="1164"/>
      <c r="T910" s="1164"/>
      <c r="U910" s="2174"/>
      <c r="V910" s="2174"/>
      <c r="W910" s="2174"/>
      <c r="X910" s="1164"/>
    </row>
    <row r="911" ht="15.75" customHeight="1">
      <c r="A911" s="94"/>
      <c r="B911" s="94"/>
      <c r="C911" s="1164"/>
      <c r="D911" s="1429"/>
      <c r="E911" s="1429"/>
      <c r="F911" s="1434"/>
      <c r="G911" s="1429"/>
      <c r="H911" s="1430"/>
      <c r="I911" s="1430"/>
      <c r="J911" s="1164"/>
      <c r="K911" s="94"/>
      <c r="L911" s="94"/>
      <c r="M911" s="1430"/>
      <c r="N911" s="94"/>
      <c r="O911" s="1430"/>
      <c r="P911" s="94"/>
      <c r="Q911" s="1431"/>
      <c r="R911" s="1164"/>
      <c r="S911" s="1164"/>
      <c r="T911" s="1164"/>
      <c r="U911" s="2174"/>
      <c r="V911" s="2174"/>
      <c r="W911" s="2174"/>
      <c r="X911" s="1164"/>
    </row>
    <row r="912" ht="15.75" customHeight="1">
      <c r="A912" s="94"/>
      <c r="B912" s="94"/>
      <c r="C912" s="1164"/>
      <c r="D912" s="1429"/>
      <c r="E912" s="1429"/>
      <c r="F912" s="1434"/>
      <c r="G912" s="94"/>
      <c r="H912" s="94"/>
      <c r="I912" s="94"/>
      <c r="J912" s="1164"/>
      <c r="K912" s="94"/>
      <c r="L912" s="94"/>
      <c r="M912" s="94"/>
      <c r="N912" s="94"/>
      <c r="O912" s="94"/>
      <c r="P912" s="94"/>
      <c r="Q912" s="1431"/>
      <c r="R912" s="1164"/>
      <c r="S912" s="1164"/>
      <c r="T912" s="1164"/>
      <c r="U912" s="94"/>
      <c r="V912" s="94"/>
      <c r="W912" s="94"/>
      <c r="X912" s="1164"/>
    </row>
    <row r="913" ht="15.75" customHeight="1">
      <c r="A913" s="94"/>
      <c r="B913" s="94"/>
      <c r="C913" s="1164"/>
      <c r="D913" s="1429"/>
      <c r="E913" s="1429"/>
      <c r="F913" s="1434"/>
      <c r="G913" s="1429"/>
      <c r="H913" s="1430"/>
      <c r="I913" s="94"/>
      <c r="J913" s="1164"/>
      <c r="K913" s="94"/>
      <c r="L913" s="94"/>
      <c r="M913" s="1430"/>
      <c r="N913" s="94"/>
      <c r="O913" s="1430"/>
      <c r="P913" s="94"/>
      <c r="Q913" s="1431"/>
      <c r="R913" s="1164"/>
      <c r="S913" s="1164"/>
      <c r="T913" s="1164"/>
      <c r="U913" s="2174"/>
      <c r="V913" s="2174"/>
      <c r="W913" s="94"/>
      <c r="X913" s="1164"/>
    </row>
    <row r="914" ht="15.75" customHeight="1">
      <c r="A914" s="94"/>
      <c r="B914" s="94"/>
      <c r="C914" s="1164"/>
      <c r="D914" s="1429"/>
      <c r="E914" s="1429"/>
      <c r="F914" s="1434"/>
      <c r="G914" s="1429"/>
      <c r="H914" s="1430"/>
      <c r="I914" s="1430"/>
      <c r="J914" s="1164"/>
      <c r="K914" s="94"/>
      <c r="L914" s="94"/>
      <c r="M914" s="1430"/>
      <c r="N914" s="94"/>
      <c r="O914" s="1430"/>
      <c r="P914" s="94"/>
      <c r="Q914" s="1431"/>
      <c r="R914" s="1164"/>
      <c r="S914" s="1164"/>
      <c r="T914" s="1164"/>
      <c r="U914" s="2174"/>
      <c r="V914" s="2174"/>
      <c r="W914" s="2174"/>
      <c r="X914" s="1164"/>
    </row>
    <row r="915" ht="15.75" customHeight="1">
      <c r="A915" s="94"/>
      <c r="B915" s="94"/>
      <c r="C915" s="1164"/>
      <c r="D915" s="1429"/>
      <c r="E915" s="1429"/>
      <c r="F915" s="1434"/>
      <c r="G915" s="1429"/>
      <c r="H915" s="1430"/>
      <c r="I915" s="1430"/>
      <c r="J915" s="1164"/>
      <c r="K915" s="94"/>
      <c r="L915" s="94"/>
      <c r="M915" s="1430"/>
      <c r="N915" s="94"/>
      <c r="O915" s="1430"/>
      <c r="P915" s="94"/>
      <c r="Q915" s="1431"/>
      <c r="R915" s="1164"/>
      <c r="S915" s="1164"/>
      <c r="T915" s="1164"/>
      <c r="U915" s="2174"/>
      <c r="V915" s="2174"/>
      <c r="W915" s="2174"/>
      <c r="X915" s="1164"/>
    </row>
    <row r="916" ht="15.75" customHeight="1">
      <c r="A916" s="94"/>
      <c r="B916" s="94"/>
      <c r="C916" s="1164"/>
      <c r="D916" s="1429"/>
      <c r="E916" s="1429"/>
      <c r="F916" s="1434"/>
      <c r="G916" s="1429"/>
      <c r="H916" s="1430"/>
      <c r="I916" s="94"/>
      <c r="J916" s="1164"/>
      <c r="K916" s="94"/>
      <c r="L916" s="94"/>
      <c r="M916" s="1430"/>
      <c r="N916" s="94"/>
      <c r="O916" s="1430"/>
      <c r="P916" s="94"/>
      <c r="Q916" s="1431"/>
      <c r="R916" s="1164"/>
      <c r="S916" s="1164"/>
      <c r="T916" s="1164"/>
      <c r="U916" s="2174"/>
      <c r="V916" s="2174"/>
      <c r="W916" s="94"/>
      <c r="X916" s="1164"/>
    </row>
    <row r="917" ht="15.75" customHeight="1">
      <c r="A917" s="94"/>
      <c r="B917" s="94"/>
      <c r="C917" s="1164"/>
      <c r="D917" s="1429"/>
      <c r="E917" s="1429"/>
      <c r="F917" s="1434"/>
      <c r="G917" s="1429"/>
      <c r="H917" s="1430"/>
      <c r="I917" s="1430"/>
      <c r="J917" s="1164"/>
      <c r="K917" s="94"/>
      <c r="L917" s="94"/>
      <c r="M917" s="1430"/>
      <c r="N917" s="94"/>
      <c r="O917" s="1430"/>
      <c r="P917" s="94"/>
      <c r="Q917" s="1431"/>
      <c r="R917" s="1164"/>
      <c r="S917" s="1164"/>
      <c r="T917" s="1164"/>
      <c r="U917" s="2174"/>
      <c r="V917" s="2174"/>
      <c r="W917" s="2174"/>
      <c r="X917" s="1164"/>
    </row>
    <row r="918" ht="15.75" customHeight="1">
      <c r="A918" s="94"/>
      <c r="B918" s="94"/>
      <c r="C918" s="1164"/>
      <c r="D918" s="1429"/>
      <c r="E918" s="1429"/>
      <c r="F918" s="1429"/>
      <c r="G918" s="1429"/>
      <c r="H918" s="1430"/>
      <c r="I918" s="1430"/>
      <c r="J918" s="1164"/>
      <c r="K918" s="94"/>
      <c r="L918" s="94"/>
      <c r="M918" s="94"/>
      <c r="N918" s="94"/>
      <c r="O918" s="1430"/>
      <c r="P918" s="94"/>
      <c r="Q918" s="1431"/>
      <c r="R918" s="1164"/>
      <c r="S918" s="1164"/>
      <c r="T918" s="1164"/>
      <c r="U918" s="2174"/>
      <c r="V918" s="2174"/>
      <c r="W918" s="2174"/>
      <c r="X918" s="1164"/>
    </row>
    <row r="919" ht="15.75" customHeight="1">
      <c r="A919" s="94"/>
      <c r="B919" s="94"/>
      <c r="C919" s="1164"/>
      <c r="D919" s="1429"/>
      <c r="E919" s="1429"/>
      <c r="F919" s="1429"/>
      <c r="G919" s="1429"/>
      <c r="H919" s="1430"/>
      <c r="I919" s="94"/>
      <c r="J919" s="1164"/>
      <c r="K919" s="94"/>
      <c r="L919" s="94"/>
      <c r="M919" s="1430"/>
      <c r="N919" s="94"/>
      <c r="O919" s="1430"/>
      <c r="P919" s="94"/>
      <c r="Q919" s="1431"/>
      <c r="R919" s="1164"/>
      <c r="S919" s="1164"/>
      <c r="T919" s="1164"/>
      <c r="U919" s="2174"/>
      <c r="V919" s="2174"/>
      <c r="W919" s="94"/>
      <c r="X919" s="1164"/>
    </row>
    <row r="920" ht="15.75" customHeight="1">
      <c r="A920" s="94"/>
      <c r="B920" s="94"/>
      <c r="C920" s="1164"/>
      <c r="D920" s="1429"/>
      <c r="E920" s="1429"/>
      <c r="F920" s="1429"/>
      <c r="G920" s="1429"/>
      <c r="H920" s="1430"/>
      <c r="I920" s="1430"/>
      <c r="J920" s="1164"/>
      <c r="K920" s="94"/>
      <c r="L920" s="94"/>
      <c r="M920" s="1430"/>
      <c r="N920" s="94"/>
      <c r="O920" s="1430"/>
      <c r="P920" s="94"/>
      <c r="Q920" s="1431"/>
      <c r="R920" s="1164"/>
      <c r="S920" s="1164"/>
      <c r="T920" s="1164"/>
      <c r="U920" s="2174"/>
      <c r="V920" s="2174"/>
      <c r="W920" s="2174"/>
      <c r="X920" s="1164"/>
    </row>
    <row r="921" ht="15.75" customHeight="1">
      <c r="A921" s="94"/>
      <c r="B921" s="94"/>
      <c r="C921" s="1164"/>
      <c r="D921" s="1429"/>
      <c r="E921" s="1429"/>
      <c r="F921" s="1429"/>
      <c r="G921" s="1429"/>
      <c r="H921" s="1430"/>
      <c r="I921" s="94"/>
      <c r="J921" s="1164"/>
      <c r="K921" s="94"/>
      <c r="L921" s="94"/>
      <c r="M921" s="1430"/>
      <c r="N921" s="94"/>
      <c r="O921" s="1430"/>
      <c r="P921" s="94"/>
      <c r="Q921" s="1431"/>
      <c r="R921" s="1164"/>
      <c r="S921" s="1164"/>
      <c r="T921" s="1164"/>
      <c r="U921" s="2174"/>
      <c r="V921" s="2174"/>
      <c r="W921" s="94"/>
      <c r="X921" s="1164"/>
    </row>
    <row r="922" ht="15.75" customHeight="1">
      <c r="A922" s="94"/>
      <c r="B922" s="94"/>
      <c r="C922" s="1164"/>
      <c r="D922" s="1429"/>
      <c r="E922" s="1429"/>
      <c r="F922" s="1429"/>
      <c r="G922" s="1429"/>
      <c r="H922" s="1430"/>
      <c r="I922" s="94"/>
      <c r="J922" s="1164"/>
      <c r="K922" s="94"/>
      <c r="L922" s="94"/>
      <c r="M922" s="94"/>
      <c r="N922" s="94"/>
      <c r="O922" s="94"/>
      <c r="P922" s="94"/>
      <c r="Q922" s="1431"/>
      <c r="R922" s="1164"/>
      <c r="S922" s="1164"/>
      <c r="T922" s="1164"/>
      <c r="U922" s="2174"/>
      <c r="V922" s="2174"/>
      <c r="W922" s="94"/>
      <c r="X922" s="1164"/>
    </row>
    <row r="923" ht="15.75" customHeight="1">
      <c r="A923" s="94"/>
      <c r="B923" s="94"/>
      <c r="C923" s="1164"/>
      <c r="D923" s="1429"/>
      <c r="E923" s="1429"/>
      <c r="F923" s="1429"/>
      <c r="G923" s="1429"/>
      <c r="H923" s="1430"/>
      <c r="I923" s="94"/>
      <c r="J923" s="1164"/>
      <c r="K923" s="94"/>
      <c r="L923" s="94"/>
      <c r="M923" s="1430"/>
      <c r="N923" s="94"/>
      <c r="O923" s="1430"/>
      <c r="P923" s="94"/>
      <c r="Q923" s="1431"/>
      <c r="R923" s="1164"/>
      <c r="S923" s="1164"/>
      <c r="T923" s="1164"/>
      <c r="U923" s="2174"/>
      <c r="V923" s="2174"/>
      <c r="W923" s="94"/>
      <c r="X923" s="1164"/>
    </row>
    <row r="924" ht="15.75" customHeight="1">
      <c r="A924" s="94"/>
      <c r="B924" s="94"/>
      <c r="C924" s="1164"/>
      <c r="D924" s="1429"/>
      <c r="E924" s="1429"/>
      <c r="F924" s="1429"/>
      <c r="G924" s="1429"/>
      <c r="H924" s="1430"/>
      <c r="I924" s="94"/>
      <c r="J924" s="1164"/>
      <c r="K924" s="94"/>
      <c r="L924" s="94"/>
      <c r="M924" s="94"/>
      <c r="N924" s="94"/>
      <c r="O924" s="94"/>
      <c r="P924" s="94"/>
      <c r="Q924" s="1431"/>
      <c r="R924" s="1164"/>
      <c r="S924" s="1164"/>
      <c r="T924" s="1164"/>
      <c r="U924" s="94"/>
      <c r="V924" s="94"/>
      <c r="W924" s="94"/>
      <c r="X924" s="1164"/>
    </row>
    <row r="925" ht="15.75" customHeight="1">
      <c r="A925" s="94"/>
      <c r="B925" s="94"/>
      <c r="C925" s="1164"/>
      <c r="D925" s="1429"/>
      <c r="E925" s="1429"/>
      <c r="F925" s="1429"/>
      <c r="G925" s="1429"/>
      <c r="H925" s="1430"/>
      <c r="I925" s="94"/>
      <c r="J925" s="1164"/>
      <c r="K925" s="94"/>
      <c r="L925" s="94"/>
      <c r="M925" s="1430"/>
      <c r="N925" s="94"/>
      <c r="O925" s="1430"/>
      <c r="P925" s="94"/>
      <c r="Q925" s="1431"/>
      <c r="R925" s="1164"/>
      <c r="S925" s="1164"/>
      <c r="T925" s="1164"/>
      <c r="U925" s="2174"/>
      <c r="V925" s="2174"/>
      <c r="W925" s="94"/>
      <c r="X925" s="1164"/>
    </row>
    <row r="926" ht="15.75" customHeight="1">
      <c r="A926" s="94"/>
      <c r="B926" s="94"/>
      <c r="C926" s="1164"/>
      <c r="D926" s="1429"/>
      <c r="E926" s="1429"/>
      <c r="F926" s="1429"/>
      <c r="G926" s="1429"/>
      <c r="H926" s="1430"/>
      <c r="I926" s="94"/>
      <c r="J926" s="1164"/>
      <c r="K926" s="94"/>
      <c r="L926" s="94"/>
      <c r="M926" s="1430"/>
      <c r="N926" s="94"/>
      <c r="O926" s="1430"/>
      <c r="P926" s="94"/>
      <c r="Q926" s="1431"/>
      <c r="R926" s="1164"/>
      <c r="S926" s="1164"/>
      <c r="T926" s="1164"/>
      <c r="U926" s="2174"/>
      <c r="V926" s="2174"/>
      <c r="W926" s="94"/>
      <c r="X926" s="1164"/>
    </row>
    <row r="927" ht="15.75" customHeight="1">
      <c r="A927" s="94"/>
      <c r="B927" s="94"/>
      <c r="C927" s="1164"/>
      <c r="D927" s="1429"/>
      <c r="E927" s="1429"/>
      <c r="F927" s="1429"/>
      <c r="G927" s="1429"/>
      <c r="H927" s="1430"/>
      <c r="I927" s="94"/>
      <c r="J927" s="1164"/>
      <c r="K927" s="94"/>
      <c r="L927" s="94"/>
      <c r="M927" s="1430"/>
      <c r="N927" s="94"/>
      <c r="O927" s="1430"/>
      <c r="P927" s="94"/>
      <c r="Q927" s="1431"/>
      <c r="R927" s="1164"/>
      <c r="S927" s="1164"/>
      <c r="T927" s="1164"/>
      <c r="U927" s="2174"/>
      <c r="V927" s="2174"/>
      <c r="W927" s="94"/>
      <c r="X927" s="1164"/>
    </row>
    <row r="928" ht="15.75" customHeight="1">
      <c r="A928" s="94"/>
      <c r="B928" s="94"/>
      <c r="C928" s="1164"/>
      <c r="D928" s="1429"/>
      <c r="E928" s="1429"/>
      <c r="F928" s="1429"/>
      <c r="G928" s="1429"/>
      <c r="H928" s="1430"/>
      <c r="I928" s="94"/>
      <c r="J928" s="1164"/>
      <c r="K928" s="94"/>
      <c r="L928" s="94"/>
      <c r="M928" s="1430"/>
      <c r="N928" s="94"/>
      <c r="O928" s="1430"/>
      <c r="P928" s="94"/>
      <c r="Q928" s="1431"/>
      <c r="R928" s="1164"/>
      <c r="S928" s="1164"/>
      <c r="T928" s="1164"/>
      <c r="U928" s="2174"/>
      <c r="V928" s="2174"/>
      <c r="W928" s="94"/>
      <c r="X928" s="1164"/>
    </row>
    <row r="929" ht="15.75" customHeight="1">
      <c r="A929" s="94"/>
      <c r="B929" s="94"/>
      <c r="C929" s="1164"/>
      <c r="D929" s="1429"/>
      <c r="E929" s="1429"/>
      <c r="F929" s="1429"/>
      <c r="G929" s="1429"/>
      <c r="H929" s="1430"/>
      <c r="I929" s="94"/>
      <c r="J929" s="1164"/>
      <c r="K929" s="94"/>
      <c r="L929" s="94"/>
      <c r="M929" s="1430"/>
      <c r="N929" s="94"/>
      <c r="O929" s="1430"/>
      <c r="P929" s="94"/>
      <c r="Q929" s="1431"/>
      <c r="R929" s="1164"/>
      <c r="S929" s="1164"/>
      <c r="T929" s="1164"/>
      <c r="U929" s="2174"/>
      <c r="V929" s="2174"/>
      <c r="W929" s="94"/>
      <c r="X929" s="1164"/>
    </row>
    <row r="930" ht="15.75" customHeight="1">
      <c r="A930" s="94"/>
      <c r="B930" s="94"/>
      <c r="C930" s="1164"/>
      <c r="D930" s="1429"/>
      <c r="E930" s="1429"/>
      <c r="F930" s="1429"/>
      <c r="G930" s="1429"/>
      <c r="H930" s="1430"/>
      <c r="I930" s="1430"/>
      <c r="J930" s="1164"/>
      <c r="K930" s="94"/>
      <c r="L930" s="94"/>
      <c r="M930" s="1430"/>
      <c r="N930" s="94"/>
      <c r="O930" s="1430"/>
      <c r="P930" s="94"/>
      <c r="Q930" s="1431"/>
      <c r="R930" s="1164"/>
      <c r="S930" s="1164"/>
      <c r="T930" s="1164"/>
      <c r="U930" s="2174"/>
      <c r="V930" s="2174"/>
      <c r="W930" s="2174"/>
      <c r="X930" s="1164"/>
    </row>
    <row r="931" ht="15.75" customHeight="1">
      <c r="A931" s="94"/>
      <c r="B931" s="94"/>
      <c r="C931" s="1164"/>
      <c r="D931" s="1429"/>
      <c r="E931" s="1429"/>
      <c r="F931" s="1429"/>
      <c r="G931" s="1429"/>
      <c r="H931" s="1430"/>
      <c r="I931" s="1430"/>
      <c r="J931" s="1164"/>
      <c r="K931" s="94"/>
      <c r="L931" s="94"/>
      <c r="M931" s="1430"/>
      <c r="N931" s="94"/>
      <c r="O931" s="1430"/>
      <c r="P931" s="94"/>
      <c r="Q931" s="1431"/>
      <c r="R931" s="1164"/>
      <c r="S931" s="1164"/>
      <c r="T931" s="1164"/>
      <c r="U931" s="2174"/>
      <c r="V931" s="2174"/>
      <c r="W931" s="2174"/>
      <c r="X931" s="1164"/>
    </row>
    <row r="932" ht="15.75" customHeight="1">
      <c r="A932" s="94"/>
      <c r="B932" s="94"/>
      <c r="C932" s="1164"/>
      <c r="D932" s="1429"/>
      <c r="E932" s="1429"/>
      <c r="F932" s="1429"/>
      <c r="G932" s="1429"/>
      <c r="H932" s="1430"/>
      <c r="I932" s="1430"/>
      <c r="J932" s="1164"/>
      <c r="K932" s="94"/>
      <c r="L932" s="94"/>
      <c r="M932" s="1430"/>
      <c r="N932" s="94"/>
      <c r="O932" s="1430"/>
      <c r="P932" s="94"/>
      <c r="Q932" s="1431"/>
      <c r="R932" s="1164"/>
      <c r="S932" s="1164"/>
      <c r="T932" s="1164"/>
      <c r="U932" s="2174"/>
      <c r="V932" s="2174"/>
      <c r="W932" s="2174"/>
      <c r="X932" s="1164"/>
    </row>
    <row r="933" ht="15.75" customHeight="1">
      <c r="A933" s="94"/>
      <c r="B933" s="94"/>
      <c r="C933" s="1164"/>
      <c r="D933" s="1429"/>
      <c r="E933" s="1429"/>
      <c r="F933" s="1429"/>
      <c r="G933" s="1429"/>
      <c r="H933" s="1430"/>
      <c r="I933" s="1430"/>
      <c r="J933" s="1164"/>
      <c r="K933" s="94"/>
      <c r="L933" s="94"/>
      <c r="M933" s="1430"/>
      <c r="N933" s="94"/>
      <c r="O933" s="1430"/>
      <c r="P933" s="94"/>
      <c r="Q933" s="1431"/>
      <c r="R933" s="1164"/>
      <c r="S933" s="1164"/>
      <c r="T933" s="1164"/>
      <c r="U933" s="2174"/>
      <c r="V933" s="2174"/>
      <c r="W933" s="2174"/>
      <c r="X933" s="1164"/>
    </row>
    <row r="934" ht="15.75" customHeight="1">
      <c r="A934" s="94"/>
      <c r="B934" s="94"/>
      <c r="C934" s="1164"/>
      <c r="D934" s="1429"/>
      <c r="E934" s="1429"/>
      <c r="F934" s="1429"/>
      <c r="G934" s="1429"/>
      <c r="H934" s="1430"/>
      <c r="I934" s="1430"/>
      <c r="J934" s="1164"/>
      <c r="K934" s="94"/>
      <c r="L934" s="94"/>
      <c r="M934" s="1430"/>
      <c r="N934" s="94"/>
      <c r="O934" s="1430"/>
      <c r="P934" s="94"/>
      <c r="Q934" s="1431"/>
      <c r="R934" s="1164"/>
      <c r="S934" s="1164"/>
      <c r="T934" s="1164"/>
      <c r="U934" s="2174"/>
      <c r="V934" s="2174"/>
      <c r="W934" s="2174"/>
      <c r="X934" s="1164"/>
    </row>
    <row r="935" ht="15.75" customHeight="1">
      <c r="A935" s="94"/>
      <c r="B935" s="94"/>
      <c r="C935" s="1164"/>
      <c r="D935" s="1429"/>
      <c r="E935" s="1429"/>
      <c r="F935" s="1429"/>
      <c r="G935" s="1429"/>
      <c r="H935" s="1430"/>
      <c r="I935" s="1430"/>
      <c r="J935" s="1164"/>
      <c r="K935" s="94"/>
      <c r="L935" s="94"/>
      <c r="M935" s="94"/>
      <c r="N935" s="94"/>
      <c r="O935" s="94"/>
      <c r="P935" s="94"/>
      <c r="Q935" s="1431"/>
      <c r="R935" s="1164"/>
      <c r="S935" s="1164"/>
      <c r="T935" s="1164"/>
      <c r="U935" s="2174"/>
      <c r="V935" s="2174"/>
      <c r="W935" s="2174"/>
      <c r="X935" s="1164"/>
    </row>
    <row r="936" ht="15.75" customHeight="1">
      <c r="A936" s="94"/>
      <c r="B936" s="94"/>
      <c r="C936" s="1164"/>
      <c r="D936" s="1429"/>
      <c r="E936" s="1429"/>
      <c r="F936" s="1429"/>
      <c r="G936" s="1429"/>
      <c r="H936" s="1430"/>
      <c r="I936" s="94"/>
      <c r="J936" s="1164"/>
      <c r="K936" s="94"/>
      <c r="L936" s="94"/>
      <c r="M936" s="94"/>
      <c r="N936" s="94"/>
      <c r="O936" s="94"/>
      <c r="P936" s="94"/>
      <c r="Q936" s="1431"/>
      <c r="R936" s="1164"/>
      <c r="S936" s="1164"/>
      <c r="T936" s="1164"/>
      <c r="U936" s="2174"/>
      <c r="V936" s="2174"/>
      <c r="W936" s="94"/>
      <c r="X936" s="1164"/>
    </row>
    <row r="937" ht="15.75" customHeight="1">
      <c r="A937" s="94"/>
      <c r="B937" s="94"/>
      <c r="C937" s="1164"/>
      <c r="D937" s="1429"/>
      <c r="E937" s="1429"/>
      <c r="F937" s="1429"/>
      <c r="G937" s="1429"/>
      <c r="H937" s="1430"/>
      <c r="I937" s="1430"/>
      <c r="J937" s="1164"/>
      <c r="K937" s="94"/>
      <c r="L937" s="94"/>
      <c r="M937" s="1430"/>
      <c r="N937" s="94"/>
      <c r="O937" s="1430"/>
      <c r="P937" s="94"/>
      <c r="Q937" s="1431"/>
      <c r="R937" s="1164"/>
      <c r="S937" s="1164"/>
      <c r="T937" s="1164"/>
      <c r="U937" s="2174"/>
      <c r="V937" s="2174"/>
      <c r="W937" s="2174"/>
      <c r="X937" s="1164"/>
    </row>
    <row r="938" ht="15.75" customHeight="1">
      <c r="A938" s="94"/>
      <c r="B938" s="94"/>
      <c r="C938" s="1164"/>
      <c r="D938" s="1429"/>
      <c r="E938" s="1429"/>
      <c r="F938" s="1429"/>
      <c r="G938" s="1429"/>
      <c r="H938" s="1430"/>
      <c r="I938" s="94"/>
      <c r="J938" s="1164"/>
      <c r="K938" s="94"/>
      <c r="L938" s="94"/>
      <c r="M938" s="1430"/>
      <c r="N938" s="94"/>
      <c r="O938" s="1430"/>
      <c r="P938" s="94"/>
      <c r="Q938" s="1431"/>
      <c r="R938" s="1164"/>
      <c r="S938" s="1164"/>
      <c r="T938" s="1164"/>
      <c r="U938" s="2174"/>
      <c r="V938" s="2174"/>
      <c r="W938" s="94"/>
      <c r="X938" s="1164"/>
    </row>
    <row r="939" ht="15.75" customHeight="1">
      <c r="A939" s="94"/>
      <c r="B939" s="94"/>
      <c r="C939" s="1164"/>
      <c r="D939" s="1429"/>
      <c r="E939" s="1429"/>
      <c r="F939" s="1429"/>
      <c r="G939" s="1429"/>
      <c r="H939" s="1430"/>
      <c r="I939" s="1430"/>
      <c r="J939" s="1164"/>
      <c r="K939" s="94"/>
      <c r="L939" s="94"/>
      <c r="M939" s="1430"/>
      <c r="N939" s="94"/>
      <c r="O939" s="1430"/>
      <c r="P939" s="94"/>
      <c r="Q939" s="1431"/>
      <c r="R939" s="1164"/>
      <c r="S939" s="1164"/>
      <c r="T939" s="1164"/>
      <c r="U939" s="2174"/>
      <c r="V939" s="2174"/>
      <c r="W939" s="2174"/>
      <c r="X939" s="1164"/>
    </row>
    <row r="940" ht="15.75" customHeight="1">
      <c r="A940" s="94"/>
      <c r="B940" s="94"/>
      <c r="C940" s="1164"/>
      <c r="D940" s="1429"/>
      <c r="E940" s="1429"/>
      <c r="F940" s="1429"/>
      <c r="G940" s="1429"/>
      <c r="H940" s="1430"/>
      <c r="I940" s="1430"/>
      <c r="J940" s="1164"/>
      <c r="K940" s="94"/>
      <c r="L940" s="94"/>
      <c r="M940" s="1430"/>
      <c r="N940" s="94"/>
      <c r="O940" s="1430"/>
      <c r="P940" s="94"/>
      <c r="Q940" s="1431"/>
      <c r="R940" s="1164"/>
      <c r="S940" s="1164"/>
      <c r="T940" s="1164"/>
      <c r="U940" s="2174"/>
      <c r="V940" s="2174"/>
      <c r="W940" s="2174"/>
      <c r="X940" s="1164"/>
    </row>
    <row r="941" ht="15.75" customHeight="1">
      <c r="A941" s="94"/>
      <c r="B941" s="94"/>
      <c r="C941" s="1164"/>
      <c r="D941" s="1429"/>
      <c r="E941" s="1429"/>
      <c r="F941" s="1429"/>
      <c r="G941" s="1429"/>
      <c r="H941" s="1430"/>
      <c r="I941" s="1430"/>
      <c r="J941" s="1164"/>
      <c r="K941" s="94"/>
      <c r="L941" s="94"/>
      <c r="M941" s="1430"/>
      <c r="N941" s="94"/>
      <c r="O941" s="1430"/>
      <c r="P941" s="94"/>
      <c r="Q941" s="1431"/>
      <c r="R941" s="1164"/>
      <c r="S941" s="1164"/>
      <c r="T941" s="1164"/>
      <c r="U941" s="2174"/>
      <c r="V941" s="2174"/>
      <c r="W941" s="2174"/>
      <c r="X941" s="1164"/>
    </row>
    <row r="942" ht="15.75" customHeight="1">
      <c r="A942" s="94"/>
      <c r="B942" s="94"/>
      <c r="C942" s="1164"/>
      <c r="D942" s="1429"/>
      <c r="E942" s="1429"/>
      <c r="F942" s="1429"/>
      <c r="G942" s="1429"/>
      <c r="H942" s="1430"/>
      <c r="I942" s="94"/>
      <c r="J942" s="1164"/>
      <c r="K942" s="94"/>
      <c r="L942" s="94"/>
      <c r="M942" s="1430"/>
      <c r="N942" s="94"/>
      <c r="O942" s="1430"/>
      <c r="P942" s="94"/>
      <c r="Q942" s="1431"/>
      <c r="R942" s="1164"/>
      <c r="S942" s="1164"/>
      <c r="T942" s="1164"/>
      <c r="U942" s="2174"/>
      <c r="V942" s="2174"/>
      <c r="W942" s="94"/>
      <c r="X942" s="1164"/>
    </row>
    <row r="943" ht="15.75" customHeight="1">
      <c r="A943" s="94"/>
      <c r="B943" s="94"/>
      <c r="C943" s="1164"/>
      <c r="D943" s="1429"/>
      <c r="E943" s="1429"/>
      <c r="F943" s="1429"/>
      <c r="G943" s="1429"/>
      <c r="H943" s="1430"/>
      <c r="I943" s="1430"/>
      <c r="J943" s="1164"/>
      <c r="K943" s="94"/>
      <c r="L943" s="94"/>
      <c r="M943" s="1430"/>
      <c r="N943" s="94"/>
      <c r="O943" s="1430"/>
      <c r="P943" s="94"/>
      <c r="Q943" s="1431"/>
      <c r="R943" s="1164"/>
      <c r="S943" s="1164"/>
      <c r="T943" s="1164"/>
      <c r="U943" s="2174"/>
      <c r="V943" s="2174"/>
      <c r="W943" s="2174"/>
      <c r="X943" s="1164"/>
    </row>
    <row r="944" ht="15.75" customHeight="1">
      <c r="A944" s="94"/>
      <c r="B944" s="94"/>
      <c r="C944" s="1164"/>
      <c r="D944" s="1429"/>
      <c r="E944" s="1429"/>
      <c r="F944" s="1429"/>
      <c r="G944" s="1429"/>
      <c r="H944" s="1430"/>
      <c r="I944" s="1430"/>
      <c r="J944" s="1164"/>
      <c r="K944" s="94"/>
      <c r="L944" s="94"/>
      <c r="M944" s="1430"/>
      <c r="N944" s="94"/>
      <c r="O944" s="1430"/>
      <c r="P944" s="94"/>
      <c r="Q944" s="1431"/>
      <c r="R944" s="1164"/>
      <c r="S944" s="1164"/>
      <c r="T944" s="1164"/>
      <c r="U944" s="2174"/>
      <c r="V944" s="2174"/>
      <c r="W944" s="2174"/>
      <c r="X944" s="1164"/>
    </row>
    <row r="945" ht="15.75" customHeight="1">
      <c r="A945" s="94"/>
      <c r="B945" s="94"/>
      <c r="C945" s="1164"/>
      <c r="D945" s="1429"/>
      <c r="E945" s="1429"/>
      <c r="F945" s="1435"/>
      <c r="G945" s="1429"/>
      <c r="H945" s="1430"/>
      <c r="I945" s="1430"/>
      <c r="J945" s="1164"/>
      <c r="K945" s="94"/>
      <c r="L945" s="94"/>
      <c r="M945" s="1430"/>
      <c r="N945" s="94"/>
      <c r="O945" s="1430"/>
      <c r="P945" s="94"/>
      <c r="Q945" s="1431"/>
      <c r="R945" s="1164"/>
      <c r="S945" s="1164"/>
      <c r="T945" s="1164"/>
      <c r="U945" s="2174"/>
      <c r="V945" s="2174"/>
      <c r="W945" s="2174"/>
      <c r="X945" s="1164"/>
    </row>
    <row r="946" ht="15.75" customHeight="1">
      <c r="A946" s="94"/>
      <c r="B946" s="94"/>
      <c r="C946" s="1164"/>
      <c r="D946" s="1429"/>
      <c r="E946" s="1429"/>
      <c r="F946" s="1434"/>
      <c r="G946" s="1429"/>
      <c r="H946" s="1430"/>
      <c r="I946" s="1430"/>
      <c r="J946" s="1164"/>
      <c r="K946" s="94"/>
      <c r="L946" s="94"/>
      <c r="M946" s="94"/>
      <c r="N946" s="94"/>
      <c r="O946" s="94"/>
      <c r="P946" s="94"/>
      <c r="Q946" s="1431"/>
      <c r="R946" s="1164"/>
      <c r="S946" s="1164"/>
      <c r="T946" s="1164"/>
      <c r="U946" s="94"/>
      <c r="V946" s="94"/>
      <c r="W946" s="94"/>
      <c r="X946" s="1164"/>
    </row>
    <row r="947" ht="15.75" customHeight="1">
      <c r="A947" s="94"/>
      <c r="B947" s="94"/>
      <c r="C947" s="1164"/>
      <c r="D947" s="1429"/>
      <c r="E947" s="1429"/>
      <c r="F947" s="1435"/>
      <c r="G947" s="1429"/>
      <c r="H947" s="1430"/>
      <c r="I947" s="94"/>
      <c r="J947" s="1164"/>
      <c r="K947" s="94"/>
      <c r="L947" s="94"/>
      <c r="M947" s="1430"/>
      <c r="N947" s="94"/>
      <c r="O947" s="1430"/>
      <c r="P947" s="94"/>
      <c r="Q947" s="1431"/>
      <c r="R947" s="1164"/>
      <c r="S947" s="1164"/>
      <c r="T947" s="1164"/>
      <c r="U947" s="2174"/>
      <c r="V947" s="2174"/>
      <c r="W947" s="94"/>
      <c r="X947" s="1164"/>
    </row>
    <row r="948" ht="15.75" customHeight="1">
      <c r="A948" s="94"/>
      <c r="B948" s="94"/>
      <c r="C948" s="1164"/>
      <c r="D948" s="1429"/>
      <c r="E948" s="1429"/>
      <c r="F948" s="1435"/>
      <c r="G948" s="1429"/>
      <c r="H948" s="1430"/>
      <c r="I948" s="94"/>
      <c r="J948" s="1164"/>
      <c r="K948" s="94"/>
      <c r="L948" s="94"/>
      <c r="M948" s="1430"/>
      <c r="N948" s="94"/>
      <c r="O948" s="1430"/>
      <c r="P948" s="94"/>
      <c r="Q948" s="1431"/>
      <c r="R948" s="1164"/>
      <c r="S948" s="1164"/>
      <c r="T948" s="1164"/>
      <c r="U948" s="2174"/>
      <c r="V948" s="2174"/>
      <c r="W948" s="94"/>
      <c r="X948" s="1164"/>
    </row>
    <row r="949" ht="15.75" customHeight="1">
      <c r="A949" s="94"/>
      <c r="B949" s="94"/>
      <c r="C949" s="1164"/>
      <c r="D949" s="1429"/>
      <c r="E949" s="1429"/>
      <c r="F949" s="1435"/>
      <c r="G949" s="1429"/>
      <c r="H949" s="1430"/>
      <c r="I949" s="94"/>
      <c r="J949" s="1164"/>
      <c r="K949" s="94"/>
      <c r="L949" s="94"/>
      <c r="M949" s="94"/>
      <c r="N949" s="94"/>
      <c r="O949" s="94"/>
      <c r="P949" s="94"/>
      <c r="Q949" s="1431"/>
      <c r="R949" s="1164"/>
      <c r="S949" s="1164"/>
      <c r="T949" s="1164"/>
      <c r="U949" s="2174"/>
      <c r="V949" s="2174"/>
      <c r="W949" s="94"/>
      <c r="X949" s="1164"/>
    </row>
    <row r="950" ht="15.75" customHeight="1">
      <c r="A950" s="94"/>
      <c r="B950" s="94"/>
      <c r="C950" s="1164"/>
      <c r="D950" s="1429"/>
      <c r="E950" s="1429"/>
      <c r="F950" s="1435"/>
      <c r="G950" s="1429"/>
      <c r="H950" s="1430"/>
      <c r="I950" s="94"/>
      <c r="J950" s="1164"/>
      <c r="K950" s="94"/>
      <c r="L950" s="94"/>
      <c r="M950" s="94"/>
      <c r="N950" s="94"/>
      <c r="O950" s="94"/>
      <c r="P950" s="94"/>
      <c r="Q950" s="1431"/>
      <c r="R950" s="1164"/>
      <c r="S950" s="1164"/>
      <c r="T950" s="1164"/>
      <c r="U950" s="2174"/>
      <c r="V950" s="2174"/>
      <c r="W950" s="94"/>
      <c r="X950" s="1164"/>
    </row>
    <row r="951" ht="15.75" customHeight="1">
      <c r="A951" s="94"/>
      <c r="B951" s="94"/>
      <c r="C951" s="1164"/>
      <c r="D951" s="1429"/>
      <c r="E951" s="1429"/>
      <c r="F951" s="1429"/>
      <c r="G951" s="1429"/>
      <c r="H951" s="1430"/>
      <c r="I951" s="94"/>
      <c r="J951" s="1164"/>
      <c r="K951" s="94"/>
      <c r="L951" s="94"/>
      <c r="M951" s="94"/>
      <c r="N951" s="94"/>
      <c r="O951" s="94"/>
      <c r="P951" s="94"/>
      <c r="Q951" s="1431"/>
      <c r="R951" s="1164"/>
      <c r="S951" s="1164"/>
      <c r="T951" s="1164"/>
      <c r="U951" s="2174"/>
      <c r="V951" s="2174"/>
      <c r="W951" s="94"/>
      <c r="X951" s="1164"/>
    </row>
    <row r="952" ht="15.75" customHeight="1">
      <c r="A952" s="94"/>
      <c r="B952" s="94"/>
      <c r="C952" s="1164"/>
      <c r="D952" s="1429"/>
      <c r="E952" s="1429"/>
      <c r="F952" s="1429"/>
      <c r="G952" s="1429"/>
      <c r="H952" s="1430"/>
      <c r="I952" s="94"/>
      <c r="J952" s="1164"/>
      <c r="K952" s="94"/>
      <c r="L952" s="94"/>
      <c r="M952" s="1430"/>
      <c r="N952" s="94"/>
      <c r="O952" s="1430"/>
      <c r="P952" s="94"/>
      <c r="Q952" s="1431"/>
      <c r="R952" s="1164"/>
      <c r="S952" s="1164"/>
      <c r="T952" s="1164"/>
      <c r="U952" s="2174"/>
      <c r="V952" s="2174"/>
      <c r="W952" s="94"/>
      <c r="X952" s="1164"/>
    </row>
    <row r="953" ht="15.75" customHeight="1">
      <c r="A953" s="94"/>
      <c r="B953" s="94"/>
      <c r="C953" s="1164"/>
      <c r="D953" s="1429"/>
      <c r="E953" s="1429"/>
      <c r="F953" s="1429"/>
      <c r="G953" s="1429"/>
      <c r="H953" s="1430"/>
      <c r="I953" s="1430"/>
      <c r="J953" s="1164"/>
      <c r="K953" s="94"/>
      <c r="L953" s="94"/>
      <c r="M953" s="94"/>
      <c r="N953" s="94"/>
      <c r="O953" s="94"/>
      <c r="P953" s="94"/>
      <c r="Q953" s="1431"/>
      <c r="R953" s="1164"/>
      <c r="S953" s="1164"/>
      <c r="T953" s="1164"/>
      <c r="U953" s="2174"/>
      <c r="V953" s="2174"/>
      <c r="W953" s="2174"/>
      <c r="X953" s="1164"/>
    </row>
    <row r="954" ht="15.75" customHeight="1">
      <c r="A954" s="94"/>
      <c r="B954" s="94"/>
      <c r="C954" s="1164"/>
      <c r="D954" s="1429"/>
      <c r="E954" s="1429"/>
      <c r="F954" s="1429"/>
      <c r="G954" s="1429"/>
      <c r="H954" s="1430"/>
      <c r="I954" s="94"/>
      <c r="J954" s="1164"/>
      <c r="K954" s="94"/>
      <c r="L954" s="94"/>
      <c r="M954" s="1430"/>
      <c r="N954" s="94"/>
      <c r="O954" s="1430"/>
      <c r="P954" s="94"/>
      <c r="Q954" s="1431"/>
      <c r="R954" s="1164"/>
      <c r="S954" s="1164"/>
      <c r="T954" s="1164"/>
      <c r="U954" s="2174"/>
      <c r="V954" s="2174"/>
      <c r="W954" s="94"/>
      <c r="X954" s="1164"/>
    </row>
    <row r="955" ht="15.75" customHeight="1">
      <c r="A955" s="94"/>
      <c r="B955" s="94"/>
      <c r="C955" s="1164"/>
      <c r="D955" s="1429"/>
      <c r="E955" s="1429"/>
      <c r="F955" s="1429"/>
      <c r="G955" s="1429"/>
      <c r="H955" s="1430"/>
      <c r="I955" s="1430"/>
      <c r="J955" s="1164"/>
      <c r="K955" s="94"/>
      <c r="L955" s="94"/>
      <c r="M955" s="1430"/>
      <c r="N955" s="94"/>
      <c r="O955" s="1430"/>
      <c r="P955" s="94"/>
      <c r="Q955" s="1431"/>
      <c r="R955" s="1164"/>
      <c r="S955" s="1164"/>
      <c r="T955" s="1164"/>
      <c r="U955" s="2174"/>
      <c r="V955" s="2174"/>
      <c r="W955" s="2174"/>
      <c r="X955" s="1164"/>
    </row>
    <row r="956" ht="15.75" customHeight="1">
      <c r="A956" s="94"/>
      <c r="B956" s="94"/>
      <c r="C956" s="1164"/>
      <c r="D956" s="1429"/>
      <c r="E956" s="1429"/>
      <c r="F956" s="1429"/>
      <c r="G956" s="1429"/>
      <c r="H956" s="1430"/>
      <c r="I956" s="1430"/>
      <c r="J956" s="1164"/>
      <c r="K956" s="94"/>
      <c r="L956" s="94"/>
      <c r="M956" s="1430"/>
      <c r="N956" s="94"/>
      <c r="O956" s="1430"/>
      <c r="P956" s="94"/>
      <c r="Q956" s="1431"/>
      <c r="R956" s="1164"/>
      <c r="S956" s="1164"/>
      <c r="T956" s="1164"/>
      <c r="U956" s="2174"/>
      <c r="V956" s="2174"/>
      <c r="W956" s="2174"/>
      <c r="X956" s="1164"/>
    </row>
    <row r="957" ht="15.75" customHeight="1">
      <c r="A957" s="94"/>
      <c r="B957" s="94"/>
      <c r="C957" s="1164"/>
      <c r="D957" s="1429"/>
      <c r="E957" s="1429"/>
      <c r="F957" s="1429"/>
      <c r="G957" s="1429"/>
      <c r="H957" s="1430"/>
      <c r="I957" s="1430"/>
      <c r="J957" s="1164"/>
      <c r="K957" s="94"/>
      <c r="L957" s="94"/>
      <c r="M957" s="1430"/>
      <c r="N957" s="94"/>
      <c r="O957" s="1430"/>
      <c r="P957" s="94"/>
      <c r="Q957" s="1431"/>
      <c r="R957" s="1164"/>
      <c r="S957" s="1164"/>
      <c r="T957" s="1164"/>
      <c r="U957" s="2174"/>
      <c r="V957" s="2174"/>
      <c r="W957" s="2174"/>
      <c r="X957" s="1164"/>
    </row>
    <row r="958" ht="15.75" customHeight="1">
      <c r="A958" s="94"/>
      <c r="B958" s="94"/>
      <c r="C958" s="1164"/>
      <c r="D958" s="1429"/>
      <c r="E958" s="1429"/>
      <c r="F958" s="1429"/>
      <c r="G958" s="1429"/>
      <c r="H958" s="1430"/>
      <c r="I958" s="94"/>
      <c r="J958" s="1164"/>
      <c r="K958" s="94"/>
      <c r="L958" s="94"/>
      <c r="M958" s="1430"/>
      <c r="N958" s="94"/>
      <c r="O958" s="1430"/>
      <c r="P958" s="94"/>
      <c r="Q958" s="1431"/>
      <c r="R958" s="1164"/>
      <c r="S958" s="1164"/>
      <c r="T958" s="1164"/>
      <c r="U958" s="2174"/>
      <c r="V958" s="2174"/>
      <c r="W958" s="94"/>
      <c r="X958" s="1164"/>
    </row>
    <row r="959" ht="15.75" customHeight="1">
      <c r="A959" s="94"/>
      <c r="B959" s="94"/>
      <c r="C959" s="1164"/>
      <c r="D959" s="1429"/>
      <c r="E959" s="1429"/>
      <c r="F959" s="1429"/>
      <c r="G959" s="1429"/>
      <c r="H959" s="1430"/>
      <c r="I959" s="1430"/>
      <c r="J959" s="1164"/>
      <c r="K959" s="94"/>
      <c r="L959" s="94"/>
      <c r="M959" s="1430"/>
      <c r="N959" s="94"/>
      <c r="O959" s="1430"/>
      <c r="P959" s="94"/>
      <c r="Q959" s="1431"/>
      <c r="R959" s="1164"/>
      <c r="S959" s="1164"/>
      <c r="T959" s="1164"/>
      <c r="U959" s="2174"/>
      <c r="V959" s="2174"/>
      <c r="W959" s="2174"/>
      <c r="X959" s="1164"/>
    </row>
    <row r="960" ht="15.75" customHeight="1">
      <c r="A960" s="94"/>
      <c r="B960" s="94"/>
      <c r="C960" s="1164"/>
      <c r="D960" s="1429"/>
      <c r="E960" s="1429"/>
      <c r="F960" s="1429"/>
      <c r="G960" s="1429"/>
      <c r="H960" s="1430"/>
      <c r="I960" s="1430"/>
      <c r="J960" s="1164"/>
      <c r="K960" s="94"/>
      <c r="L960" s="94"/>
      <c r="M960" s="1430"/>
      <c r="N960" s="94"/>
      <c r="O960" s="1430"/>
      <c r="P960" s="94"/>
      <c r="Q960" s="1431"/>
      <c r="R960" s="1164"/>
      <c r="S960" s="1164"/>
      <c r="T960" s="1164"/>
      <c r="U960" s="2174"/>
      <c r="V960" s="2174"/>
      <c r="W960" s="2174"/>
      <c r="X960" s="1164"/>
    </row>
    <row r="961" ht="15.75" customHeight="1">
      <c r="A961" s="94"/>
      <c r="B961" s="94"/>
      <c r="C961" s="1164"/>
      <c r="D961" s="1429"/>
      <c r="E961" s="1429"/>
      <c r="F961" s="1429"/>
      <c r="G961" s="1429"/>
      <c r="H961" s="1430"/>
      <c r="I961" s="94"/>
      <c r="J961" s="1164"/>
      <c r="K961" s="94"/>
      <c r="L961" s="94"/>
      <c r="M961" s="1430"/>
      <c r="N961" s="94"/>
      <c r="O961" s="1430"/>
      <c r="P961" s="94"/>
      <c r="Q961" s="1431"/>
      <c r="R961" s="1164"/>
      <c r="S961" s="1164"/>
      <c r="T961" s="1164"/>
      <c r="U961" s="2174"/>
      <c r="V961" s="2174"/>
      <c r="W961" s="94"/>
      <c r="X961" s="1164"/>
    </row>
    <row r="962" ht="15.75" customHeight="1">
      <c r="A962" s="94"/>
      <c r="B962" s="94"/>
      <c r="C962" s="1164"/>
      <c r="D962" s="1429"/>
      <c r="E962" s="1429"/>
      <c r="F962" s="1429"/>
      <c r="G962" s="1429"/>
      <c r="H962" s="1430"/>
      <c r="I962" s="94"/>
      <c r="J962" s="1164"/>
      <c r="K962" s="94"/>
      <c r="L962" s="94"/>
      <c r="M962" s="1430"/>
      <c r="N962" s="94"/>
      <c r="O962" s="1430"/>
      <c r="P962" s="94"/>
      <c r="Q962" s="1431"/>
      <c r="R962" s="1164"/>
      <c r="S962" s="1164"/>
      <c r="T962" s="1164"/>
      <c r="U962" s="2174"/>
      <c r="V962" s="2174"/>
      <c r="W962" s="94"/>
      <c r="X962" s="1164"/>
    </row>
    <row r="963" ht="15.75" customHeight="1">
      <c r="A963" s="94"/>
      <c r="B963" s="94"/>
      <c r="C963" s="1164"/>
      <c r="D963" s="1429"/>
      <c r="E963" s="1429"/>
      <c r="F963" s="1429"/>
      <c r="G963" s="1429"/>
      <c r="H963" s="1430"/>
      <c r="I963" s="94"/>
      <c r="J963" s="1164"/>
      <c r="K963" s="94"/>
      <c r="L963" s="94"/>
      <c r="M963" s="1430"/>
      <c r="N963" s="94"/>
      <c r="O963" s="1430"/>
      <c r="P963" s="94"/>
      <c r="Q963" s="1431"/>
      <c r="R963" s="1164"/>
      <c r="S963" s="1164"/>
      <c r="T963" s="1164"/>
      <c r="U963" s="2174"/>
      <c r="V963" s="2174"/>
      <c r="W963" s="94"/>
      <c r="X963" s="1164"/>
    </row>
    <row r="964" ht="15.75" customHeight="1">
      <c r="A964" s="94"/>
      <c r="B964" s="94"/>
      <c r="C964" s="1164"/>
      <c r="D964" s="1429"/>
      <c r="E964" s="1429"/>
      <c r="F964" s="1429"/>
      <c r="G964" s="1429"/>
      <c r="H964" s="1430"/>
      <c r="I964" s="1430"/>
      <c r="J964" s="1164"/>
      <c r="K964" s="94"/>
      <c r="L964" s="94"/>
      <c r="M964" s="1430"/>
      <c r="N964" s="94"/>
      <c r="O964" s="1430"/>
      <c r="P964" s="94"/>
      <c r="Q964" s="1431"/>
      <c r="R964" s="1164"/>
      <c r="S964" s="1164"/>
      <c r="T964" s="1164"/>
      <c r="U964" s="2174"/>
      <c r="V964" s="2174"/>
      <c r="W964" s="2174"/>
      <c r="X964" s="1164"/>
    </row>
    <row r="965" ht="15.75" customHeight="1">
      <c r="A965" s="94"/>
      <c r="B965" s="94"/>
      <c r="C965" s="1164"/>
      <c r="D965" s="1429"/>
      <c r="E965" s="1429"/>
      <c r="F965" s="1429"/>
      <c r="G965" s="1429"/>
      <c r="H965" s="1430"/>
      <c r="I965" s="1430"/>
      <c r="J965" s="1164"/>
      <c r="K965" s="94"/>
      <c r="L965" s="94"/>
      <c r="M965" s="1430"/>
      <c r="N965" s="94"/>
      <c r="O965" s="1430"/>
      <c r="P965" s="94"/>
      <c r="Q965" s="1431"/>
      <c r="R965" s="1164"/>
      <c r="S965" s="1164"/>
      <c r="T965" s="1164"/>
      <c r="U965" s="2174"/>
      <c r="V965" s="2174"/>
      <c r="W965" s="2174"/>
      <c r="X965" s="1164"/>
    </row>
    <row r="966" ht="15.75" customHeight="1">
      <c r="A966" s="94"/>
      <c r="B966" s="94"/>
      <c r="C966" s="1164"/>
      <c r="D966" s="1429"/>
      <c r="E966" s="1429"/>
      <c r="F966" s="1429"/>
      <c r="G966" s="1429"/>
      <c r="H966" s="1430"/>
      <c r="I966" s="1430"/>
      <c r="J966" s="1164"/>
      <c r="K966" s="94"/>
      <c r="L966" s="94"/>
      <c r="M966" s="1430"/>
      <c r="N966" s="94"/>
      <c r="O966" s="1430"/>
      <c r="P966" s="94"/>
      <c r="Q966" s="1431"/>
      <c r="R966" s="1164"/>
      <c r="S966" s="1164"/>
      <c r="T966" s="1164"/>
      <c r="U966" s="2174"/>
      <c r="V966" s="2174"/>
      <c r="W966" s="2174"/>
      <c r="X966" s="1164"/>
    </row>
    <row r="967" ht="15.75" customHeight="1">
      <c r="A967" s="94"/>
      <c r="B967" s="94"/>
      <c r="C967" s="1164"/>
      <c r="D967" s="1429"/>
      <c r="E967" s="1429"/>
      <c r="F967" s="1429"/>
      <c r="G967" s="1429"/>
      <c r="H967" s="1430"/>
      <c r="I967" s="1430"/>
      <c r="J967" s="1164"/>
      <c r="K967" s="94"/>
      <c r="L967" s="94"/>
      <c r="M967" s="1430"/>
      <c r="N967" s="94"/>
      <c r="O967" s="1430"/>
      <c r="P967" s="94"/>
      <c r="Q967" s="1431"/>
      <c r="R967" s="1164"/>
      <c r="S967" s="1164"/>
      <c r="T967" s="1164"/>
      <c r="U967" s="2174"/>
      <c r="V967" s="2174"/>
      <c r="W967" s="2174"/>
      <c r="X967" s="1164"/>
    </row>
    <row r="968" ht="15.75" customHeight="1">
      <c r="A968" s="94"/>
      <c r="B968" s="94"/>
      <c r="C968" s="1164"/>
      <c r="D968" s="1429"/>
      <c r="E968" s="1429"/>
      <c r="F968" s="1429"/>
      <c r="G968" s="1429"/>
      <c r="H968" s="1430"/>
      <c r="I968" s="94"/>
      <c r="J968" s="1164"/>
      <c r="K968" s="94"/>
      <c r="L968" s="94"/>
      <c r="M968" s="1430"/>
      <c r="N968" s="94"/>
      <c r="O968" s="1430"/>
      <c r="P968" s="94"/>
      <c r="Q968" s="1431"/>
      <c r="R968" s="1164"/>
      <c r="S968" s="1164"/>
      <c r="T968" s="1164"/>
      <c r="U968" s="2174"/>
      <c r="V968" s="2174"/>
      <c r="W968" s="94"/>
      <c r="X968" s="1164"/>
    </row>
    <row r="969" ht="15.75" customHeight="1">
      <c r="A969" s="94"/>
      <c r="B969" s="94"/>
      <c r="C969" s="1164"/>
      <c r="D969" s="1429"/>
      <c r="E969" s="1429"/>
      <c r="F969" s="1429"/>
      <c r="G969" s="1429"/>
      <c r="H969" s="1430"/>
      <c r="I969" s="94"/>
      <c r="J969" s="1164"/>
      <c r="K969" s="94"/>
      <c r="L969" s="94"/>
      <c r="M969" s="1430"/>
      <c r="N969" s="94"/>
      <c r="O969" s="1430"/>
      <c r="P969" s="94"/>
      <c r="Q969" s="1431"/>
      <c r="R969" s="1164"/>
      <c r="S969" s="1164"/>
      <c r="T969" s="1164"/>
      <c r="U969" s="2174"/>
      <c r="V969" s="2174"/>
      <c r="W969" s="94"/>
      <c r="X969" s="1164"/>
    </row>
    <row r="970" ht="15.75" customHeight="1">
      <c r="A970" s="94"/>
      <c r="B970" s="94"/>
      <c r="C970" s="1164"/>
      <c r="D970" s="1429"/>
      <c r="E970" s="1429"/>
      <c r="F970" s="1429"/>
      <c r="G970" s="1429"/>
      <c r="H970" s="1430"/>
      <c r="I970" s="94"/>
      <c r="J970" s="1164"/>
      <c r="K970" s="94"/>
      <c r="L970" s="94"/>
      <c r="M970" s="1430"/>
      <c r="N970" s="94"/>
      <c r="O970" s="1430"/>
      <c r="P970" s="94"/>
      <c r="Q970" s="1431"/>
      <c r="R970" s="1164"/>
      <c r="S970" s="1164"/>
      <c r="T970" s="1164"/>
      <c r="U970" s="2174"/>
      <c r="V970" s="2174"/>
      <c r="W970" s="94"/>
      <c r="X970" s="1164"/>
    </row>
    <row r="971" ht="15.75" customHeight="1">
      <c r="A971" s="94"/>
      <c r="B971" s="94"/>
      <c r="C971" s="1164"/>
      <c r="D971" s="1429"/>
      <c r="E971" s="1429"/>
      <c r="F971" s="1429"/>
      <c r="G971" s="1429"/>
      <c r="H971" s="1430"/>
      <c r="I971" s="94"/>
      <c r="J971" s="1164"/>
      <c r="K971" s="94"/>
      <c r="L971" s="94"/>
      <c r="M971" s="1430"/>
      <c r="N971" s="94"/>
      <c r="O971" s="1430"/>
      <c r="P971" s="94"/>
      <c r="Q971" s="1431"/>
      <c r="R971" s="1164"/>
      <c r="S971" s="1164"/>
      <c r="T971" s="1164"/>
      <c r="U971" s="2174"/>
      <c r="V971" s="2174"/>
      <c r="W971" s="94"/>
      <c r="X971" s="1164"/>
    </row>
    <row r="972" ht="15.75" customHeight="1">
      <c r="A972" s="94"/>
      <c r="B972" s="94"/>
      <c r="C972" s="1164"/>
      <c r="D972" s="1429"/>
      <c r="E972" s="1429"/>
      <c r="F972" s="1429"/>
      <c r="G972" s="1429"/>
      <c r="H972" s="1430"/>
      <c r="I972" s="1430"/>
      <c r="J972" s="1164"/>
      <c r="K972" s="94"/>
      <c r="L972" s="94"/>
      <c r="M972" s="1430"/>
      <c r="N972" s="94"/>
      <c r="O972" s="1430"/>
      <c r="P972" s="94"/>
      <c r="Q972" s="1431"/>
      <c r="R972" s="1164"/>
      <c r="S972" s="1164"/>
      <c r="T972" s="1164"/>
      <c r="U972" s="2174"/>
      <c r="V972" s="2174"/>
      <c r="W972" s="2174"/>
      <c r="X972" s="1164"/>
    </row>
    <row r="973" ht="15.75" customHeight="1">
      <c r="A973" s="94"/>
      <c r="B973" s="94"/>
      <c r="C973" s="1164"/>
      <c r="D973" s="1429"/>
      <c r="E973" s="1429"/>
      <c r="F973" s="1429"/>
      <c r="G973" s="1436"/>
      <c r="H973" s="1430"/>
      <c r="I973" s="1430"/>
      <c r="J973" s="1164"/>
      <c r="K973" s="94"/>
      <c r="L973" s="94"/>
      <c r="M973" s="94"/>
      <c r="N973" s="94"/>
      <c r="O973" s="94"/>
      <c r="P973" s="94"/>
      <c r="Q973" s="1431"/>
      <c r="R973" s="1164"/>
      <c r="S973" s="1164"/>
      <c r="T973" s="1164"/>
      <c r="U973" s="2174"/>
      <c r="V973" s="2174"/>
      <c r="W973" s="2174"/>
      <c r="X973" s="1164"/>
    </row>
    <row r="974" ht="15.75" customHeight="1">
      <c r="A974" s="94"/>
      <c r="B974" s="94"/>
      <c r="C974" s="1164"/>
      <c r="D974" s="1429"/>
      <c r="E974" s="1429"/>
      <c r="F974" s="1429"/>
      <c r="G974" s="1429"/>
      <c r="H974" s="1430"/>
      <c r="I974" s="94"/>
      <c r="J974" s="1164"/>
      <c r="K974" s="94"/>
      <c r="L974" s="94"/>
      <c r="M974" s="94"/>
      <c r="N974" s="94"/>
      <c r="O974" s="94"/>
      <c r="P974" s="94"/>
      <c r="Q974" s="1431"/>
      <c r="R974" s="1164"/>
      <c r="S974" s="1164"/>
      <c r="T974" s="1164"/>
      <c r="U974" s="2174"/>
      <c r="V974" s="2174"/>
      <c r="W974" s="94"/>
      <c r="X974" s="1164"/>
    </row>
    <row r="975" ht="15.75" customHeight="1">
      <c r="A975" s="94"/>
      <c r="B975" s="94"/>
      <c r="C975" s="1164"/>
      <c r="D975" s="1429"/>
      <c r="E975" s="1429"/>
      <c r="F975" s="1429"/>
      <c r="G975" s="1429"/>
      <c r="H975" s="1430"/>
      <c r="I975" s="1430"/>
      <c r="J975" s="1164"/>
      <c r="K975" s="94"/>
      <c r="L975" s="94"/>
      <c r="M975" s="94"/>
      <c r="N975" s="94"/>
      <c r="O975" s="94"/>
      <c r="P975" s="94"/>
      <c r="Q975" s="1431"/>
      <c r="R975" s="1164"/>
      <c r="S975" s="1164"/>
      <c r="T975" s="1164"/>
      <c r="U975" s="2174"/>
      <c r="V975" s="2174"/>
      <c r="W975" s="2174"/>
      <c r="X975" s="1164"/>
    </row>
    <row r="976" ht="15.75" customHeight="1">
      <c r="A976" s="94"/>
      <c r="B976" s="94"/>
      <c r="C976" s="1164"/>
      <c r="D976" s="1429"/>
      <c r="E976" s="1429"/>
      <c r="F976" s="1429"/>
      <c r="G976" s="1429"/>
      <c r="H976" s="1430"/>
      <c r="I976" s="1430"/>
      <c r="J976" s="1164"/>
      <c r="K976" s="94"/>
      <c r="L976" s="94"/>
      <c r="M976" s="94"/>
      <c r="N976" s="94"/>
      <c r="O976" s="94"/>
      <c r="P976" s="94"/>
      <c r="Q976" s="1431"/>
      <c r="R976" s="1164"/>
      <c r="S976" s="1164"/>
      <c r="T976" s="1164"/>
      <c r="U976" s="2174"/>
      <c r="V976" s="2174"/>
      <c r="W976" s="2174"/>
      <c r="X976" s="1164"/>
    </row>
    <row r="977" ht="15.75" customHeight="1">
      <c r="A977" s="94"/>
      <c r="B977" s="94"/>
      <c r="C977" s="1164"/>
      <c r="D977" s="1429"/>
      <c r="E977" s="1429"/>
      <c r="F977" s="1429"/>
      <c r="G977" s="1429"/>
      <c r="H977" s="1430"/>
      <c r="I977" s="1430"/>
      <c r="J977" s="1164"/>
      <c r="K977" s="94"/>
      <c r="L977" s="94"/>
      <c r="M977" s="1430"/>
      <c r="N977" s="94"/>
      <c r="O977" s="1430"/>
      <c r="P977" s="94"/>
      <c r="Q977" s="1431"/>
      <c r="R977" s="1164"/>
      <c r="S977" s="1164"/>
      <c r="T977" s="1164"/>
      <c r="U977" s="2174"/>
      <c r="V977" s="2174"/>
      <c r="W977" s="2174"/>
      <c r="X977" s="1164"/>
    </row>
    <row r="978" ht="15.75" customHeight="1">
      <c r="A978" s="94"/>
      <c r="B978" s="94"/>
      <c r="C978" s="1164"/>
      <c r="D978" s="1429"/>
      <c r="E978" s="1429"/>
      <c r="F978" s="1429"/>
      <c r="G978" s="1429"/>
      <c r="H978" s="1430"/>
      <c r="I978" s="1430"/>
      <c r="J978" s="1164"/>
      <c r="K978" s="94"/>
      <c r="L978" s="94"/>
      <c r="M978" s="1430"/>
      <c r="N978" s="94"/>
      <c r="O978" s="1430"/>
      <c r="P978" s="94"/>
      <c r="Q978" s="1431"/>
      <c r="R978" s="1164"/>
      <c r="S978" s="1164"/>
      <c r="T978" s="1164"/>
      <c r="U978" s="2174"/>
      <c r="V978" s="2174"/>
      <c r="W978" s="2174"/>
      <c r="X978" s="1164"/>
    </row>
    <row r="979" ht="15.75" customHeight="1">
      <c r="A979" s="94"/>
      <c r="B979" s="94"/>
      <c r="C979" s="1164"/>
      <c r="D979" s="1429"/>
      <c r="E979" s="1429"/>
      <c r="F979" s="1429"/>
      <c r="G979" s="1429"/>
      <c r="H979" s="1430"/>
      <c r="I979" s="94"/>
      <c r="J979" s="1164"/>
      <c r="K979" s="94"/>
      <c r="L979" s="94"/>
      <c r="M979" s="1430"/>
      <c r="N979" s="94"/>
      <c r="O979" s="1430"/>
      <c r="P979" s="94"/>
      <c r="Q979" s="1431"/>
      <c r="R979" s="1164"/>
      <c r="S979" s="1164"/>
      <c r="T979" s="1164"/>
      <c r="U979" s="2174"/>
      <c r="V979" s="2174"/>
      <c r="W979" s="94"/>
      <c r="X979" s="1164"/>
    </row>
    <row r="980" ht="15.75" customHeight="1">
      <c r="A980" s="94"/>
      <c r="B980" s="94"/>
      <c r="C980" s="1164"/>
      <c r="D980" s="1429"/>
      <c r="E980" s="1429"/>
      <c r="F980" s="1429"/>
      <c r="G980" s="1429"/>
      <c r="H980" s="1430"/>
      <c r="I980" s="1430"/>
      <c r="J980" s="1164"/>
      <c r="K980" s="94"/>
      <c r="L980" s="94"/>
      <c r="M980" s="1430"/>
      <c r="N980" s="94"/>
      <c r="O980" s="1430"/>
      <c r="P980" s="94"/>
      <c r="Q980" s="1431"/>
      <c r="R980" s="1164"/>
      <c r="S980" s="1164"/>
      <c r="T980" s="1164"/>
      <c r="U980" s="2174"/>
      <c r="V980" s="2174"/>
      <c r="W980" s="2174"/>
      <c r="X980" s="1164"/>
    </row>
    <row r="981" ht="15.75" customHeight="1">
      <c r="A981" s="94"/>
      <c r="B981" s="94"/>
      <c r="C981" s="1164"/>
      <c r="D981" s="1429"/>
      <c r="E981" s="1429"/>
      <c r="F981" s="1429"/>
      <c r="G981" s="1429"/>
      <c r="H981" s="1430"/>
      <c r="I981" s="1430"/>
      <c r="J981" s="1164"/>
      <c r="K981" s="94"/>
      <c r="L981" s="94"/>
      <c r="M981" s="1430"/>
      <c r="N981" s="94"/>
      <c r="O981" s="1430"/>
      <c r="P981" s="94"/>
      <c r="Q981" s="1431"/>
      <c r="R981" s="1164"/>
      <c r="S981" s="1164"/>
      <c r="T981" s="1164"/>
      <c r="U981" s="2174"/>
      <c r="V981" s="2174"/>
      <c r="W981" s="2174"/>
      <c r="X981" s="1164"/>
    </row>
    <row r="982" ht="15.75" customHeight="1">
      <c r="A982" s="94"/>
      <c r="B982" s="94"/>
      <c r="C982" s="1164"/>
      <c r="D982" s="1429"/>
      <c r="E982" s="1429"/>
      <c r="F982" s="1429"/>
      <c r="G982" s="1429"/>
      <c r="H982" s="1430"/>
      <c r="I982" s="1430"/>
      <c r="J982" s="1164"/>
      <c r="K982" s="94"/>
      <c r="L982" s="94"/>
      <c r="M982" s="1430"/>
      <c r="N982" s="94"/>
      <c r="O982" s="1430"/>
      <c r="P982" s="94"/>
      <c r="Q982" s="1431"/>
      <c r="R982" s="1164"/>
      <c r="S982" s="1164"/>
      <c r="T982" s="1164"/>
      <c r="U982" s="2174"/>
      <c r="V982" s="2174"/>
      <c r="W982" s="2174"/>
      <c r="X982" s="1164"/>
    </row>
    <row r="983" ht="15.75" customHeight="1">
      <c r="A983" s="94"/>
      <c r="B983" s="94"/>
      <c r="C983" s="1164"/>
      <c r="D983" s="1429"/>
      <c r="E983" s="1429"/>
      <c r="F983" s="1429"/>
      <c r="G983" s="1429"/>
      <c r="H983" s="1430"/>
      <c r="I983" s="94"/>
      <c r="J983" s="1164"/>
      <c r="K983" s="94"/>
      <c r="L983" s="94"/>
      <c r="M983" s="94"/>
      <c r="N983" s="94"/>
      <c r="O983" s="94"/>
      <c r="P983" s="94"/>
      <c r="Q983" s="1431"/>
      <c r="R983" s="1164"/>
      <c r="S983" s="1164"/>
      <c r="T983" s="1164"/>
      <c r="U983" s="2174"/>
      <c r="V983" s="2174"/>
      <c r="W983" s="94"/>
      <c r="X983" s="1164"/>
    </row>
    <row r="984" ht="15.75" customHeight="1">
      <c r="A984" s="94"/>
      <c r="B984" s="94"/>
      <c r="C984" s="1164"/>
      <c r="D984" s="1429"/>
      <c r="E984" s="1429"/>
      <c r="F984" s="1429"/>
      <c r="G984" s="1429"/>
      <c r="H984" s="1430"/>
      <c r="I984" s="94"/>
      <c r="J984" s="1164"/>
      <c r="K984" s="94"/>
      <c r="L984" s="94"/>
      <c r="M984" s="94"/>
      <c r="N984" s="94"/>
      <c r="O984" s="94"/>
      <c r="P984" s="94"/>
      <c r="Q984" s="1431"/>
      <c r="R984" s="1164"/>
      <c r="S984" s="1164"/>
      <c r="T984" s="1164"/>
      <c r="U984" s="2174"/>
      <c r="V984" s="2174"/>
      <c r="W984" s="94"/>
      <c r="X984" s="1164"/>
    </row>
    <row r="985" ht="15.75" customHeight="1">
      <c r="A985" s="94"/>
      <c r="B985" s="94"/>
      <c r="C985" s="1164"/>
      <c r="D985" s="1429"/>
      <c r="E985" s="1429"/>
      <c r="F985" s="1429"/>
      <c r="G985" s="1429"/>
      <c r="H985" s="1430"/>
      <c r="I985" s="1430"/>
      <c r="J985" s="1164"/>
      <c r="K985" s="94"/>
      <c r="L985" s="94"/>
      <c r="M985" s="94"/>
      <c r="N985" s="94"/>
      <c r="O985" s="94"/>
      <c r="P985" s="94"/>
      <c r="Q985" s="1431"/>
      <c r="R985" s="1164"/>
      <c r="S985" s="1164"/>
      <c r="T985" s="1164"/>
      <c r="U985" s="2174"/>
      <c r="V985" s="2174"/>
      <c r="W985" s="2174"/>
      <c r="X985" s="1164"/>
    </row>
    <row r="986" ht="15.75" customHeight="1">
      <c r="A986" s="94"/>
      <c r="B986" s="94"/>
      <c r="C986" s="1164"/>
      <c r="D986" s="1429"/>
      <c r="E986" s="1429"/>
      <c r="F986" s="1429"/>
      <c r="G986" s="1429"/>
      <c r="H986" s="1430"/>
      <c r="I986" s="94"/>
      <c r="J986" s="1164"/>
      <c r="K986" s="94"/>
      <c r="L986" s="94"/>
      <c r="M986" s="94"/>
      <c r="N986" s="94"/>
      <c r="O986" s="94"/>
      <c r="P986" s="94"/>
      <c r="Q986" s="1431"/>
      <c r="R986" s="1164"/>
      <c r="S986" s="1164"/>
      <c r="T986" s="1164"/>
      <c r="U986" s="94"/>
      <c r="V986" s="94"/>
      <c r="W986" s="94"/>
      <c r="X986" s="1164"/>
    </row>
    <row r="987" ht="15.75" customHeight="1">
      <c r="A987" s="94"/>
      <c r="B987" s="94"/>
      <c r="C987" s="1164"/>
      <c r="D987" s="1429"/>
      <c r="E987" s="1429"/>
      <c r="F987" s="1429"/>
      <c r="G987" s="1429"/>
      <c r="H987" s="1430"/>
      <c r="I987" s="94"/>
      <c r="J987" s="1164"/>
      <c r="K987" s="94"/>
      <c r="L987" s="94"/>
      <c r="M987" s="1430"/>
      <c r="N987" s="94"/>
      <c r="O987" s="1430"/>
      <c r="P987" s="94"/>
      <c r="Q987" s="1431"/>
      <c r="R987" s="1164"/>
      <c r="S987" s="1164"/>
      <c r="T987" s="1164"/>
      <c r="U987" s="2174"/>
      <c r="V987" s="2174"/>
      <c r="W987" s="94"/>
      <c r="X987" s="1164"/>
    </row>
    <row r="988" ht="15.75" customHeight="1">
      <c r="A988" s="94"/>
      <c r="B988" s="94"/>
      <c r="C988" s="1164"/>
      <c r="D988" s="1429"/>
      <c r="E988" s="1429"/>
      <c r="F988" s="1429"/>
      <c r="G988" s="1429"/>
      <c r="H988" s="1430"/>
      <c r="I988" s="1430"/>
      <c r="J988" s="1164"/>
      <c r="K988" s="94"/>
      <c r="L988" s="94"/>
      <c r="M988" s="94"/>
      <c r="N988" s="94"/>
      <c r="O988" s="94"/>
      <c r="P988" s="94"/>
      <c r="Q988" s="1431"/>
      <c r="R988" s="1164"/>
      <c r="S988" s="1164"/>
      <c r="T988" s="1164"/>
      <c r="U988" s="94"/>
      <c r="V988" s="94"/>
      <c r="W988" s="2174"/>
      <c r="X988" s="1164"/>
    </row>
    <row r="989" ht="15.75" customHeight="1">
      <c r="A989" s="94"/>
      <c r="B989" s="94"/>
      <c r="C989" s="1164"/>
      <c r="D989" s="1429"/>
      <c r="E989" s="1429"/>
      <c r="F989" s="1429"/>
      <c r="G989" s="1429"/>
      <c r="H989" s="1430"/>
      <c r="I989" s="1430"/>
      <c r="J989" s="1164"/>
      <c r="K989" s="94"/>
      <c r="L989" s="94"/>
      <c r="M989" s="1430"/>
      <c r="N989" s="94"/>
      <c r="O989" s="1430"/>
      <c r="P989" s="94"/>
      <c r="Q989" s="1431"/>
      <c r="R989" s="1164"/>
      <c r="S989" s="1164"/>
      <c r="T989" s="1164"/>
      <c r="U989" s="2174"/>
      <c r="V989" s="2174"/>
      <c r="W989" s="2174"/>
      <c r="X989" s="1164"/>
    </row>
    <row r="990" ht="15.75" customHeight="1">
      <c r="A990" s="94"/>
      <c r="B990" s="94"/>
      <c r="C990" s="1164"/>
      <c r="D990" s="1429"/>
      <c r="E990" s="1429"/>
      <c r="F990" s="1435"/>
      <c r="G990" s="1429"/>
      <c r="H990" s="1430"/>
      <c r="I990" s="94"/>
      <c r="J990" s="1164"/>
      <c r="K990" s="94"/>
      <c r="L990" s="94"/>
      <c r="M990" s="1430"/>
      <c r="N990" s="94"/>
      <c r="O990" s="1430"/>
      <c r="P990" s="94"/>
      <c r="Q990" s="1431"/>
      <c r="R990" s="1164"/>
      <c r="S990" s="1164"/>
      <c r="T990" s="1164"/>
      <c r="U990" s="2174"/>
      <c r="V990" s="2174"/>
      <c r="W990" s="94"/>
      <c r="X990" s="1164"/>
    </row>
    <row r="991" ht="15.75" customHeight="1">
      <c r="A991" s="94"/>
      <c r="B991" s="94"/>
      <c r="C991" s="1164"/>
      <c r="D991" s="1429"/>
      <c r="E991" s="1429"/>
      <c r="F991" s="1429"/>
      <c r="G991" s="1429"/>
      <c r="H991" s="1430"/>
      <c r="I991" s="94"/>
      <c r="J991" s="1164"/>
      <c r="K991" s="94"/>
      <c r="L991" s="94"/>
      <c r="M991" s="94"/>
      <c r="N991" s="94"/>
      <c r="O991" s="94"/>
      <c r="P991" s="94"/>
      <c r="Q991" s="1431"/>
      <c r="R991" s="1164"/>
      <c r="S991" s="1164"/>
      <c r="T991" s="1164"/>
      <c r="U991" s="2174"/>
      <c r="V991" s="2174"/>
      <c r="W991" s="94"/>
      <c r="X991" s="1164"/>
    </row>
    <row r="992" ht="15.75" customHeight="1">
      <c r="A992" s="94"/>
      <c r="B992" s="94"/>
      <c r="C992" s="94"/>
      <c r="D992" s="94"/>
      <c r="E992" s="94"/>
      <c r="F992" s="94"/>
      <c r="G992" s="94"/>
      <c r="H992" s="1164"/>
      <c r="I992" s="1164"/>
      <c r="J992" s="1164"/>
      <c r="K992" s="1430"/>
      <c r="L992" s="1430"/>
      <c r="M992" s="1430"/>
      <c r="N992" s="1430"/>
      <c r="O992" s="1430"/>
      <c r="P992" s="1430"/>
      <c r="Q992" s="1430"/>
      <c r="R992" s="1430"/>
      <c r="S992" s="1430"/>
      <c r="T992" s="1164"/>
      <c r="U992" s="94"/>
      <c r="V992" s="94"/>
      <c r="W992" s="94"/>
      <c r="X992" s="1430"/>
    </row>
    <row r="993" ht="15.75" customHeight="1">
      <c r="A993" s="94"/>
      <c r="B993" s="94"/>
      <c r="C993" s="1164"/>
      <c r="D993" s="1429"/>
      <c r="E993" s="1429"/>
      <c r="F993" s="1429"/>
      <c r="G993" s="1429"/>
      <c r="H993" s="1430"/>
      <c r="I993" s="94"/>
      <c r="J993" s="1164"/>
      <c r="K993" s="94"/>
      <c r="L993" s="94"/>
      <c r="M993" s="1430"/>
      <c r="N993" s="94"/>
      <c r="O993" s="1430"/>
      <c r="P993" s="94"/>
      <c r="Q993" s="1431"/>
      <c r="R993" s="1164"/>
      <c r="S993" s="1164"/>
      <c r="T993" s="1164"/>
      <c r="U993" s="2174"/>
      <c r="V993" s="2174"/>
      <c r="W993" s="94"/>
      <c r="X993" s="1164"/>
    </row>
    <row r="994" ht="15.75" customHeight="1">
      <c r="A994" s="94"/>
      <c r="B994" s="94"/>
      <c r="C994" s="1164"/>
      <c r="D994" s="1429"/>
      <c r="E994" s="1429"/>
      <c r="F994" s="1429"/>
      <c r="G994" s="94"/>
      <c r="H994" s="94"/>
      <c r="I994" s="1430"/>
      <c r="J994" s="1164"/>
      <c r="K994" s="94"/>
      <c r="L994" s="94"/>
      <c r="M994" s="94"/>
      <c r="N994" s="94"/>
      <c r="O994" s="94"/>
      <c r="P994" s="94"/>
      <c r="Q994" s="1431"/>
      <c r="R994" s="1164"/>
      <c r="S994" s="1164"/>
      <c r="T994" s="1164"/>
      <c r="U994" s="94"/>
      <c r="V994" s="94"/>
      <c r="W994" s="94"/>
      <c r="X994" s="1164"/>
    </row>
    <row r="995" ht="15.75" customHeight="1">
      <c r="A995" s="94"/>
      <c r="B995" s="94"/>
      <c r="C995" s="1164"/>
      <c r="D995" s="1429"/>
      <c r="E995" s="1429"/>
      <c r="F995" s="1429"/>
      <c r="G995" s="94"/>
      <c r="H995" s="94"/>
      <c r="I995" s="1430"/>
      <c r="J995" s="1164"/>
      <c r="K995" s="94"/>
      <c r="L995" s="94"/>
      <c r="M995" s="94"/>
      <c r="N995" s="94"/>
      <c r="O995" s="94"/>
      <c r="P995" s="94"/>
      <c r="Q995" s="1431"/>
      <c r="R995" s="1164"/>
      <c r="S995" s="1164"/>
      <c r="T995" s="1164"/>
      <c r="U995" s="94"/>
      <c r="V995" s="94"/>
      <c r="W995" s="94"/>
      <c r="X995" s="1164"/>
    </row>
    <row r="996" ht="15.75" customHeight="1">
      <c r="A996" s="94"/>
      <c r="B996" s="94"/>
      <c r="C996" s="1164"/>
      <c r="D996" s="1429"/>
      <c r="E996" s="1429"/>
      <c r="F996" s="1429"/>
      <c r="G996" s="1429"/>
      <c r="H996" s="1430"/>
      <c r="I996" s="1430"/>
      <c r="J996" s="1164"/>
      <c r="K996" s="94"/>
      <c r="L996" s="94"/>
      <c r="M996" s="1430"/>
      <c r="N996" s="94"/>
      <c r="O996" s="1430"/>
      <c r="P996" s="94"/>
      <c r="Q996" s="1431"/>
      <c r="R996" s="1164"/>
      <c r="S996" s="1164"/>
      <c r="T996" s="1164"/>
      <c r="U996" s="2174"/>
      <c r="V996" s="2174"/>
      <c r="W996" s="2174"/>
      <c r="X996" s="1164"/>
    </row>
    <row r="997" ht="15.75" customHeight="1">
      <c r="A997" s="94"/>
      <c r="B997" s="94"/>
      <c r="C997" s="1164"/>
      <c r="D997" s="1429"/>
      <c r="E997" s="1429"/>
      <c r="F997" s="1429"/>
      <c r="G997" s="1429"/>
      <c r="H997" s="1430"/>
      <c r="I997" s="94"/>
      <c r="J997" s="1164"/>
      <c r="K997" s="94"/>
      <c r="L997" s="94"/>
      <c r="M997" s="1430"/>
      <c r="N997" s="94"/>
      <c r="O997" s="1430"/>
      <c r="P997" s="94"/>
      <c r="Q997" s="1431"/>
      <c r="R997" s="1164"/>
      <c r="S997" s="1164"/>
      <c r="T997" s="1164"/>
      <c r="U997" s="2174"/>
      <c r="V997" s="2174"/>
      <c r="W997" s="94"/>
      <c r="X997" s="1164"/>
    </row>
    <row r="998" ht="15.75" customHeight="1">
      <c r="A998" s="94"/>
      <c r="B998" s="94"/>
      <c r="C998" s="1164"/>
      <c r="D998" s="1429"/>
      <c r="E998" s="1429"/>
      <c r="F998" s="1429"/>
      <c r="G998" s="1429"/>
      <c r="H998" s="1430"/>
      <c r="I998" s="1430"/>
      <c r="J998" s="1164"/>
      <c r="K998" s="94"/>
      <c r="L998" s="94"/>
      <c r="M998" s="1430"/>
      <c r="N998" s="94"/>
      <c r="O998" s="1430"/>
      <c r="P998" s="94"/>
      <c r="Q998" s="1431"/>
      <c r="R998" s="1164"/>
      <c r="S998" s="1164"/>
      <c r="T998" s="1164"/>
      <c r="U998" s="2174"/>
      <c r="V998" s="2174"/>
      <c r="W998" s="2174"/>
      <c r="X998" s="1164"/>
    </row>
    <row r="999" ht="15.75" customHeight="1">
      <c r="A999" s="94"/>
      <c r="B999" s="94"/>
      <c r="C999" s="1164"/>
      <c r="D999" s="1429"/>
      <c r="E999" s="1429"/>
      <c r="F999" s="1429"/>
      <c r="G999" s="1429"/>
      <c r="H999" s="1430"/>
      <c r="I999" s="94"/>
      <c r="J999" s="1164"/>
      <c r="K999" s="94"/>
      <c r="L999" s="94"/>
      <c r="M999" s="94"/>
      <c r="N999" s="94"/>
      <c r="O999" s="94"/>
      <c r="P999" s="94"/>
      <c r="Q999" s="1431"/>
      <c r="R999" s="1164"/>
      <c r="S999" s="1164"/>
      <c r="T999" s="1164"/>
      <c r="U999" s="2174"/>
      <c r="V999" s="2174"/>
      <c r="W999" s="94"/>
      <c r="X999" s="1164"/>
    </row>
    <row r="1000" ht="15.75" customHeight="1">
      <c r="A1000" s="94"/>
      <c r="B1000" s="94"/>
      <c r="C1000" s="1164"/>
      <c r="D1000" s="1429"/>
      <c r="E1000" s="1429"/>
      <c r="F1000" s="1429"/>
      <c r="G1000" s="1429"/>
      <c r="H1000" s="1430"/>
      <c r="I1000" s="1430"/>
      <c r="J1000" s="1164"/>
      <c r="K1000" s="94"/>
      <c r="L1000" s="94"/>
      <c r="M1000" s="1430"/>
      <c r="N1000" s="94"/>
      <c r="O1000" s="1430"/>
      <c r="P1000" s="94"/>
      <c r="Q1000" s="1431"/>
      <c r="R1000" s="1164"/>
      <c r="S1000" s="1164"/>
      <c r="T1000" s="1164"/>
      <c r="U1000" s="2174"/>
      <c r="V1000" s="2174"/>
      <c r="W1000" s="2174"/>
      <c r="X1000" s="1164"/>
    </row>
    <row r="1001" ht="15.75" customHeight="1">
      <c r="A1001" s="94"/>
      <c r="B1001" s="94"/>
      <c r="C1001" s="1164"/>
      <c r="D1001" s="1429"/>
      <c r="E1001" s="1429"/>
      <c r="F1001" s="1429"/>
      <c r="G1001" s="1429"/>
      <c r="H1001" s="1430"/>
      <c r="I1001" s="94"/>
      <c r="J1001" s="1164"/>
      <c r="K1001" s="94"/>
      <c r="L1001" s="94"/>
      <c r="M1001" s="1430"/>
      <c r="N1001" s="94"/>
      <c r="O1001" s="1430"/>
      <c r="P1001" s="94"/>
      <c r="Q1001" s="1431"/>
      <c r="R1001" s="1164"/>
      <c r="S1001" s="1164"/>
      <c r="T1001" s="1164"/>
      <c r="U1001" s="2174"/>
      <c r="V1001" s="2174"/>
      <c r="W1001" s="94"/>
      <c r="X1001" s="1164"/>
    </row>
    <row r="1002" ht="15.75" customHeight="1">
      <c r="A1002" s="94"/>
      <c r="B1002" s="94"/>
      <c r="C1002" s="1164"/>
      <c r="D1002" s="1429"/>
      <c r="E1002" s="1429"/>
      <c r="F1002" s="1429"/>
      <c r="G1002" s="1429"/>
      <c r="H1002" s="1430"/>
      <c r="I1002" s="94"/>
      <c r="J1002" s="1164"/>
      <c r="K1002" s="94"/>
      <c r="L1002" s="94"/>
      <c r="M1002" s="1430"/>
      <c r="N1002" s="94"/>
      <c r="O1002" s="1430"/>
      <c r="P1002" s="94"/>
      <c r="Q1002" s="1431"/>
      <c r="R1002" s="1164"/>
      <c r="S1002" s="1164"/>
      <c r="T1002" s="1164"/>
      <c r="U1002" s="2174"/>
      <c r="V1002" s="2174"/>
      <c r="W1002" s="94"/>
      <c r="X1002" s="1164"/>
    </row>
    <row r="1003" ht="15.75" customHeight="1">
      <c r="A1003" s="94"/>
      <c r="B1003" s="94"/>
      <c r="C1003" s="1164"/>
      <c r="D1003" s="1429"/>
      <c r="E1003" s="1429"/>
      <c r="F1003" s="1429"/>
      <c r="G1003" s="1429"/>
      <c r="H1003" s="1430"/>
      <c r="I1003" s="94"/>
      <c r="J1003" s="1164"/>
      <c r="K1003" s="94"/>
      <c r="L1003" s="94"/>
      <c r="M1003" s="1430"/>
      <c r="N1003" s="94"/>
      <c r="O1003" s="1430"/>
      <c r="P1003" s="94"/>
      <c r="Q1003" s="1431"/>
      <c r="R1003" s="1164"/>
      <c r="S1003" s="1164"/>
      <c r="T1003" s="1164"/>
      <c r="U1003" s="2174"/>
      <c r="V1003" s="2174"/>
      <c r="W1003" s="94"/>
      <c r="X1003" s="1164"/>
    </row>
    <row r="1004" ht="15.75" customHeight="1">
      <c r="A1004" s="94"/>
      <c r="B1004" s="94"/>
      <c r="C1004" s="1164"/>
      <c r="D1004" s="1429"/>
      <c r="E1004" s="1429"/>
      <c r="F1004" s="1429"/>
      <c r="G1004" s="1429"/>
      <c r="H1004" s="1430"/>
      <c r="I1004" s="94"/>
      <c r="J1004" s="1164"/>
      <c r="K1004" s="94"/>
      <c r="L1004" s="94"/>
      <c r="M1004" s="1430"/>
      <c r="N1004" s="94"/>
      <c r="O1004" s="1430"/>
      <c r="P1004" s="94"/>
      <c r="Q1004" s="1431"/>
      <c r="R1004" s="1164"/>
      <c r="S1004" s="1164"/>
      <c r="T1004" s="1164"/>
      <c r="U1004" s="2174"/>
      <c r="V1004" s="2174"/>
      <c r="W1004" s="94"/>
      <c r="X1004" s="1164"/>
    </row>
    <row r="1005" ht="15.75" customHeight="1">
      <c r="A1005" s="94"/>
      <c r="B1005" s="94"/>
      <c r="C1005" s="1164"/>
      <c r="D1005" s="1429"/>
      <c r="E1005" s="1429"/>
      <c r="F1005" s="1429"/>
      <c r="G1005" s="1429"/>
      <c r="H1005" s="1430"/>
      <c r="I1005" s="1430"/>
      <c r="J1005" s="1164"/>
      <c r="K1005" s="94"/>
      <c r="L1005" s="94"/>
      <c r="M1005" s="1430"/>
      <c r="N1005" s="94"/>
      <c r="O1005" s="1430"/>
      <c r="P1005" s="94"/>
      <c r="Q1005" s="1431"/>
      <c r="R1005" s="1164"/>
      <c r="S1005" s="1164"/>
      <c r="T1005" s="1164"/>
      <c r="U1005" s="2174"/>
      <c r="V1005" s="2174"/>
      <c r="W1005" s="2174"/>
      <c r="X1005" s="1164"/>
    </row>
    <row r="1006" ht="15.75" customHeight="1">
      <c r="A1006" s="94"/>
      <c r="B1006" s="94"/>
      <c r="C1006" s="1164"/>
      <c r="D1006" s="1429"/>
      <c r="E1006" s="1429"/>
      <c r="F1006" s="1429"/>
      <c r="G1006" s="1429"/>
      <c r="H1006" s="1430"/>
      <c r="I1006" s="1430"/>
      <c r="J1006" s="1164"/>
      <c r="K1006" s="94"/>
      <c r="L1006" s="94"/>
      <c r="M1006" s="1430"/>
      <c r="N1006" s="94"/>
      <c r="O1006" s="1430"/>
      <c r="P1006" s="94"/>
      <c r="Q1006" s="1431"/>
      <c r="R1006" s="1164"/>
      <c r="S1006" s="1164"/>
      <c r="T1006" s="1164"/>
      <c r="U1006" s="2174"/>
      <c r="V1006" s="2174"/>
      <c r="W1006" s="2174"/>
      <c r="X1006" s="1164"/>
    </row>
    <row r="1007" ht="15.75" customHeight="1">
      <c r="A1007" s="94"/>
      <c r="B1007" s="94"/>
      <c r="C1007" s="1164"/>
      <c r="D1007" s="1429"/>
      <c r="E1007" s="1429"/>
      <c r="F1007" s="1429"/>
      <c r="G1007" s="1429"/>
      <c r="H1007" s="1430"/>
      <c r="I1007" s="94"/>
      <c r="J1007" s="1164"/>
      <c r="K1007" s="94"/>
      <c r="L1007" s="94"/>
      <c r="M1007" s="1430"/>
      <c r="N1007" s="94"/>
      <c r="O1007" s="1430"/>
      <c r="P1007" s="94"/>
      <c r="Q1007" s="1431"/>
      <c r="R1007" s="1164"/>
      <c r="S1007" s="1164"/>
      <c r="T1007" s="1164"/>
      <c r="U1007" s="2174"/>
      <c r="V1007" s="2174"/>
      <c r="W1007" s="94"/>
      <c r="X1007" s="1164"/>
    </row>
    <row r="1008" ht="15.75" customHeight="1">
      <c r="A1008" s="94"/>
      <c r="B1008" s="94"/>
      <c r="C1008" s="1164"/>
      <c r="D1008" s="1429"/>
      <c r="E1008" s="1429"/>
      <c r="F1008" s="1429"/>
      <c r="G1008" s="1429"/>
      <c r="H1008" s="1430"/>
      <c r="I1008" s="94"/>
      <c r="J1008" s="1164"/>
      <c r="K1008" s="94"/>
      <c r="L1008" s="94"/>
      <c r="M1008" s="1430"/>
      <c r="N1008" s="94"/>
      <c r="O1008" s="1430"/>
      <c r="P1008" s="94"/>
      <c r="Q1008" s="1431"/>
      <c r="R1008" s="1164"/>
      <c r="S1008" s="1164"/>
      <c r="T1008" s="1164"/>
      <c r="U1008" s="2174"/>
      <c r="V1008" s="2174"/>
      <c r="W1008" s="94"/>
      <c r="X1008" s="1164"/>
    </row>
    <row r="1009" ht="15.75" customHeight="1">
      <c r="A1009" s="94"/>
      <c r="B1009" s="94"/>
      <c r="C1009" s="1164"/>
      <c r="D1009" s="1429"/>
      <c r="E1009" s="1429"/>
      <c r="F1009" s="1429"/>
      <c r="G1009" s="1429"/>
      <c r="H1009" s="1430"/>
      <c r="I1009" s="94"/>
      <c r="J1009" s="1164"/>
      <c r="K1009" s="94"/>
      <c r="L1009" s="94"/>
      <c r="M1009" s="1430"/>
      <c r="N1009" s="94"/>
      <c r="O1009" s="1430"/>
      <c r="P1009" s="94"/>
      <c r="Q1009" s="1431"/>
      <c r="R1009" s="1164"/>
      <c r="S1009" s="1164"/>
      <c r="T1009" s="1164"/>
      <c r="U1009" s="2174"/>
      <c r="V1009" s="2174"/>
      <c r="W1009" s="94"/>
      <c r="X1009" s="1164"/>
    </row>
    <row r="1010" ht="15.75" customHeight="1">
      <c r="A1010" s="94"/>
      <c r="B1010" s="94"/>
      <c r="C1010" s="1164"/>
      <c r="D1010" s="1429"/>
      <c r="E1010" s="1429"/>
      <c r="F1010" s="1429"/>
      <c r="G1010" s="1429"/>
      <c r="H1010" s="1430"/>
      <c r="I1010" s="94"/>
      <c r="J1010" s="1164"/>
      <c r="K1010" s="94"/>
      <c r="L1010" s="94"/>
      <c r="M1010" s="1430"/>
      <c r="N1010" s="94"/>
      <c r="O1010" s="1430"/>
      <c r="P1010" s="94"/>
      <c r="Q1010" s="1431"/>
      <c r="R1010" s="1164"/>
      <c r="S1010" s="1164"/>
      <c r="T1010" s="1164"/>
      <c r="U1010" s="2174"/>
      <c r="V1010" s="2174"/>
      <c r="W1010" s="94"/>
      <c r="X1010" s="1164"/>
    </row>
    <row r="1011" ht="15.75" customHeight="1">
      <c r="A1011" s="94"/>
      <c r="B1011" s="94"/>
      <c r="C1011" s="1164"/>
      <c r="D1011" s="1429"/>
      <c r="E1011" s="1429"/>
      <c r="F1011" s="1429"/>
      <c r="G1011" s="1429"/>
      <c r="H1011" s="1430"/>
      <c r="I1011" s="94"/>
      <c r="J1011" s="1164"/>
      <c r="K1011" s="94"/>
      <c r="L1011" s="94"/>
      <c r="M1011" s="94"/>
      <c r="N1011" s="94"/>
      <c r="O1011" s="94"/>
      <c r="P1011" s="94"/>
      <c r="Q1011" s="1431"/>
      <c r="R1011" s="1164"/>
      <c r="S1011" s="1164"/>
      <c r="T1011" s="1164"/>
      <c r="U1011" s="2174"/>
      <c r="V1011" s="2174"/>
      <c r="W1011" s="94"/>
      <c r="X1011" s="1164"/>
    </row>
    <row r="1012" ht="15.75" customHeight="1">
      <c r="A1012" s="94"/>
      <c r="B1012" s="94"/>
      <c r="C1012" s="1164"/>
      <c r="D1012" s="1429"/>
      <c r="E1012" s="1429"/>
      <c r="F1012" s="1429"/>
      <c r="G1012" s="1429"/>
      <c r="H1012" s="1430"/>
      <c r="I1012" s="1430"/>
      <c r="J1012" s="1164"/>
      <c r="K1012" s="94"/>
      <c r="L1012" s="94"/>
      <c r="M1012" s="94"/>
      <c r="N1012" s="94"/>
      <c r="O1012" s="94"/>
      <c r="P1012" s="94"/>
      <c r="Q1012" s="1431"/>
      <c r="R1012" s="1164"/>
      <c r="S1012" s="1164"/>
      <c r="T1012" s="1164"/>
      <c r="U1012" s="2174"/>
      <c r="V1012" s="2174"/>
      <c r="W1012" s="2174"/>
      <c r="X1012" s="1164"/>
    </row>
    <row r="1013" ht="15.75" customHeight="1">
      <c r="A1013" s="94"/>
      <c r="B1013" s="94"/>
      <c r="C1013" s="1164"/>
      <c r="D1013" s="1429"/>
      <c r="E1013" s="1429"/>
      <c r="F1013" s="1429"/>
      <c r="G1013" s="1429"/>
      <c r="H1013" s="1430"/>
      <c r="I1013" s="94"/>
      <c r="J1013" s="1164"/>
      <c r="K1013" s="94"/>
      <c r="L1013" s="94"/>
      <c r="M1013" s="94"/>
      <c r="N1013" s="94"/>
      <c r="O1013" s="94"/>
      <c r="P1013" s="94"/>
      <c r="Q1013" s="1431"/>
      <c r="R1013" s="1164"/>
      <c r="S1013" s="1164"/>
      <c r="T1013" s="1164"/>
      <c r="U1013" s="2174"/>
      <c r="V1013" s="2174"/>
      <c r="W1013" s="94"/>
      <c r="X1013" s="1164"/>
    </row>
    <row r="1014" ht="15.75" customHeight="1">
      <c r="A1014" s="94"/>
      <c r="B1014" s="94"/>
      <c r="C1014" s="1164"/>
      <c r="D1014" s="1429"/>
      <c r="E1014" s="1429"/>
      <c r="F1014" s="1429"/>
      <c r="G1014" s="1429"/>
      <c r="H1014" s="1430"/>
      <c r="I1014" s="94"/>
      <c r="J1014" s="1164"/>
      <c r="K1014" s="94"/>
      <c r="L1014" s="94"/>
      <c r="M1014" s="94"/>
      <c r="N1014" s="94"/>
      <c r="O1014" s="94"/>
      <c r="P1014" s="94"/>
      <c r="Q1014" s="1431"/>
      <c r="R1014" s="1164"/>
      <c r="S1014" s="1164"/>
      <c r="T1014" s="1164"/>
      <c r="U1014" s="2174"/>
      <c r="V1014" s="2174"/>
      <c r="W1014" s="94"/>
      <c r="X1014" s="1164"/>
    </row>
    <row r="1015" ht="15.75" customHeight="1">
      <c r="A1015" s="94"/>
      <c r="B1015" s="94"/>
      <c r="C1015" s="1164"/>
      <c r="D1015" s="1429"/>
      <c r="E1015" s="1429"/>
      <c r="F1015" s="1429"/>
      <c r="G1015" s="1429"/>
      <c r="H1015" s="1430"/>
      <c r="I1015" s="1430"/>
      <c r="J1015" s="1164"/>
      <c r="K1015" s="94"/>
      <c r="L1015" s="94"/>
      <c r="M1015" s="1430"/>
      <c r="N1015" s="94"/>
      <c r="O1015" s="1430"/>
      <c r="P1015" s="94"/>
      <c r="Q1015" s="1431"/>
      <c r="R1015" s="1164"/>
      <c r="S1015" s="1164"/>
      <c r="T1015" s="1164"/>
      <c r="U1015" s="2174"/>
      <c r="V1015" s="2174"/>
      <c r="W1015" s="2174"/>
      <c r="X1015" s="1164"/>
    </row>
    <row r="1016" ht="15.75" customHeight="1">
      <c r="A1016" s="94"/>
      <c r="B1016" s="94"/>
      <c r="C1016" s="1164"/>
      <c r="D1016" s="1429"/>
      <c r="E1016" s="1429"/>
      <c r="F1016" s="1429"/>
      <c r="G1016" s="1429"/>
      <c r="H1016" s="1430"/>
      <c r="I1016" s="1430"/>
      <c r="J1016" s="1164"/>
      <c r="K1016" s="94"/>
      <c r="L1016" s="94"/>
      <c r="M1016" s="1430"/>
      <c r="N1016" s="94"/>
      <c r="O1016" s="1430"/>
      <c r="P1016" s="94"/>
      <c r="Q1016" s="1431"/>
      <c r="R1016" s="1164"/>
      <c r="S1016" s="1164"/>
      <c r="T1016" s="1164"/>
      <c r="U1016" s="2174"/>
      <c r="V1016" s="2174"/>
      <c r="W1016" s="2174"/>
      <c r="X1016" s="1164"/>
    </row>
    <row r="1017" ht="15.75" customHeight="1">
      <c r="A1017" s="94"/>
      <c r="B1017" s="94"/>
      <c r="C1017" s="1164"/>
      <c r="D1017" s="1429"/>
      <c r="E1017" s="1429"/>
      <c r="F1017" s="1429"/>
      <c r="G1017" s="1429"/>
      <c r="H1017" s="1430"/>
      <c r="I1017" s="1430"/>
      <c r="J1017" s="1164"/>
      <c r="K1017" s="94"/>
      <c r="L1017" s="94"/>
      <c r="M1017" s="1430"/>
      <c r="N1017" s="94"/>
      <c r="O1017" s="1430"/>
      <c r="P1017" s="94"/>
      <c r="Q1017" s="1431"/>
      <c r="R1017" s="1164"/>
      <c r="S1017" s="1164"/>
      <c r="T1017" s="1164"/>
      <c r="U1017" s="2174"/>
      <c r="V1017" s="2174"/>
      <c r="W1017" s="2174"/>
      <c r="X1017" s="1164"/>
    </row>
    <row r="1018" ht="15.75" customHeight="1">
      <c r="A1018" s="94"/>
      <c r="B1018" s="94"/>
      <c r="C1018" s="1164"/>
      <c r="D1018" s="1429"/>
      <c r="E1018" s="1429"/>
      <c r="F1018" s="1429"/>
      <c r="G1018" s="1429"/>
      <c r="H1018" s="1430"/>
      <c r="I1018" s="1430"/>
      <c r="J1018" s="1164"/>
      <c r="K1018" s="94"/>
      <c r="L1018" s="94"/>
      <c r="M1018" s="1430"/>
      <c r="N1018" s="94"/>
      <c r="O1018" s="1430"/>
      <c r="P1018" s="94"/>
      <c r="Q1018" s="1431"/>
      <c r="R1018" s="1164"/>
      <c r="S1018" s="1164"/>
      <c r="T1018" s="1164"/>
      <c r="U1018" s="2174"/>
      <c r="V1018" s="2174"/>
      <c r="W1018" s="2174"/>
      <c r="X1018" s="1164"/>
    </row>
    <row r="1019" ht="15.75" customHeight="1">
      <c r="A1019" s="94"/>
      <c r="B1019" s="94"/>
      <c r="C1019" s="1164"/>
      <c r="D1019" s="1429"/>
      <c r="E1019" s="1429"/>
      <c r="F1019" s="1429"/>
      <c r="G1019" s="1429"/>
      <c r="H1019" s="1430"/>
      <c r="I1019" s="1430"/>
      <c r="J1019" s="1164"/>
      <c r="K1019" s="94"/>
      <c r="L1019" s="94"/>
      <c r="M1019" s="1430"/>
      <c r="N1019" s="94"/>
      <c r="O1019" s="1430"/>
      <c r="P1019" s="94"/>
      <c r="Q1019" s="1431"/>
      <c r="R1019" s="1164"/>
      <c r="S1019" s="1164"/>
      <c r="T1019" s="1164"/>
      <c r="U1019" s="2174"/>
      <c r="V1019" s="2174"/>
      <c r="W1019" s="2174"/>
      <c r="X1019" s="1164"/>
    </row>
    <row r="1020" ht="15.75" customHeight="1">
      <c r="A1020" s="94"/>
      <c r="B1020" s="94"/>
      <c r="C1020" s="1164"/>
      <c r="D1020" s="1429"/>
      <c r="E1020" s="1429"/>
      <c r="F1020" s="1429"/>
      <c r="G1020" s="1429"/>
      <c r="H1020" s="1430"/>
      <c r="I1020" s="94"/>
      <c r="J1020" s="1164"/>
      <c r="K1020" s="94"/>
      <c r="L1020" s="94"/>
      <c r="M1020" s="1430"/>
      <c r="N1020" s="94"/>
      <c r="O1020" s="1430"/>
      <c r="P1020" s="94"/>
      <c r="Q1020" s="1431"/>
      <c r="R1020" s="1164"/>
      <c r="S1020" s="1164"/>
      <c r="T1020" s="1164"/>
      <c r="U1020" s="2174"/>
      <c r="V1020" s="2174"/>
      <c r="W1020" s="94"/>
      <c r="X1020" s="1164"/>
    </row>
    <row r="1021" ht="15.75" customHeight="1">
      <c r="A1021" s="94"/>
      <c r="B1021" s="94"/>
      <c r="C1021" s="1164"/>
      <c r="D1021" s="1429"/>
      <c r="E1021" s="1429"/>
      <c r="F1021" s="1429"/>
      <c r="G1021" s="1429"/>
      <c r="H1021" s="1430"/>
      <c r="I1021" s="1430"/>
      <c r="J1021" s="1164"/>
      <c r="K1021" s="94"/>
      <c r="L1021" s="94"/>
      <c r="M1021" s="1430"/>
      <c r="N1021" s="94"/>
      <c r="O1021" s="1430"/>
      <c r="P1021" s="94"/>
      <c r="Q1021" s="1431"/>
      <c r="R1021" s="1164"/>
      <c r="S1021" s="1164"/>
      <c r="T1021" s="1164"/>
      <c r="U1021" s="2174"/>
      <c r="V1021" s="2174"/>
      <c r="W1021" s="2174"/>
      <c r="X1021" s="1164"/>
    </row>
    <row r="1022" ht="15.75" customHeight="1">
      <c r="A1022" s="94"/>
      <c r="B1022" s="94"/>
      <c r="C1022" s="1164"/>
      <c r="D1022" s="1429"/>
      <c r="E1022" s="1429"/>
      <c r="F1022" s="1429"/>
      <c r="G1022" s="1429"/>
      <c r="H1022" s="1430"/>
      <c r="I1022" s="1430"/>
      <c r="J1022" s="1164"/>
      <c r="K1022" s="94"/>
      <c r="L1022" s="94"/>
      <c r="M1022" s="1430"/>
      <c r="N1022" s="94"/>
      <c r="O1022" s="1430"/>
      <c r="P1022" s="94"/>
      <c r="Q1022" s="1431"/>
      <c r="R1022" s="1164"/>
      <c r="S1022" s="1164"/>
      <c r="T1022" s="1164"/>
      <c r="U1022" s="2174"/>
      <c r="V1022" s="2174"/>
      <c r="W1022" s="2174"/>
      <c r="X1022" s="1164"/>
    </row>
    <row r="1023" ht="15.75" customHeight="1">
      <c r="A1023" s="94"/>
      <c r="B1023" s="94"/>
      <c r="C1023" s="1164"/>
      <c r="D1023" s="1429"/>
      <c r="E1023" s="1429"/>
      <c r="F1023" s="1429"/>
      <c r="G1023" s="1429"/>
      <c r="H1023" s="1430"/>
      <c r="I1023" s="1430"/>
      <c r="J1023" s="1164"/>
      <c r="K1023" s="94"/>
      <c r="L1023" s="94"/>
      <c r="M1023" s="1430"/>
      <c r="N1023" s="94"/>
      <c r="O1023" s="1430"/>
      <c r="P1023" s="94"/>
      <c r="Q1023" s="1431"/>
      <c r="R1023" s="1164"/>
      <c r="S1023" s="1164"/>
      <c r="T1023" s="1164"/>
      <c r="U1023" s="2174"/>
      <c r="V1023" s="2174"/>
      <c r="W1023" s="2174"/>
      <c r="X1023" s="1164"/>
    </row>
    <row r="1024" ht="15.75" customHeight="1">
      <c r="A1024" s="94"/>
      <c r="B1024" s="94"/>
      <c r="C1024" s="1164"/>
      <c r="D1024" s="1429"/>
      <c r="E1024" s="1429"/>
      <c r="F1024" s="1429"/>
      <c r="G1024" s="1429"/>
      <c r="H1024" s="1430"/>
      <c r="I1024" s="1430"/>
      <c r="J1024" s="1164"/>
      <c r="K1024" s="94"/>
      <c r="L1024" s="94"/>
      <c r="M1024" s="1430"/>
      <c r="N1024" s="94"/>
      <c r="O1024" s="1430"/>
      <c r="P1024" s="94"/>
      <c r="Q1024" s="1431"/>
      <c r="R1024" s="1164"/>
      <c r="S1024" s="1164"/>
      <c r="T1024" s="1164"/>
      <c r="U1024" s="2174"/>
      <c r="V1024" s="2174"/>
      <c r="W1024" s="2174"/>
      <c r="X1024" s="1164"/>
    </row>
    <row r="1025" ht="15.75" customHeight="1">
      <c r="A1025" s="94"/>
      <c r="B1025" s="94"/>
      <c r="C1025" s="1164"/>
      <c r="D1025" s="1429"/>
      <c r="E1025" s="1429"/>
      <c r="F1025" s="1429"/>
      <c r="G1025" s="1429"/>
      <c r="H1025" s="1430"/>
      <c r="I1025" s="94"/>
      <c r="J1025" s="1164"/>
      <c r="K1025" s="94"/>
      <c r="L1025" s="94"/>
      <c r="M1025" s="1430"/>
      <c r="N1025" s="94"/>
      <c r="O1025" s="1430"/>
      <c r="P1025" s="94"/>
      <c r="Q1025" s="1431"/>
      <c r="R1025" s="1164"/>
      <c r="S1025" s="1164"/>
      <c r="T1025" s="1164"/>
      <c r="U1025" s="2174"/>
      <c r="V1025" s="2174"/>
      <c r="W1025" s="94"/>
      <c r="X1025" s="1164"/>
    </row>
    <row r="1026" ht="15.75" customHeight="1">
      <c r="A1026" s="94"/>
      <c r="B1026" s="94"/>
      <c r="C1026" s="1164"/>
      <c r="D1026" s="1429"/>
      <c r="E1026" s="1429"/>
      <c r="F1026" s="1429"/>
      <c r="G1026" s="1429"/>
      <c r="H1026" s="1430"/>
      <c r="I1026" s="1430"/>
      <c r="J1026" s="1164"/>
      <c r="K1026" s="94"/>
      <c r="L1026" s="94"/>
      <c r="M1026" s="1430"/>
      <c r="N1026" s="94"/>
      <c r="O1026" s="1430"/>
      <c r="P1026" s="94"/>
      <c r="Q1026" s="1431"/>
      <c r="R1026" s="1164"/>
      <c r="S1026" s="1164"/>
      <c r="T1026" s="1164"/>
      <c r="U1026" s="2174"/>
      <c r="V1026" s="2174"/>
      <c r="W1026" s="2174"/>
      <c r="X1026" s="1164"/>
    </row>
    <row r="1027" ht="15.75" customHeight="1">
      <c r="A1027" s="94"/>
      <c r="B1027" s="94"/>
      <c r="C1027" s="1164"/>
      <c r="D1027" s="1429"/>
      <c r="E1027" s="1429"/>
      <c r="F1027" s="1429"/>
      <c r="G1027" s="1429"/>
      <c r="H1027" s="1430"/>
      <c r="I1027" s="94"/>
      <c r="J1027" s="1164"/>
      <c r="K1027" s="94"/>
      <c r="L1027" s="94"/>
      <c r="M1027" s="1430"/>
      <c r="N1027" s="94"/>
      <c r="O1027" s="1430"/>
      <c r="P1027" s="94"/>
      <c r="Q1027" s="1431"/>
      <c r="R1027" s="1164"/>
      <c r="S1027" s="1164"/>
      <c r="T1027" s="1164"/>
      <c r="U1027" s="2174"/>
      <c r="V1027" s="2174"/>
      <c r="W1027" s="94"/>
      <c r="X1027" s="1164"/>
    </row>
    <row r="1028" ht="15.75" customHeight="1">
      <c r="A1028" s="94"/>
      <c r="B1028" s="94"/>
      <c r="C1028" s="1164"/>
      <c r="D1028" s="1429"/>
      <c r="E1028" s="1429"/>
      <c r="F1028" s="1429"/>
      <c r="G1028" s="1429"/>
      <c r="H1028" s="1430"/>
      <c r="I1028" s="94"/>
      <c r="J1028" s="1164"/>
      <c r="K1028" s="94"/>
      <c r="L1028" s="94"/>
      <c r="M1028" s="1430"/>
      <c r="N1028" s="94"/>
      <c r="O1028" s="1430"/>
      <c r="P1028" s="94"/>
      <c r="Q1028" s="1431"/>
      <c r="R1028" s="1164"/>
      <c r="S1028" s="1164"/>
      <c r="T1028" s="1164"/>
      <c r="U1028" s="2174"/>
      <c r="V1028" s="2174"/>
      <c r="W1028" s="94"/>
      <c r="X1028" s="1164"/>
    </row>
    <row r="1029" ht="15.75" customHeight="1">
      <c r="A1029" s="94"/>
      <c r="B1029" s="94"/>
      <c r="C1029" s="1164"/>
      <c r="D1029" s="1429"/>
      <c r="E1029" s="1429"/>
      <c r="F1029" s="1429"/>
      <c r="G1029" s="1429"/>
      <c r="H1029" s="1430"/>
      <c r="I1029" s="1430"/>
      <c r="J1029" s="1164"/>
      <c r="K1029" s="94"/>
      <c r="L1029" s="94"/>
      <c r="M1029" s="1430"/>
      <c r="N1029" s="94"/>
      <c r="O1029" s="1430"/>
      <c r="P1029" s="94"/>
      <c r="Q1029" s="1431"/>
      <c r="R1029" s="1164"/>
      <c r="S1029" s="1164"/>
      <c r="T1029" s="1164"/>
      <c r="U1029" s="2174"/>
      <c r="V1029" s="2174"/>
      <c r="W1029" s="2174"/>
      <c r="X1029" s="1164"/>
    </row>
    <row r="1030" ht="15.75" customHeight="1">
      <c r="A1030" s="94"/>
      <c r="B1030" s="94"/>
      <c r="C1030" s="1164"/>
      <c r="D1030" s="1429"/>
      <c r="E1030" s="1429"/>
      <c r="F1030" s="1429"/>
      <c r="G1030" s="1429"/>
      <c r="H1030" s="1430"/>
      <c r="I1030" s="94"/>
      <c r="J1030" s="1164"/>
      <c r="K1030" s="94"/>
      <c r="L1030" s="94"/>
      <c r="M1030" s="1430"/>
      <c r="N1030" s="94"/>
      <c r="O1030" s="1430"/>
      <c r="P1030" s="94"/>
      <c r="Q1030" s="1431"/>
      <c r="R1030" s="1164"/>
      <c r="S1030" s="1164"/>
      <c r="T1030" s="1164"/>
      <c r="U1030" s="2174"/>
      <c r="V1030" s="2174"/>
      <c r="W1030" s="94"/>
      <c r="X1030" s="1164"/>
    </row>
    <row r="1031" ht="15.75" customHeight="1">
      <c r="A1031" s="94"/>
      <c r="B1031" s="94"/>
      <c r="C1031" s="1164"/>
      <c r="D1031" s="1429"/>
      <c r="E1031" s="1429"/>
      <c r="F1031" s="1429"/>
      <c r="G1031" s="1429"/>
      <c r="H1031" s="1430"/>
      <c r="I1031" s="1430"/>
      <c r="J1031" s="1164"/>
      <c r="K1031" s="94"/>
      <c r="L1031" s="94"/>
      <c r="M1031" s="1430"/>
      <c r="N1031" s="94"/>
      <c r="O1031" s="1430"/>
      <c r="P1031" s="94"/>
      <c r="Q1031" s="1431"/>
      <c r="R1031" s="1164"/>
      <c r="S1031" s="1164"/>
      <c r="T1031" s="1164"/>
      <c r="U1031" s="2174"/>
      <c r="V1031" s="2174"/>
      <c r="W1031" s="2174"/>
      <c r="X1031" s="1164"/>
    </row>
    <row r="1032" ht="15.75" customHeight="1">
      <c r="A1032" s="94"/>
      <c r="B1032" s="94"/>
      <c r="C1032" s="1164"/>
      <c r="D1032" s="1429"/>
      <c r="E1032" s="1429"/>
      <c r="F1032" s="1429"/>
      <c r="G1032" s="1429"/>
      <c r="H1032" s="1430"/>
      <c r="I1032" s="94"/>
      <c r="J1032" s="1164"/>
      <c r="K1032" s="94"/>
      <c r="L1032" s="94"/>
      <c r="M1032" s="1430"/>
      <c r="N1032" s="94"/>
      <c r="O1032" s="1430"/>
      <c r="P1032" s="94"/>
      <c r="Q1032" s="1431"/>
      <c r="R1032" s="1164"/>
      <c r="S1032" s="1164"/>
      <c r="T1032" s="1164"/>
      <c r="U1032" s="2174"/>
      <c r="V1032" s="2174"/>
      <c r="W1032" s="94"/>
      <c r="X1032" s="1164"/>
    </row>
    <row r="1033" ht="15.75" customHeight="1">
      <c r="A1033" s="94"/>
      <c r="B1033" s="94"/>
      <c r="C1033" s="1164"/>
      <c r="D1033" s="1429"/>
      <c r="E1033" s="1429"/>
      <c r="F1033" s="1429"/>
      <c r="G1033" s="1429"/>
      <c r="H1033" s="1430"/>
      <c r="I1033" s="1430"/>
      <c r="J1033" s="1164"/>
      <c r="K1033" s="94"/>
      <c r="L1033" s="94"/>
      <c r="M1033" s="1430"/>
      <c r="N1033" s="94"/>
      <c r="O1033" s="1430"/>
      <c r="P1033" s="94"/>
      <c r="Q1033" s="1431"/>
      <c r="R1033" s="1164"/>
      <c r="S1033" s="1164"/>
      <c r="T1033" s="1164"/>
      <c r="U1033" s="2174"/>
      <c r="V1033" s="2174"/>
      <c r="W1033" s="2174"/>
      <c r="X1033" s="1164"/>
    </row>
    <row r="1034" ht="15.75" customHeight="1">
      <c r="A1034" s="94"/>
      <c r="B1034" s="94"/>
      <c r="C1034" s="1164"/>
      <c r="D1034" s="1429"/>
      <c r="E1034" s="1429"/>
      <c r="F1034" s="1429"/>
      <c r="G1034" s="1429"/>
      <c r="H1034" s="1430"/>
      <c r="I1034" s="1430"/>
      <c r="J1034" s="1164"/>
      <c r="K1034" s="94"/>
      <c r="L1034" s="94"/>
      <c r="M1034" s="1430"/>
      <c r="N1034" s="94"/>
      <c r="O1034" s="1430"/>
      <c r="P1034" s="94"/>
      <c r="Q1034" s="1431"/>
      <c r="R1034" s="1164"/>
      <c r="S1034" s="1164"/>
      <c r="T1034" s="1164"/>
      <c r="U1034" s="2174"/>
      <c r="V1034" s="2174"/>
      <c r="W1034" s="2174"/>
      <c r="X1034" s="1164"/>
    </row>
    <row r="1035" ht="15.75" customHeight="1">
      <c r="A1035" s="94"/>
      <c r="B1035" s="94"/>
      <c r="C1035" s="1164"/>
      <c r="D1035" s="1429"/>
      <c r="E1035" s="1429"/>
      <c r="F1035" s="1429"/>
      <c r="G1035" s="1429"/>
      <c r="H1035" s="1430"/>
      <c r="I1035" s="94"/>
      <c r="J1035" s="1164"/>
      <c r="K1035" s="94"/>
      <c r="L1035" s="94"/>
      <c r="M1035" s="1430"/>
      <c r="N1035" s="94"/>
      <c r="O1035" s="1430"/>
      <c r="P1035" s="94"/>
      <c r="Q1035" s="1431"/>
      <c r="R1035" s="1164"/>
      <c r="S1035" s="1164"/>
      <c r="T1035" s="1164"/>
      <c r="U1035" s="2174"/>
      <c r="V1035" s="2174"/>
      <c r="W1035" s="94"/>
      <c r="X1035" s="1164"/>
    </row>
    <row r="1036" ht="15.75" customHeight="1">
      <c r="A1036" s="94"/>
      <c r="B1036" s="94"/>
      <c r="C1036" s="1164"/>
      <c r="D1036" s="1429"/>
      <c r="E1036" s="1429"/>
      <c r="F1036" s="1429"/>
      <c r="G1036" s="1429"/>
      <c r="H1036" s="1430"/>
      <c r="I1036" s="1430"/>
      <c r="J1036" s="1164"/>
      <c r="K1036" s="94"/>
      <c r="L1036" s="94"/>
      <c r="M1036" s="1430"/>
      <c r="N1036" s="94"/>
      <c r="O1036" s="1430"/>
      <c r="P1036" s="94"/>
      <c r="Q1036" s="1431"/>
      <c r="R1036" s="1164"/>
      <c r="S1036" s="1164"/>
      <c r="T1036" s="1164"/>
      <c r="U1036" s="2174"/>
      <c r="V1036" s="2174"/>
      <c r="W1036" s="2174"/>
      <c r="X1036" s="1164"/>
    </row>
    <row r="1037" ht="15.75" customHeight="1">
      <c r="A1037" s="94"/>
      <c r="B1037" s="94"/>
      <c r="C1037" s="1164"/>
      <c r="D1037" s="1429"/>
      <c r="E1037" s="1429"/>
      <c r="F1037" s="1429"/>
      <c r="G1037" s="1429"/>
      <c r="H1037" s="1430"/>
      <c r="I1037" s="1430"/>
      <c r="J1037" s="1164"/>
      <c r="K1037" s="94"/>
      <c r="L1037" s="94"/>
      <c r="M1037" s="1430"/>
      <c r="N1037" s="94"/>
      <c r="O1037" s="1430"/>
      <c r="P1037" s="94"/>
      <c r="Q1037" s="1431"/>
      <c r="R1037" s="1164"/>
      <c r="S1037" s="1164"/>
      <c r="T1037" s="1164"/>
      <c r="U1037" s="2174"/>
      <c r="V1037" s="2174"/>
      <c r="W1037" s="2174"/>
      <c r="X1037" s="1164"/>
    </row>
    <row r="1038" ht="15.75" customHeight="1">
      <c r="A1038" s="94"/>
      <c r="B1038" s="94"/>
      <c r="C1038" s="1164"/>
      <c r="D1038" s="1429"/>
      <c r="E1038" s="1429"/>
      <c r="F1038" s="1429"/>
      <c r="G1038" s="1429"/>
      <c r="H1038" s="1430"/>
      <c r="I1038" s="1430"/>
      <c r="J1038" s="1164"/>
      <c r="K1038" s="94"/>
      <c r="L1038" s="94"/>
      <c r="M1038" s="1430"/>
      <c r="N1038" s="94"/>
      <c r="O1038" s="1430"/>
      <c r="P1038" s="94"/>
      <c r="Q1038" s="1431"/>
      <c r="R1038" s="1164"/>
      <c r="S1038" s="1164"/>
      <c r="T1038" s="1164"/>
      <c r="U1038" s="2174"/>
      <c r="V1038" s="2174"/>
      <c r="W1038" s="2174"/>
      <c r="X1038" s="1164"/>
    </row>
    <row r="1039" ht="15.75" customHeight="1">
      <c r="A1039" s="94"/>
      <c r="B1039" s="94"/>
      <c r="C1039" s="1164"/>
      <c r="D1039" s="1429"/>
      <c r="E1039" s="1429"/>
      <c r="F1039" s="1429"/>
      <c r="G1039" s="1429"/>
      <c r="H1039" s="1430"/>
      <c r="I1039" s="94"/>
      <c r="J1039" s="1164"/>
      <c r="K1039" s="94"/>
      <c r="L1039" s="94"/>
      <c r="M1039" s="94"/>
      <c r="N1039" s="94"/>
      <c r="O1039" s="94"/>
      <c r="P1039" s="94"/>
      <c r="Q1039" s="1431"/>
      <c r="R1039" s="1164"/>
      <c r="S1039" s="1164"/>
      <c r="T1039" s="1164"/>
      <c r="U1039" s="2174"/>
      <c r="V1039" s="2174"/>
      <c r="W1039" s="94"/>
      <c r="X1039" s="1164"/>
    </row>
    <row r="1040" ht="15.75" customHeight="1">
      <c r="A1040" s="94"/>
      <c r="B1040" s="1164"/>
      <c r="C1040" s="1164"/>
      <c r="D1040" s="1429"/>
      <c r="E1040" s="1429"/>
      <c r="F1040" s="1429"/>
      <c r="G1040" s="1429"/>
      <c r="H1040" s="1430"/>
      <c r="I1040" s="94"/>
      <c r="J1040" s="1164"/>
      <c r="K1040" s="94"/>
      <c r="L1040" s="94"/>
      <c r="M1040" s="94"/>
      <c r="N1040" s="94"/>
      <c r="O1040" s="94"/>
      <c r="P1040" s="94"/>
      <c r="Q1040" s="1431"/>
      <c r="R1040" s="1164"/>
      <c r="S1040" s="1164"/>
      <c r="T1040" s="1164"/>
      <c r="U1040" s="2174"/>
      <c r="V1040" s="2174"/>
      <c r="W1040" s="94"/>
      <c r="X1040" s="1164"/>
    </row>
    <row r="1041" ht="15.75" customHeight="1">
      <c r="A1041" s="94"/>
      <c r="B1041" s="94"/>
      <c r="C1041" s="1164"/>
      <c r="D1041" s="1429"/>
      <c r="E1041" s="1429"/>
      <c r="F1041" s="1429"/>
      <c r="G1041" s="1429"/>
      <c r="H1041" s="1430"/>
      <c r="I1041" s="94"/>
      <c r="J1041" s="1164"/>
      <c r="K1041" s="94"/>
      <c r="L1041" s="94"/>
      <c r="M1041" s="1430"/>
      <c r="N1041" s="94"/>
      <c r="O1041" s="1430"/>
      <c r="P1041" s="94"/>
      <c r="Q1041" s="1431"/>
      <c r="R1041" s="1164"/>
      <c r="S1041" s="1164"/>
      <c r="T1041" s="1164"/>
      <c r="U1041" s="2174"/>
      <c r="V1041" s="2174"/>
      <c r="W1041" s="94"/>
      <c r="X1041" s="1164"/>
    </row>
    <row r="1042" ht="15.75" customHeight="1">
      <c r="A1042" s="94"/>
      <c r="B1042" s="94"/>
      <c r="C1042" s="1164"/>
      <c r="D1042" s="1429"/>
      <c r="E1042" s="1429"/>
      <c r="F1042" s="1429"/>
      <c r="G1042" s="1429"/>
      <c r="H1042" s="1430"/>
      <c r="I1042" s="94"/>
      <c r="J1042" s="1164"/>
      <c r="K1042" s="94"/>
      <c r="L1042" s="94"/>
      <c r="M1042" s="1430"/>
      <c r="N1042" s="94"/>
      <c r="O1042" s="1430"/>
      <c r="P1042" s="94"/>
      <c r="Q1042" s="1431"/>
      <c r="R1042" s="1164"/>
      <c r="S1042" s="1164"/>
      <c r="T1042" s="1164"/>
      <c r="U1042" s="2174"/>
      <c r="V1042" s="2174"/>
      <c r="W1042" s="94"/>
      <c r="X1042" s="1164"/>
    </row>
    <row r="1043" ht="15.75" customHeight="1">
      <c r="A1043" s="94"/>
      <c r="B1043" s="94"/>
      <c r="C1043" s="1164"/>
      <c r="D1043" s="1429"/>
      <c r="E1043" s="1429"/>
      <c r="F1043" s="1429"/>
      <c r="G1043" s="1429"/>
      <c r="H1043" s="1430"/>
      <c r="I1043" s="1430"/>
      <c r="J1043" s="1164"/>
      <c r="K1043" s="94"/>
      <c r="L1043" s="94"/>
      <c r="M1043" s="1430"/>
      <c r="N1043" s="94"/>
      <c r="O1043" s="1430"/>
      <c r="P1043" s="94"/>
      <c r="Q1043" s="1431"/>
      <c r="R1043" s="1164"/>
      <c r="S1043" s="1164"/>
      <c r="T1043" s="1164"/>
      <c r="U1043" s="2174"/>
      <c r="V1043" s="2174"/>
      <c r="W1043" s="2174"/>
      <c r="X1043" s="1164"/>
    </row>
    <row r="1044" ht="15.75" customHeight="1">
      <c r="A1044" s="94"/>
      <c r="B1044" s="94"/>
      <c r="C1044" s="1164"/>
      <c r="D1044" s="1429"/>
      <c r="E1044" s="1429"/>
      <c r="F1044" s="1429"/>
      <c r="G1044" s="1429"/>
      <c r="H1044" s="1430"/>
      <c r="I1044" s="1430"/>
      <c r="J1044" s="1164"/>
      <c r="K1044" s="94"/>
      <c r="L1044" s="94"/>
      <c r="M1044" s="94"/>
      <c r="N1044" s="94"/>
      <c r="O1044" s="94"/>
      <c r="P1044" s="94"/>
      <c r="Q1044" s="1431"/>
      <c r="R1044" s="1164"/>
      <c r="S1044" s="1164"/>
      <c r="T1044" s="1164"/>
      <c r="U1044" s="2174"/>
      <c r="V1044" s="2174"/>
      <c r="W1044" s="2174"/>
      <c r="X1044" s="1164"/>
    </row>
    <row r="1045" ht="15.75" customHeight="1">
      <c r="A1045" s="94"/>
      <c r="B1045" s="94"/>
      <c r="C1045" s="1164"/>
      <c r="D1045" s="1429"/>
      <c r="E1045" s="1429"/>
      <c r="F1045" s="1429"/>
      <c r="G1045" s="1429"/>
      <c r="H1045" s="1430"/>
      <c r="I1045" s="1430"/>
      <c r="J1045" s="1164"/>
      <c r="K1045" s="94"/>
      <c r="L1045" s="94"/>
      <c r="M1045" s="1430"/>
      <c r="N1045" s="94"/>
      <c r="O1045" s="1430"/>
      <c r="P1045" s="94"/>
      <c r="Q1045" s="1431"/>
      <c r="R1045" s="1164"/>
      <c r="S1045" s="1164"/>
      <c r="T1045" s="1164"/>
      <c r="U1045" s="2174"/>
      <c r="V1045" s="2174"/>
      <c r="W1045" s="2174"/>
      <c r="X1045" s="1164"/>
    </row>
    <row r="1046" ht="15.75" customHeight="1">
      <c r="A1046" s="94"/>
      <c r="B1046" s="94"/>
      <c r="C1046" s="1164"/>
      <c r="D1046" s="1429"/>
      <c r="E1046" s="1429"/>
      <c r="F1046" s="1429"/>
      <c r="G1046" s="1429"/>
      <c r="H1046" s="1430"/>
      <c r="I1046" s="1430"/>
      <c r="J1046" s="1164"/>
      <c r="K1046" s="94"/>
      <c r="L1046" s="94"/>
      <c r="M1046" s="1430"/>
      <c r="N1046" s="94"/>
      <c r="O1046" s="1430"/>
      <c r="P1046" s="94"/>
      <c r="Q1046" s="1431"/>
      <c r="R1046" s="1164"/>
      <c r="S1046" s="1164"/>
      <c r="T1046" s="1164"/>
      <c r="U1046" s="2174"/>
      <c r="V1046" s="2174"/>
      <c r="W1046" s="2174"/>
      <c r="X1046" s="1164"/>
    </row>
    <row r="1047" ht="15.75" customHeight="1">
      <c r="A1047" s="94"/>
      <c r="B1047" s="94"/>
      <c r="C1047" s="1164"/>
      <c r="D1047" s="1429"/>
      <c r="E1047" s="1429"/>
      <c r="F1047" s="1429"/>
      <c r="G1047" s="1429"/>
      <c r="H1047" s="1430"/>
      <c r="I1047" s="1430"/>
      <c r="J1047" s="1164"/>
      <c r="K1047" s="94"/>
      <c r="L1047" s="94"/>
      <c r="M1047" s="1430"/>
      <c r="N1047" s="94"/>
      <c r="O1047" s="1430"/>
      <c r="P1047" s="94"/>
      <c r="Q1047" s="1431"/>
      <c r="R1047" s="1164"/>
      <c r="S1047" s="1164"/>
      <c r="T1047" s="1164"/>
      <c r="U1047" s="2174"/>
      <c r="V1047" s="2174"/>
      <c r="W1047" s="2174"/>
      <c r="X1047" s="1164"/>
    </row>
    <row r="1048" ht="15.75" customHeight="1">
      <c r="A1048" s="94"/>
      <c r="B1048" s="94"/>
      <c r="C1048" s="1164"/>
      <c r="D1048" s="1429"/>
      <c r="E1048" s="1429"/>
      <c r="F1048" s="1429"/>
      <c r="G1048" s="1429"/>
      <c r="H1048" s="1430"/>
      <c r="I1048" s="1430"/>
      <c r="J1048" s="1164"/>
      <c r="K1048" s="94"/>
      <c r="L1048" s="94"/>
      <c r="M1048" s="1430"/>
      <c r="N1048" s="94"/>
      <c r="O1048" s="1430"/>
      <c r="P1048" s="94"/>
      <c r="Q1048" s="1431"/>
      <c r="R1048" s="1164"/>
      <c r="S1048" s="1164"/>
      <c r="T1048" s="1164"/>
      <c r="U1048" s="2174"/>
      <c r="V1048" s="2174"/>
      <c r="W1048" s="2174"/>
      <c r="X1048" s="1164"/>
    </row>
    <row r="1049" ht="15.75" customHeight="1">
      <c r="A1049" s="94"/>
      <c r="B1049" s="94"/>
      <c r="C1049" s="1164"/>
      <c r="D1049" s="1429"/>
      <c r="E1049" s="1429"/>
      <c r="F1049" s="1429"/>
      <c r="G1049" s="1429"/>
      <c r="H1049" s="1430"/>
      <c r="I1049" s="94"/>
      <c r="J1049" s="1164"/>
      <c r="K1049" s="94"/>
      <c r="L1049" s="94"/>
      <c r="M1049" s="1430"/>
      <c r="N1049" s="94"/>
      <c r="O1049" s="1430"/>
      <c r="P1049" s="94"/>
      <c r="Q1049" s="1431"/>
      <c r="R1049" s="1164"/>
      <c r="S1049" s="1164"/>
      <c r="T1049" s="1164"/>
      <c r="U1049" s="2174"/>
      <c r="V1049" s="2174"/>
      <c r="W1049" s="94"/>
      <c r="X1049" s="1164"/>
    </row>
    <row r="1050" ht="15.75" customHeight="1">
      <c r="A1050" s="94"/>
      <c r="B1050" s="94"/>
      <c r="C1050" s="1164"/>
      <c r="D1050" s="1429"/>
      <c r="E1050" s="1429"/>
      <c r="F1050" s="1429"/>
      <c r="G1050" s="1429"/>
      <c r="H1050" s="1430"/>
      <c r="I1050" s="1430"/>
      <c r="J1050" s="1164"/>
      <c r="K1050" s="94"/>
      <c r="L1050" s="94"/>
      <c r="M1050" s="1430"/>
      <c r="N1050" s="94"/>
      <c r="O1050" s="1430"/>
      <c r="P1050" s="94"/>
      <c r="Q1050" s="1431"/>
      <c r="R1050" s="1164"/>
      <c r="S1050" s="1164"/>
      <c r="T1050" s="1164"/>
      <c r="U1050" s="2174"/>
      <c r="V1050" s="2174"/>
      <c r="W1050" s="2174"/>
      <c r="X1050" s="1164"/>
    </row>
    <row r="1051" ht="15.75" customHeight="1">
      <c r="A1051" s="94"/>
      <c r="B1051" s="94"/>
      <c r="C1051" s="1164"/>
      <c r="D1051" s="1429"/>
      <c r="E1051" s="1429"/>
      <c r="F1051" s="1429"/>
      <c r="G1051" s="1429"/>
      <c r="H1051" s="1430"/>
      <c r="I1051" s="94"/>
      <c r="J1051" s="1164"/>
      <c r="K1051" s="94"/>
      <c r="L1051" s="94"/>
      <c r="M1051" s="1430"/>
      <c r="N1051" s="94"/>
      <c r="O1051" s="1430"/>
      <c r="P1051" s="94"/>
      <c r="Q1051" s="1431"/>
      <c r="R1051" s="1164"/>
      <c r="S1051" s="1164"/>
      <c r="T1051" s="1164"/>
      <c r="U1051" s="2174"/>
      <c r="V1051" s="2174"/>
      <c r="W1051" s="94"/>
      <c r="X1051" s="1164"/>
    </row>
    <row r="1052" ht="15.75" customHeight="1">
      <c r="A1052" s="94"/>
      <c r="B1052" s="94"/>
      <c r="C1052" s="1164"/>
      <c r="D1052" s="1429"/>
      <c r="E1052" s="1429"/>
      <c r="F1052" s="1429"/>
      <c r="G1052" s="1429"/>
      <c r="H1052" s="1430"/>
      <c r="I1052" s="94"/>
      <c r="J1052" s="1164"/>
      <c r="K1052" s="94"/>
      <c r="L1052" s="94"/>
      <c r="M1052" s="1430"/>
      <c r="N1052" s="94"/>
      <c r="O1052" s="1430"/>
      <c r="P1052" s="94"/>
      <c r="Q1052" s="1431"/>
      <c r="R1052" s="1164"/>
      <c r="S1052" s="1164"/>
      <c r="T1052" s="1164"/>
      <c r="U1052" s="2174"/>
      <c r="V1052" s="2174"/>
      <c r="W1052" s="94"/>
      <c r="X1052" s="1164"/>
    </row>
    <row r="1053" ht="15.75" customHeight="1">
      <c r="A1053" s="94"/>
      <c r="B1053" s="94"/>
      <c r="C1053" s="1164"/>
      <c r="D1053" s="1429"/>
      <c r="E1053" s="1429"/>
      <c r="F1053" s="1429"/>
      <c r="G1053" s="1429"/>
      <c r="H1053" s="1430"/>
      <c r="I1053" s="1430"/>
      <c r="J1053" s="1164"/>
      <c r="K1053" s="94"/>
      <c r="L1053" s="94"/>
      <c r="M1053" s="1430"/>
      <c r="N1053" s="94"/>
      <c r="O1053" s="1430"/>
      <c r="P1053" s="94"/>
      <c r="Q1053" s="1431"/>
      <c r="R1053" s="1164"/>
      <c r="S1053" s="1164"/>
      <c r="T1053" s="1164"/>
      <c r="U1053" s="2174"/>
      <c r="V1053" s="2174"/>
      <c r="W1053" s="2174"/>
      <c r="X1053" s="1164"/>
    </row>
    <row r="1054" ht="15.75" customHeight="1">
      <c r="A1054" s="94"/>
      <c r="B1054" s="94"/>
      <c r="C1054" s="1164"/>
      <c r="D1054" s="1429"/>
      <c r="E1054" s="1429"/>
      <c r="F1054" s="1429"/>
      <c r="G1054" s="1429"/>
      <c r="H1054" s="1430"/>
      <c r="I1054" s="94"/>
      <c r="J1054" s="1164"/>
      <c r="K1054" s="94"/>
      <c r="L1054" s="94"/>
      <c r="M1054" s="1430"/>
      <c r="N1054" s="94"/>
      <c r="O1054" s="1430"/>
      <c r="P1054" s="94"/>
      <c r="Q1054" s="1431"/>
      <c r="R1054" s="1164"/>
      <c r="S1054" s="1164"/>
      <c r="T1054" s="1164"/>
      <c r="U1054" s="2174"/>
      <c r="V1054" s="2174"/>
      <c r="W1054" s="94"/>
      <c r="X1054" s="1164"/>
    </row>
    <row r="1055" ht="15.75" customHeight="1">
      <c r="A1055" s="94"/>
      <c r="B1055" s="94"/>
      <c r="C1055" s="1164"/>
      <c r="D1055" s="1429"/>
      <c r="E1055" s="1429"/>
      <c r="F1055" s="1429"/>
      <c r="G1055" s="1429"/>
      <c r="H1055" s="1430"/>
      <c r="I1055" s="1430"/>
      <c r="J1055" s="1164"/>
      <c r="K1055" s="94"/>
      <c r="L1055" s="94"/>
      <c r="M1055" s="1430"/>
      <c r="N1055" s="94"/>
      <c r="O1055" s="1430"/>
      <c r="P1055" s="94"/>
      <c r="Q1055" s="1431"/>
      <c r="R1055" s="1164"/>
      <c r="S1055" s="1164"/>
      <c r="T1055" s="1164"/>
      <c r="U1055" s="2174"/>
      <c r="V1055" s="2174"/>
      <c r="W1055" s="2174"/>
      <c r="X1055" s="1164"/>
    </row>
    <row r="1056" ht="15.75" customHeight="1">
      <c r="A1056" s="94"/>
      <c r="B1056" s="94"/>
      <c r="C1056" s="1164"/>
      <c r="D1056" s="1429"/>
      <c r="E1056" s="1429"/>
      <c r="F1056" s="1429"/>
      <c r="G1056" s="1429"/>
      <c r="H1056" s="1430"/>
      <c r="I1056" s="1430"/>
      <c r="J1056" s="1164"/>
      <c r="K1056" s="94"/>
      <c r="L1056" s="94"/>
      <c r="M1056" s="1430"/>
      <c r="N1056" s="94"/>
      <c r="O1056" s="1430"/>
      <c r="P1056" s="94"/>
      <c r="Q1056" s="1431"/>
      <c r="R1056" s="1164"/>
      <c r="S1056" s="1164"/>
      <c r="T1056" s="1164"/>
      <c r="U1056" s="2174"/>
      <c r="V1056" s="2174"/>
      <c r="W1056" s="2174"/>
      <c r="X1056" s="1164"/>
    </row>
    <row r="1057" ht="15.75" customHeight="1">
      <c r="A1057" s="94"/>
      <c r="B1057" s="94"/>
      <c r="C1057" s="1164"/>
      <c r="D1057" s="1429"/>
      <c r="E1057" s="1429"/>
      <c r="F1057" s="1429"/>
      <c r="G1057" s="1429"/>
      <c r="H1057" s="1430"/>
      <c r="I1057" s="1430"/>
      <c r="J1057" s="1164"/>
      <c r="K1057" s="94"/>
      <c r="L1057" s="94"/>
      <c r="M1057" s="94"/>
      <c r="N1057" s="94"/>
      <c r="O1057" s="1430"/>
      <c r="P1057" s="94"/>
      <c r="Q1057" s="1431"/>
      <c r="R1057" s="1164"/>
      <c r="S1057" s="1164"/>
      <c r="T1057" s="1164"/>
      <c r="U1057" s="2174"/>
      <c r="V1057" s="2174"/>
      <c r="W1057" s="2174"/>
      <c r="X1057" s="1164"/>
    </row>
    <row r="1058" ht="15.75" customHeight="1">
      <c r="A1058" s="94"/>
      <c r="B1058" s="94"/>
      <c r="C1058" s="1164"/>
      <c r="D1058" s="1429"/>
      <c r="E1058" s="1429"/>
      <c r="F1058" s="1429"/>
      <c r="G1058" s="1429"/>
      <c r="H1058" s="1430"/>
      <c r="I1058" s="94"/>
      <c r="J1058" s="1164"/>
      <c r="K1058" s="94"/>
      <c r="L1058" s="94"/>
      <c r="M1058" s="94"/>
      <c r="N1058" s="94"/>
      <c r="O1058" s="94"/>
      <c r="P1058" s="94"/>
      <c r="Q1058" s="1431"/>
      <c r="R1058" s="1164"/>
      <c r="S1058" s="1164"/>
      <c r="T1058" s="1164"/>
      <c r="U1058" s="2174"/>
      <c r="V1058" s="94"/>
      <c r="W1058" s="94"/>
      <c r="X1058" s="1164"/>
    </row>
    <row r="1059" ht="15.75" customHeight="1">
      <c r="A1059" s="94"/>
      <c r="B1059" s="94"/>
      <c r="C1059" s="1164"/>
      <c r="D1059" s="1429"/>
      <c r="E1059" s="1429"/>
      <c r="F1059" s="1429"/>
      <c r="G1059" s="1429"/>
      <c r="H1059" s="1430"/>
      <c r="I1059" s="94"/>
      <c r="J1059" s="1164"/>
      <c r="K1059" s="94"/>
      <c r="L1059" s="94"/>
      <c r="M1059" s="94"/>
      <c r="N1059" s="94"/>
      <c r="O1059" s="94"/>
      <c r="P1059" s="94"/>
      <c r="Q1059" s="1431"/>
      <c r="R1059" s="1164"/>
      <c r="S1059" s="1164"/>
      <c r="T1059" s="1164"/>
      <c r="U1059" s="2174"/>
      <c r="V1059" s="2174"/>
      <c r="W1059" s="94"/>
      <c r="X1059" s="1164"/>
    </row>
    <row r="1060" ht="15.75" customHeight="1">
      <c r="A1060" s="94"/>
      <c r="B1060" s="94"/>
      <c r="C1060" s="1164"/>
      <c r="D1060" s="1429"/>
      <c r="E1060" s="1429"/>
      <c r="F1060" s="1429"/>
      <c r="G1060" s="1429"/>
      <c r="H1060" s="1430"/>
      <c r="I1060" s="94"/>
      <c r="J1060" s="1164"/>
      <c r="K1060" s="94"/>
      <c r="L1060" s="94"/>
      <c r="M1060" s="94"/>
      <c r="N1060" s="94"/>
      <c r="O1060" s="94"/>
      <c r="P1060" s="94"/>
      <c r="Q1060" s="1431"/>
      <c r="R1060" s="1164"/>
      <c r="S1060" s="1164"/>
      <c r="T1060" s="1164"/>
      <c r="U1060" s="2174"/>
      <c r="V1060" s="2174"/>
      <c r="W1060" s="94"/>
      <c r="X1060" s="1164"/>
    </row>
    <row r="1061" ht="15.75" customHeight="1">
      <c r="A1061" s="94"/>
      <c r="B1061" s="94"/>
      <c r="C1061" s="1164"/>
      <c r="D1061" s="1429"/>
      <c r="E1061" s="1429"/>
      <c r="F1061" s="1429"/>
      <c r="G1061" s="1429"/>
      <c r="H1061" s="1430"/>
      <c r="I1061" s="94"/>
      <c r="J1061" s="1164"/>
      <c r="K1061" s="94"/>
      <c r="L1061" s="94"/>
      <c r="M1061" s="94"/>
      <c r="N1061" s="94"/>
      <c r="O1061" s="94"/>
      <c r="P1061" s="94"/>
      <c r="Q1061" s="1431"/>
      <c r="R1061" s="1164"/>
      <c r="S1061" s="1164"/>
      <c r="T1061" s="1164"/>
      <c r="U1061" s="2174"/>
      <c r="V1061" s="2174"/>
      <c r="W1061" s="94"/>
      <c r="X1061" s="1164"/>
    </row>
    <row r="1062" ht="15.75" customHeight="1">
      <c r="A1062" s="94"/>
      <c r="B1062" s="94"/>
      <c r="C1062" s="1164"/>
      <c r="D1062" s="1429"/>
      <c r="E1062" s="1429"/>
      <c r="F1062" s="1429"/>
      <c r="G1062" s="1429"/>
      <c r="H1062" s="1430"/>
      <c r="I1062" s="1430"/>
      <c r="J1062" s="1164"/>
      <c r="K1062" s="94"/>
      <c r="L1062" s="94"/>
      <c r="M1062" s="94"/>
      <c r="N1062" s="94"/>
      <c r="O1062" s="94"/>
      <c r="P1062" s="94"/>
      <c r="Q1062" s="1431"/>
      <c r="R1062" s="1164"/>
      <c r="S1062" s="1164"/>
      <c r="T1062" s="1164"/>
      <c r="U1062" s="2174"/>
      <c r="V1062" s="2174"/>
      <c r="W1062" s="2174"/>
      <c r="X1062" s="1164"/>
    </row>
    <row r="1063" ht="15.75" customHeight="1">
      <c r="A1063" s="94"/>
      <c r="B1063" s="94"/>
      <c r="C1063" s="1164"/>
      <c r="D1063" s="1429"/>
      <c r="E1063" s="1429"/>
      <c r="F1063" s="1429"/>
      <c r="G1063" s="1429"/>
      <c r="H1063" s="1430"/>
      <c r="I1063" s="94"/>
      <c r="J1063" s="1164"/>
      <c r="K1063" s="94"/>
      <c r="L1063" s="94"/>
      <c r="M1063" s="94"/>
      <c r="N1063" s="94"/>
      <c r="O1063" s="94"/>
      <c r="P1063" s="94"/>
      <c r="Q1063" s="1431"/>
      <c r="R1063" s="1164"/>
      <c r="S1063" s="1164"/>
      <c r="T1063" s="1164"/>
      <c r="U1063" s="2174"/>
      <c r="V1063" s="2174"/>
      <c r="W1063" s="94"/>
      <c r="X1063" s="1164"/>
    </row>
    <row r="1064" ht="15.75" customHeight="1">
      <c r="A1064" s="94"/>
      <c r="B1064" s="94"/>
      <c r="C1064" s="1164"/>
      <c r="D1064" s="1429"/>
      <c r="E1064" s="1429"/>
      <c r="F1064" s="1429"/>
      <c r="G1064" s="1429"/>
      <c r="H1064" s="1430"/>
      <c r="I1064" s="94"/>
      <c r="J1064" s="1164"/>
      <c r="K1064" s="94"/>
      <c r="L1064" s="94"/>
      <c r="M1064" s="1430"/>
      <c r="N1064" s="94"/>
      <c r="O1064" s="1430"/>
      <c r="P1064" s="94"/>
      <c r="Q1064" s="1431"/>
      <c r="R1064" s="1164"/>
      <c r="S1064" s="1164"/>
      <c r="T1064" s="1164"/>
      <c r="U1064" s="2174"/>
      <c r="V1064" s="2174"/>
      <c r="W1064" s="94"/>
      <c r="X1064" s="1164"/>
    </row>
    <row r="1065" ht="15.75" customHeight="1">
      <c r="A1065" s="94"/>
      <c r="B1065" s="94"/>
      <c r="C1065" s="1164"/>
      <c r="D1065" s="1429"/>
      <c r="E1065" s="1429"/>
      <c r="F1065" s="1429"/>
      <c r="G1065" s="1429"/>
      <c r="H1065" s="1430"/>
      <c r="I1065" s="1430"/>
      <c r="J1065" s="1164"/>
      <c r="K1065" s="94"/>
      <c r="L1065" s="94"/>
      <c r="M1065" s="1430"/>
      <c r="N1065" s="94"/>
      <c r="O1065" s="1430"/>
      <c r="P1065" s="94"/>
      <c r="Q1065" s="1431"/>
      <c r="R1065" s="1164"/>
      <c r="S1065" s="1164"/>
      <c r="T1065" s="1164"/>
      <c r="U1065" s="2174"/>
      <c r="V1065" s="2174"/>
      <c r="W1065" s="2174"/>
      <c r="X1065" s="1164"/>
    </row>
    <row r="1066" ht="15.75" customHeight="1">
      <c r="A1066" s="94"/>
      <c r="B1066" s="94"/>
      <c r="C1066" s="1164"/>
      <c r="D1066" s="1429"/>
      <c r="E1066" s="1429"/>
      <c r="F1066" s="1429"/>
      <c r="G1066" s="1429"/>
      <c r="H1066" s="1430"/>
      <c r="I1066" s="94"/>
      <c r="J1066" s="1164"/>
      <c r="K1066" s="94"/>
      <c r="L1066" s="94"/>
      <c r="M1066" s="1430"/>
      <c r="N1066" s="94"/>
      <c r="O1066" s="1430"/>
      <c r="P1066" s="94"/>
      <c r="Q1066" s="1431"/>
      <c r="R1066" s="1164"/>
      <c r="S1066" s="1164"/>
      <c r="T1066" s="1164"/>
      <c r="U1066" s="2174"/>
      <c r="V1066" s="2174"/>
      <c r="W1066" s="94"/>
      <c r="X1066" s="1164"/>
    </row>
    <row r="1067" ht="15.75" customHeight="1">
      <c r="A1067" s="94"/>
      <c r="B1067" s="94"/>
      <c r="C1067" s="1164"/>
      <c r="D1067" s="1429"/>
      <c r="E1067" s="1429"/>
      <c r="F1067" s="1429"/>
      <c r="G1067" s="1429"/>
      <c r="H1067" s="1430"/>
      <c r="I1067" s="94"/>
      <c r="J1067" s="1164"/>
      <c r="K1067" s="94"/>
      <c r="L1067" s="94"/>
      <c r="M1067" s="1430"/>
      <c r="N1067" s="94"/>
      <c r="O1067" s="1430"/>
      <c r="P1067" s="94"/>
      <c r="Q1067" s="1431"/>
      <c r="R1067" s="1164"/>
      <c r="S1067" s="1164"/>
      <c r="T1067" s="1164"/>
      <c r="U1067" s="2174"/>
      <c r="V1067" s="2174"/>
      <c r="W1067" s="94"/>
      <c r="X1067" s="1164"/>
    </row>
    <row r="1068" ht="15.75" customHeight="1">
      <c r="A1068" s="94"/>
      <c r="B1068" s="94"/>
      <c r="C1068" s="1164"/>
      <c r="D1068" s="1429"/>
      <c r="E1068" s="1429"/>
      <c r="F1068" s="1429"/>
      <c r="G1068" s="1429"/>
      <c r="H1068" s="1430"/>
      <c r="I1068" s="94"/>
      <c r="J1068" s="1164"/>
      <c r="K1068" s="94"/>
      <c r="L1068" s="94"/>
      <c r="M1068" s="1430"/>
      <c r="N1068" s="94"/>
      <c r="O1068" s="1430"/>
      <c r="P1068" s="94"/>
      <c r="Q1068" s="1431"/>
      <c r="R1068" s="1164"/>
      <c r="S1068" s="1164"/>
      <c r="T1068" s="1164"/>
      <c r="U1068" s="2174"/>
      <c r="V1068" s="2174"/>
      <c r="W1068" s="94"/>
      <c r="X1068" s="1164"/>
    </row>
    <row r="1069" ht="15.75" customHeight="1">
      <c r="A1069" s="94"/>
      <c r="B1069" s="94"/>
      <c r="C1069" s="1164"/>
      <c r="D1069" s="1429"/>
      <c r="E1069" s="1429"/>
      <c r="F1069" s="1429"/>
      <c r="G1069" s="1429"/>
      <c r="H1069" s="1430"/>
      <c r="I1069" s="94"/>
      <c r="J1069" s="1164"/>
      <c r="K1069" s="94"/>
      <c r="L1069" s="94"/>
      <c r="M1069" s="1430"/>
      <c r="N1069" s="94"/>
      <c r="O1069" s="1430"/>
      <c r="P1069" s="94"/>
      <c r="Q1069" s="1431"/>
      <c r="R1069" s="1164"/>
      <c r="S1069" s="1164"/>
      <c r="T1069" s="1164"/>
      <c r="U1069" s="2174"/>
      <c r="V1069" s="2174"/>
      <c r="W1069" s="94"/>
      <c r="X1069" s="1164"/>
    </row>
    <row r="1070" ht="15.75" customHeight="1">
      <c r="A1070" s="94"/>
      <c r="B1070" s="94"/>
      <c r="C1070" s="1164"/>
      <c r="D1070" s="1429"/>
      <c r="E1070" s="1429"/>
      <c r="F1070" s="1429"/>
      <c r="G1070" s="1429"/>
      <c r="H1070" s="1430"/>
      <c r="I1070" s="94"/>
      <c r="J1070" s="1164"/>
      <c r="K1070" s="94"/>
      <c r="L1070" s="94"/>
      <c r="M1070" s="1430"/>
      <c r="N1070" s="94"/>
      <c r="O1070" s="1430"/>
      <c r="P1070" s="94"/>
      <c r="Q1070" s="1431"/>
      <c r="R1070" s="1164"/>
      <c r="S1070" s="1164"/>
      <c r="T1070" s="1164"/>
      <c r="U1070" s="2174"/>
      <c r="V1070" s="2174"/>
      <c r="W1070" s="94"/>
      <c r="X1070" s="1164"/>
    </row>
    <row r="1071" ht="15.75" customHeight="1">
      <c r="A1071" s="94"/>
      <c r="B1071" s="94"/>
      <c r="C1071" s="1164"/>
      <c r="D1071" s="1429"/>
      <c r="E1071" s="1429"/>
      <c r="F1071" s="1429"/>
      <c r="G1071" s="1429"/>
      <c r="H1071" s="1430"/>
      <c r="I1071" s="1430"/>
      <c r="J1071" s="1164"/>
      <c r="K1071" s="94"/>
      <c r="L1071" s="94"/>
      <c r="M1071" s="1430"/>
      <c r="N1071" s="94"/>
      <c r="O1071" s="1430"/>
      <c r="P1071" s="94"/>
      <c r="Q1071" s="1431"/>
      <c r="R1071" s="1164"/>
      <c r="S1071" s="1164"/>
      <c r="T1071" s="1164"/>
      <c r="U1071" s="2174"/>
      <c r="V1071" s="2174"/>
      <c r="W1071" s="2174"/>
      <c r="X1071" s="1164"/>
    </row>
    <row r="1072" ht="15.75" customHeight="1">
      <c r="A1072" s="94"/>
      <c r="B1072" s="94"/>
      <c r="C1072" s="1164"/>
      <c r="D1072" s="1429"/>
      <c r="E1072" s="1429"/>
      <c r="F1072" s="1429"/>
      <c r="G1072" s="1429"/>
      <c r="H1072" s="1430"/>
      <c r="I1072" s="1430"/>
      <c r="J1072" s="1164"/>
      <c r="K1072" s="94"/>
      <c r="L1072" s="94"/>
      <c r="M1072" s="1430"/>
      <c r="N1072" s="94"/>
      <c r="O1072" s="1430"/>
      <c r="P1072" s="94"/>
      <c r="Q1072" s="1431"/>
      <c r="R1072" s="1164"/>
      <c r="S1072" s="1164"/>
      <c r="T1072" s="1164"/>
      <c r="U1072" s="2174"/>
      <c r="V1072" s="2174"/>
      <c r="W1072" s="2174"/>
      <c r="X1072" s="1164"/>
    </row>
    <row r="1073" ht="15.75" customHeight="1">
      <c r="A1073" s="94"/>
      <c r="B1073" s="94"/>
      <c r="C1073" s="1164"/>
      <c r="D1073" s="1429"/>
      <c r="E1073" s="1429"/>
      <c r="F1073" s="1429"/>
      <c r="G1073" s="1429"/>
      <c r="H1073" s="1430"/>
      <c r="I1073" s="94"/>
      <c r="J1073" s="1164"/>
      <c r="K1073" s="94"/>
      <c r="L1073" s="94"/>
      <c r="M1073" s="1430"/>
      <c r="N1073" s="94"/>
      <c r="O1073" s="1430"/>
      <c r="P1073" s="94"/>
      <c r="Q1073" s="1431"/>
      <c r="R1073" s="1164"/>
      <c r="S1073" s="1164"/>
      <c r="T1073" s="1164"/>
      <c r="U1073" s="2174"/>
      <c r="V1073" s="2174"/>
      <c r="W1073" s="94"/>
      <c r="X1073" s="1164"/>
    </row>
    <row r="1074" ht="15.75" customHeight="1">
      <c r="A1074" s="94"/>
      <c r="B1074" s="94"/>
      <c r="C1074" s="1164"/>
      <c r="D1074" s="1429"/>
      <c r="E1074" s="1429"/>
      <c r="F1074" s="1429"/>
      <c r="G1074" s="1429"/>
      <c r="H1074" s="1430"/>
      <c r="I1074" s="1430"/>
      <c r="J1074" s="1164"/>
      <c r="K1074" s="94"/>
      <c r="L1074" s="94"/>
      <c r="M1074" s="1430"/>
      <c r="N1074" s="94"/>
      <c r="O1074" s="1430"/>
      <c r="P1074" s="94"/>
      <c r="Q1074" s="1431"/>
      <c r="R1074" s="1164"/>
      <c r="S1074" s="1164"/>
      <c r="T1074" s="1164"/>
      <c r="U1074" s="2174"/>
      <c r="V1074" s="2174"/>
      <c r="W1074" s="2174"/>
      <c r="X1074" s="1164"/>
    </row>
    <row r="1075" ht="15.75" customHeight="1">
      <c r="A1075" s="94"/>
      <c r="B1075" s="94"/>
      <c r="C1075" s="1164"/>
      <c r="D1075" s="1429"/>
      <c r="E1075" s="1429"/>
      <c r="F1075" s="1429"/>
      <c r="G1075" s="1429"/>
      <c r="H1075" s="1430"/>
      <c r="I1075" s="94"/>
      <c r="J1075" s="1164"/>
      <c r="K1075" s="94"/>
      <c r="L1075" s="94"/>
      <c r="M1075" s="1430"/>
      <c r="N1075" s="94"/>
      <c r="O1075" s="1430"/>
      <c r="P1075" s="94"/>
      <c r="Q1075" s="1431"/>
      <c r="R1075" s="1164"/>
      <c r="S1075" s="1164"/>
      <c r="T1075" s="1164"/>
      <c r="U1075" s="2174"/>
      <c r="V1075" s="2174"/>
      <c r="W1075" s="94"/>
      <c r="X1075" s="1164"/>
    </row>
    <row r="1076" ht="15.75" customHeight="1">
      <c r="A1076" s="94"/>
      <c r="B1076" s="94"/>
      <c r="C1076" s="1164"/>
      <c r="D1076" s="1429"/>
      <c r="E1076" s="1429"/>
      <c r="F1076" s="1429"/>
      <c r="G1076" s="1429"/>
      <c r="H1076" s="1430"/>
      <c r="I1076" s="1430"/>
      <c r="J1076" s="1164"/>
      <c r="K1076" s="94"/>
      <c r="L1076" s="94"/>
      <c r="M1076" s="1430"/>
      <c r="N1076" s="94"/>
      <c r="O1076" s="1430"/>
      <c r="P1076" s="94"/>
      <c r="Q1076" s="1431"/>
      <c r="R1076" s="1164"/>
      <c r="S1076" s="1164"/>
      <c r="T1076" s="1164"/>
      <c r="U1076" s="2174"/>
      <c r="V1076" s="2174"/>
      <c r="W1076" s="2174"/>
      <c r="X1076" s="1164"/>
    </row>
    <row r="1077" ht="15.75" customHeight="1">
      <c r="A1077" s="94"/>
      <c r="B1077" s="94"/>
      <c r="C1077" s="1164"/>
      <c r="D1077" s="1429"/>
      <c r="E1077" s="1429"/>
      <c r="F1077" s="1429"/>
      <c r="G1077" s="1429"/>
      <c r="H1077" s="1430"/>
      <c r="I1077" s="94"/>
      <c r="J1077" s="1164"/>
      <c r="K1077" s="94"/>
      <c r="L1077" s="94"/>
      <c r="M1077" s="1430"/>
      <c r="N1077" s="94"/>
      <c r="O1077" s="1430"/>
      <c r="P1077" s="94"/>
      <c r="Q1077" s="1431"/>
      <c r="R1077" s="1164"/>
      <c r="S1077" s="1164"/>
      <c r="T1077" s="1164"/>
      <c r="U1077" s="2174"/>
      <c r="V1077" s="2174"/>
      <c r="W1077" s="94"/>
      <c r="X1077" s="1164"/>
    </row>
    <row r="1078" ht="15.75" customHeight="1">
      <c r="A1078" s="94"/>
      <c r="B1078" s="94"/>
      <c r="C1078" s="1164"/>
      <c r="D1078" s="1429"/>
      <c r="E1078" s="1429"/>
      <c r="F1078" s="1429"/>
      <c r="G1078" s="1429"/>
      <c r="H1078" s="1430"/>
      <c r="I1078" s="94"/>
      <c r="J1078" s="1164"/>
      <c r="K1078" s="94"/>
      <c r="L1078" s="94"/>
      <c r="M1078" s="1430"/>
      <c r="N1078" s="94"/>
      <c r="O1078" s="1430"/>
      <c r="P1078" s="94"/>
      <c r="Q1078" s="1431"/>
      <c r="R1078" s="1164"/>
      <c r="S1078" s="1164"/>
      <c r="T1078" s="1164"/>
      <c r="U1078" s="2174"/>
      <c r="V1078" s="2174"/>
      <c r="W1078" s="94"/>
      <c r="X1078" s="1164"/>
    </row>
    <row r="1079" ht="15.75" customHeight="1">
      <c r="A1079" s="94"/>
      <c r="B1079" s="94"/>
      <c r="C1079" s="1164"/>
      <c r="D1079" s="1429"/>
      <c r="E1079" s="1429"/>
      <c r="F1079" s="1429"/>
      <c r="G1079" s="1429"/>
      <c r="H1079" s="1430"/>
      <c r="I1079" s="94"/>
      <c r="J1079" s="1164"/>
      <c r="K1079" s="94"/>
      <c r="L1079" s="94"/>
      <c r="M1079" s="1430"/>
      <c r="N1079" s="94"/>
      <c r="O1079" s="1430"/>
      <c r="P1079" s="94"/>
      <c r="Q1079" s="1431"/>
      <c r="R1079" s="1164"/>
      <c r="S1079" s="1164"/>
      <c r="T1079" s="1164"/>
      <c r="U1079" s="2174"/>
      <c r="V1079" s="2174"/>
      <c r="W1079" s="94"/>
      <c r="X1079" s="1164"/>
    </row>
    <row r="1080" ht="15.75" customHeight="1">
      <c r="A1080" s="94"/>
      <c r="B1080" s="94"/>
      <c r="C1080" s="1164"/>
      <c r="D1080" s="1429"/>
      <c r="E1080" s="1429"/>
      <c r="F1080" s="1429"/>
      <c r="G1080" s="1429"/>
      <c r="H1080" s="1430"/>
      <c r="I1080" s="1430"/>
      <c r="J1080" s="1164"/>
      <c r="K1080" s="94"/>
      <c r="L1080" s="94"/>
      <c r="M1080" s="1430"/>
      <c r="N1080" s="94"/>
      <c r="O1080" s="1430"/>
      <c r="P1080" s="94"/>
      <c r="Q1080" s="1431"/>
      <c r="R1080" s="1164"/>
      <c r="S1080" s="1164"/>
      <c r="T1080" s="1164"/>
      <c r="U1080" s="2174"/>
      <c r="V1080" s="2174"/>
      <c r="W1080" s="2174"/>
      <c r="X1080" s="1164"/>
    </row>
    <row r="1081" ht="15.75" customHeight="1">
      <c r="A1081" s="94"/>
      <c r="B1081" s="94"/>
      <c r="C1081" s="1164"/>
      <c r="D1081" s="1429"/>
      <c r="E1081" s="1429"/>
      <c r="F1081" s="1429"/>
      <c r="G1081" s="1429"/>
      <c r="H1081" s="1430"/>
      <c r="I1081" s="1430"/>
      <c r="J1081" s="1164"/>
      <c r="K1081" s="94"/>
      <c r="L1081" s="94"/>
      <c r="M1081" s="1430"/>
      <c r="N1081" s="94"/>
      <c r="O1081" s="1430"/>
      <c r="P1081" s="94"/>
      <c r="Q1081" s="1431"/>
      <c r="R1081" s="1164"/>
      <c r="S1081" s="1164"/>
      <c r="T1081" s="1164"/>
      <c r="U1081" s="2174"/>
      <c r="V1081" s="2174"/>
      <c r="W1081" s="2174"/>
      <c r="X1081" s="1164"/>
    </row>
    <row r="1082" ht="15.75" customHeight="1">
      <c r="A1082" s="94"/>
      <c r="B1082" s="94"/>
      <c r="C1082" s="1164"/>
      <c r="D1082" s="1429"/>
      <c r="E1082" s="1429"/>
      <c r="F1082" s="1429"/>
      <c r="G1082" s="1429"/>
      <c r="H1082" s="1430"/>
      <c r="I1082" s="94"/>
      <c r="J1082" s="1164"/>
      <c r="K1082" s="94"/>
      <c r="L1082" s="94"/>
      <c r="M1082" s="1430"/>
      <c r="N1082" s="94"/>
      <c r="O1082" s="1430"/>
      <c r="P1082" s="94"/>
      <c r="Q1082" s="1431"/>
      <c r="R1082" s="1164"/>
      <c r="S1082" s="1164"/>
      <c r="T1082" s="1164"/>
      <c r="U1082" s="2174"/>
      <c r="V1082" s="2174"/>
      <c r="W1082" s="2174"/>
      <c r="X1082" s="1164"/>
    </row>
    <row r="1083" ht="15.75" customHeight="1">
      <c r="A1083" s="94"/>
      <c r="B1083" s="94"/>
      <c r="C1083" s="1164"/>
      <c r="D1083" s="1429"/>
      <c r="E1083" s="1429"/>
      <c r="F1083" s="1429"/>
      <c r="G1083" s="1429"/>
      <c r="H1083" s="1430"/>
      <c r="I1083" s="94"/>
      <c r="J1083" s="1164"/>
      <c r="K1083" s="94"/>
      <c r="L1083" s="94"/>
      <c r="M1083" s="1430"/>
      <c r="N1083" s="94"/>
      <c r="O1083" s="1430"/>
      <c r="P1083" s="94"/>
      <c r="Q1083" s="1431"/>
      <c r="R1083" s="1164"/>
      <c r="S1083" s="1164"/>
      <c r="T1083" s="1164"/>
      <c r="U1083" s="2174"/>
      <c r="V1083" s="2174"/>
      <c r="W1083" s="2174"/>
      <c r="X1083" s="1164"/>
    </row>
    <row r="1084" ht="15.75" customHeight="1">
      <c r="A1084" s="94"/>
      <c r="B1084" s="94"/>
      <c r="C1084" s="1164"/>
      <c r="D1084" s="1429"/>
      <c r="E1084" s="1429"/>
      <c r="F1084" s="1429"/>
      <c r="G1084" s="1429"/>
      <c r="H1084" s="1430"/>
      <c r="I1084" s="1430"/>
      <c r="J1084" s="1164"/>
      <c r="K1084" s="94"/>
      <c r="L1084" s="94"/>
      <c r="M1084" s="94"/>
      <c r="N1084" s="94"/>
      <c r="O1084" s="94"/>
      <c r="P1084" s="94"/>
      <c r="Q1084" s="1431"/>
      <c r="R1084" s="1164"/>
      <c r="S1084" s="1164"/>
      <c r="T1084" s="1164"/>
      <c r="U1084" s="2174"/>
      <c r="V1084" s="2174"/>
      <c r="W1084" s="2174"/>
      <c r="X1084" s="1164"/>
    </row>
    <row r="1085" ht="15.75" customHeight="1">
      <c r="A1085" s="94"/>
      <c r="B1085" s="94"/>
      <c r="C1085" s="1164"/>
      <c r="D1085" s="1429"/>
      <c r="E1085" s="1429"/>
      <c r="F1085" s="1429"/>
      <c r="G1085" s="1429"/>
      <c r="H1085" s="1430"/>
      <c r="I1085" s="94"/>
      <c r="J1085" s="1164"/>
      <c r="K1085" s="94"/>
      <c r="L1085" s="94"/>
      <c r="M1085" s="94"/>
      <c r="N1085" s="94"/>
      <c r="O1085" s="94"/>
      <c r="P1085" s="94"/>
      <c r="Q1085" s="1431"/>
      <c r="R1085" s="1164"/>
      <c r="S1085" s="1164"/>
      <c r="T1085" s="1164"/>
      <c r="U1085" s="2174"/>
      <c r="V1085" s="2174"/>
      <c r="W1085" s="94"/>
      <c r="X1085" s="1164"/>
    </row>
    <row r="1086" ht="15.75" customHeight="1">
      <c r="A1086" s="94"/>
      <c r="B1086" s="94"/>
      <c r="C1086" s="1164"/>
      <c r="D1086" s="1429"/>
      <c r="E1086" s="1429"/>
      <c r="F1086" s="1429"/>
      <c r="G1086" s="1429"/>
      <c r="H1086" s="1430"/>
      <c r="I1086" s="94"/>
      <c r="J1086" s="1164"/>
      <c r="K1086" s="94"/>
      <c r="L1086" s="94"/>
      <c r="M1086" s="94"/>
      <c r="N1086" s="94"/>
      <c r="O1086" s="94"/>
      <c r="P1086" s="94"/>
      <c r="Q1086" s="1431"/>
      <c r="R1086" s="1164"/>
      <c r="S1086" s="1164"/>
      <c r="T1086" s="1164"/>
      <c r="U1086" s="2174"/>
      <c r="V1086" s="2174"/>
      <c r="W1086" s="94"/>
      <c r="X1086" s="1164"/>
    </row>
    <row r="1087" ht="15.75" customHeight="1">
      <c r="A1087" s="94"/>
      <c r="B1087" s="94"/>
      <c r="C1087" s="1164"/>
      <c r="D1087" s="1429"/>
      <c r="E1087" s="1429"/>
      <c r="F1087" s="1429"/>
      <c r="G1087" s="1429"/>
      <c r="H1087" s="1430"/>
      <c r="I1087" s="94"/>
      <c r="J1087" s="1164"/>
      <c r="K1087" s="94"/>
      <c r="L1087" s="94"/>
      <c r="M1087" s="94"/>
      <c r="N1087" s="94"/>
      <c r="O1087" s="94"/>
      <c r="P1087" s="94"/>
      <c r="Q1087" s="1431"/>
      <c r="R1087" s="1164"/>
      <c r="S1087" s="1164"/>
      <c r="T1087" s="1164"/>
      <c r="U1087" s="2174"/>
      <c r="V1087" s="94"/>
      <c r="W1087" s="94"/>
      <c r="X1087" s="1164"/>
    </row>
    <row r="1088" ht="15.75" customHeight="1">
      <c r="A1088" s="94"/>
      <c r="B1088" s="94"/>
      <c r="C1088" s="1164"/>
      <c r="D1088" s="1429"/>
      <c r="E1088" s="1429"/>
      <c r="F1088" s="1429"/>
      <c r="G1088" s="1429"/>
      <c r="H1088" s="1430"/>
      <c r="I1088" s="94"/>
      <c r="J1088" s="1164"/>
      <c r="K1088" s="94"/>
      <c r="L1088" s="94"/>
      <c r="M1088" s="94"/>
      <c r="N1088" s="94"/>
      <c r="O1088" s="94"/>
      <c r="P1088" s="94"/>
      <c r="Q1088" s="1431"/>
      <c r="R1088" s="1164"/>
      <c r="S1088" s="1164"/>
      <c r="T1088" s="1164"/>
      <c r="U1088" s="2174"/>
      <c r="V1088" s="2174"/>
      <c r="W1088" s="94"/>
      <c r="X1088" s="1164"/>
    </row>
    <row r="1089" ht="15.75" customHeight="1">
      <c r="A1089" s="94"/>
      <c r="B1089" s="94"/>
      <c r="C1089" s="1164"/>
      <c r="D1089" s="1429"/>
      <c r="E1089" s="1429"/>
      <c r="F1089" s="1429"/>
      <c r="G1089" s="1429"/>
      <c r="H1089" s="1430"/>
      <c r="I1089" s="94"/>
      <c r="J1089" s="1164"/>
      <c r="K1089" s="94"/>
      <c r="L1089" s="94"/>
      <c r="M1089" s="94"/>
      <c r="N1089" s="94"/>
      <c r="O1089" s="94"/>
      <c r="P1089" s="94"/>
      <c r="Q1089" s="1431"/>
      <c r="R1089" s="1164"/>
      <c r="S1089" s="1164"/>
      <c r="T1089" s="1164"/>
      <c r="U1089" s="2174"/>
      <c r="V1089" s="2174"/>
      <c r="W1089" s="94"/>
      <c r="X1089" s="1164"/>
    </row>
    <row r="1090" ht="15.75" customHeight="1">
      <c r="A1090" s="94"/>
      <c r="B1090" s="94"/>
      <c r="C1090" s="1164"/>
      <c r="D1090" s="1429"/>
      <c r="E1090" s="1429"/>
      <c r="F1090" s="1429"/>
      <c r="G1090" s="1429"/>
      <c r="H1090" s="1430"/>
      <c r="I1090" s="94"/>
      <c r="J1090" s="1164"/>
      <c r="K1090" s="94"/>
      <c r="L1090" s="94"/>
      <c r="M1090" s="94"/>
      <c r="N1090" s="94"/>
      <c r="O1090" s="94"/>
      <c r="P1090" s="94"/>
      <c r="Q1090" s="1431"/>
      <c r="R1090" s="1164"/>
      <c r="S1090" s="1164"/>
      <c r="T1090" s="1164"/>
      <c r="U1090" s="2174"/>
      <c r="V1090" s="2174"/>
      <c r="W1090" s="94"/>
      <c r="X1090" s="1164"/>
    </row>
    <row r="1091" ht="15.75" customHeight="1">
      <c r="A1091" s="94"/>
      <c r="B1091" s="94"/>
      <c r="C1091" s="94"/>
      <c r="D1091" s="94"/>
      <c r="E1091" s="94"/>
      <c r="F1091" s="94"/>
      <c r="G1091" s="94"/>
      <c r="H1091" s="1164"/>
      <c r="I1091" s="1164"/>
      <c r="J1091" s="1164"/>
      <c r="K1091" s="1430"/>
      <c r="L1091" s="1430"/>
      <c r="M1091" s="1430"/>
      <c r="N1091" s="1430"/>
      <c r="O1091" s="1430"/>
      <c r="P1091" s="1430"/>
      <c r="Q1091" s="1430"/>
      <c r="R1091" s="1430"/>
      <c r="S1091" s="1430"/>
      <c r="T1091" s="1164"/>
      <c r="U1091" s="94"/>
      <c r="V1091" s="94"/>
      <c r="W1091" s="94"/>
      <c r="X1091" s="1430"/>
    </row>
    <row r="1092" ht="15.75" customHeight="1">
      <c r="A1092" s="94"/>
      <c r="B1092" s="94"/>
      <c r="C1092" s="1164"/>
      <c r="D1092" s="1429"/>
      <c r="E1092" s="1429"/>
      <c r="F1092" s="1429"/>
      <c r="G1092" s="1429"/>
      <c r="H1092" s="1430"/>
      <c r="I1092" s="94"/>
      <c r="J1092" s="1164"/>
      <c r="K1092" s="94"/>
      <c r="L1092" s="94"/>
      <c r="M1092" s="1430"/>
      <c r="N1092" s="94"/>
      <c r="O1092" s="1430"/>
      <c r="P1092" s="94"/>
      <c r="Q1092" s="1431"/>
      <c r="R1092" s="1164"/>
      <c r="S1092" s="1164"/>
      <c r="T1092" s="1164"/>
      <c r="U1092" s="2174"/>
      <c r="V1092" s="2174"/>
      <c r="W1092" s="94"/>
      <c r="X1092" s="1164"/>
    </row>
    <row r="1093" ht="15.75" customHeight="1">
      <c r="A1093" s="94"/>
      <c r="B1093" s="94"/>
      <c r="C1093" s="1164"/>
      <c r="D1093" s="1429"/>
      <c r="E1093" s="1429"/>
      <c r="F1093" s="1429"/>
      <c r="G1093" s="1429"/>
      <c r="H1093" s="1430"/>
      <c r="I1093" s="1430"/>
      <c r="J1093" s="1164"/>
      <c r="K1093" s="94"/>
      <c r="L1093" s="94"/>
      <c r="M1093" s="94"/>
      <c r="N1093" s="94"/>
      <c r="O1093" s="94"/>
      <c r="P1093" s="94"/>
      <c r="Q1093" s="1431"/>
      <c r="R1093" s="1164"/>
      <c r="S1093" s="1164"/>
      <c r="T1093" s="1164"/>
      <c r="U1093" s="2174"/>
      <c r="V1093" s="2174"/>
      <c r="W1093" s="94"/>
      <c r="X1093" s="94"/>
    </row>
    <row r="1094" ht="15.75" customHeight="1">
      <c r="A1094" s="94"/>
      <c r="B1094" s="94"/>
      <c r="C1094" s="1164"/>
      <c r="D1094" s="1429"/>
      <c r="E1094" s="1429"/>
      <c r="F1094" s="1429"/>
      <c r="G1094" s="1429"/>
      <c r="H1094" s="1430"/>
      <c r="I1094" s="1430"/>
      <c r="J1094" s="1164"/>
      <c r="K1094" s="94"/>
      <c r="L1094" s="94"/>
      <c r="M1094" s="1430"/>
      <c r="N1094" s="94"/>
      <c r="O1094" s="1430"/>
      <c r="P1094" s="94"/>
      <c r="Q1094" s="1431"/>
      <c r="R1094" s="1164"/>
      <c r="S1094" s="1164"/>
      <c r="T1094" s="1164"/>
      <c r="U1094" s="2174"/>
      <c r="V1094" s="2174"/>
      <c r="W1094" s="2174"/>
      <c r="X1094" s="1164"/>
    </row>
    <row r="1095" ht="15.75" customHeight="1">
      <c r="A1095" s="94"/>
      <c r="B1095" s="94"/>
      <c r="C1095" s="1164"/>
      <c r="D1095" s="1429"/>
      <c r="E1095" s="1429"/>
      <c r="F1095" s="1429"/>
      <c r="G1095" s="1429"/>
      <c r="H1095" s="1430"/>
      <c r="I1095" s="1430"/>
      <c r="J1095" s="1164"/>
      <c r="K1095" s="94"/>
      <c r="L1095" s="94"/>
      <c r="M1095" s="1430"/>
      <c r="N1095" s="94"/>
      <c r="O1095" s="1430"/>
      <c r="P1095" s="94"/>
      <c r="Q1095" s="1431"/>
      <c r="R1095" s="1164"/>
      <c r="S1095" s="1164"/>
      <c r="T1095" s="1164"/>
      <c r="U1095" s="2174"/>
      <c r="V1095" s="2174"/>
      <c r="W1095" s="2174"/>
      <c r="X1095" s="1164"/>
    </row>
    <row r="1096" ht="15.75" customHeight="1">
      <c r="A1096" s="94"/>
      <c r="B1096" s="94"/>
      <c r="C1096" s="1164"/>
      <c r="D1096" s="1429"/>
      <c r="E1096" s="1429"/>
      <c r="F1096" s="1429"/>
      <c r="G1096" s="1429"/>
      <c r="H1096" s="1430"/>
      <c r="I1096" s="1430"/>
      <c r="J1096" s="1164"/>
      <c r="K1096" s="94"/>
      <c r="L1096" s="94"/>
      <c r="M1096" s="1430"/>
      <c r="N1096" s="94"/>
      <c r="O1096" s="1430"/>
      <c r="P1096" s="94"/>
      <c r="Q1096" s="1431"/>
      <c r="R1096" s="1164"/>
      <c r="S1096" s="1164"/>
      <c r="T1096" s="1164"/>
      <c r="U1096" s="2174"/>
      <c r="V1096" s="2174"/>
      <c r="W1096" s="2174"/>
      <c r="X1096" s="1164"/>
    </row>
    <row r="1097" ht="15.75" customHeight="1">
      <c r="A1097" s="94"/>
      <c r="B1097" s="94"/>
      <c r="C1097" s="1164"/>
      <c r="D1097" s="1429"/>
      <c r="E1097" s="1429"/>
      <c r="F1097" s="1429"/>
      <c r="G1097" s="1429"/>
      <c r="H1097" s="1430"/>
      <c r="I1097" s="94"/>
      <c r="J1097" s="1164"/>
      <c r="K1097" s="94"/>
      <c r="L1097" s="94"/>
      <c r="M1097" s="1430"/>
      <c r="N1097" s="94"/>
      <c r="O1097" s="1430"/>
      <c r="P1097" s="94"/>
      <c r="Q1097" s="1431"/>
      <c r="R1097" s="1164"/>
      <c r="S1097" s="1164"/>
      <c r="T1097" s="1164"/>
      <c r="U1097" s="2174"/>
      <c r="V1097" s="2174"/>
      <c r="W1097" s="94"/>
      <c r="X1097" s="1164"/>
    </row>
    <row r="1098" ht="15.75" customHeight="1">
      <c r="A1098" s="94"/>
      <c r="B1098" s="94"/>
      <c r="C1098" s="1164"/>
      <c r="D1098" s="1429"/>
      <c r="E1098" s="1429"/>
      <c r="F1098" s="1429"/>
      <c r="G1098" s="1429"/>
      <c r="H1098" s="1430"/>
      <c r="I1098" s="94"/>
      <c r="J1098" s="1164"/>
      <c r="K1098" s="94"/>
      <c r="L1098" s="94"/>
      <c r="M1098" s="1430"/>
      <c r="N1098" s="94"/>
      <c r="O1098" s="1430"/>
      <c r="P1098" s="94"/>
      <c r="Q1098" s="1431"/>
      <c r="R1098" s="1164"/>
      <c r="S1098" s="1164"/>
      <c r="T1098" s="1164"/>
      <c r="U1098" s="2174"/>
      <c r="V1098" s="2174"/>
      <c r="W1098" s="94"/>
      <c r="X1098" s="1164"/>
    </row>
    <row r="1099" ht="15.75" customHeight="1">
      <c r="A1099" s="94"/>
      <c r="B1099" s="94"/>
      <c r="C1099" s="1164"/>
      <c r="D1099" s="1429"/>
      <c r="E1099" s="1429"/>
      <c r="F1099" s="1429"/>
      <c r="G1099" s="1429"/>
      <c r="H1099" s="1430"/>
      <c r="I1099" s="94"/>
      <c r="J1099" s="1164"/>
      <c r="K1099" s="94"/>
      <c r="L1099" s="94"/>
      <c r="M1099" s="1430"/>
      <c r="N1099" s="94"/>
      <c r="O1099" s="1430"/>
      <c r="P1099" s="94"/>
      <c r="Q1099" s="1431"/>
      <c r="R1099" s="1164"/>
      <c r="S1099" s="1164"/>
      <c r="T1099" s="1164"/>
      <c r="U1099" s="2174"/>
      <c r="V1099" s="2174"/>
      <c r="W1099" s="94"/>
      <c r="X1099" s="1164"/>
    </row>
    <row r="1100" ht="15.75" customHeight="1">
      <c r="A1100" s="94"/>
      <c r="B1100" s="94"/>
      <c r="C1100" s="1164"/>
      <c r="D1100" s="1429"/>
      <c r="E1100" s="1429"/>
      <c r="F1100" s="1429"/>
      <c r="G1100" s="1429"/>
      <c r="H1100" s="1430"/>
      <c r="I1100" s="94"/>
      <c r="J1100" s="1164"/>
      <c r="K1100" s="94"/>
      <c r="L1100" s="94"/>
      <c r="M1100" s="1430"/>
      <c r="N1100" s="94"/>
      <c r="O1100" s="1430"/>
      <c r="P1100" s="94"/>
      <c r="Q1100" s="1431"/>
      <c r="R1100" s="1164"/>
      <c r="S1100" s="1164"/>
      <c r="T1100" s="1164"/>
      <c r="U1100" s="2174"/>
      <c r="V1100" s="2174"/>
      <c r="W1100" s="94"/>
      <c r="X1100" s="1164"/>
    </row>
    <row r="1101" ht="15.75" customHeight="1">
      <c r="A1101" s="94"/>
      <c r="B1101" s="94"/>
      <c r="C1101" s="1164"/>
      <c r="D1101" s="1429"/>
      <c r="E1101" s="1429"/>
      <c r="F1101" s="1429"/>
      <c r="G1101" s="1429"/>
      <c r="H1101" s="1430"/>
      <c r="I1101" s="94"/>
      <c r="J1101" s="1164"/>
      <c r="K1101" s="94"/>
      <c r="L1101" s="94"/>
      <c r="M1101" s="1430"/>
      <c r="N1101" s="94"/>
      <c r="O1101" s="1430"/>
      <c r="P1101" s="94"/>
      <c r="Q1101" s="1431"/>
      <c r="R1101" s="1164"/>
      <c r="S1101" s="1164"/>
      <c r="T1101" s="1164"/>
      <c r="U1101" s="2174"/>
      <c r="V1101" s="2174"/>
      <c r="W1101" s="94"/>
      <c r="X1101" s="1164"/>
    </row>
    <row r="1102" ht="15.75" customHeight="1">
      <c r="A1102" s="94"/>
      <c r="B1102" s="94"/>
      <c r="C1102" s="1164"/>
      <c r="D1102" s="1429"/>
      <c r="E1102" s="1429"/>
      <c r="F1102" s="1429"/>
      <c r="G1102" s="1429"/>
      <c r="H1102" s="1430"/>
      <c r="I1102" s="1430"/>
      <c r="J1102" s="1164"/>
      <c r="K1102" s="94"/>
      <c r="L1102" s="94"/>
      <c r="M1102" s="1430"/>
      <c r="N1102" s="94"/>
      <c r="O1102" s="1430"/>
      <c r="P1102" s="94"/>
      <c r="Q1102" s="1431"/>
      <c r="R1102" s="1164"/>
      <c r="S1102" s="1164"/>
      <c r="T1102" s="1164"/>
      <c r="U1102" s="2174"/>
      <c r="V1102" s="2174"/>
      <c r="W1102" s="2174"/>
      <c r="X1102" s="1164"/>
    </row>
    <row r="1103" ht="15.75" customHeight="1">
      <c r="A1103" s="94"/>
      <c r="B1103" s="94"/>
      <c r="C1103" s="1164"/>
      <c r="D1103" s="1429"/>
      <c r="E1103" s="1429"/>
      <c r="F1103" s="1429"/>
      <c r="G1103" s="1429"/>
      <c r="H1103" s="1430"/>
      <c r="I1103" s="1430"/>
      <c r="J1103" s="1164"/>
      <c r="K1103" s="94"/>
      <c r="L1103" s="94"/>
      <c r="M1103" s="94"/>
      <c r="N1103" s="94"/>
      <c r="O1103" s="1430"/>
      <c r="P1103" s="94"/>
      <c r="Q1103" s="1431"/>
      <c r="R1103" s="1164"/>
      <c r="S1103" s="1164"/>
      <c r="T1103" s="1164"/>
      <c r="U1103" s="2174"/>
      <c r="V1103" s="2174"/>
      <c r="W1103" s="2174"/>
      <c r="X1103" s="1164"/>
    </row>
    <row r="1104" ht="15.75" customHeight="1">
      <c r="A1104" s="94"/>
      <c r="B1104" s="94"/>
      <c r="C1104" s="1164"/>
      <c r="D1104" s="1429"/>
      <c r="E1104" s="1429"/>
      <c r="F1104" s="1429"/>
      <c r="G1104" s="1429"/>
      <c r="H1104" s="1430"/>
      <c r="I1104" s="1430"/>
      <c r="J1104" s="1164"/>
      <c r="K1104" s="94"/>
      <c r="L1104" s="94"/>
      <c r="M1104" s="1430"/>
      <c r="N1104" s="94"/>
      <c r="O1104" s="1430"/>
      <c r="P1104" s="94"/>
      <c r="Q1104" s="1431"/>
      <c r="R1104" s="1164"/>
      <c r="S1104" s="1164"/>
      <c r="T1104" s="1164"/>
      <c r="U1104" s="2174"/>
      <c r="V1104" s="2174"/>
      <c r="W1104" s="2174"/>
      <c r="X1104" s="1164"/>
    </row>
    <row r="1105" ht="15.75" customHeight="1">
      <c r="A1105" s="94"/>
      <c r="B1105" s="94"/>
      <c r="C1105" s="1164"/>
      <c r="D1105" s="1429"/>
      <c r="E1105" s="1429"/>
      <c r="F1105" s="1429"/>
      <c r="G1105" s="1429"/>
      <c r="H1105" s="1430"/>
      <c r="I1105" s="94"/>
      <c r="J1105" s="1164"/>
      <c r="K1105" s="94"/>
      <c r="L1105" s="94"/>
      <c r="M1105" s="1430"/>
      <c r="N1105" s="94"/>
      <c r="O1105" s="1430"/>
      <c r="P1105" s="94"/>
      <c r="Q1105" s="1431"/>
      <c r="R1105" s="1164"/>
      <c r="S1105" s="1164"/>
      <c r="T1105" s="1164"/>
      <c r="U1105" s="2174"/>
      <c r="V1105" s="2174"/>
      <c r="W1105" s="94"/>
      <c r="X1105" s="1164"/>
    </row>
    <row r="1106" ht="15.75" customHeight="1">
      <c r="A1106" s="94"/>
      <c r="B1106" s="94"/>
      <c r="C1106" s="1164"/>
      <c r="D1106" s="1429"/>
      <c r="E1106" s="1429"/>
      <c r="F1106" s="1429"/>
      <c r="G1106" s="1429"/>
      <c r="H1106" s="1430"/>
      <c r="I1106" s="1430"/>
      <c r="J1106" s="1164"/>
      <c r="K1106" s="94"/>
      <c r="L1106" s="94"/>
      <c r="M1106" s="1430"/>
      <c r="N1106" s="94"/>
      <c r="O1106" s="1430"/>
      <c r="P1106" s="94"/>
      <c r="Q1106" s="1431"/>
      <c r="R1106" s="1164"/>
      <c r="S1106" s="1164"/>
      <c r="T1106" s="1164"/>
      <c r="U1106" s="2174"/>
      <c r="V1106" s="2174"/>
      <c r="W1106" s="2174"/>
      <c r="X1106" s="1164"/>
    </row>
    <row r="1107" ht="15.75" customHeight="1">
      <c r="A1107" s="94"/>
      <c r="B1107" s="94"/>
      <c r="C1107" s="1164"/>
      <c r="D1107" s="1429"/>
      <c r="E1107" s="1429"/>
      <c r="F1107" s="1429"/>
      <c r="G1107" s="1429"/>
      <c r="H1107" s="1430"/>
      <c r="I1107" s="94"/>
      <c r="J1107" s="1164"/>
      <c r="K1107" s="94"/>
      <c r="L1107" s="94"/>
      <c r="M1107" s="94"/>
      <c r="N1107" s="94"/>
      <c r="O1107" s="94"/>
      <c r="P1107" s="94"/>
      <c r="Q1107" s="1431"/>
      <c r="R1107" s="1164"/>
      <c r="S1107" s="1164"/>
      <c r="T1107" s="1164"/>
      <c r="U1107" s="2174"/>
      <c r="V1107" s="2174"/>
      <c r="W1107" s="94"/>
      <c r="X1107" s="1164"/>
    </row>
    <row r="1108" ht="15.75" customHeight="1">
      <c r="A1108" s="94"/>
      <c r="B1108" s="94"/>
      <c r="C1108" s="1164"/>
      <c r="D1108" s="1429"/>
      <c r="E1108" s="1429"/>
      <c r="F1108" s="1429"/>
      <c r="G1108" s="1429"/>
      <c r="H1108" s="1430"/>
      <c r="I1108" s="1430"/>
      <c r="J1108" s="1164"/>
      <c r="K1108" s="94"/>
      <c r="L1108" s="94"/>
      <c r="M1108" s="1430"/>
      <c r="N1108" s="94"/>
      <c r="O1108" s="1430"/>
      <c r="P1108" s="94"/>
      <c r="Q1108" s="1431"/>
      <c r="R1108" s="1164"/>
      <c r="S1108" s="1164"/>
      <c r="T1108" s="1164"/>
      <c r="U1108" s="2174"/>
      <c r="V1108" s="2174"/>
      <c r="W1108" s="2174"/>
      <c r="X1108" s="1164"/>
    </row>
    <row r="1109" ht="15.75" customHeight="1">
      <c r="A1109" s="94"/>
      <c r="B1109" s="94"/>
      <c r="C1109" s="1164"/>
      <c r="D1109" s="1429"/>
      <c r="E1109" s="1429"/>
      <c r="F1109" s="1429"/>
      <c r="G1109" s="1429"/>
      <c r="H1109" s="1430"/>
      <c r="I1109" s="94"/>
      <c r="J1109" s="1164"/>
      <c r="K1109" s="94"/>
      <c r="L1109" s="94"/>
      <c r="M1109" s="1430"/>
      <c r="N1109" s="94"/>
      <c r="O1109" s="1430"/>
      <c r="P1109" s="94"/>
      <c r="Q1109" s="1431"/>
      <c r="R1109" s="1164"/>
      <c r="S1109" s="1164"/>
      <c r="T1109" s="1164"/>
      <c r="U1109" s="2174"/>
      <c r="V1109" s="2174"/>
      <c r="W1109" s="94"/>
      <c r="X1109" s="1164"/>
    </row>
    <row r="1110" ht="15.75" customHeight="1">
      <c r="A1110" s="94"/>
      <c r="B1110" s="94"/>
      <c r="C1110" s="1164"/>
      <c r="D1110" s="1429"/>
      <c r="E1110" s="1429"/>
      <c r="F1110" s="1429"/>
      <c r="G1110" s="1429"/>
      <c r="H1110" s="1430"/>
      <c r="I1110" s="1430"/>
      <c r="J1110" s="1164"/>
      <c r="K1110" s="94"/>
      <c r="L1110" s="94"/>
      <c r="M1110" s="1430"/>
      <c r="N1110" s="94"/>
      <c r="O1110" s="1430"/>
      <c r="P1110" s="94"/>
      <c r="Q1110" s="1431"/>
      <c r="R1110" s="1164"/>
      <c r="S1110" s="1164"/>
      <c r="T1110" s="1164"/>
      <c r="U1110" s="2174"/>
      <c r="V1110" s="2174"/>
      <c r="W1110" s="2174"/>
      <c r="X1110" s="1164"/>
    </row>
    <row r="1111" ht="15.75" customHeight="1">
      <c r="A1111" s="94"/>
      <c r="B1111" s="94"/>
      <c r="C1111" s="1164"/>
      <c r="D1111" s="1429"/>
      <c r="E1111" s="1429"/>
      <c r="F1111" s="1429"/>
      <c r="G1111" s="1429"/>
      <c r="H1111" s="1430"/>
      <c r="I1111" s="94"/>
      <c r="J1111" s="1164"/>
      <c r="K1111" s="94"/>
      <c r="L1111" s="94"/>
      <c r="M1111" s="1430"/>
      <c r="N1111" s="94"/>
      <c r="O1111" s="1430"/>
      <c r="P1111" s="94"/>
      <c r="Q1111" s="1431"/>
      <c r="R1111" s="1164"/>
      <c r="S1111" s="1164"/>
      <c r="T1111" s="1164"/>
      <c r="U1111" s="2174"/>
      <c r="V1111" s="2174"/>
      <c r="W1111" s="94"/>
      <c r="X1111" s="1164"/>
    </row>
    <row r="1112" ht="15.75" customHeight="1">
      <c r="A1112" s="94"/>
      <c r="B1112" s="94"/>
      <c r="C1112" s="1164"/>
      <c r="D1112" s="1429"/>
      <c r="E1112" s="1429"/>
      <c r="F1112" s="1429"/>
      <c r="G1112" s="1429"/>
      <c r="H1112" s="1430"/>
      <c r="I1112" s="94"/>
      <c r="J1112" s="1164"/>
      <c r="K1112" s="94"/>
      <c r="L1112" s="94"/>
      <c r="M1112" s="1430"/>
      <c r="N1112" s="94"/>
      <c r="O1112" s="1430"/>
      <c r="P1112" s="94"/>
      <c r="Q1112" s="1431"/>
      <c r="R1112" s="1164"/>
      <c r="S1112" s="1164"/>
      <c r="T1112" s="1164"/>
      <c r="U1112" s="2174"/>
      <c r="V1112" s="2174"/>
      <c r="W1112" s="94"/>
      <c r="X1112" s="1164"/>
    </row>
    <row r="1113" ht="15.75" customHeight="1">
      <c r="A1113" s="94"/>
      <c r="B1113" s="94"/>
      <c r="C1113" s="1164"/>
      <c r="D1113" s="1429"/>
      <c r="E1113" s="1429"/>
      <c r="F1113" s="1429"/>
      <c r="G1113" s="1429"/>
      <c r="H1113" s="1430"/>
      <c r="I1113" s="1430"/>
      <c r="J1113" s="1164"/>
      <c r="K1113" s="94"/>
      <c r="L1113" s="94"/>
      <c r="M1113" s="1430"/>
      <c r="N1113" s="94"/>
      <c r="O1113" s="1430"/>
      <c r="P1113" s="94"/>
      <c r="Q1113" s="1431"/>
      <c r="R1113" s="1164"/>
      <c r="S1113" s="1164"/>
      <c r="T1113" s="1164"/>
      <c r="U1113" s="2174"/>
      <c r="V1113" s="2174"/>
      <c r="W1113" s="2174"/>
      <c r="X1113" s="1164"/>
    </row>
    <row r="1114" ht="15.75" customHeight="1">
      <c r="A1114" s="94"/>
      <c r="B1114" s="94"/>
      <c r="C1114" s="1164"/>
      <c r="D1114" s="1429"/>
      <c r="E1114" s="1429"/>
      <c r="F1114" s="1429"/>
      <c r="G1114" s="1429"/>
      <c r="H1114" s="1430"/>
      <c r="I1114" s="94"/>
      <c r="J1114" s="1164"/>
      <c r="K1114" s="94"/>
      <c r="L1114" s="94"/>
      <c r="M1114" s="1430"/>
      <c r="N1114" s="94"/>
      <c r="O1114" s="1430"/>
      <c r="P1114" s="94"/>
      <c r="Q1114" s="1431"/>
      <c r="R1114" s="1164"/>
      <c r="S1114" s="1164"/>
      <c r="T1114" s="1164"/>
      <c r="U1114" s="2174"/>
      <c r="V1114" s="2174"/>
      <c r="W1114" s="94"/>
      <c r="X1114" s="1164"/>
    </row>
    <row r="1115" ht="15.75" customHeight="1">
      <c r="A1115" s="94"/>
      <c r="B1115" s="94"/>
      <c r="C1115" s="1164"/>
      <c r="D1115" s="1429"/>
      <c r="E1115" s="1429"/>
      <c r="F1115" s="1429"/>
      <c r="G1115" s="1429"/>
      <c r="H1115" s="1430"/>
      <c r="I1115" s="94"/>
      <c r="J1115" s="1164"/>
      <c r="K1115" s="94"/>
      <c r="L1115" s="94"/>
      <c r="M1115" s="1430"/>
      <c r="N1115" s="94"/>
      <c r="O1115" s="1430"/>
      <c r="P1115" s="94"/>
      <c r="Q1115" s="1431"/>
      <c r="R1115" s="1164"/>
      <c r="S1115" s="1164"/>
      <c r="T1115" s="1164"/>
      <c r="U1115" s="2174"/>
      <c r="V1115" s="2174"/>
      <c r="W1115" s="94"/>
      <c r="X1115" s="1164"/>
    </row>
    <row r="1116" ht="15.75" customHeight="1">
      <c r="A1116" s="94"/>
      <c r="B1116" s="94"/>
      <c r="C1116" s="1164"/>
      <c r="D1116" s="1429"/>
      <c r="E1116" s="1429"/>
      <c r="F1116" s="1429"/>
      <c r="G1116" s="1429"/>
      <c r="H1116" s="1430"/>
      <c r="I1116" s="94"/>
      <c r="J1116" s="1164"/>
      <c r="K1116" s="94"/>
      <c r="L1116" s="94"/>
      <c r="M1116" s="1430"/>
      <c r="N1116" s="94"/>
      <c r="O1116" s="1430"/>
      <c r="P1116" s="94"/>
      <c r="Q1116" s="1431"/>
      <c r="R1116" s="1164"/>
      <c r="S1116" s="1164"/>
      <c r="T1116" s="1164"/>
      <c r="U1116" s="2174"/>
      <c r="V1116" s="2174"/>
      <c r="W1116" s="94"/>
      <c r="X1116" s="1164"/>
    </row>
    <row r="1117" ht="15.75" customHeight="1">
      <c r="A1117" s="94"/>
      <c r="B1117" s="94"/>
      <c r="C1117" s="1164"/>
      <c r="D1117" s="1429"/>
      <c r="E1117" s="1429"/>
      <c r="F1117" s="1429"/>
      <c r="G1117" s="1429"/>
      <c r="H1117" s="1430"/>
      <c r="I1117" s="1430"/>
      <c r="J1117" s="1164"/>
      <c r="K1117" s="94"/>
      <c r="L1117" s="94"/>
      <c r="M1117" s="1430"/>
      <c r="N1117" s="94"/>
      <c r="O1117" s="1430"/>
      <c r="P1117" s="94"/>
      <c r="Q1117" s="1431"/>
      <c r="R1117" s="1164"/>
      <c r="S1117" s="1164"/>
      <c r="T1117" s="1164"/>
      <c r="U1117" s="2174"/>
      <c r="V1117" s="2174"/>
      <c r="W1117" s="2174"/>
      <c r="X1117" s="1164"/>
    </row>
    <row r="1118" ht="15.75" customHeight="1">
      <c r="A1118" s="94"/>
      <c r="B1118" s="94"/>
      <c r="C1118" s="1164"/>
      <c r="D1118" s="1429"/>
      <c r="E1118" s="1429"/>
      <c r="F1118" s="1429"/>
      <c r="G1118" s="1429"/>
      <c r="H1118" s="1430"/>
      <c r="I1118" s="94"/>
      <c r="J1118" s="1164"/>
      <c r="K1118" s="94"/>
      <c r="L1118" s="94"/>
      <c r="M1118" s="1430"/>
      <c r="N1118" s="94"/>
      <c r="O1118" s="1430"/>
      <c r="P1118" s="94"/>
      <c r="Q1118" s="1431"/>
      <c r="R1118" s="1164"/>
      <c r="S1118" s="1164"/>
      <c r="T1118" s="1164"/>
      <c r="U1118" s="2174"/>
      <c r="V1118" s="2174"/>
      <c r="W1118" s="94"/>
      <c r="X1118" s="1164"/>
    </row>
    <row r="1119" ht="15.75" customHeight="1">
      <c r="A1119" s="94"/>
      <c r="B1119" s="94"/>
      <c r="C1119" s="1164"/>
      <c r="D1119" s="1429"/>
      <c r="E1119" s="1429"/>
      <c r="F1119" s="1429"/>
      <c r="G1119" s="1429"/>
      <c r="H1119" s="1430"/>
      <c r="I1119" s="1430"/>
      <c r="J1119" s="1164"/>
      <c r="K1119" s="94"/>
      <c r="L1119" s="94"/>
      <c r="M1119" s="1430"/>
      <c r="N1119" s="94"/>
      <c r="O1119" s="1430"/>
      <c r="P1119" s="94"/>
      <c r="Q1119" s="1431"/>
      <c r="R1119" s="1164"/>
      <c r="S1119" s="1164"/>
      <c r="T1119" s="1164"/>
      <c r="U1119" s="2174"/>
      <c r="V1119" s="2174"/>
      <c r="W1119" s="2174"/>
      <c r="X1119" s="1164"/>
    </row>
    <row r="1120" ht="15.75" customHeight="1">
      <c r="A1120" s="94"/>
      <c r="B1120" s="94"/>
      <c r="C1120" s="1164"/>
      <c r="D1120" s="1429"/>
      <c r="E1120" s="1429"/>
      <c r="F1120" s="1429"/>
      <c r="G1120" s="1429"/>
      <c r="H1120" s="1430"/>
      <c r="I1120" s="94"/>
      <c r="J1120" s="1164"/>
      <c r="K1120" s="94"/>
      <c r="L1120" s="94"/>
      <c r="M1120" s="1430"/>
      <c r="N1120" s="94"/>
      <c r="O1120" s="1430"/>
      <c r="P1120" s="94"/>
      <c r="Q1120" s="1431"/>
      <c r="R1120" s="1164"/>
      <c r="S1120" s="1164"/>
      <c r="T1120" s="1164"/>
      <c r="U1120" s="2174"/>
      <c r="V1120" s="2174"/>
      <c r="W1120" s="94"/>
      <c r="X1120" s="1164"/>
    </row>
    <row r="1121" ht="15.75" customHeight="1">
      <c r="A1121" s="94"/>
      <c r="B1121" s="94"/>
      <c r="C1121" s="1164"/>
      <c r="D1121" s="1429"/>
      <c r="E1121" s="1429"/>
      <c r="F1121" s="1429"/>
      <c r="G1121" s="1429"/>
      <c r="H1121" s="1430"/>
      <c r="I1121" s="94"/>
      <c r="J1121" s="1164"/>
      <c r="K1121" s="94"/>
      <c r="L1121" s="94"/>
      <c r="M1121" s="1430"/>
      <c r="N1121" s="94"/>
      <c r="O1121" s="1430"/>
      <c r="P1121" s="94"/>
      <c r="Q1121" s="1431"/>
      <c r="R1121" s="1164"/>
      <c r="S1121" s="1164"/>
      <c r="T1121" s="1164"/>
      <c r="U1121" s="2174"/>
      <c r="V1121" s="2174"/>
      <c r="W1121" s="94"/>
      <c r="X1121" s="1164"/>
    </row>
    <row r="1122" ht="15.75" customHeight="1">
      <c r="A1122" s="94"/>
      <c r="B1122" s="94"/>
      <c r="C1122" s="1164"/>
      <c r="D1122" s="1429"/>
      <c r="E1122" s="1429"/>
      <c r="F1122" s="1429"/>
      <c r="G1122" s="1429"/>
      <c r="H1122" s="1430"/>
      <c r="I1122" s="1430"/>
      <c r="J1122" s="1164"/>
      <c r="K1122" s="94"/>
      <c r="L1122" s="94"/>
      <c r="M1122" s="94"/>
      <c r="N1122" s="94"/>
      <c r="O1122" s="94"/>
      <c r="P1122" s="94"/>
      <c r="Q1122" s="1431"/>
      <c r="R1122" s="1164"/>
      <c r="S1122" s="94"/>
      <c r="T1122" s="1164"/>
      <c r="U1122" s="2174"/>
      <c r="V1122" s="94"/>
      <c r="W1122" s="2174"/>
      <c r="X1122" s="1164"/>
    </row>
    <row r="1123" ht="15.75" customHeight="1">
      <c r="A1123" s="94"/>
      <c r="B1123" s="94"/>
      <c r="C1123" s="1164"/>
      <c r="D1123" s="1429"/>
      <c r="E1123" s="1429"/>
      <c r="F1123" s="1429"/>
      <c r="G1123" s="1429"/>
      <c r="H1123" s="1430"/>
      <c r="I1123" s="94"/>
      <c r="J1123" s="1164"/>
      <c r="K1123" s="94"/>
      <c r="L1123" s="94"/>
      <c r="M1123" s="1430"/>
      <c r="N1123" s="94"/>
      <c r="O1123" s="1430"/>
      <c r="P1123" s="94"/>
      <c r="Q1123" s="1431"/>
      <c r="R1123" s="1164"/>
      <c r="S1123" s="1164"/>
      <c r="T1123" s="1164"/>
      <c r="U1123" s="2174"/>
      <c r="V1123" s="2174"/>
      <c r="W1123" s="94"/>
      <c r="X1123" s="1164"/>
    </row>
    <row r="1124" ht="15.75" customHeight="1">
      <c r="A1124" s="94"/>
      <c r="B1124" s="94"/>
      <c r="C1124" s="1164"/>
      <c r="D1124" s="1429"/>
      <c r="E1124" s="1429"/>
      <c r="F1124" s="1429"/>
      <c r="G1124" s="1429"/>
      <c r="H1124" s="1430"/>
      <c r="I1124" s="1430"/>
      <c r="J1124" s="1164"/>
      <c r="K1124" s="94"/>
      <c r="L1124" s="94"/>
      <c r="M1124" s="1430"/>
      <c r="N1124" s="94"/>
      <c r="O1124" s="1430"/>
      <c r="P1124" s="94"/>
      <c r="Q1124" s="1431"/>
      <c r="R1124" s="1164"/>
      <c r="S1124" s="1164"/>
      <c r="T1124" s="1164"/>
      <c r="U1124" s="2174"/>
      <c r="V1124" s="2174"/>
      <c r="W1124" s="2174"/>
      <c r="X1124" s="1164"/>
    </row>
    <row r="1125" ht="15.75" customHeight="1">
      <c r="A1125" s="94"/>
      <c r="B1125" s="94"/>
      <c r="C1125" s="1164"/>
      <c r="D1125" s="1429"/>
      <c r="E1125" s="1429"/>
      <c r="F1125" s="1429"/>
      <c r="G1125" s="1429"/>
      <c r="H1125" s="1430"/>
      <c r="I1125" s="1430"/>
      <c r="J1125" s="1164"/>
      <c r="K1125" s="94"/>
      <c r="L1125" s="94"/>
      <c r="M1125" s="1430"/>
      <c r="N1125" s="94"/>
      <c r="O1125" s="1430"/>
      <c r="P1125" s="94"/>
      <c r="Q1125" s="1431"/>
      <c r="R1125" s="1164"/>
      <c r="S1125" s="1164"/>
      <c r="T1125" s="1164"/>
      <c r="U1125" s="2174"/>
      <c r="V1125" s="2174"/>
      <c r="W1125" s="2174"/>
      <c r="X1125" s="1164"/>
    </row>
    <row r="1126" ht="15.75" customHeight="1">
      <c r="A1126" s="94"/>
      <c r="B1126" s="94"/>
      <c r="C1126" s="1164"/>
      <c r="D1126" s="1429"/>
      <c r="E1126" s="1429"/>
      <c r="F1126" s="1429"/>
      <c r="G1126" s="1429"/>
      <c r="H1126" s="1430"/>
      <c r="I1126" s="1430"/>
      <c r="J1126" s="1164"/>
      <c r="K1126" s="94"/>
      <c r="L1126" s="94"/>
      <c r="M1126" s="1430"/>
      <c r="N1126" s="94"/>
      <c r="O1126" s="1430"/>
      <c r="P1126" s="94"/>
      <c r="Q1126" s="1431"/>
      <c r="R1126" s="1164"/>
      <c r="S1126" s="1164"/>
      <c r="T1126" s="1164"/>
      <c r="U1126" s="2174"/>
      <c r="V1126" s="2174"/>
      <c r="W1126" s="2174"/>
      <c r="X1126" s="1164"/>
    </row>
    <row r="1127" ht="15.75" customHeight="1">
      <c r="A1127" s="94"/>
      <c r="B1127" s="94"/>
      <c r="C1127" s="1164"/>
      <c r="D1127" s="1429"/>
      <c r="E1127" s="1429"/>
      <c r="F1127" s="1429"/>
      <c r="G1127" s="1429"/>
      <c r="H1127" s="1430"/>
      <c r="I1127" s="1430"/>
      <c r="J1127" s="1164"/>
      <c r="K1127" s="94"/>
      <c r="L1127" s="94"/>
      <c r="M1127" s="1430"/>
      <c r="N1127" s="94"/>
      <c r="O1127" s="1430"/>
      <c r="P1127" s="94"/>
      <c r="Q1127" s="1431"/>
      <c r="R1127" s="1164"/>
      <c r="S1127" s="1164"/>
      <c r="T1127" s="1164"/>
      <c r="U1127" s="2174"/>
      <c r="V1127" s="2174"/>
      <c r="W1127" s="2174"/>
      <c r="X1127" s="1164"/>
    </row>
    <row r="1128" ht="15.75" customHeight="1">
      <c r="A1128" s="94"/>
      <c r="B1128" s="94"/>
      <c r="C1128" s="1164"/>
      <c r="D1128" s="1429"/>
      <c r="E1128" s="1429"/>
      <c r="F1128" s="1429"/>
      <c r="G1128" s="1429"/>
      <c r="H1128" s="1430"/>
      <c r="I1128" s="94"/>
      <c r="J1128" s="1164"/>
      <c r="K1128" s="94"/>
      <c r="L1128" s="94"/>
      <c r="M1128" s="1430"/>
      <c r="N1128" s="94"/>
      <c r="O1128" s="1430"/>
      <c r="P1128" s="94"/>
      <c r="Q1128" s="1431"/>
      <c r="R1128" s="1164"/>
      <c r="S1128" s="1164"/>
      <c r="T1128" s="1164"/>
      <c r="U1128" s="2174"/>
      <c r="V1128" s="2174"/>
      <c r="W1128" s="94"/>
      <c r="X1128" s="1164"/>
    </row>
    <row r="1129" ht="15.75" customHeight="1">
      <c r="A1129" s="94"/>
      <c r="B1129" s="94"/>
      <c r="C1129" s="1164"/>
      <c r="D1129" s="1429"/>
      <c r="E1129" s="1429"/>
      <c r="F1129" s="1429"/>
      <c r="G1129" s="1429"/>
      <c r="H1129" s="1430"/>
      <c r="I1129" s="94"/>
      <c r="J1129" s="1164"/>
      <c r="K1129" s="94"/>
      <c r="L1129" s="94"/>
      <c r="M1129" s="1430"/>
      <c r="N1129" s="94"/>
      <c r="O1129" s="1430"/>
      <c r="P1129" s="94"/>
      <c r="Q1129" s="1431"/>
      <c r="R1129" s="1164"/>
      <c r="S1129" s="1164"/>
      <c r="T1129" s="1164"/>
      <c r="U1129" s="2174"/>
      <c r="V1129" s="2174"/>
      <c r="W1129" s="94"/>
      <c r="X1129" s="1164"/>
    </row>
    <row r="1130" ht="15.75" customHeight="1">
      <c r="A1130" s="94"/>
      <c r="B1130" s="94"/>
      <c r="C1130" s="1164"/>
      <c r="D1130" s="1429"/>
      <c r="E1130" s="1429"/>
      <c r="F1130" s="1429"/>
      <c r="G1130" s="1429"/>
      <c r="H1130" s="1430"/>
      <c r="I1130" s="94"/>
      <c r="J1130" s="1164"/>
      <c r="K1130" s="94"/>
      <c r="L1130" s="94"/>
      <c r="M1130" s="1430"/>
      <c r="N1130" s="94"/>
      <c r="O1130" s="1430"/>
      <c r="P1130" s="94"/>
      <c r="Q1130" s="1431"/>
      <c r="R1130" s="1164"/>
      <c r="S1130" s="1164"/>
      <c r="T1130" s="1164"/>
      <c r="U1130" s="2174"/>
      <c r="V1130" s="2174"/>
      <c r="W1130" s="94"/>
      <c r="X1130" s="1164"/>
    </row>
    <row r="1131" ht="15.75" customHeight="1">
      <c r="A1131" s="94"/>
      <c r="B1131" s="94"/>
      <c r="C1131" s="1164"/>
      <c r="D1131" s="1429"/>
      <c r="E1131" s="1429"/>
      <c r="F1131" s="1429"/>
      <c r="G1131" s="1429"/>
      <c r="H1131" s="1430"/>
      <c r="I1131" s="94"/>
      <c r="J1131" s="1164"/>
      <c r="K1131" s="94"/>
      <c r="L1131" s="94"/>
      <c r="M1131" s="1430"/>
      <c r="N1131" s="94"/>
      <c r="O1131" s="1430"/>
      <c r="P1131" s="94"/>
      <c r="Q1131" s="1431"/>
      <c r="R1131" s="1164"/>
      <c r="S1131" s="1164"/>
      <c r="T1131" s="1164"/>
      <c r="U1131" s="2174"/>
      <c r="V1131" s="2174"/>
      <c r="W1131" s="94"/>
      <c r="X1131" s="1164"/>
    </row>
    <row r="1132" ht="15.75" customHeight="1">
      <c r="A1132" s="94"/>
      <c r="B1132" s="94"/>
      <c r="C1132" s="1164"/>
      <c r="D1132" s="1429"/>
      <c r="E1132" s="1429"/>
      <c r="F1132" s="1429"/>
      <c r="G1132" s="1429"/>
      <c r="H1132" s="1430"/>
      <c r="I1132" s="94"/>
      <c r="J1132" s="1164"/>
      <c r="K1132" s="94"/>
      <c r="L1132" s="94"/>
      <c r="M1132" s="1430"/>
      <c r="N1132" s="94"/>
      <c r="O1132" s="1430"/>
      <c r="P1132" s="94"/>
      <c r="Q1132" s="1431"/>
      <c r="R1132" s="1164"/>
      <c r="S1132" s="1164"/>
      <c r="T1132" s="1164"/>
      <c r="U1132" s="2174"/>
      <c r="V1132" s="2174"/>
      <c r="W1132" s="94"/>
      <c r="X1132" s="1164"/>
    </row>
    <row r="1133" ht="15.75" customHeight="1">
      <c r="A1133" s="94"/>
      <c r="B1133" s="94"/>
      <c r="C1133" s="1164"/>
      <c r="D1133" s="1429"/>
      <c r="E1133" s="1429"/>
      <c r="F1133" s="1429"/>
      <c r="G1133" s="1429"/>
      <c r="H1133" s="1430"/>
      <c r="I1133" s="94"/>
      <c r="J1133" s="1164"/>
      <c r="K1133" s="94"/>
      <c r="L1133" s="94"/>
      <c r="M1133" s="1430"/>
      <c r="N1133" s="94"/>
      <c r="O1133" s="1430"/>
      <c r="P1133" s="94"/>
      <c r="Q1133" s="1431"/>
      <c r="R1133" s="1164"/>
      <c r="S1133" s="1164"/>
      <c r="T1133" s="1164"/>
      <c r="U1133" s="2174"/>
      <c r="V1133" s="2174"/>
      <c r="W1133" s="94"/>
      <c r="X1133" s="1164"/>
    </row>
    <row r="1134" ht="15.75" customHeight="1">
      <c r="A1134" s="94"/>
      <c r="B1134" s="94"/>
      <c r="C1134" s="1164"/>
      <c r="D1134" s="1429"/>
      <c r="E1134" s="1429"/>
      <c r="F1134" s="1429"/>
      <c r="G1134" s="1429"/>
      <c r="H1134" s="1430"/>
      <c r="I1134" s="1430"/>
      <c r="J1134" s="1164"/>
      <c r="K1134" s="94"/>
      <c r="L1134" s="94"/>
      <c r="M1134" s="1430"/>
      <c r="N1134" s="94"/>
      <c r="O1134" s="1430"/>
      <c r="P1134" s="94"/>
      <c r="Q1134" s="1431"/>
      <c r="R1134" s="1164"/>
      <c r="S1134" s="1164"/>
      <c r="T1134" s="1164"/>
      <c r="U1134" s="2174"/>
      <c r="V1134" s="2174"/>
      <c r="W1134" s="2174"/>
      <c r="X1134" s="1164"/>
    </row>
    <row r="1135" ht="15.75" customHeight="1">
      <c r="A1135" s="94"/>
      <c r="B1135" s="94"/>
      <c r="C1135" s="1164"/>
      <c r="D1135" s="1429"/>
      <c r="E1135" s="1429"/>
      <c r="F1135" s="1429"/>
      <c r="G1135" s="1429"/>
      <c r="H1135" s="1430"/>
      <c r="I1135" s="1430"/>
      <c r="J1135" s="1164"/>
      <c r="K1135" s="94"/>
      <c r="L1135" s="94"/>
      <c r="M1135" s="1430"/>
      <c r="N1135" s="94"/>
      <c r="O1135" s="1430"/>
      <c r="P1135" s="94"/>
      <c r="Q1135" s="1431"/>
      <c r="R1135" s="1164"/>
      <c r="S1135" s="1164"/>
      <c r="T1135" s="1164"/>
      <c r="U1135" s="2174"/>
      <c r="V1135" s="2174"/>
      <c r="W1135" s="2174"/>
      <c r="X1135" s="1164"/>
    </row>
    <row r="1136" ht="15.75" customHeight="1">
      <c r="A1136" s="94"/>
      <c r="B1136" s="94"/>
      <c r="C1136" s="1164"/>
      <c r="D1136" s="1429"/>
      <c r="E1136" s="1429"/>
      <c r="F1136" s="1429"/>
      <c r="G1136" s="1429"/>
      <c r="H1136" s="1430"/>
      <c r="I1136" s="94"/>
      <c r="J1136" s="1164"/>
      <c r="K1136" s="94"/>
      <c r="L1136" s="94"/>
      <c r="M1136" s="1430"/>
      <c r="N1136" s="94"/>
      <c r="O1136" s="1430"/>
      <c r="P1136" s="94"/>
      <c r="Q1136" s="1431"/>
      <c r="R1136" s="1164"/>
      <c r="S1136" s="1164"/>
      <c r="T1136" s="1164"/>
      <c r="U1136" s="2174"/>
      <c r="V1136" s="2174"/>
      <c r="W1136" s="94"/>
      <c r="X1136" s="1164"/>
    </row>
    <row r="1137" ht="15.75" customHeight="1">
      <c r="A1137" s="94"/>
      <c r="B1137" s="94"/>
      <c r="C1137" s="1164"/>
      <c r="D1137" s="1429"/>
      <c r="E1137" s="1429"/>
      <c r="F1137" s="1429"/>
      <c r="G1137" s="1429"/>
      <c r="H1137" s="1430"/>
      <c r="I1137" s="94"/>
      <c r="J1137" s="1164"/>
      <c r="K1137" s="94"/>
      <c r="L1137" s="94"/>
      <c r="M1137" s="1430"/>
      <c r="N1137" s="94"/>
      <c r="O1137" s="1430"/>
      <c r="P1137" s="94"/>
      <c r="Q1137" s="1431"/>
      <c r="R1137" s="1164"/>
      <c r="S1137" s="1164"/>
      <c r="T1137" s="1164"/>
      <c r="U1137" s="2174"/>
      <c r="V1137" s="2174"/>
      <c r="W1137" s="94"/>
      <c r="X1137" s="1164"/>
    </row>
    <row r="1138" ht="15.75" customHeight="1">
      <c r="A1138" s="94"/>
      <c r="B1138" s="94"/>
      <c r="C1138" s="1164"/>
      <c r="D1138" s="1429"/>
      <c r="E1138" s="1429"/>
      <c r="F1138" s="1429"/>
      <c r="G1138" s="1429"/>
      <c r="H1138" s="1430"/>
      <c r="I1138" s="1430"/>
      <c r="J1138" s="1164"/>
      <c r="K1138" s="94"/>
      <c r="L1138" s="94"/>
      <c r="M1138" s="1430"/>
      <c r="N1138" s="94"/>
      <c r="O1138" s="1430"/>
      <c r="P1138" s="94"/>
      <c r="Q1138" s="1431"/>
      <c r="R1138" s="1164"/>
      <c r="S1138" s="1164"/>
      <c r="T1138" s="1164"/>
      <c r="U1138" s="2174"/>
      <c r="V1138" s="2174"/>
      <c r="W1138" s="2174"/>
      <c r="X1138" s="1164"/>
    </row>
    <row r="1139" ht="15.75" customHeight="1">
      <c r="A1139" s="94"/>
      <c r="B1139" s="94"/>
      <c r="C1139" s="1164"/>
      <c r="D1139" s="1429"/>
      <c r="E1139" s="1429"/>
      <c r="F1139" s="1429"/>
      <c r="G1139" s="1429"/>
      <c r="H1139" s="1430"/>
      <c r="I1139" s="1430"/>
      <c r="J1139" s="1164"/>
      <c r="K1139" s="94"/>
      <c r="L1139" s="94"/>
      <c r="M1139" s="1430"/>
      <c r="N1139" s="94"/>
      <c r="O1139" s="1430"/>
      <c r="P1139" s="94"/>
      <c r="Q1139" s="1431"/>
      <c r="R1139" s="1164"/>
      <c r="S1139" s="1164"/>
      <c r="T1139" s="1164"/>
      <c r="U1139" s="2174"/>
      <c r="V1139" s="2174"/>
      <c r="W1139" s="2174"/>
      <c r="X1139" s="1164"/>
    </row>
    <row r="1140" ht="15.75" customHeight="1">
      <c r="A1140" s="94"/>
      <c r="B1140" s="94"/>
      <c r="C1140" s="1164"/>
      <c r="D1140" s="1429"/>
      <c r="E1140" s="1429"/>
      <c r="F1140" s="1429"/>
      <c r="G1140" s="1429"/>
      <c r="H1140" s="1430"/>
      <c r="I1140" s="1430"/>
      <c r="J1140" s="1164"/>
      <c r="K1140" s="94"/>
      <c r="L1140" s="94"/>
      <c r="M1140" s="1430"/>
      <c r="N1140" s="94"/>
      <c r="O1140" s="1430"/>
      <c r="P1140" s="94"/>
      <c r="Q1140" s="1431"/>
      <c r="R1140" s="1164"/>
      <c r="S1140" s="1164"/>
      <c r="T1140" s="1164"/>
      <c r="U1140" s="2174"/>
      <c r="V1140" s="2174"/>
      <c r="W1140" s="2174"/>
      <c r="X1140" s="1164"/>
    </row>
    <row r="1141" ht="15.75" customHeight="1">
      <c r="A1141" s="94"/>
      <c r="B1141" s="94"/>
      <c r="C1141" s="1164"/>
      <c r="D1141" s="1429"/>
      <c r="E1141" s="1429"/>
      <c r="F1141" s="1429"/>
      <c r="G1141" s="1429"/>
      <c r="H1141" s="1430"/>
      <c r="I1141" s="1430"/>
      <c r="J1141" s="1164"/>
      <c r="K1141" s="94"/>
      <c r="L1141" s="94"/>
      <c r="M1141" s="1430"/>
      <c r="N1141" s="94"/>
      <c r="O1141" s="1430"/>
      <c r="P1141" s="94"/>
      <c r="Q1141" s="1431"/>
      <c r="R1141" s="1164"/>
      <c r="S1141" s="1164"/>
      <c r="T1141" s="1164"/>
      <c r="U1141" s="2174"/>
      <c r="V1141" s="2174"/>
      <c r="W1141" s="2174"/>
      <c r="X1141" s="1164"/>
    </row>
    <row r="1142" ht="15.75" customHeight="1">
      <c r="A1142" s="94"/>
      <c r="B1142" s="94"/>
      <c r="C1142" s="1164"/>
      <c r="D1142" s="1429"/>
      <c r="E1142" s="1429"/>
      <c r="F1142" s="1429"/>
      <c r="G1142" s="1429"/>
      <c r="H1142" s="1430"/>
      <c r="I1142" s="1430"/>
      <c r="J1142" s="1164"/>
      <c r="K1142" s="94"/>
      <c r="L1142" s="94"/>
      <c r="M1142" s="1430"/>
      <c r="N1142" s="94"/>
      <c r="O1142" s="1430"/>
      <c r="P1142" s="94"/>
      <c r="Q1142" s="1431"/>
      <c r="R1142" s="1164"/>
      <c r="S1142" s="1164"/>
      <c r="T1142" s="1164"/>
      <c r="U1142" s="2174"/>
      <c r="V1142" s="2174"/>
      <c r="W1142" s="2174"/>
      <c r="X1142" s="1164"/>
    </row>
    <row r="1143" ht="15.75" customHeight="1">
      <c r="A1143" s="94"/>
      <c r="B1143" s="94"/>
      <c r="C1143" s="1164"/>
      <c r="D1143" s="1429"/>
      <c r="E1143" s="1429"/>
      <c r="F1143" s="1429"/>
      <c r="G1143" s="1429"/>
      <c r="H1143" s="1430"/>
      <c r="I1143" s="94"/>
      <c r="J1143" s="1164"/>
      <c r="K1143" s="94"/>
      <c r="L1143" s="94"/>
      <c r="M1143" s="1430"/>
      <c r="N1143" s="94"/>
      <c r="O1143" s="1430"/>
      <c r="P1143" s="94"/>
      <c r="Q1143" s="1431"/>
      <c r="R1143" s="1164"/>
      <c r="S1143" s="1164"/>
      <c r="T1143" s="1164"/>
      <c r="U1143" s="2174"/>
      <c r="V1143" s="2174"/>
      <c r="W1143" s="94"/>
      <c r="X1143" s="1164"/>
    </row>
    <row r="1144" ht="15.75" customHeight="1">
      <c r="A1144" s="94"/>
      <c r="B1144" s="94"/>
      <c r="C1144" s="1164"/>
      <c r="D1144" s="1429"/>
      <c r="E1144" s="1429"/>
      <c r="F1144" s="1429"/>
      <c r="G1144" s="1429"/>
      <c r="H1144" s="1430"/>
      <c r="I1144" s="1430"/>
      <c r="J1144" s="1164"/>
      <c r="K1144" s="94"/>
      <c r="L1144" s="94"/>
      <c r="M1144" s="1430"/>
      <c r="N1144" s="94"/>
      <c r="O1144" s="1430"/>
      <c r="P1144" s="94"/>
      <c r="Q1144" s="1431"/>
      <c r="R1144" s="1164"/>
      <c r="S1144" s="1164"/>
      <c r="T1144" s="1164"/>
      <c r="U1144" s="2174"/>
      <c r="V1144" s="2174"/>
      <c r="W1144" s="2174"/>
      <c r="X1144" s="1164"/>
    </row>
    <row r="1145" ht="15.75" customHeight="1">
      <c r="A1145" s="94"/>
      <c r="B1145" s="94"/>
      <c r="C1145" s="1164"/>
      <c r="D1145" s="1429"/>
      <c r="E1145" s="1429"/>
      <c r="F1145" s="1429"/>
      <c r="G1145" s="1429"/>
      <c r="H1145" s="1430"/>
      <c r="I1145" s="1430"/>
      <c r="J1145" s="1164"/>
      <c r="K1145" s="94"/>
      <c r="L1145" s="94"/>
      <c r="M1145" s="1430"/>
      <c r="N1145" s="94"/>
      <c r="O1145" s="1430"/>
      <c r="P1145" s="94"/>
      <c r="Q1145" s="1431"/>
      <c r="R1145" s="1164"/>
      <c r="S1145" s="1164"/>
      <c r="T1145" s="1164"/>
      <c r="U1145" s="2174"/>
      <c r="V1145" s="2174"/>
      <c r="W1145" s="2174"/>
      <c r="X1145" s="1164"/>
    </row>
    <row r="1146" ht="15.75" customHeight="1">
      <c r="A1146" s="94"/>
      <c r="B1146" s="94"/>
      <c r="C1146" s="1164"/>
      <c r="D1146" s="1429"/>
      <c r="E1146" s="1429"/>
      <c r="F1146" s="1429"/>
      <c r="G1146" s="1429"/>
      <c r="H1146" s="1430"/>
      <c r="I1146" s="1430"/>
      <c r="J1146" s="1164"/>
      <c r="K1146" s="94"/>
      <c r="L1146" s="94"/>
      <c r="M1146" s="1430"/>
      <c r="N1146" s="94"/>
      <c r="O1146" s="1430"/>
      <c r="P1146" s="94"/>
      <c r="Q1146" s="1431"/>
      <c r="R1146" s="1164"/>
      <c r="S1146" s="1164"/>
      <c r="T1146" s="1164"/>
      <c r="U1146" s="2174"/>
      <c r="V1146" s="2174"/>
      <c r="W1146" s="2174"/>
      <c r="X1146" s="1164"/>
    </row>
    <row r="1147" ht="15.75" customHeight="1">
      <c r="A1147" s="94"/>
      <c r="B1147" s="94"/>
      <c r="C1147" s="1164"/>
      <c r="D1147" s="1429"/>
      <c r="E1147" s="1429"/>
      <c r="F1147" s="1429"/>
      <c r="G1147" s="1429"/>
      <c r="H1147" s="1430"/>
      <c r="I1147" s="1430"/>
      <c r="J1147" s="1164"/>
      <c r="K1147" s="94"/>
      <c r="L1147" s="94"/>
      <c r="M1147" s="1430"/>
      <c r="N1147" s="94"/>
      <c r="O1147" s="1430"/>
      <c r="P1147" s="94"/>
      <c r="Q1147" s="1431"/>
      <c r="R1147" s="1164"/>
      <c r="S1147" s="1164"/>
      <c r="T1147" s="1164"/>
      <c r="U1147" s="2174"/>
      <c r="V1147" s="2174"/>
      <c r="W1147" s="2174"/>
      <c r="X1147" s="1164"/>
    </row>
    <row r="1148" ht="15.75" customHeight="1">
      <c r="A1148" s="94"/>
      <c r="B1148" s="94"/>
      <c r="C1148" s="1164"/>
      <c r="D1148" s="1429"/>
      <c r="E1148" s="1429"/>
      <c r="F1148" s="1429"/>
      <c r="G1148" s="1429"/>
      <c r="H1148" s="1430"/>
      <c r="I1148" s="1430"/>
      <c r="J1148" s="1164"/>
      <c r="K1148" s="94"/>
      <c r="L1148" s="94"/>
      <c r="M1148" s="1430"/>
      <c r="N1148" s="94"/>
      <c r="O1148" s="1430"/>
      <c r="P1148" s="94"/>
      <c r="Q1148" s="1431"/>
      <c r="R1148" s="1164"/>
      <c r="S1148" s="1164"/>
      <c r="T1148" s="1164"/>
      <c r="U1148" s="2174"/>
      <c r="V1148" s="2174"/>
      <c r="W1148" s="2174"/>
      <c r="X1148" s="1164"/>
    </row>
    <row r="1149" ht="15.75" customHeight="1">
      <c r="A1149" s="94"/>
      <c r="B1149" s="94"/>
      <c r="C1149" s="1164"/>
      <c r="D1149" s="1429"/>
      <c r="E1149" s="1429"/>
      <c r="F1149" s="1429"/>
      <c r="G1149" s="1429"/>
      <c r="H1149" s="1430"/>
      <c r="I1149" s="94"/>
      <c r="J1149" s="1164"/>
      <c r="K1149" s="94"/>
      <c r="L1149" s="94"/>
      <c r="M1149" s="1430"/>
      <c r="N1149" s="94"/>
      <c r="O1149" s="1430"/>
      <c r="P1149" s="94"/>
      <c r="Q1149" s="1431"/>
      <c r="R1149" s="1164"/>
      <c r="S1149" s="1164"/>
      <c r="T1149" s="1164"/>
      <c r="U1149" s="2174"/>
      <c r="V1149" s="2174"/>
      <c r="W1149" s="94"/>
      <c r="X1149" s="1164"/>
    </row>
    <row r="1150" ht="15.75" customHeight="1">
      <c r="A1150" s="94"/>
      <c r="B1150" s="94"/>
      <c r="C1150" s="1164"/>
      <c r="D1150" s="1429"/>
      <c r="E1150" s="1429"/>
      <c r="F1150" s="1429"/>
      <c r="G1150" s="1429"/>
      <c r="H1150" s="1430"/>
      <c r="I1150" s="94"/>
      <c r="J1150" s="1164"/>
      <c r="K1150" s="94"/>
      <c r="L1150" s="94"/>
      <c r="M1150" s="1430"/>
      <c r="N1150" s="94"/>
      <c r="O1150" s="1430"/>
      <c r="P1150" s="94"/>
      <c r="Q1150" s="1431"/>
      <c r="R1150" s="1164"/>
      <c r="S1150" s="1164"/>
      <c r="T1150" s="1164"/>
      <c r="U1150" s="2174"/>
      <c r="V1150" s="2174"/>
      <c r="W1150" s="94"/>
      <c r="X1150" s="1164"/>
    </row>
    <row r="1151" ht="15.75" customHeight="1">
      <c r="A1151" s="94"/>
      <c r="B1151" s="94"/>
      <c r="C1151" s="1164"/>
      <c r="D1151" s="1429"/>
      <c r="E1151" s="1429"/>
      <c r="F1151" s="1429"/>
      <c r="G1151" s="1429"/>
      <c r="H1151" s="1430"/>
      <c r="I1151" s="94"/>
      <c r="J1151" s="1164"/>
      <c r="K1151" s="94"/>
      <c r="L1151" s="94"/>
      <c r="M1151" s="1430"/>
      <c r="N1151" s="94"/>
      <c r="O1151" s="1430"/>
      <c r="P1151" s="94"/>
      <c r="Q1151" s="1431"/>
      <c r="R1151" s="1164"/>
      <c r="S1151" s="1164"/>
      <c r="T1151" s="1164"/>
      <c r="U1151" s="2174"/>
      <c r="V1151" s="2174"/>
      <c r="W1151" s="94"/>
      <c r="X1151" s="1164"/>
    </row>
    <row r="1152" ht="15.75" customHeight="1">
      <c r="A1152" s="94"/>
      <c r="B1152" s="94"/>
      <c r="C1152" s="1164"/>
      <c r="D1152" s="1429"/>
      <c r="E1152" s="1429"/>
      <c r="F1152" s="1429"/>
      <c r="G1152" s="1429"/>
      <c r="H1152" s="1430"/>
      <c r="I1152" s="94"/>
      <c r="J1152" s="1164"/>
      <c r="K1152" s="94"/>
      <c r="L1152" s="94"/>
      <c r="M1152" s="1430"/>
      <c r="N1152" s="94"/>
      <c r="O1152" s="1430"/>
      <c r="P1152" s="94"/>
      <c r="Q1152" s="1431"/>
      <c r="R1152" s="1164"/>
      <c r="S1152" s="1164"/>
      <c r="T1152" s="1164"/>
      <c r="U1152" s="2174"/>
      <c r="V1152" s="2174"/>
      <c r="W1152" s="94"/>
      <c r="X1152" s="1164"/>
    </row>
    <row r="1153" ht="15.75" customHeight="1">
      <c r="A1153" s="94"/>
      <c r="B1153" s="94"/>
      <c r="C1153" s="1164"/>
      <c r="D1153" s="1429"/>
      <c r="E1153" s="1429"/>
      <c r="F1153" s="1429"/>
      <c r="G1153" s="1429"/>
      <c r="H1153" s="1430"/>
      <c r="I1153" s="94"/>
      <c r="J1153" s="1164"/>
      <c r="K1153" s="94"/>
      <c r="L1153" s="94"/>
      <c r="M1153" s="1430"/>
      <c r="N1153" s="94"/>
      <c r="O1153" s="1430"/>
      <c r="P1153" s="94"/>
      <c r="Q1153" s="1431"/>
      <c r="R1153" s="1164"/>
      <c r="S1153" s="1164"/>
      <c r="T1153" s="1164"/>
      <c r="U1153" s="2174"/>
      <c r="V1153" s="2174"/>
      <c r="W1153" s="94"/>
      <c r="X1153" s="1164"/>
    </row>
    <row r="1154" ht="15.75" customHeight="1">
      <c r="A1154" s="94"/>
      <c r="B1154" s="94"/>
      <c r="C1154" s="1164"/>
      <c r="D1154" s="1429"/>
      <c r="E1154" s="1429"/>
      <c r="F1154" s="1429"/>
      <c r="G1154" s="1429"/>
      <c r="H1154" s="1430"/>
      <c r="I1154" s="94"/>
      <c r="J1154" s="1164"/>
      <c r="K1154" s="94"/>
      <c r="L1154" s="94"/>
      <c r="M1154" s="1430"/>
      <c r="N1154" s="94"/>
      <c r="O1154" s="1430"/>
      <c r="P1154" s="94"/>
      <c r="Q1154" s="1431"/>
      <c r="R1154" s="1164"/>
      <c r="S1154" s="1164"/>
      <c r="T1154" s="1164"/>
      <c r="U1154" s="2174"/>
      <c r="V1154" s="2174"/>
      <c r="W1154" s="94"/>
      <c r="X1154" s="1164"/>
    </row>
    <row r="1155" ht="15.75" customHeight="1">
      <c r="A1155" s="94"/>
      <c r="B1155" s="94"/>
      <c r="C1155" s="1164"/>
      <c r="D1155" s="1429"/>
      <c r="E1155" s="1429"/>
      <c r="F1155" s="1429"/>
      <c r="G1155" s="1429"/>
      <c r="H1155" s="1430"/>
      <c r="I1155" s="94"/>
      <c r="J1155" s="1164"/>
      <c r="K1155" s="94"/>
      <c r="L1155" s="94"/>
      <c r="M1155" s="1430"/>
      <c r="N1155" s="94"/>
      <c r="O1155" s="1430"/>
      <c r="P1155" s="94"/>
      <c r="Q1155" s="1431"/>
      <c r="R1155" s="1164"/>
      <c r="S1155" s="1164"/>
      <c r="T1155" s="1164"/>
      <c r="U1155" s="2174"/>
      <c r="V1155" s="2174"/>
      <c r="W1155" s="94"/>
      <c r="X1155" s="1164"/>
    </row>
    <row r="1156" ht="15.75" customHeight="1">
      <c r="A1156" s="94"/>
      <c r="B1156" s="94"/>
      <c r="C1156" s="1164"/>
      <c r="D1156" s="1429"/>
      <c r="E1156" s="1429"/>
      <c r="F1156" s="1429"/>
      <c r="G1156" s="1429"/>
      <c r="H1156" s="1430"/>
      <c r="I1156" s="1430"/>
      <c r="J1156" s="1164"/>
      <c r="K1156" s="94"/>
      <c r="L1156" s="94"/>
      <c r="M1156" s="1430"/>
      <c r="N1156" s="94"/>
      <c r="O1156" s="1430"/>
      <c r="P1156" s="94"/>
      <c r="Q1156" s="1431"/>
      <c r="R1156" s="1164"/>
      <c r="S1156" s="1164"/>
      <c r="T1156" s="1164"/>
      <c r="U1156" s="2174"/>
      <c r="V1156" s="2174"/>
      <c r="W1156" s="2174"/>
      <c r="X1156" s="1164"/>
    </row>
    <row r="1157" ht="15.75" customHeight="1">
      <c r="A1157" s="94"/>
      <c r="B1157" s="94"/>
      <c r="C1157" s="1164"/>
      <c r="D1157" s="1429"/>
      <c r="E1157" s="1429"/>
      <c r="F1157" s="1429"/>
      <c r="G1157" s="1429"/>
      <c r="H1157" s="1430"/>
      <c r="I1157" s="94"/>
      <c r="J1157" s="1164"/>
      <c r="K1157" s="94"/>
      <c r="L1157" s="94"/>
      <c r="M1157" s="1430"/>
      <c r="N1157" s="94"/>
      <c r="O1157" s="1430"/>
      <c r="P1157" s="94"/>
      <c r="Q1157" s="1431"/>
      <c r="R1157" s="1164"/>
      <c r="S1157" s="1164"/>
      <c r="T1157" s="1164"/>
      <c r="U1157" s="2174"/>
      <c r="V1157" s="2174"/>
      <c r="W1157" s="94"/>
      <c r="X1157" s="1164"/>
    </row>
    <row r="1158" ht="15.75" customHeight="1">
      <c r="A1158" s="94"/>
      <c r="B1158" s="94"/>
      <c r="C1158" s="1164"/>
      <c r="D1158" s="1429"/>
      <c r="E1158" s="1429"/>
      <c r="F1158" s="1429"/>
      <c r="G1158" s="1429"/>
      <c r="H1158" s="1430"/>
      <c r="I1158" s="94"/>
      <c r="J1158" s="1164"/>
      <c r="K1158" s="94"/>
      <c r="L1158" s="94"/>
      <c r="M1158" s="94"/>
      <c r="N1158" s="94"/>
      <c r="O1158" s="94"/>
      <c r="P1158" s="94"/>
      <c r="Q1158" s="1431"/>
      <c r="R1158" s="1164"/>
      <c r="S1158" s="94"/>
      <c r="T1158" s="94"/>
      <c r="U1158" s="94"/>
      <c r="V1158" s="94"/>
      <c r="W1158" s="94"/>
      <c r="X1158" s="1164"/>
    </row>
    <row r="1159" ht="15.75" customHeight="1">
      <c r="A1159" s="94"/>
      <c r="B1159" s="94"/>
      <c r="C1159" s="1164"/>
      <c r="D1159" s="1429"/>
      <c r="E1159" s="1429"/>
      <c r="F1159" s="1429"/>
      <c r="G1159" s="1429"/>
      <c r="H1159" s="1430"/>
      <c r="I1159" s="94"/>
      <c r="J1159" s="1164"/>
      <c r="K1159" s="94"/>
      <c r="L1159" s="94"/>
      <c r="M1159" s="1430"/>
      <c r="N1159" s="94"/>
      <c r="O1159" s="1430"/>
      <c r="P1159" s="94"/>
      <c r="Q1159" s="1431"/>
      <c r="R1159" s="1164"/>
      <c r="S1159" s="1164"/>
      <c r="T1159" s="1164"/>
      <c r="U1159" s="2174"/>
      <c r="V1159" s="2174"/>
      <c r="W1159" s="94"/>
      <c r="X1159" s="1164"/>
    </row>
    <row r="1160" ht="15.75" customHeight="1">
      <c r="A1160" s="94"/>
      <c r="B1160" s="94"/>
      <c r="C1160" s="1164"/>
      <c r="D1160" s="1429"/>
      <c r="E1160" s="1429"/>
      <c r="F1160" s="1429"/>
      <c r="G1160" s="1429"/>
      <c r="H1160" s="1430"/>
      <c r="I1160" s="94"/>
      <c r="J1160" s="1164"/>
      <c r="K1160" s="94"/>
      <c r="L1160" s="94"/>
      <c r="M1160" s="1430"/>
      <c r="N1160" s="94"/>
      <c r="O1160" s="1430"/>
      <c r="P1160" s="94"/>
      <c r="Q1160" s="1431"/>
      <c r="R1160" s="1164"/>
      <c r="S1160" s="1164"/>
      <c r="T1160" s="1164"/>
      <c r="U1160" s="2174"/>
      <c r="V1160" s="2174"/>
      <c r="W1160" s="94"/>
      <c r="X1160" s="1164"/>
    </row>
    <row r="1161" ht="15.75" customHeight="1">
      <c r="A1161" s="94"/>
      <c r="B1161" s="94"/>
      <c r="C1161" s="1164"/>
      <c r="D1161" s="1429"/>
      <c r="E1161" s="1429"/>
      <c r="F1161" s="1429"/>
      <c r="G1161" s="1429"/>
      <c r="H1161" s="1430"/>
      <c r="I1161" s="94"/>
      <c r="J1161" s="1164"/>
      <c r="K1161" s="94"/>
      <c r="L1161" s="94"/>
      <c r="M1161" s="1430"/>
      <c r="N1161" s="94"/>
      <c r="O1161" s="1430"/>
      <c r="P1161" s="94"/>
      <c r="Q1161" s="1431"/>
      <c r="R1161" s="1164"/>
      <c r="S1161" s="1164"/>
      <c r="T1161" s="1164"/>
      <c r="U1161" s="2174"/>
      <c r="V1161" s="2174"/>
      <c r="W1161" s="94"/>
      <c r="X1161" s="1164"/>
    </row>
    <row r="1162" ht="15.75" customHeight="1">
      <c r="A1162" s="94"/>
      <c r="B1162" s="94"/>
      <c r="C1162" s="1164"/>
      <c r="D1162" s="1429"/>
      <c r="E1162" s="1429"/>
      <c r="F1162" s="1429"/>
      <c r="G1162" s="1429"/>
      <c r="H1162" s="1430"/>
      <c r="I1162" s="1430"/>
      <c r="J1162" s="1164"/>
      <c r="K1162" s="94"/>
      <c r="L1162" s="94"/>
      <c r="M1162" s="1430"/>
      <c r="N1162" s="94"/>
      <c r="O1162" s="1430"/>
      <c r="P1162" s="94"/>
      <c r="Q1162" s="1431"/>
      <c r="R1162" s="1164"/>
      <c r="S1162" s="1164"/>
      <c r="T1162" s="1164"/>
      <c r="U1162" s="2174"/>
      <c r="V1162" s="2174"/>
      <c r="W1162" s="2174"/>
      <c r="X1162" s="1164"/>
    </row>
    <row r="1163" ht="15.75" customHeight="1">
      <c r="A1163" s="94"/>
      <c r="B1163" s="94"/>
      <c r="C1163" s="1164"/>
      <c r="D1163" s="1429"/>
      <c r="E1163" s="1429"/>
      <c r="F1163" s="1429"/>
      <c r="G1163" s="1429"/>
      <c r="H1163" s="1430"/>
      <c r="I1163" s="94"/>
      <c r="J1163" s="1164"/>
      <c r="K1163" s="94"/>
      <c r="L1163" s="94"/>
      <c r="M1163" s="1430"/>
      <c r="N1163" s="94"/>
      <c r="O1163" s="1430"/>
      <c r="P1163" s="94"/>
      <c r="Q1163" s="1431"/>
      <c r="R1163" s="1164"/>
      <c r="S1163" s="1164"/>
      <c r="T1163" s="1164"/>
      <c r="U1163" s="2174"/>
      <c r="V1163" s="2174"/>
      <c r="W1163" s="94"/>
      <c r="X1163" s="1164"/>
    </row>
    <row r="1164" ht="15.75" customHeight="1">
      <c r="A1164" s="94"/>
      <c r="B1164" s="94"/>
      <c r="C1164" s="1164"/>
      <c r="D1164" s="1429"/>
      <c r="E1164" s="1429"/>
      <c r="F1164" s="1429"/>
      <c r="G1164" s="1429"/>
      <c r="H1164" s="1430"/>
      <c r="I1164" s="94"/>
      <c r="J1164" s="1164"/>
      <c r="K1164" s="94"/>
      <c r="L1164" s="94"/>
      <c r="M1164" s="1430"/>
      <c r="N1164" s="94"/>
      <c r="O1164" s="1430"/>
      <c r="P1164" s="94"/>
      <c r="Q1164" s="1431"/>
      <c r="R1164" s="1164"/>
      <c r="S1164" s="1164"/>
      <c r="T1164" s="1164"/>
      <c r="U1164" s="2174"/>
      <c r="V1164" s="2174"/>
      <c r="W1164" s="94"/>
      <c r="X1164" s="1164"/>
    </row>
    <row r="1165" ht="15.75" customHeight="1">
      <c r="A1165" s="94"/>
      <c r="B1165" s="94"/>
      <c r="C1165" s="1164"/>
      <c r="D1165" s="1429"/>
      <c r="E1165" s="1429"/>
      <c r="F1165" s="1429"/>
      <c r="G1165" s="1429"/>
      <c r="H1165" s="1430"/>
      <c r="I1165" s="94"/>
      <c r="J1165" s="1164"/>
      <c r="K1165" s="94"/>
      <c r="L1165" s="94"/>
      <c r="M1165" s="1430"/>
      <c r="N1165" s="94"/>
      <c r="O1165" s="1430"/>
      <c r="P1165" s="94"/>
      <c r="Q1165" s="1431"/>
      <c r="R1165" s="1164"/>
      <c r="S1165" s="1164"/>
      <c r="T1165" s="1164"/>
      <c r="U1165" s="2174"/>
      <c r="V1165" s="2174"/>
      <c r="W1165" s="94"/>
      <c r="X1165" s="1164"/>
    </row>
    <row r="1166" ht="15.75" customHeight="1">
      <c r="A1166" s="94"/>
      <c r="B1166" s="94"/>
      <c r="C1166" s="1164"/>
      <c r="D1166" s="1429"/>
      <c r="E1166" s="1429"/>
      <c r="F1166" s="1429"/>
      <c r="G1166" s="1429"/>
      <c r="H1166" s="1430"/>
      <c r="I1166" s="1430"/>
      <c r="J1166" s="1164"/>
      <c r="K1166" s="94"/>
      <c r="L1166" s="94"/>
      <c r="M1166" s="1430"/>
      <c r="N1166" s="94"/>
      <c r="O1166" s="1430"/>
      <c r="P1166" s="94"/>
      <c r="Q1166" s="1431"/>
      <c r="R1166" s="1164"/>
      <c r="S1166" s="94"/>
      <c r="T1166" s="94"/>
      <c r="U1166" s="2174"/>
      <c r="V1166" s="94"/>
      <c r="W1166" s="2174"/>
      <c r="X1166" s="1164"/>
    </row>
    <row r="1167" ht="15.75" customHeight="1">
      <c r="A1167" s="94"/>
      <c r="B1167" s="94"/>
      <c r="C1167" s="1164"/>
      <c r="D1167" s="1429"/>
      <c r="E1167" s="1429"/>
      <c r="F1167" s="1429"/>
      <c r="G1167" s="1429"/>
      <c r="H1167" s="1430"/>
      <c r="I1167" s="1430"/>
      <c r="J1167" s="1164"/>
      <c r="K1167" s="94"/>
      <c r="L1167" s="94"/>
      <c r="M1167" s="1430"/>
      <c r="N1167" s="94"/>
      <c r="O1167" s="1430"/>
      <c r="P1167" s="94"/>
      <c r="Q1167" s="1431"/>
      <c r="R1167" s="1164"/>
      <c r="S1167" s="1164"/>
      <c r="T1167" s="1164"/>
      <c r="U1167" s="2174"/>
      <c r="V1167" s="2174"/>
      <c r="W1167" s="2174"/>
      <c r="X1167" s="1164"/>
    </row>
    <row r="1168" ht="15.75" customHeight="1">
      <c r="A1168" s="94"/>
      <c r="B1168" s="94"/>
      <c r="C1168" s="1164"/>
      <c r="D1168" s="1429"/>
      <c r="E1168" s="1429"/>
      <c r="F1168" s="1429"/>
      <c r="G1168" s="1429"/>
      <c r="H1168" s="1430"/>
      <c r="I1168" s="94"/>
      <c r="J1168" s="1164"/>
      <c r="K1168" s="94"/>
      <c r="L1168" s="94"/>
      <c r="M1168" s="1430"/>
      <c r="N1168" s="94"/>
      <c r="O1168" s="1430"/>
      <c r="P1168" s="94"/>
      <c r="Q1168" s="1431"/>
      <c r="R1168" s="1164"/>
      <c r="S1168" s="1164"/>
      <c r="T1168" s="1164"/>
      <c r="U1168" s="2174"/>
      <c r="V1168" s="2174"/>
      <c r="W1168" s="94"/>
      <c r="X1168" s="1164"/>
    </row>
    <row r="1169" ht="15.75" customHeight="1">
      <c r="A1169" s="94"/>
      <c r="B1169" s="94"/>
      <c r="C1169" s="1164"/>
      <c r="D1169" s="1429"/>
      <c r="E1169" s="1429"/>
      <c r="F1169" s="1429"/>
      <c r="G1169" s="1429"/>
      <c r="H1169" s="1430"/>
      <c r="I1169" s="1430"/>
      <c r="J1169" s="1164"/>
      <c r="K1169" s="94"/>
      <c r="L1169" s="94"/>
      <c r="M1169" s="1430"/>
      <c r="N1169" s="94"/>
      <c r="O1169" s="1430"/>
      <c r="P1169" s="94"/>
      <c r="Q1169" s="1431"/>
      <c r="R1169" s="1164"/>
      <c r="S1169" s="1164"/>
      <c r="T1169" s="1164"/>
      <c r="U1169" s="2174"/>
      <c r="V1169" s="2174"/>
      <c r="W1169" s="2174"/>
      <c r="X1169" s="1164"/>
    </row>
    <row r="1170" ht="15.75" customHeight="1">
      <c r="A1170" s="94"/>
      <c r="B1170" s="94"/>
      <c r="C1170" s="1164"/>
      <c r="D1170" s="1429"/>
      <c r="E1170" s="1429"/>
      <c r="F1170" s="1429"/>
      <c r="G1170" s="1429"/>
      <c r="H1170" s="1430"/>
      <c r="I1170" s="94"/>
      <c r="J1170" s="1164"/>
      <c r="K1170" s="94"/>
      <c r="L1170" s="94"/>
      <c r="M1170" s="1430"/>
      <c r="N1170" s="94"/>
      <c r="O1170" s="1430"/>
      <c r="P1170" s="94"/>
      <c r="Q1170" s="1431"/>
      <c r="R1170" s="1164"/>
      <c r="S1170" s="1164"/>
      <c r="T1170" s="1164"/>
      <c r="U1170" s="2174"/>
      <c r="V1170" s="2174"/>
      <c r="W1170" s="94"/>
      <c r="X1170" s="1164"/>
    </row>
    <row r="1171" ht="15.75" customHeight="1">
      <c r="A1171" s="94"/>
      <c r="B1171" s="94"/>
      <c r="C1171" s="1164"/>
      <c r="D1171" s="1429"/>
      <c r="E1171" s="1429"/>
      <c r="F1171" s="1429"/>
      <c r="G1171" s="1429"/>
      <c r="H1171" s="1430"/>
      <c r="I1171" s="1430"/>
      <c r="J1171" s="1164"/>
      <c r="K1171" s="94"/>
      <c r="L1171" s="94"/>
      <c r="M1171" s="1430"/>
      <c r="N1171" s="94"/>
      <c r="O1171" s="1430"/>
      <c r="P1171" s="94"/>
      <c r="Q1171" s="1431"/>
      <c r="R1171" s="1164"/>
      <c r="S1171" s="1164"/>
      <c r="T1171" s="1164"/>
      <c r="U1171" s="2174"/>
      <c r="V1171" s="2174"/>
      <c r="W1171" s="2174"/>
      <c r="X1171" s="1164"/>
    </row>
    <row r="1172" ht="15.75" customHeight="1">
      <c r="A1172" s="94"/>
      <c r="B1172" s="94"/>
      <c r="C1172" s="1164"/>
      <c r="D1172" s="1429"/>
      <c r="E1172" s="1429"/>
      <c r="F1172" s="1429"/>
      <c r="G1172" s="1429"/>
      <c r="H1172" s="1430"/>
      <c r="I1172" s="1430"/>
      <c r="J1172" s="1164"/>
      <c r="K1172" s="94"/>
      <c r="L1172" s="94"/>
      <c r="M1172" s="1430"/>
      <c r="N1172" s="94"/>
      <c r="O1172" s="1430"/>
      <c r="P1172" s="94"/>
      <c r="Q1172" s="1431"/>
      <c r="R1172" s="1164"/>
      <c r="S1172" s="1164"/>
      <c r="T1172" s="1164"/>
      <c r="U1172" s="2174"/>
      <c r="V1172" s="2174"/>
      <c r="W1172" s="2174"/>
      <c r="X1172" s="1164"/>
    </row>
    <row r="1173" ht="15.75" customHeight="1">
      <c r="A1173" s="94"/>
      <c r="B1173" s="94"/>
      <c r="C1173" s="1164"/>
      <c r="D1173" s="1429"/>
      <c r="E1173" s="1429"/>
      <c r="F1173" s="1429"/>
      <c r="G1173" s="1429"/>
      <c r="H1173" s="1430"/>
      <c r="I1173" s="1430"/>
      <c r="J1173" s="1164"/>
      <c r="K1173" s="94"/>
      <c r="L1173" s="94"/>
      <c r="M1173" s="1430"/>
      <c r="N1173" s="94"/>
      <c r="O1173" s="1430"/>
      <c r="P1173" s="94"/>
      <c r="Q1173" s="1431"/>
      <c r="R1173" s="1164"/>
      <c r="S1173" s="1164"/>
      <c r="T1173" s="1164"/>
      <c r="U1173" s="2174"/>
      <c r="V1173" s="2174"/>
      <c r="W1173" s="2174"/>
      <c r="X1173" s="1164"/>
    </row>
    <row r="1174" ht="15.75" customHeight="1">
      <c r="A1174" s="94"/>
      <c r="B1174" s="94"/>
      <c r="C1174" s="1164"/>
      <c r="D1174" s="1429"/>
      <c r="E1174" s="1429"/>
      <c r="F1174" s="1429"/>
      <c r="G1174" s="1429"/>
      <c r="H1174" s="1430"/>
      <c r="I1174" s="94"/>
      <c r="J1174" s="1164"/>
      <c r="K1174" s="94"/>
      <c r="L1174" s="94"/>
      <c r="M1174" s="1430"/>
      <c r="N1174" s="94"/>
      <c r="O1174" s="1430"/>
      <c r="P1174" s="94"/>
      <c r="Q1174" s="1431"/>
      <c r="R1174" s="1164"/>
      <c r="S1174" s="1164"/>
      <c r="T1174" s="1164"/>
      <c r="U1174" s="2174"/>
      <c r="V1174" s="2174"/>
      <c r="W1174" s="94"/>
      <c r="X1174" s="1164"/>
    </row>
    <row r="1175" ht="15.75" customHeight="1">
      <c r="A1175" s="94"/>
      <c r="B1175" s="94"/>
      <c r="C1175" s="1164"/>
      <c r="D1175" s="1429"/>
      <c r="E1175" s="1429"/>
      <c r="F1175" s="1429"/>
      <c r="G1175" s="1429"/>
      <c r="H1175" s="1430"/>
      <c r="I1175" s="94"/>
      <c r="J1175" s="1164"/>
      <c r="K1175" s="94"/>
      <c r="L1175" s="94"/>
      <c r="M1175" s="1430"/>
      <c r="N1175" s="94"/>
      <c r="O1175" s="1430"/>
      <c r="P1175" s="94"/>
      <c r="Q1175" s="1431"/>
      <c r="R1175" s="1164"/>
      <c r="S1175" s="1164"/>
      <c r="T1175" s="1164"/>
      <c r="U1175" s="2174"/>
      <c r="V1175" s="2174"/>
      <c r="W1175" s="94"/>
      <c r="X1175" s="1164"/>
    </row>
    <row r="1176" ht="15.75" customHeight="1">
      <c r="A1176" s="94"/>
      <c r="B1176" s="94"/>
      <c r="C1176" s="1164"/>
      <c r="D1176" s="1429"/>
      <c r="E1176" s="1429"/>
      <c r="F1176" s="1429"/>
      <c r="G1176" s="1429"/>
      <c r="H1176" s="1430"/>
      <c r="I1176" s="94"/>
      <c r="J1176" s="1164"/>
      <c r="K1176" s="94"/>
      <c r="L1176" s="94"/>
      <c r="M1176" s="1430"/>
      <c r="N1176" s="94"/>
      <c r="O1176" s="1430"/>
      <c r="P1176" s="94"/>
      <c r="Q1176" s="1431"/>
      <c r="R1176" s="1164"/>
      <c r="S1176" s="1164"/>
      <c r="T1176" s="1164"/>
      <c r="U1176" s="2174"/>
      <c r="V1176" s="2174"/>
      <c r="W1176" s="94"/>
      <c r="X1176" s="1164"/>
    </row>
    <row r="1177" ht="15.75" customHeight="1">
      <c r="A1177" s="94"/>
      <c r="B1177" s="94"/>
      <c r="C1177" s="1164"/>
      <c r="D1177" s="1429"/>
      <c r="E1177" s="1429"/>
      <c r="F1177" s="1429"/>
      <c r="G1177" s="1429"/>
      <c r="H1177" s="1430"/>
      <c r="I1177" s="1430"/>
      <c r="J1177" s="1164"/>
      <c r="K1177" s="94"/>
      <c r="L1177" s="94"/>
      <c r="M1177" s="1430"/>
      <c r="N1177" s="94"/>
      <c r="O1177" s="1430"/>
      <c r="P1177" s="94"/>
      <c r="Q1177" s="1431"/>
      <c r="R1177" s="1164"/>
      <c r="S1177" s="1164"/>
      <c r="T1177" s="1164"/>
      <c r="U1177" s="2174"/>
      <c r="V1177" s="2174"/>
      <c r="W1177" s="2174"/>
      <c r="X1177" s="1164"/>
    </row>
    <row r="1178" ht="15.75" customHeight="1">
      <c r="A1178" s="94"/>
      <c r="B1178" s="94"/>
      <c r="C1178" s="1164"/>
      <c r="D1178" s="1429"/>
      <c r="E1178" s="1429"/>
      <c r="F1178" s="1429"/>
      <c r="G1178" s="1429"/>
      <c r="H1178" s="1430"/>
      <c r="I1178" s="94"/>
      <c r="J1178" s="1164"/>
      <c r="K1178" s="94"/>
      <c r="L1178" s="94"/>
      <c r="M1178" s="1430"/>
      <c r="N1178" s="94"/>
      <c r="O1178" s="1430"/>
      <c r="P1178" s="94"/>
      <c r="Q1178" s="1431"/>
      <c r="R1178" s="1164"/>
      <c r="S1178" s="1164"/>
      <c r="T1178" s="1164"/>
      <c r="U1178" s="2174"/>
      <c r="V1178" s="2174"/>
      <c r="W1178" s="94"/>
      <c r="X1178" s="1164"/>
    </row>
    <row r="1179" ht="15.75" customHeight="1">
      <c r="A1179" s="94"/>
      <c r="B1179" s="94"/>
      <c r="C1179" s="1164"/>
      <c r="D1179" s="1429"/>
      <c r="E1179" s="1429"/>
      <c r="F1179" s="1429"/>
      <c r="G1179" s="1429"/>
      <c r="H1179" s="1430"/>
      <c r="I1179" s="94"/>
      <c r="J1179" s="1164"/>
      <c r="K1179" s="94"/>
      <c r="L1179" s="94"/>
      <c r="M1179" s="1430"/>
      <c r="N1179" s="94"/>
      <c r="O1179" s="1430"/>
      <c r="P1179" s="94"/>
      <c r="Q1179" s="1431"/>
      <c r="R1179" s="1164"/>
      <c r="S1179" s="1164"/>
      <c r="T1179" s="1164"/>
      <c r="U1179" s="2174"/>
      <c r="V1179" s="2174"/>
      <c r="W1179" s="94"/>
      <c r="X1179" s="1164"/>
    </row>
    <row r="1180" ht="15.75" customHeight="1">
      <c r="A1180" s="94"/>
      <c r="B1180" s="94"/>
      <c r="C1180" s="1164"/>
      <c r="D1180" s="1429"/>
      <c r="E1180" s="1429"/>
      <c r="F1180" s="1429"/>
      <c r="G1180" s="1429"/>
      <c r="H1180" s="1430"/>
      <c r="I1180" s="94"/>
      <c r="J1180" s="1164"/>
      <c r="K1180" s="94"/>
      <c r="L1180" s="94"/>
      <c r="M1180" s="1430"/>
      <c r="N1180" s="94"/>
      <c r="O1180" s="1430"/>
      <c r="P1180" s="94"/>
      <c r="Q1180" s="1431"/>
      <c r="R1180" s="1164"/>
      <c r="S1180" s="1164"/>
      <c r="T1180" s="1164"/>
      <c r="U1180" s="2174"/>
      <c r="V1180" s="2174"/>
      <c r="W1180" s="94"/>
      <c r="X1180" s="1164"/>
    </row>
    <row r="1181" ht="15.75" customHeight="1">
      <c r="A1181" s="94"/>
      <c r="B1181" s="94"/>
      <c r="C1181" s="1164"/>
      <c r="D1181" s="1429"/>
      <c r="E1181" s="1429"/>
      <c r="F1181" s="1429"/>
      <c r="G1181" s="1429"/>
      <c r="H1181" s="1430"/>
      <c r="I1181" s="94"/>
      <c r="J1181" s="1164"/>
      <c r="K1181" s="94"/>
      <c r="L1181" s="94"/>
      <c r="M1181" s="1430"/>
      <c r="N1181" s="94"/>
      <c r="O1181" s="1430"/>
      <c r="P1181" s="94"/>
      <c r="Q1181" s="1431"/>
      <c r="R1181" s="1164"/>
      <c r="S1181" s="1164"/>
      <c r="T1181" s="1164"/>
      <c r="U1181" s="2174"/>
      <c r="V1181" s="2174"/>
      <c r="W1181" s="94"/>
      <c r="X1181" s="1164"/>
    </row>
    <row r="1182" ht="15.75" customHeight="1">
      <c r="A1182" s="94"/>
      <c r="B1182" s="94"/>
      <c r="C1182" s="1164"/>
      <c r="D1182" s="1429"/>
      <c r="E1182" s="1429"/>
      <c r="F1182" s="1429"/>
      <c r="G1182" s="1429"/>
      <c r="H1182" s="1430"/>
      <c r="I1182" s="1430"/>
      <c r="J1182" s="1164"/>
      <c r="K1182" s="94"/>
      <c r="L1182" s="94"/>
      <c r="M1182" s="1430"/>
      <c r="N1182" s="94"/>
      <c r="O1182" s="1430"/>
      <c r="P1182" s="94"/>
      <c r="Q1182" s="1431"/>
      <c r="R1182" s="1164"/>
      <c r="S1182" s="1164"/>
      <c r="T1182" s="1164"/>
      <c r="U1182" s="2174"/>
      <c r="V1182" s="2174"/>
      <c r="W1182" s="2174"/>
      <c r="X1182" s="1164"/>
    </row>
    <row r="1183" ht="15.75" customHeight="1">
      <c r="A1183" s="94"/>
      <c r="B1183" s="94"/>
      <c r="C1183" s="1164"/>
      <c r="D1183" s="1429"/>
      <c r="E1183" s="1429"/>
      <c r="F1183" s="1429"/>
      <c r="G1183" s="1429"/>
      <c r="H1183" s="1430"/>
      <c r="I1183" s="1430"/>
      <c r="J1183" s="1164"/>
      <c r="K1183" s="94"/>
      <c r="L1183" s="94"/>
      <c r="M1183" s="1430"/>
      <c r="N1183" s="94"/>
      <c r="O1183" s="1430"/>
      <c r="P1183" s="94"/>
      <c r="Q1183" s="1431"/>
      <c r="R1183" s="1164"/>
      <c r="S1183" s="1164"/>
      <c r="T1183" s="1164"/>
      <c r="U1183" s="2174"/>
      <c r="V1183" s="2174"/>
      <c r="W1183" s="2174"/>
      <c r="X1183" s="1164"/>
    </row>
    <row r="1184" ht="15.75" customHeight="1">
      <c r="A1184" s="94"/>
      <c r="B1184" s="94"/>
      <c r="C1184" s="1164"/>
      <c r="D1184" s="1429"/>
      <c r="E1184" s="1429"/>
      <c r="F1184" s="1429"/>
      <c r="G1184" s="1429"/>
      <c r="H1184" s="1430"/>
      <c r="I1184" s="1430"/>
      <c r="J1184" s="1164"/>
      <c r="K1184" s="94"/>
      <c r="L1184" s="94"/>
      <c r="M1184" s="1430"/>
      <c r="N1184" s="94"/>
      <c r="O1184" s="1430"/>
      <c r="P1184" s="94"/>
      <c r="Q1184" s="1431"/>
      <c r="R1184" s="1164"/>
      <c r="S1184" s="1164"/>
      <c r="T1184" s="1164"/>
      <c r="U1184" s="2174"/>
      <c r="V1184" s="2174"/>
      <c r="W1184" s="2174"/>
      <c r="X1184" s="1164"/>
    </row>
    <row r="1185" ht="15.75" customHeight="1">
      <c r="A1185" s="94"/>
      <c r="B1185" s="94"/>
      <c r="C1185" s="1164"/>
      <c r="D1185" s="1429"/>
      <c r="E1185" s="1429"/>
      <c r="F1185" s="1429"/>
      <c r="G1185" s="1429"/>
      <c r="H1185" s="1430"/>
      <c r="I1185" s="1430"/>
      <c r="J1185" s="1164"/>
      <c r="K1185" s="94"/>
      <c r="L1185" s="94"/>
      <c r="M1185" s="94"/>
      <c r="N1185" s="94"/>
      <c r="O1185" s="94"/>
      <c r="P1185" s="94"/>
      <c r="Q1185" s="1431"/>
      <c r="R1185" s="1164"/>
      <c r="S1185" s="1164"/>
      <c r="T1185" s="1164"/>
      <c r="U1185" s="2174"/>
      <c r="V1185" s="94"/>
      <c r="W1185" s="94"/>
      <c r="X1185" s="1164"/>
    </row>
    <row r="1186" ht="15.75" customHeight="1">
      <c r="A1186" s="94"/>
      <c r="B1186" s="94"/>
      <c r="C1186" s="1164"/>
      <c r="D1186" s="1429"/>
      <c r="E1186" s="1429"/>
      <c r="F1186" s="1429"/>
      <c r="G1186" s="1429"/>
      <c r="H1186" s="1430"/>
      <c r="I1186" s="94"/>
      <c r="J1186" s="1164"/>
      <c r="K1186" s="94"/>
      <c r="L1186" s="94"/>
      <c r="M1186" s="1430"/>
      <c r="N1186" s="94"/>
      <c r="O1186" s="1430"/>
      <c r="P1186" s="94"/>
      <c r="Q1186" s="1431"/>
      <c r="R1186" s="1164"/>
      <c r="S1186" s="1164"/>
      <c r="T1186" s="1164"/>
      <c r="U1186" s="2174"/>
      <c r="V1186" s="2174"/>
      <c r="W1186" s="94"/>
      <c r="X1186" s="1164"/>
    </row>
    <row r="1187" ht="15.75" customHeight="1">
      <c r="A1187" s="94"/>
      <c r="B1187" s="94"/>
      <c r="C1187" s="94"/>
      <c r="D1187" s="94"/>
      <c r="E1187" s="94"/>
      <c r="F1187" s="94"/>
      <c r="G1187" s="94"/>
      <c r="H1187" s="1164"/>
      <c r="I1187" s="1164"/>
      <c r="J1187" s="1164"/>
      <c r="K1187" s="1430"/>
      <c r="L1187" s="1430"/>
      <c r="M1187" s="1430"/>
      <c r="N1187" s="1430"/>
      <c r="O1187" s="1430"/>
      <c r="P1187" s="1430"/>
      <c r="Q1187" s="1430"/>
      <c r="R1187" s="1430"/>
      <c r="S1187" s="1430"/>
      <c r="T1187" s="1430"/>
      <c r="U1187" s="94"/>
      <c r="V1187" s="94"/>
      <c r="W1187" s="94"/>
      <c r="X1187" s="1430"/>
    </row>
    <row r="1188" ht="15.75" customHeight="1">
      <c r="A1188" s="94"/>
      <c r="B1188" s="94"/>
      <c r="C1188" s="1164"/>
      <c r="D1188" s="1429"/>
      <c r="E1188" s="1429"/>
      <c r="F1188" s="1436"/>
      <c r="G1188" s="1436"/>
      <c r="H1188" s="1430"/>
      <c r="I1188" s="94"/>
      <c r="J1188" s="1164"/>
      <c r="K1188" s="94"/>
      <c r="L1188" s="94"/>
      <c r="M1188" s="1430"/>
      <c r="N1188" s="94"/>
      <c r="O1188" s="1430"/>
      <c r="P1188" s="94"/>
      <c r="Q1188" s="1431"/>
      <c r="R1188" s="1164"/>
      <c r="S1188" s="1164"/>
      <c r="T1188" s="1164"/>
      <c r="U1188" s="2174"/>
      <c r="V1188" s="2174"/>
      <c r="W1188" s="2174"/>
      <c r="X1188" s="1164"/>
    </row>
    <row r="1189" ht="15.75" customHeight="1">
      <c r="A1189" s="94"/>
      <c r="B1189" s="94"/>
      <c r="C1189" s="1164"/>
      <c r="D1189" s="1429"/>
      <c r="E1189" s="1429"/>
      <c r="F1189" s="1436"/>
      <c r="G1189" s="1436"/>
      <c r="H1189" s="1430"/>
      <c r="I1189" s="94"/>
      <c r="J1189" s="1164"/>
      <c r="K1189" s="94"/>
      <c r="L1189" s="94"/>
      <c r="M1189" s="94"/>
      <c r="N1189" s="94"/>
      <c r="O1189" s="1430"/>
      <c r="P1189" s="94"/>
      <c r="Q1189" s="1431"/>
      <c r="R1189" s="1164"/>
      <c r="S1189" s="1164"/>
      <c r="T1189" s="1164"/>
      <c r="U1189" s="2174"/>
      <c r="V1189" s="2174"/>
      <c r="W1189" s="2174"/>
      <c r="X1189" s="1164"/>
    </row>
    <row r="1190" ht="15.75" customHeight="1">
      <c r="A1190" s="94"/>
      <c r="B1190" s="94"/>
      <c r="C1190" s="1164"/>
      <c r="D1190" s="1429"/>
      <c r="E1190" s="1429"/>
      <c r="F1190" s="1436"/>
      <c r="G1190" s="1436"/>
      <c r="H1190" s="1430"/>
      <c r="I1190" s="94"/>
      <c r="J1190" s="1164"/>
      <c r="K1190" s="94"/>
      <c r="L1190" s="94"/>
      <c r="M1190" s="1430"/>
      <c r="N1190" s="94"/>
      <c r="O1190" s="1430"/>
      <c r="P1190" s="94"/>
      <c r="Q1190" s="1431"/>
      <c r="R1190" s="1164"/>
      <c r="S1190" s="1164"/>
      <c r="T1190" s="1164"/>
      <c r="U1190" s="2174"/>
      <c r="V1190" s="2174"/>
      <c r="W1190" s="2174"/>
      <c r="X1190" s="1164"/>
    </row>
    <row r="1191" ht="15.75" customHeight="1">
      <c r="A1191" s="94"/>
      <c r="B1191" s="1164"/>
      <c r="C1191" s="1164"/>
      <c r="D1191" s="1429"/>
      <c r="E1191" s="1429"/>
      <c r="F1191" s="1436"/>
      <c r="G1191" s="1436"/>
      <c r="H1191" s="1430"/>
      <c r="I1191" s="94"/>
      <c r="J1191" s="1164"/>
      <c r="K1191" s="94"/>
      <c r="L1191" s="94"/>
      <c r="M1191" s="94"/>
      <c r="N1191" s="94"/>
      <c r="O1191" s="1430"/>
      <c r="P1191" s="94"/>
      <c r="Q1191" s="1431"/>
      <c r="R1191" s="1164"/>
      <c r="S1191" s="1164"/>
      <c r="T1191" s="1164"/>
      <c r="U1191" s="2174"/>
      <c r="V1191" s="2174"/>
      <c r="W1191" s="2174"/>
      <c r="X1191" s="1164"/>
    </row>
    <row r="1192" ht="15.75" customHeight="1">
      <c r="A1192" s="94"/>
      <c r="B1192" s="94"/>
      <c r="C1192" s="1164"/>
      <c r="D1192" s="1429"/>
      <c r="E1192" s="1429"/>
      <c r="F1192" s="1436"/>
      <c r="G1192" s="1436"/>
      <c r="H1192" s="1430"/>
      <c r="I1192" s="94"/>
      <c r="J1192" s="1164"/>
      <c r="K1192" s="94"/>
      <c r="L1192" s="94"/>
      <c r="M1192" s="1430"/>
      <c r="N1192" s="94"/>
      <c r="O1192" s="1430"/>
      <c r="P1192" s="94"/>
      <c r="Q1192" s="1431"/>
      <c r="R1192" s="1164"/>
      <c r="S1192" s="1164"/>
      <c r="T1192" s="1164"/>
      <c r="U1192" s="2174"/>
      <c r="V1192" s="2174"/>
      <c r="W1192" s="2174"/>
      <c r="X1192" s="1164"/>
    </row>
    <row r="1193" ht="15.75" customHeight="1">
      <c r="A1193" s="94"/>
      <c r="B1193" s="1164"/>
      <c r="C1193" s="1164"/>
      <c r="D1193" s="1429"/>
      <c r="E1193" s="1429"/>
      <c r="F1193" s="1436"/>
      <c r="G1193" s="1436"/>
      <c r="H1193" s="1430"/>
      <c r="I1193" s="94"/>
      <c r="J1193" s="1164"/>
      <c r="K1193" s="94"/>
      <c r="L1193" s="94"/>
      <c r="M1193" s="1430"/>
      <c r="N1193" s="94"/>
      <c r="O1193" s="1430"/>
      <c r="P1193" s="94"/>
      <c r="Q1193" s="1431"/>
      <c r="R1193" s="1164"/>
      <c r="S1193" s="1164"/>
      <c r="T1193" s="1164"/>
      <c r="U1193" s="2174"/>
      <c r="V1193" s="2174"/>
      <c r="W1193" s="2174"/>
      <c r="X1193" s="1164"/>
    </row>
    <row r="1194" ht="15.75" customHeight="1">
      <c r="A1194" s="94"/>
      <c r="B1194" s="1164"/>
      <c r="C1194" s="1164"/>
      <c r="D1194" s="1429"/>
      <c r="E1194" s="1429"/>
      <c r="F1194" s="1436"/>
      <c r="G1194" s="1436"/>
      <c r="H1194" s="1430"/>
      <c r="I1194" s="94"/>
      <c r="J1194" s="1164"/>
      <c r="K1194" s="94"/>
      <c r="L1194" s="94"/>
      <c r="M1194" s="1430"/>
      <c r="N1194" s="94"/>
      <c r="O1194" s="1430"/>
      <c r="P1194" s="94"/>
      <c r="Q1194" s="1431"/>
      <c r="R1194" s="1164"/>
      <c r="S1194" s="1164"/>
      <c r="T1194" s="1164"/>
      <c r="U1194" s="2174"/>
      <c r="V1194" s="2174"/>
      <c r="W1194" s="2174"/>
      <c r="X1194" s="1164"/>
    </row>
    <row r="1195" ht="15.75" customHeight="1">
      <c r="A1195" s="94"/>
      <c r="B1195" s="94"/>
      <c r="C1195" s="1164"/>
      <c r="D1195" s="1429"/>
      <c r="E1195" s="1429"/>
      <c r="F1195" s="1436"/>
      <c r="G1195" s="1436"/>
      <c r="H1195" s="1430"/>
      <c r="I1195" s="94"/>
      <c r="J1195" s="1164"/>
      <c r="K1195" s="94"/>
      <c r="L1195" s="94"/>
      <c r="M1195" s="1430"/>
      <c r="N1195" s="94"/>
      <c r="O1195" s="1430"/>
      <c r="P1195" s="94"/>
      <c r="Q1195" s="1431"/>
      <c r="R1195" s="1164"/>
      <c r="S1195" s="1164"/>
      <c r="T1195" s="1164"/>
      <c r="U1195" s="2174"/>
      <c r="V1195" s="2174"/>
      <c r="W1195" s="2174"/>
      <c r="X1195" s="1164"/>
    </row>
    <row r="1196" ht="15.75" customHeight="1">
      <c r="A1196" s="94"/>
      <c r="B1196" s="94"/>
      <c r="C1196" s="1164"/>
      <c r="D1196" s="1429"/>
      <c r="E1196" s="1429"/>
      <c r="F1196" s="1436"/>
      <c r="G1196" s="1436"/>
      <c r="H1196" s="1430"/>
      <c r="I1196" s="94"/>
      <c r="J1196" s="1164"/>
      <c r="K1196" s="94"/>
      <c r="L1196" s="94"/>
      <c r="M1196" s="1430"/>
      <c r="N1196" s="94"/>
      <c r="O1196" s="1430"/>
      <c r="P1196" s="94"/>
      <c r="Q1196" s="1431"/>
      <c r="R1196" s="1164"/>
      <c r="S1196" s="1164"/>
      <c r="T1196" s="1164"/>
      <c r="U1196" s="2174"/>
      <c r="V1196" s="2174"/>
      <c r="W1196" s="2174"/>
      <c r="X1196" s="1164"/>
    </row>
    <row r="1197" ht="15.75" customHeight="1">
      <c r="A1197" s="94"/>
      <c r="B1197" s="94"/>
      <c r="C1197" s="1164"/>
      <c r="D1197" s="1429"/>
      <c r="E1197" s="1429"/>
      <c r="F1197" s="1436"/>
      <c r="G1197" s="1436"/>
      <c r="H1197" s="1430"/>
      <c r="I1197" s="94"/>
      <c r="J1197" s="1164"/>
      <c r="K1197" s="94"/>
      <c r="L1197" s="94"/>
      <c r="M1197" s="1430"/>
      <c r="N1197" s="94"/>
      <c r="O1197" s="1430"/>
      <c r="P1197" s="94"/>
      <c r="Q1197" s="1431"/>
      <c r="R1197" s="1164"/>
      <c r="S1197" s="1164"/>
      <c r="T1197" s="1164"/>
      <c r="U1197" s="2174"/>
      <c r="V1197" s="2174"/>
      <c r="W1197" s="2174"/>
      <c r="X1197" s="1164"/>
    </row>
    <row r="1198" ht="15.75" customHeight="1">
      <c r="A1198" s="94"/>
      <c r="B1198" s="94"/>
      <c r="C1198" s="1164"/>
      <c r="D1198" s="1429"/>
      <c r="E1198" s="1429"/>
      <c r="F1198" s="1436"/>
      <c r="G1198" s="1436"/>
      <c r="H1198" s="1430"/>
      <c r="I1198" s="94"/>
      <c r="J1198" s="1164"/>
      <c r="K1198" s="94"/>
      <c r="L1198" s="94"/>
      <c r="M1198" s="1430"/>
      <c r="N1198" s="94"/>
      <c r="O1198" s="1430"/>
      <c r="P1198" s="94"/>
      <c r="Q1198" s="1431"/>
      <c r="R1198" s="1164"/>
      <c r="S1198" s="1164"/>
      <c r="T1198" s="1164"/>
      <c r="U1198" s="2174"/>
      <c r="V1198" s="2174"/>
      <c r="W1198" s="2174"/>
      <c r="X1198" s="1164"/>
    </row>
    <row r="1199" ht="15.75" customHeight="1">
      <c r="A1199" s="94"/>
      <c r="B1199" s="1164"/>
      <c r="C1199" s="1164"/>
      <c r="D1199" s="1429"/>
      <c r="E1199" s="1429"/>
      <c r="F1199" s="1436"/>
      <c r="G1199" s="1436"/>
      <c r="H1199" s="1430"/>
      <c r="I1199" s="94"/>
      <c r="J1199" s="1164"/>
      <c r="K1199" s="94"/>
      <c r="L1199" s="94"/>
      <c r="M1199" s="1430"/>
      <c r="N1199" s="94"/>
      <c r="O1199" s="1430"/>
      <c r="P1199" s="94"/>
      <c r="Q1199" s="1431"/>
      <c r="R1199" s="1164"/>
      <c r="S1199" s="1164"/>
      <c r="T1199" s="1164"/>
      <c r="U1199" s="2174"/>
      <c r="V1199" s="2174"/>
      <c r="W1199" s="2174"/>
      <c r="X1199" s="1164"/>
    </row>
    <row r="1200" ht="15.75" customHeight="1">
      <c r="A1200" s="94"/>
      <c r="B1200" s="94"/>
      <c r="C1200" s="1164"/>
      <c r="D1200" s="1429"/>
      <c r="E1200" s="1429"/>
      <c r="F1200" s="1436"/>
      <c r="G1200" s="1436"/>
      <c r="H1200" s="1430"/>
      <c r="I1200" s="94"/>
      <c r="J1200" s="1164"/>
      <c r="K1200" s="94"/>
      <c r="L1200" s="94"/>
      <c r="M1200" s="1430"/>
      <c r="N1200" s="94"/>
      <c r="O1200" s="1430"/>
      <c r="P1200" s="94"/>
      <c r="Q1200" s="1431"/>
      <c r="R1200" s="1164"/>
      <c r="S1200" s="1164"/>
      <c r="T1200" s="1164"/>
      <c r="U1200" s="2174"/>
      <c r="V1200" s="2174"/>
      <c r="W1200" s="2174"/>
      <c r="X1200" s="1164"/>
    </row>
    <row r="1201" ht="15.75" customHeight="1">
      <c r="A1201" s="94"/>
      <c r="B1201" s="1164"/>
      <c r="C1201" s="1164"/>
      <c r="D1201" s="1429"/>
      <c r="E1201" s="1429"/>
      <c r="F1201" s="1436"/>
      <c r="G1201" s="1436"/>
      <c r="H1201" s="1430"/>
      <c r="I1201" s="94"/>
      <c r="J1201" s="1164"/>
      <c r="K1201" s="94"/>
      <c r="L1201" s="94"/>
      <c r="M1201" s="1430"/>
      <c r="N1201" s="94"/>
      <c r="O1201" s="1430"/>
      <c r="P1201" s="94"/>
      <c r="Q1201" s="1431"/>
      <c r="R1201" s="1164"/>
      <c r="S1201" s="1164"/>
      <c r="T1201" s="1164"/>
      <c r="U1201" s="2174"/>
      <c r="V1201" s="2174"/>
      <c r="W1201" s="2174"/>
      <c r="X1201" s="1164"/>
    </row>
    <row r="1202" ht="15.75" customHeight="1">
      <c r="A1202" s="94"/>
      <c r="B1202" s="94"/>
      <c r="C1202" s="1164"/>
      <c r="D1202" s="1429"/>
      <c r="E1202" s="1429"/>
      <c r="F1202" s="1436"/>
      <c r="G1202" s="1436"/>
      <c r="H1202" s="1430"/>
      <c r="I1202" s="94"/>
      <c r="J1202" s="1164"/>
      <c r="K1202" s="94"/>
      <c r="L1202" s="94"/>
      <c r="M1202" s="1430"/>
      <c r="N1202" s="94"/>
      <c r="O1202" s="1430"/>
      <c r="P1202" s="94"/>
      <c r="Q1202" s="1431"/>
      <c r="R1202" s="1164"/>
      <c r="S1202" s="1164"/>
      <c r="T1202" s="1164"/>
      <c r="U1202" s="2174"/>
      <c r="V1202" s="2174"/>
      <c r="W1202" s="2174"/>
      <c r="X1202" s="1164"/>
    </row>
    <row r="1203" ht="15.75" customHeight="1">
      <c r="A1203" s="94"/>
      <c r="B1203" s="94"/>
      <c r="C1203" s="1164"/>
      <c r="D1203" s="1429"/>
      <c r="E1203" s="1429"/>
      <c r="F1203" s="1436"/>
      <c r="G1203" s="1436"/>
      <c r="H1203" s="1430"/>
      <c r="I1203" s="94"/>
      <c r="J1203" s="1164"/>
      <c r="K1203" s="94"/>
      <c r="L1203" s="94"/>
      <c r="M1203" s="1430"/>
      <c r="N1203" s="94"/>
      <c r="O1203" s="1430"/>
      <c r="P1203" s="94"/>
      <c r="Q1203" s="1431"/>
      <c r="R1203" s="1164"/>
      <c r="S1203" s="1164"/>
      <c r="T1203" s="1164"/>
      <c r="U1203" s="2174"/>
      <c r="V1203" s="2174"/>
      <c r="W1203" s="2174"/>
      <c r="X1203" s="1164"/>
    </row>
    <row r="1204" ht="15.75" customHeight="1">
      <c r="A1204" s="94"/>
      <c r="B1204" s="94"/>
      <c r="C1204" s="1164"/>
      <c r="D1204" s="1429"/>
      <c r="E1204" s="1429"/>
      <c r="F1204" s="1436"/>
      <c r="G1204" s="1436"/>
      <c r="H1204" s="1430"/>
      <c r="I1204" s="94"/>
      <c r="J1204" s="1164"/>
      <c r="K1204" s="94"/>
      <c r="L1204" s="94"/>
      <c r="M1204" s="1430"/>
      <c r="N1204" s="94"/>
      <c r="O1204" s="1430"/>
      <c r="P1204" s="94"/>
      <c r="Q1204" s="1431"/>
      <c r="R1204" s="1164"/>
      <c r="S1204" s="1164"/>
      <c r="T1204" s="1164"/>
      <c r="U1204" s="2174"/>
      <c r="V1204" s="2174"/>
      <c r="W1204" s="2174"/>
      <c r="X1204" s="1164"/>
    </row>
    <row r="1205" ht="15.75" customHeight="1">
      <c r="A1205" s="94"/>
      <c r="B1205" s="1164"/>
      <c r="C1205" s="1164"/>
      <c r="D1205" s="1429"/>
      <c r="E1205" s="1429"/>
      <c r="F1205" s="1436"/>
      <c r="G1205" s="1436"/>
      <c r="H1205" s="1430"/>
      <c r="I1205" s="94"/>
      <c r="J1205" s="1164"/>
      <c r="K1205" s="94"/>
      <c r="L1205" s="94"/>
      <c r="M1205" s="1430"/>
      <c r="N1205" s="94"/>
      <c r="O1205" s="1430"/>
      <c r="P1205" s="94"/>
      <c r="Q1205" s="1431"/>
      <c r="R1205" s="1164"/>
      <c r="S1205" s="1164"/>
      <c r="T1205" s="1164"/>
      <c r="U1205" s="2174"/>
      <c r="V1205" s="2174"/>
      <c r="W1205" s="2174"/>
      <c r="X1205" s="1164"/>
    </row>
    <row r="1206" ht="15.75" customHeight="1">
      <c r="A1206" s="94"/>
      <c r="B1206" s="94"/>
      <c r="C1206" s="1164"/>
      <c r="D1206" s="1429"/>
      <c r="E1206" s="1429"/>
      <c r="F1206" s="1436"/>
      <c r="G1206" s="1436"/>
      <c r="H1206" s="1430"/>
      <c r="I1206" s="94"/>
      <c r="J1206" s="1164"/>
      <c r="K1206" s="94"/>
      <c r="L1206" s="94"/>
      <c r="M1206" s="1430"/>
      <c r="N1206" s="94"/>
      <c r="O1206" s="1430"/>
      <c r="P1206" s="94"/>
      <c r="Q1206" s="1431"/>
      <c r="R1206" s="1164"/>
      <c r="S1206" s="1164"/>
      <c r="T1206" s="1164"/>
      <c r="U1206" s="2174"/>
      <c r="V1206" s="2174"/>
      <c r="W1206" s="2174"/>
      <c r="X1206" s="1164"/>
    </row>
    <row r="1207" ht="15.75" customHeight="1">
      <c r="A1207" s="94"/>
      <c r="B1207" s="1164"/>
      <c r="C1207" s="1164"/>
      <c r="D1207" s="1429"/>
      <c r="E1207" s="1429"/>
      <c r="F1207" s="1436"/>
      <c r="G1207" s="1436"/>
      <c r="H1207" s="1430"/>
      <c r="I1207" s="94"/>
      <c r="J1207" s="1164"/>
      <c r="K1207" s="94"/>
      <c r="L1207" s="94"/>
      <c r="M1207" s="1430"/>
      <c r="N1207" s="94"/>
      <c r="O1207" s="1430"/>
      <c r="P1207" s="94"/>
      <c r="Q1207" s="1431"/>
      <c r="R1207" s="1164"/>
      <c r="S1207" s="1164"/>
      <c r="T1207" s="1164"/>
      <c r="U1207" s="2174"/>
      <c r="V1207" s="2174"/>
      <c r="W1207" s="2174"/>
      <c r="X1207" s="1164"/>
    </row>
    <row r="1208" ht="15.75" customHeight="1">
      <c r="A1208" s="94"/>
      <c r="B1208" s="1164"/>
      <c r="C1208" s="1164"/>
      <c r="D1208" s="1429"/>
      <c r="E1208" s="1429"/>
      <c r="F1208" s="1436"/>
      <c r="G1208" s="1436"/>
      <c r="H1208" s="1430"/>
      <c r="I1208" s="94"/>
      <c r="J1208" s="1164"/>
      <c r="K1208" s="94"/>
      <c r="L1208" s="94"/>
      <c r="M1208" s="94"/>
      <c r="N1208" s="94"/>
      <c r="O1208" s="94"/>
      <c r="P1208" s="94"/>
      <c r="Q1208" s="1431"/>
      <c r="R1208" s="1164"/>
      <c r="S1208" s="1164"/>
      <c r="T1208" s="1164"/>
      <c r="U1208" s="2174"/>
      <c r="V1208" s="2174"/>
      <c r="W1208" s="2174"/>
      <c r="X1208" s="1164"/>
    </row>
    <row r="1209" ht="15.75" customHeight="1">
      <c r="A1209" s="94"/>
      <c r="B1209" s="1164"/>
      <c r="C1209" s="1164"/>
      <c r="D1209" s="1429"/>
      <c r="E1209" s="1429"/>
      <c r="F1209" s="1436"/>
      <c r="G1209" s="1436"/>
      <c r="H1209" s="1430"/>
      <c r="I1209" s="94"/>
      <c r="J1209" s="1164"/>
      <c r="K1209" s="94"/>
      <c r="L1209" s="94"/>
      <c r="M1209" s="1430"/>
      <c r="N1209" s="94"/>
      <c r="O1209" s="1430"/>
      <c r="P1209" s="94"/>
      <c r="Q1209" s="1431"/>
      <c r="R1209" s="1164"/>
      <c r="S1209" s="1164"/>
      <c r="T1209" s="1164"/>
      <c r="U1209" s="2174"/>
      <c r="V1209" s="2174"/>
      <c r="W1209" s="2174"/>
      <c r="X1209" s="1164"/>
    </row>
    <row r="1210" ht="15.75" customHeight="1">
      <c r="A1210" s="94"/>
      <c r="B1210" s="94"/>
      <c r="C1210" s="1164"/>
      <c r="D1210" s="1429"/>
      <c r="E1210" s="1429"/>
      <c r="F1210" s="1436"/>
      <c r="G1210" s="1436"/>
      <c r="H1210" s="1430"/>
      <c r="I1210" s="94"/>
      <c r="J1210" s="1164"/>
      <c r="K1210" s="94"/>
      <c r="L1210" s="94"/>
      <c r="M1210" s="1430"/>
      <c r="N1210" s="94"/>
      <c r="O1210" s="1430"/>
      <c r="P1210" s="94"/>
      <c r="Q1210" s="1431"/>
      <c r="R1210" s="1164"/>
      <c r="S1210" s="1164"/>
      <c r="T1210" s="1164"/>
      <c r="U1210" s="2174"/>
      <c r="V1210" s="2174"/>
      <c r="W1210" s="2174"/>
      <c r="X1210" s="1164"/>
    </row>
    <row r="1211" ht="15.75" customHeight="1">
      <c r="A1211" s="94"/>
      <c r="B1211" s="1164"/>
      <c r="C1211" s="1164"/>
      <c r="D1211" s="1429"/>
      <c r="E1211" s="1429"/>
      <c r="F1211" s="1436"/>
      <c r="G1211" s="1436"/>
      <c r="H1211" s="1430"/>
      <c r="I1211" s="94"/>
      <c r="J1211" s="1164"/>
      <c r="K1211" s="94"/>
      <c r="L1211" s="94"/>
      <c r="M1211" s="94"/>
      <c r="N1211" s="94"/>
      <c r="O1211" s="94"/>
      <c r="P1211" s="94"/>
      <c r="Q1211" s="1431"/>
      <c r="R1211" s="1164"/>
      <c r="S1211" s="1164"/>
      <c r="T1211" s="1164"/>
      <c r="U1211" s="2174"/>
      <c r="V1211" s="2174"/>
      <c r="W1211" s="2174"/>
      <c r="X1211" s="1164"/>
    </row>
    <row r="1212" ht="15.75" customHeight="1">
      <c r="A1212" s="94"/>
      <c r="B1212" s="94"/>
      <c r="C1212" s="1164"/>
      <c r="D1212" s="1429"/>
      <c r="E1212" s="1429"/>
      <c r="F1212" s="1436"/>
      <c r="G1212" s="1436"/>
      <c r="H1212" s="1430"/>
      <c r="I1212" s="94"/>
      <c r="J1212" s="1164"/>
      <c r="K1212" s="94"/>
      <c r="L1212" s="94"/>
      <c r="M1212" s="1430"/>
      <c r="N1212" s="94"/>
      <c r="O1212" s="1430"/>
      <c r="P1212" s="94"/>
      <c r="Q1212" s="1431"/>
      <c r="R1212" s="1164"/>
      <c r="S1212" s="1164"/>
      <c r="T1212" s="1164"/>
      <c r="U1212" s="2174"/>
      <c r="V1212" s="2174"/>
      <c r="W1212" s="2174"/>
      <c r="X1212" s="1164"/>
    </row>
    <row r="1213" ht="15.75" customHeight="1">
      <c r="A1213" s="94"/>
      <c r="B1213" s="1164"/>
      <c r="C1213" s="1164"/>
      <c r="D1213" s="1429"/>
      <c r="E1213" s="1429"/>
      <c r="F1213" s="1436"/>
      <c r="G1213" s="1436"/>
      <c r="H1213" s="1430"/>
      <c r="I1213" s="94"/>
      <c r="J1213" s="1164"/>
      <c r="K1213" s="94"/>
      <c r="L1213" s="94"/>
      <c r="M1213" s="1430"/>
      <c r="N1213" s="94"/>
      <c r="O1213" s="1430"/>
      <c r="P1213" s="94"/>
      <c r="Q1213" s="1431"/>
      <c r="R1213" s="1164"/>
      <c r="S1213" s="1164"/>
      <c r="T1213" s="1164"/>
      <c r="U1213" s="2174"/>
      <c r="V1213" s="2174"/>
      <c r="W1213" s="2174"/>
      <c r="X1213" s="1164"/>
    </row>
    <row r="1214" ht="15.75" customHeight="1">
      <c r="A1214" s="94"/>
      <c r="B1214" s="94"/>
      <c r="C1214" s="1164"/>
      <c r="D1214" s="1429"/>
      <c r="E1214" s="1429"/>
      <c r="F1214" s="1436"/>
      <c r="G1214" s="1436"/>
      <c r="H1214" s="1430"/>
      <c r="I1214" s="94"/>
      <c r="J1214" s="1164"/>
      <c r="K1214" s="94"/>
      <c r="L1214" s="94"/>
      <c r="M1214" s="1430"/>
      <c r="N1214" s="94"/>
      <c r="O1214" s="1430"/>
      <c r="P1214" s="94"/>
      <c r="Q1214" s="1431"/>
      <c r="R1214" s="1164"/>
      <c r="S1214" s="1164"/>
      <c r="T1214" s="1164"/>
      <c r="U1214" s="2174"/>
      <c r="V1214" s="2174"/>
      <c r="W1214" s="2174"/>
      <c r="X1214" s="1164"/>
    </row>
    <row r="1215" ht="15.75" customHeight="1">
      <c r="A1215" s="94"/>
      <c r="B1215" s="94"/>
      <c r="C1215" s="1164"/>
      <c r="D1215" s="1429"/>
      <c r="E1215" s="1429"/>
      <c r="F1215" s="1436"/>
      <c r="G1215" s="1436"/>
      <c r="H1215" s="1430"/>
      <c r="I1215" s="94"/>
      <c r="J1215" s="1164"/>
      <c r="K1215" s="94"/>
      <c r="L1215" s="94"/>
      <c r="M1215" s="1430"/>
      <c r="N1215" s="94"/>
      <c r="O1215" s="1430"/>
      <c r="P1215" s="94"/>
      <c r="Q1215" s="1431"/>
      <c r="R1215" s="1164"/>
      <c r="S1215" s="1164"/>
      <c r="T1215" s="1164"/>
      <c r="U1215" s="2174"/>
      <c r="V1215" s="2174"/>
      <c r="W1215" s="2174"/>
      <c r="X1215" s="1164"/>
    </row>
    <row r="1216" ht="15.75" customHeight="1">
      <c r="A1216" s="94"/>
      <c r="B1216" s="94"/>
      <c r="C1216" s="1164"/>
      <c r="D1216" s="1429"/>
      <c r="E1216" s="1429"/>
      <c r="F1216" s="1436"/>
      <c r="G1216" s="1436"/>
      <c r="H1216" s="1430"/>
      <c r="I1216" s="94"/>
      <c r="J1216" s="1164"/>
      <c r="K1216" s="94"/>
      <c r="L1216" s="94"/>
      <c r="M1216" s="94"/>
      <c r="N1216" s="94"/>
      <c r="O1216" s="94"/>
      <c r="P1216" s="94"/>
      <c r="Q1216" s="1431"/>
      <c r="R1216" s="1164"/>
      <c r="S1216" s="1164"/>
      <c r="T1216" s="1164"/>
      <c r="U1216" s="2174"/>
      <c r="V1216" s="2174"/>
      <c r="W1216" s="2174"/>
      <c r="X1216" s="1164"/>
    </row>
    <row r="1217" ht="15.75" customHeight="1">
      <c r="A1217" s="94"/>
      <c r="B1217" s="1164"/>
      <c r="C1217" s="1164"/>
      <c r="D1217" s="1429"/>
      <c r="E1217" s="1429"/>
      <c r="F1217" s="1436"/>
      <c r="G1217" s="1436"/>
      <c r="H1217" s="1430"/>
      <c r="I1217" s="94"/>
      <c r="J1217" s="1164"/>
      <c r="K1217" s="94"/>
      <c r="L1217" s="94"/>
      <c r="M1217" s="94"/>
      <c r="N1217" s="94"/>
      <c r="O1217" s="94"/>
      <c r="P1217" s="94"/>
      <c r="Q1217" s="1431"/>
      <c r="R1217" s="1164"/>
      <c r="S1217" s="1164"/>
      <c r="T1217" s="1164"/>
      <c r="U1217" s="2174"/>
      <c r="V1217" s="94"/>
      <c r="W1217" s="2174"/>
      <c r="X1217" s="1164"/>
    </row>
    <row r="1218" ht="15.75" customHeight="1">
      <c r="A1218" s="94"/>
      <c r="B1218" s="94"/>
      <c r="C1218" s="1164"/>
      <c r="D1218" s="1429"/>
      <c r="E1218" s="1429"/>
      <c r="F1218" s="1436"/>
      <c r="G1218" s="1436"/>
      <c r="H1218" s="1430"/>
      <c r="I1218" s="94"/>
      <c r="J1218" s="1164"/>
      <c r="K1218" s="94"/>
      <c r="L1218" s="94"/>
      <c r="M1218" s="1430"/>
      <c r="N1218" s="94"/>
      <c r="O1218" s="1430"/>
      <c r="P1218" s="94"/>
      <c r="Q1218" s="1431"/>
      <c r="R1218" s="1164"/>
      <c r="S1218" s="1164"/>
      <c r="T1218" s="1164"/>
      <c r="U1218" s="2174"/>
      <c r="V1218" s="2174"/>
      <c r="W1218" s="2174"/>
      <c r="X1218" s="1164"/>
    </row>
    <row r="1219" ht="15.75" customHeight="1">
      <c r="A1219" s="94"/>
      <c r="B1219" s="94"/>
      <c r="C1219" s="1164"/>
      <c r="D1219" s="1429"/>
      <c r="E1219" s="1429"/>
      <c r="F1219" s="1436"/>
      <c r="G1219" s="1436"/>
      <c r="H1219" s="1430"/>
      <c r="I1219" s="94"/>
      <c r="J1219" s="1164"/>
      <c r="K1219" s="94"/>
      <c r="L1219" s="94"/>
      <c r="M1219" s="1430"/>
      <c r="N1219" s="94"/>
      <c r="O1219" s="1430"/>
      <c r="P1219" s="94"/>
      <c r="Q1219" s="1431"/>
      <c r="R1219" s="1164"/>
      <c r="S1219" s="1164"/>
      <c r="T1219" s="1164"/>
      <c r="U1219" s="2174"/>
      <c r="V1219" s="2174"/>
      <c r="W1219" s="2174"/>
      <c r="X1219" s="1164"/>
    </row>
    <row r="1220" ht="15.75" customHeight="1">
      <c r="A1220" s="94"/>
      <c r="B1220" s="94"/>
      <c r="C1220" s="1164"/>
      <c r="D1220" s="1429"/>
      <c r="E1220" s="1429"/>
      <c r="F1220" s="1436"/>
      <c r="G1220" s="1436"/>
      <c r="H1220" s="1430"/>
      <c r="I1220" s="94"/>
      <c r="J1220" s="1164"/>
      <c r="K1220" s="94"/>
      <c r="L1220" s="94"/>
      <c r="M1220" s="1430"/>
      <c r="N1220" s="94"/>
      <c r="O1220" s="1430"/>
      <c r="P1220" s="94"/>
      <c r="Q1220" s="1431"/>
      <c r="R1220" s="1164"/>
      <c r="S1220" s="1164"/>
      <c r="T1220" s="1164"/>
      <c r="U1220" s="2174"/>
      <c r="V1220" s="2174"/>
      <c r="W1220" s="2174"/>
      <c r="X1220" s="1164"/>
    </row>
    <row r="1221" ht="15.75" customHeight="1">
      <c r="A1221" s="94"/>
      <c r="B1221" s="1164"/>
      <c r="C1221" s="1164"/>
      <c r="D1221" s="1429"/>
      <c r="E1221" s="1429"/>
      <c r="F1221" s="1436"/>
      <c r="G1221" s="1436"/>
      <c r="H1221" s="1430"/>
      <c r="I1221" s="94"/>
      <c r="J1221" s="1164"/>
      <c r="K1221" s="94"/>
      <c r="L1221" s="94"/>
      <c r="M1221" s="1430"/>
      <c r="N1221" s="94"/>
      <c r="O1221" s="1430"/>
      <c r="P1221" s="94"/>
      <c r="Q1221" s="1431"/>
      <c r="R1221" s="1164"/>
      <c r="S1221" s="1164"/>
      <c r="T1221" s="1164"/>
      <c r="U1221" s="2174"/>
      <c r="V1221" s="2174"/>
      <c r="W1221" s="2174"/>
      <c r="X1221" s="1164"/>
    </row>
    <row r="1222" ht="15.75" customHeight="1">
      <c r="A1222" s="94"/>
      <c r="B1222" s="1164"/>
      <c r="C1222" s="1164"/>
      <c r="D1222" s="1429"/>
      <c r="E1222" s="1429"/>
      <c r="F1222" s="1436"/>
      <c r="G1222" s="1436"/>
      <c r="H1222" s="1430"/>
      <c r="I1222" s="94"/>
      <c r="J1222" s="1164"/>
      <c r="K1222" s="94"/>
      <c r="L1222" s="94"/>
      <c r="M1222" s="94"/>
      <c r="N1222" s="94"/>
      <c r="O1222" s="94"/>
      <c r="P1222" s="94"/>
      <c r="Q1222" s="1431"/>
      <c r="R1222" s="1164"/>
      <c r="S1222" s="1164"/>
      <c r="T1222" s="1164"/>
      <c r="U1222" s="2174"/>
      <c r="V1222" s="2174"/>
      <c r="W1222" s="2174"/>
      <c r="X1222" s="1164"/>
    </row>
    <row r="1223" ht="15.75" customHeight="1">
      <c r="A1223" s="94"/>
      <c r="B1223" s="1164"/>
      <c r="C1223" s="1164"/>
      <c r="D1223" s="1429"/>
      <c r="E1223" s="1429"/>
      <c r="F1223" s="1436"/>
      <c r="G1223" s="1436"/>
      <c r="H1223" s="1430"/>
      <c r="I1223" s="94"/>
      <c r="J1223" s="1164"/>
      <c r="K1223" s="94"/>
      <c r="L1223" s="94"/>
      <c r="M1223" s="94"/>
      <c r="N1223" s="94"/>
      <c r="O1223" s="94"/>
      <c r="P1223" s="94"/>
      <c r="Q1223" s="1431"/>
      <c r="R1223" s="1164"/>
      <c r="S1223" s="1164"/>
      <c r="T1223" s="1164"/>
      <c r="U1223" s="2174"/>
      <c r="V1223" s="2174"/>
      <c r="W1223" s="2174"/>
      <c r="X1223" s="1164"/>
    </row>
    <row r="1224" ht="15.75" customHeight="1">
      <c r="A1224" s="94"/>
      <c r="B1224" s="94"/>
      <c r="C1224" s="1164"/>
      <c r="D1224" s="1429"/>
      <c r="E1224" s="1429"/>
      <c r="F1224" s="1436"/>
      <c r="G1224" s="1436"/>
      <c r="H1224" s="1430"/>
      <c r="I1224" s="94"/>
      <c r="J1224" s="1164"/>
      <c r="K1224" s="94"/>
      <c r="L1224" s="94"/>
      <c r="M1224" s="1430"/>
      <c r="N1224" s="94"/>
      <c r="O1224" s="1430"/>
      <c r="P1224" s="94"/>
      <c r="Q1224" s="1431"/>
      <c r="R1224" s="1164"/>
      <c r="S1224" s="1164"/>
      <c r="T1224" s="1164"/>
      <c r="U1224" s="2174"/>
      <c r="V1224" s="2174"/>
      <c r="W1224" s="2174"/>
      <c r="X1224" s="1164"/>
    </row>
    <row r="1225" ht="15.75" customHeight="1">
      <c r="A1225" s="94"/>
      <c r="B1225" s="94"/>
      <c r="C1225" s="1164"/>
      <c r="D1225" s="1429"/>
      <c r="E1225" s="1429"/>
      <c r="F1225" s="1436"/>
      <c r="G1225" s="1436"/>
      <c r="H1225" s="1430"/>
      <c r="I1225" s="94"/>
      <c r="J1225" s="1164"/>
      <c r="K1225" s="94"/>
      <c r="L1225" s="94"/>
      <c r="M1225" s="94"/>
      <c r="N1225" s="94"/>
      <c r="O1225" s="94"/>
      <c r="P1225" s="94"/>
      <c r="Q1225" s="1431"/>
      <c r="R1225" s="1164"/>
      <c r="S1225" s="1164"/>
      <c r="T1225" s="1164"/>
      <c r="U1225" s="2174"/>
      <c r="V1225" s="2174"/>
      <c r="W1225" s="2174"/>
      <c r="X1225" s="1164"/>
    </row>
    <row r="1226" ht="15.75" customHeight="1">
      <c r="A1226" s="94"/>
      <c r="B1226" s="94"/>
      <c r="C1226" s="1164"/>
      <c r="D1226" s="1429"/>
      <c r="E1226" s="1429"/>
      <c r="F1226" s="1436"/>
      <c r="G1226" s="1436"/>
      <c r="H1226" s="1430"/>
      <c r="I1226" s="94"/>
      <c r="J1226" s="1164"/>
      <c r="K1226" s="94"/>
      <c r="L1226" s="94"/>
      <c r="M1226" s="1430"/>
      <c r="N1226" s="94"/>
      <c r="O1226" s="1430"/>
      <c r="P1226" s="94"/>
      <c r="Q1226" s="1431"/>
      <c r="R1226" s="1164"/>
      <c r="S1226" s="1164"/>
      <c r="T1226" s="1164"/>
      <c r="U1226" s="2174"/>
      <c r="V1226" s="2174"/>
      <c r="W1226" s="2174"/>
      <c r="X1226" s="1164"/>
    </row>
    <row r="1227" ht="15.75" customHeight="1">
      <c r="A1227" s="94"/>
      <c r="B1227" s="94"/>
      <c r="C1227" s="1164"/>
      <c r="D1227" s="1429"/>
      <c r="E1227" s="1429"/>
      <c r="F1227" s="1436"/>
      <c r="G1227" s="1436"/>
      <c r="H1227" s="1430"/>
      <c r="I1227" s="94"/>
      <c r="J1227" s="1164"/>
      <c r="K1227" s="94"/>
      <c r="L1227" s="94"/>
      <c r="M1227" s="1430"/>
      <c r="N1227" s="94"/>
      <c r="O1227" s="1430"/>
      <c r="P1227" s="94"/>
      <c r="Q1227" s="1431"/>
      <c r="R1227" s="1164"/>
      <c r="S1227" s="1164"/>
      <c r="T1227" s="1164"/>
      <c r="U1227" s="2174"/>
      <c r="V1227" s="2174"/>
      <c r="W1227" s="2174"/>
      <c r="X1227" s="1164"/>
    </row>
    <row r="1228" ht="15.75" customHeight="1">
      <c r="A1228" s="94"/>
      <c r="B1228" s="1164"/>
      <c r="C1228" s="1164"/>
      <c r="D1228" s="1429"/>
      <c r="E1228" s="1429"/>
      <c r="F1228" s="1436"/>
      <c r="G1228" s="1436"/>
      <c r="H1228" s="1430"/>
      <c r="I1228" s="94"/>
      <c r="J1228" s="1164"/>
      <c r="K1228" s="94"/>
      <c r="L1228" s="94"/>
      <c r="M1228" s="94"/>
      <c r="N1228" s="94"/>
      <c r="O1228" s="94"/>
      <c r="P1228" s="94"/>
      <c r="Q1228" s="1431"/>
      <c r="R1228" s="1164"/>
      <c r="S1228" s="1164"/>
      <c r="T1228" s="1164"/>
      <c r="U1228" s="2174"/>
      <c r="V1228" s="2174"/>
      <c r="W1228" s="2174"/>
      <c r="X1228" s="1164"/>
    </row>
    <row r="1229" ht="15.75" customHeight="1">
      <c r="A1229" s="94"/>
      <c r="B1229" s="1164"/>
      <c r="C1229" s="1164"/>
      <c r="D1229" s="1429"/>
      <c r="E1229" s="1429"/>
      <c r="F1229" s="1436"/>
      <c r="G1229" s="1436"/>
      <c r="H1229" s="1430"/>
      <c r="I1229" s="94"/>
      <c r="J1229" s="1164"/>
      <c r="K1229" s="94"/>
      <c r="L1229" s="94"/>
      <c r="M1229" s="94"/>
      <c r="N1229" s="94"/>
      <c r="O1229" s="94"/>
      <c r="P1229" s="94"/>
      <c r="Q1229" s="1431"/>
      <c r="R1229" s="1164"/>
      <c r="S1229" s="1164"/>
      <c r="T1229" s="1164"/>
      <c r="U1229" s="2174"/>
      <c r="V1229" s="2174"/>
      <c r="W1229" s="2174"/>
      <c r="X1229" s="1164"/>
    </row>
    <row r="1230" ht="15.75" customHeight="1">
      <c r="A1230" s="94"/>
      <c r="B1230" s="94"/>
      <c r="C1230" s="1164"/>
      <c r="D1230" s="1429"/>
      <c r="E1230" s="1429"/>
      <c r="F1230" s="1436"/>
      <c r="G1230" s="1436"/>
      <c r="H1230" s="1430"/>
      <c r="I1230" s="94"/>
      <c r="J1230" s="1164"/>
      <c r="K1230" s="94"/>
      <c r="L1230" s="94"/>
      <c r="M1230" s="1430"/>
      <c r="N1230" s="94"/>
      <c r="O1230" s="1430"/>
      <c r="P1230" s="94"/>
      <c r="Q1230" s="1431"/>
      <c r="R1230" s="1164"/>
      <c r="S1230" s="1164"/>
      <c r="T1230" s="1164"/>
      <c r="U1230" s="2174"/>
      <c r="V1230" s="2174"/>
      <c r="W1230" s="2174"/>
      <c r="X1230" s="1164"/>
    </row>
    <row r="1231" ht="15.75" customHeight="1">
      <c r="A1231" s="94"/>
      <c r="B1231" s="1164"/>
      <c r="C1231" s="1164"/>
      <c r="D1231" s="1429"/>
      <c r="E1231" s="1429"/>
      <c r="F1231" s="1436"/>
      <c r="G1231" s="1436"/>
      <c r="H1231" s="1430"/>
      <c r="I1231" s="94"/>
      <c r="J1231" s="1164"/>
      <c r="K1231" s="94"/>
      <c r="L1231" s="94"/>
      <c r="M1231" s="1430"/>
      <c r="N1231" s="94"/>
      <c r="O1231" s="1430"/>
      <c r="P1231" s="94"/>
      <c r="Q1231" s="1431"/>
      <c r="R1231" s="1164"/>
      <c r="S1231" s="1164"/>
      <c r="T1231" s="1164"/>
      <c r="U1231" s="2174"/>
      <c r="V1231" s="2174"/>
      <c r="W1231" s="2174"/>
      <c r="X1231" s="1164"/>
    </row>
    <row r="1232" ht="15.75" customHeight="1">
      <c r="A1232" s="94"/>
      <c r="B1232" s="94"/>
      <c r="C1232" s="1164"/>
      <c r="D1232" s="1429"/>
      <c r="E1232" s="1429"/>
      <c r="F1232" s="1436"/>
      <c r="G1232" s="1436"/>
      <c r="H1232" s="1430"/>
      <c r="I1232" s="94"/>
      <c r="J1232" s="1164"/>
      <c r="K1232" s="94"/>
      <c r="L1232" s="94"/>
      <c r="M1232" s="94"/>
      <c r="N1232" s="94"/>
      <c r="O1232" s="94"/>
      <c r="P1232" s="94"/>
      <c r="Q1232" s="1431"/>
      <c r="R1232" s="1164"/>
      <c r="S1232" s="1164"/>
      <c r="T1232" s="1164"/>
      <c r="U1232" s="2174"/>
      <c r="V1232" s="2174"/>
      <c r="W1232" s="2174"/>
      <c r="X1232" s="1164"/>
    </row>
    <row r="1233" ht="15.75" customHeight="1">
      <c r="A1233" s="94"/>
      <c r="B1233" s="1164"/>
      <c r="C1233" s="1164"/>
      <c r="D1233" s="1429"/>
      <c r="E1233" s="1429"/>
      <c r="F1233" s="1436"/>
      <c r="G1233" s="1436"/>
      <c r="H1233" s="1430"/>
      <c r="I1233" s="94"/>
      <c r="J1233" s="1164"/>
      <c r="K1233" s="94"/>
      <c r="L1233" s="94"/>
      <c r="M1233" s="94"/>
      <c r="N1233" s="94"/>
      <c r="O1233" s="94"/>
      <c r="P1233" s="94"/>
      <c r="Q1233" s="1431"/>
      <c r="R1233" s="1164"/>
      <c r="S1233" s="1164"/>
      <c r="T1233" s="1164"/>
      <c r="U1233" s="2174"/>
      <c r="V1233" s="2174"/>
      <c r="W1233" s="2174"/>
      <c r="X1233" s="1164"/>
    </row>
    <row r="1234" ht="15.75" customHeight="1">
      <c r="A1234" s="94"/>
      <c r="B1234" s="1164"/>
      <c r="C1234" s="1164"/>
      <c r="D1234" s="1429"/>
      <c r="E1234" s="1429"/>
      <c r="F1234" s="1436"/>
      <c r="G1234" s="1436"/>
      <c r="H1234" s="1430"/>
      <c r="I1234" s="94"/>
      <c r="J1234" s="1164"/>
      <c r="K1234" s="94"/>
      <c r="L1234" s="94"/>
      <c r="M1234" s="94"/>
      <c r="N1234" s="94"/>
      <c r="O1234" s="94"/>
      <c r="P1234" s="94"/>
      <c r="Q1234" s="1431"/>
      <c r="R1234" s="1164"/>
      <c r="S1234" s="1164"/>
      <c r="T1234" s="1164"/>
      <c r="U1234" s="2174"/>
      <c r="V1234" s="2174"/>
      <c r="W1234" s="2174"/>
      <c r="X1234" s="1164"/>
    </row>
    <row r="1235" ht="15.75" customHeight="1">
      <c r="A1235" s="94"/>
      <c r="B1235" s="1164"/>
      <c r="C1235" s="1164"/>
      <c r="D1235" s="1429"/>
      <c r="E1235" s="1429"/>
      <c r="F1235" s="1436"/>
      <c r="G1235" s="1436"/>
      <c r="H1235" s="1430"/>
      <c r="I1235" s="94"/>
      <c r="J1235" s="1164"/>
      <c r="K1235" s="94"/>
      <c r="L1235" s="94"/>
      <c r="M1235" s="94"/>
      <c r="N1235" s="94"/>
      <c r="O1235" s="94"/>
      <c r="P1235" s="94"/>
      <c r="Q1235" s="1431"/>
      <c r="R1235" s="1164"/>
      <c r="S1235" s="1164"/>
      <c r="T1235" s="1164"/>
      <c r="U1235" s="2174"/>
      <c r="V1235" s="2174"/>
      <c r="W1235" s="2174"/>
      <c r="X1235" s="1164"/>
    </row>
    <row r="1236" ht="15.75" customHeight="1">
      <c r="A1236" s="94"/>
      <c r="B1236" s="94"/>
      <c r="C1236" s="1164"/>
      <c r="D1236" s="1429"/>
      <c r="E1236" s="1429"/>
      <c r="F1236" s="1436"/>
      <c r="G1236" s="1436"/>
      <c r="H1236" s="1430"/>
      <c r="I1236" s="94"/>
      <c r="J1236" s="1164"/>
      <c r="K1236" s="94"/>
      <c r="L1236" s="94"/>
      <c r="M1236" s="1430"/>
      <c r="N1236" s="94"/>
      <c r="O1236" s="1430"/>
      <c r="P1236" s="94"/>
      <c r="Q1236" s="1431"/>
      <c r="R1236" s="1164"/>
      <c r="S1236" s="1164"/>
      <c r="T1236" s="1164"/>
      <c r="U1236" s="2174"/>
      <c r="V1236" s="2174"/>
      <c r="W1236" s="2174"/>
      <c r="X1236" s="1164"/>
    </row>
    <row r="1237" ht="15.75" customHeight="1">
      <c r="A1237" s="94"/>
      <c r="B1237" s="94"/>
      <c r="C1237" s="1164"/>
      <c r="D1237" s="1429"/>
      <c r="E1237" s="1429"/>
      <c r="F1237" s="1436"/>
      <c r="G1237" s="1436"/>
      <c r="H1237" s="1430"/>
      <c r="I1237" s="94"/>
      <c r="J1237" s="1164"/>
      <c r="K1237" s="94"/>
      <c r="L1237" s="94"/>
      <c r="M1237" s="1430"/>
      <c r="N1237" s="94"/>
      <c r="O1237" s="1430"/>
      <c r="P1237" s="94"/>
      <c r="Q1237" s="1431"/>
      <c r="R1237" s="1164"/>
      <c r="S1237" s="1164"/>
      <c r="T1237" s="1164"/>
      <c r="U1237" s="2174"/>
      <c r="V1237" s="2174"/>
      <c r="W1237" s="2174"/>
      <c r="X1237" s="1164"/>
    </row>
    <row r="1238" ht="15.75" customHeight="1">
      <c r="A1238" s="94"/>
      <c r="B1238" s="1164"/>
      <c r="C1238" s="1164"/>
      <c r="D1238" s="1429"/>
      <c r="E1238" s="1429"/>
      <c r="F1238" s="1436"/>
      <c r="G1238" s="1436"/>
      <c r="H1238" s="1430"/>
      <c r="I1238" s="94"/>
      <c r="J1238" s="1164"/>
      <c r="K1238" s="94"/>
      <c r="L1238" s="94"/>
      <c r="M1238" s="94"/>
      <c r="N1238" s="94"/>
      <c r="O1238" s="94"/>
      <c r="P1238" s="94"/>
      <c r="Q1238" s="1431"/>
      <c r="R1238" s="1164"/>
      <c r="S1238" s="1164"/>
      <c r="T1238" s="1164"/>
      <c r="U1238" s="2174"/>
      <c r="V1238" s="2174"/>
      <c r="W1238" s="2174"/>
      <c r="X1238" s="1164"/>
    </row>
    <row r="1239" ht="15.75" customHeight="1">
      <c r="A1239" s="94"/>
      <c r="B1239" s="1164"/>
      <c r="C1239" s="1164"/>
      <c r="D1239" s="1429"/>
      <c r="E1239" s="1429"/>
      <c r="F1239" s="1436"/>
      <c r="G1239" s="1436"/>
      <c r="H1239" s="1430"/>
      <c r="I1239" s="94"/>
      <c r="J1239" s="1164"/>
      <c r="K1239" s="94"/>
      <c r="L1239" s="94"/>
      <c r="M1239" s="1430"/>
      <c r="N1239" s="94"/>
      <c r="O1239" s="1430"/>
      <c r="P1239" s="94"/>
      <c r="Q1239" s="1431"/>
      <c r="R1239" s="1164"/>
      <c r="S1239" s="1164"/>
      <c r="T1239" s="1164"/>
      <c r="U1239" s="2174"/>
      <c r="V1239" s="2174"/>
      <c r="W1239" s="2174"/>
      <c r="X1239" s="1164"/>
    </row>
    <row r="1240" ht="15.75" customHeight="1">
      <c r="A1240" s="94"/>
      <c r="B1240" s="94"/>
      <c r="C1240" s="1164"/>
      <c r="D1240" s="1429"/>
      <c r="E1240" s="1429"/>
      <c r="F1240" s="1436"/>
      <c r="G1240" s="1436"/>
      <c r="H1240" s="1430"/>
      <c r="I1240" s="94"/>
      <c r="J1240" s="1164"/>
      <c r="K1240" s="94"/>
      <c r="L1240" s="94"/>
      <c r="M1240" s="1430"/>
      <c r="N1240" s="94"/>
      <c r="O1240" s="1430"/>
      <c r="P1240" s="94"/>
      <c r="Q1240" s="1431"/>
      <c r="R1240" s="1164"/>
      <c r="S1240" s="1164"/>
      <c r="T1240" s="1164"/>
      <c r="U1240" s="2174"/>
      <c r="V1240" s="2174"/>
      <c r="W1240" s="2174"/>
      <c r="X1240" s="1164"/>
    </row>
    <row r="1241" ht="15.75" customHeight="1">
      <c r="A1241" s="94"/>
      <c r="B1241" s="94"/>
      <c r="C1241" s="1164"/>
      <c r="D1241" s="1429"/>
      <c r="E1241" s="1429"/>
      <c r="F1241" s="1436"/>
      <c r="G1241" s="1436"/>
      <c r="H1241" s="1430"/>
      <c r="I1241" s="94"/>
      <c r="J1241" s="1164"/>
      <c r="K1241" s="94"/>
      <c r="L1241" s="94"/>
      <c r="M1241" s="1430"/>
      <c r="N1241" s="94"/>
      <c r="O1241" s="1430"/>
      <c r="P1241" s="94"/>
      <c r="Q1241" s="1431"/>
      <c r="R1241" s="1164"/>
      <c r="S1241" s="1164"/>
      <c r="T1241" s="1164"/>
      <c r="U1241" s="2174"/>
      <c r="V1241" s="2174"/>
      <c r="W1241" s="2174"/>
      <c r="X1241" s="1164"/>
    </row>
    <row r="1242" ht="15.75" customHeight="1">
      <c r="A1242" s="94"/>
      <c r="B1242" s="94"/>
      <c r="C1242" s="1164"/>
      <c r="D1242" s="1429"/>
      <c r="E1242" s="1429"/>
      <c r="F1242" s="1436"/>
      <c r="G1242" s="1436"/>
      <c r="H1242" s="1430"/>
      <c r="I1242" s="94"/>
      <c r="J1242" s="1164"/>
      <c r="K1242" s="94"/>
      <c r="L1242" s="94"/>
      <c r="M1242" s="94"/>
      <c r="N1242" s="94"/>
      <c r="O1242" s="94"/>
      <c r="P1242" s="94"/>
      <c r="Q1242" s="1431"/>
      <c r="R1242" s="1164"/>
      <c r="S1242" s="1164"/>
      <c r="T1242" s="1164"/>
      <c r="U1242" s="2174"/>
      <c r="V1242" s="2174"/>
      <c r="W1242" s="2174"/>
      <c r="X1242" s="1164"/>
    </row>
    <row r="1243" ht="15.75" customHeight="1">
      <c r="A1243" s="94"/>
      <c r="B1243" s="1164"/>
      <c r="C1243" s="1164"/>
      <c r="D1243" s="1429"/>
      <c r="E1243" s="1429"/>
      <c r="F1243" s="1436"/>
      <c r="G1243" s="1436"/>
      <c r="H1243" s="1430"/>
      <c r="I1243" s="94"/>
      <c r="J1243" s="1164"/>
      <c r="K1243" s="94"/>
      <c r="L1243" s="94"/>
      <c r="M1243" s="1430"/>
      <c r="N1243" s="94"/>
      <c r="O1243" s="1430"/>
      <c r="P1243" s="94"/>
      <c r="Q1243" s="1431"/>
      <c r="R1243" s="1164"/>
      <c r="S1243" s="1164"/>
      <c r="T1243" s="1164"/>
      <c r="U1243" s="2174"/>
      <c r="V1243" s="2174"/>
      <c r="W1243" s="2174"/>
      <c r="X1243" s="1164"/>
    </row>
    <row r="1244" ht="15.75" customHeight="1">
      <c r="A1244" s="94"/>
      <c r="B1244" s="94"/>
      <c r="C1244" s="1164"/>
      <c r="D1244" s="1429"/>
      <c r="E1244" s="1429"/>
      <c r="F1244" s="1436"/>
      <c r="G1244" s="1436"/>
      <c r="H1244" s="1430"/>
      <c r="I1244" s="94"/>
      <c r="J1244" s="1164"/>
      <c r="K1244" s="94"/>
      <c r="L1244" s="94"/>
      <c r="M1244" s="1430"/>
      <c r="N1244" s="94"/>
      <c r="O1244" s="1430"/>
      <c r="P1244" s="94"/>
      <c r="Q1244" s="1431"/>
      <c r="R1244" s="1164"/>
      <c r="S1244" s="1164"/>
      <c r="T1244" s="1164"/>
      <c r="U1244" s="2174"/>
      <c r="V1244" s="2174"/>
      <c r="W1244" s="2174"/>
      <c r="X1244" s="1164"/>
    </row>
    <row r="1245" ht="15.75" customHeight="1">
      <c r="A1245" s="94"/>
      <c r="B1245" s="94"/>
      <c r="C1245" s="1164"/>
      <c r="D1245" s="1429"/>
      <c r="E1245" s="1429"/>
      <c r="F1245" s="1436"/>
      <c r="G1245" s="1436"/>
      <c r="H1245" s="1430"/>
      <c r="I1245" s="94"/>
      <c r="J1245" s="1164"/>
      <c r="K1245" s="94"/>
      <c r="L1245" s="94"/>
      <c r="M1245" s="1430"/>
      <c r="N1245" s="94"/>
      <c r="O1245" s="1430"/>
      <c r="P1245" s="94"/>
      <c r="Q1245" s="1431"/>
      <c r="R1245" s="1164"/>
      <c r="S1245" s="1164"/>
      <c r="T1245" s="1164"/>
      <c r="U1245" s="2174"/>
      <c r="V1245" s="2174"/>
      <c r="W1245" s="2174"/>
      <c r="X1245" s="1164"/>
    </row>
    <row r="1246" ht="15.75" customHeight="1">
      <c r="A1246" s="94"/>
      <c r="B1246" s="1164"/>
      <c r="C1246" s="1164"/>
      <c r="D1246" s="1429"/>
      <c r="E1246" s="1429"/>
      <c r="F1246" s="1436"/>
      <c r="G1246" s="1436"/>
      <c r="H1246" s="1430"/>
      <c r="I1246" s="94"/>
      <c r="J1246" s="1164"/>
      <c r="K1246" s="94"/>
      <c r="L1246" s="94"/>
      <c r="M1246" s="94"/>
      <c r="N1246" s="94"/>
      <c r="O1246" s="94"/>
      <c r="P1246" s="94"/>
      <c r="Q1246" s="1431"/>
      <c r="R1246" s="1164"/>
      <c r="S1246" s="1164"/>
      <c r="T1246" s="1164"/>
      <c r="U1246" s="2174"/>
      <c r="V1246" s="2174"/>
      <c r="W1246" s="2174"/>
      <c r="X1246" s="1164"/>
    </row>
    <row r="1247" ht="15.75" customHeight="1">
      <c r="A1247" s="94"/>
      <c r="B1247" s="1164"/>
      <c r="C1247" s="1164"/>
      <c r="D1247" s="1429"/>
      <c r="E1247" s="1429"/>
      <c r="F1247" s="1436"/>
      <c r="G1247" s="1436"/>
      <c r="H1247" s="1430"/>
      <c r="I1247" s="94"/>
      <c r="J1247" s="1164"/>
      <c r="K1247" s="94"/>
      <c r="L1247" s="94"/>
      <c r="M1247" s="1430"/>
      <c r="N1247" s="94"/>
      <c r="O1247" s="1430"/>
      <c r="P1247" s="94"/>
      <c r="Q1247" s="1431"/>
      <c r="R1247" s="1164"/>
      <c r="S1247" s="1164"/>
      <c r="T1247" s="1164"/>
      <c r="U1247" s="2174"/>
      <c r="V1247" s="2174"/>
      <c r="W1247" s="2174"/>
      <c r="X1247" s="1164"/>
    </row>
    <row r="1248" ht="15.75" customHeight="1">
      <c r="A1248" s="94"/>
      <c r="B1248" s="1164"/>
      <c r="C1248" s="1164"/>
      <c r="D1248" s="1429"/>
      <c r="E1248" s="1429"/>
      <c r="F1248" s="1436"/>
      <c r="G1248" s="1436"/>
      <c r="H1248" s="1430"/>
      <c r="I1248" s="94"/>
      <c r="J1248" s="1164"/>
      <c r="K1248" s="94"/>
      <c r="L1248" s="94"/>
      <c r="M1248" s="1430"/>
      <c r="N1248" s="94"/>
      <c r="O1248" s="1430"/>
      <c r="P1248" s="94"/>
      <c r="Q1248" s="1431"/>
      <c r="R1248" s="1164"/>
      <c r="S1248" s="1164"/>
      <c r="T1248" s="1164"/>
      <c r="U1248" s="2174"/>
      <c r="V1248" s="2174"/>
      <c r="W1248" s="2174"/>
      <c r="X1248" s="1164"/>
    </row>
    <row r="1249" ht="15.75" customHeight="1">
      <c r="A1249" s="94"/>
      <c r="B1249" s="94"/>
      <c r="C1249" s="1164"/>
      <c r="D1249" s="1429"/>
      <c r="E1249" s="1429"/>
      <c r="F1249" s="1436"/>
      <c r="G1249" s="1436"/>
      <c r="H1249" s="1430"/>
      <c r="I1249" s="94"/>
      <c r="J1249" s="1164"/>
      <c r="K1249" s="94"/>
      <c r="L1249" s="94"/>
      <c r="M1249" s="1430"/>
      <c r="N1249" s="94"/>
      <c r="O1249" s="1430"/>
      <c r="P1249" s="94"/>
      <c r="Q1249" s="1431"/>
      <c r="R1249" s="1164"/>
      <c r="S1249" s="1164"/>
      <c r="T1249" s="1164"/>
      <c r="U1249" s="2174"/>
      <c r="V1249" s="2174"/>
      <c r="W1249" s="2174"/>
      <c r="X1249" s="1164"/>
    </row>
    <row r="1250" ht="15.75" customHeight="1">
      <c r="A1250" s="94"/>
      <c r="B1250" s="94"/>
      <c r="C1250" s="1164"/>
      <c r="D1250" s="1429"/>
      <c r="E1250" s="1429"/>
      <c r="F1250" s="1436"/>
      <c r="G1250" s="1436"/>
      <c r="H1250" s="1430"/>
      <c r="I1250" s="94"/>
      <c r="J1250" s="1164"/>
      <c r="K1250" s="94"/>
      <c r="L1250" s="94"/>
      <c r="M1250" s="1430"/>
      <c r="N1250" s="94"/>
      <c r="O1250" s="1430"/>
      <c r="P1250" s="94"/>
      <c r="Q1250" s="1431"/>
      <c r="R1250" s="1164"/>
      <c r="S1250" s="1164"/>
      <c r="T1250" s="1164"/>
      <c r="U1250" s="2174"/>
      <c r="V1250" s="2174"/>
      <c r="W1250" s="2174"/>
      <c r="X1250" s="1164"/>
    </row>
    <row r="1251" ht="15.75" customHeight="1">
      <c r="A1251" s="94"/>
      <c r="B1251" s="94"/>
      <c r="C1251" s="1164"/>
      <c r="D1251" s="1429"/>
      <c r="E1251" s="1429"/>
      <c r="F1251" s="1436"/>
      <c r="G1251" s="1436"/>
      <c r="H1251" s="1430"/>
      <c r="I1251" s="94"/>
      <c r="J1251" s="1164"/>
      <c r="K1251" s="94"/>
      <c r="L1251" s="94"/>
      <c r="M1251" s="1430"/>
      <c r="N1251" s="94"/>
      <c r="O1251" s="1430"/>
      <c r="P1251" s="94"/>
      <c r="Q1251" s="1431"/>
      <c r="R1251" s="1164"/>
      <c r="S1251" s="1164"/>
      <c r="T1251" s="1164"/>
      <c r="U1251" s="2174"/>
      <c r="V1251" s="2174"/>
      <c r="W1251" s="2174"/>
      <c r="X1251" s="1164"/>
    </row>
    <row r="1252" ht="15.75" customHeight="1">
      <c r="A1252" s="94"/>
      <c r="B1252" s="94"/>
      <c r="C1252" s="1164"/>
      <c r="D1252" s="1429"/>
      <c r="E1252" s="1429"/>
      <c r="F1252" s="1436"/>
      <c r="G1252" s="1436"/>
      <c r="H1252" s="1430"/>
      <c r="I1252" s="94"/>
      <c r="J1252" s="1164"/>
      <c r="K1252" s="94"/>
      <c r="L1252" s="94"/>
      <c r="M1252" s="1430"/>
      <c r="N1252" s="94"/>
      <c r="O1252" s="1430"/>
      <c r="P1252" s="94"/>
      <c r="Q1252" s="1431"/>
      <c r="R1252" s="1164"/>
      <c r="S1252" s="1164"/>
      <c r="T1252" s="1164"/>
      <c r="U1252" s="2174"/>
      <c r="V1252" s="2174"/>
      <c r="W1252" s="2174"/>
      <c r="X1252" s="1164"/>
    </row>
    <row r="1253" ht="15.75" customHeight="1">
      <c r="A1253" s="94"/>
      <c r="B1253" s="94"/>
      <c r="C1253" s="1164"/>
      <c r="D1253" s="1429"/>
      <c r="E1253" s="1429"/>
      <c r="F1253" s="1436"/>
      <c r="G1253" s="1436"/>
      <c r="H1253" s="1430"/>
      <c r="I1253" s="94"/>
      <c r="J1253" s="1164"/>
      <c r="K1253" s="94"/>
      <c r="L1253" s="94"/>
      <c r="M1253" s="94"/>
      <c r="N1253" s="94"/>
      <c r="O1253" s="94"/>
      <c r="P1253" s="94"/>
      <c r="Q1253" s="1431"/>
      <c r="R1253" s="1164"/>
      <c r="S1253" s="1164"/>
      <c r="T1253" s="1164"/>
      <c r="U1253" s="2174"/>
      <c r="V1253" s="2174"/>
      <c r="W1253" s="2174"/>
      <c r="X1253" s="1164"/>
    </row>
    <row r="1254" ht="15.75" customHeight="1">
      <c r="A1254" s="94"/>
      <c r="B1254" s="94"/>
      <c r="C1254" s="1164"/>
      <c r="D1254" s="1429"/>
      <c r="E1254" s="1429"/>
      <c r="F1254" s="1436"/>
      <c r="G1254" s="1436"/>
      <c r="H1254" s="1430"/>
      <c r="I1254" s="94"/>
      <c r="J1254" s="1164"/>
      <c r="K1254" s="94"/>
      <c r="L1254" s="94"/>
      <c r="M1254" s="1430"/>
      <c r="N1254" s="94"/>
      <c r="O1254" s="1430"/>
      <c r="P1254" s="94"/>
      <c r="Q1254" s="1431"/>
      <c r="R1254" s="1164"/>
      <c r="S1254" s="1164"/>
      <c r="T1254" s="1164"/>
      <c r="U1254" s="2174"/>
      <c r="V1254" s="2174"/>
      <c r="W1254" s="2174"/>
      <c r="X1254" s="1164"/>
    </row>
    <row r="1255" ht="15.75" customHeight="1">
      <c r="A1255" s="94"/>
      <c r="B1255" s="1164"/>
      <c r="C1255" s="1164"/>
      <c r="D1255" s="1429"/>
      <c r="E1255" s="1429"/>
      <c r="F1255" s="1436"/>
      <c r="G1255" s="1436"/>
      <c r="H1255" s="1430"/>
      <c r="I1255" s="94"/>
      <c r="J1255" s="1164"/>
      <c r="K1255" s="94"/>
      <c r="L1255" s="94"/>
      <c r="M1255" s="1430"/>
      <c r="N1255" s="94"/>
      <c r="O1255" s="1430"/>
      <c r="P1255" s="94"/>
      <c r="Q1255" s="1431"/>
      <c r="R1255" s="1164"/>
      <c r="S1255" s="1164"/>
      <c r="T1255" s="1164"/>
      <c r="U1255" s="2174"/>
      <c r="V1255" s="2174"/>
      <c r="W1255" s="2174"/>
      <c r="X1255" s="1164"/>
    </row>
    <row r="1256" ht="15.75" customHeight="1">
      <c r="A1256" s="94"/>
      <c r="B1256" s="94"/>
      <c r="C1256" s="1164"/>
      <c r="D1256" s="1429"/>
      <c r="E1256" s="1429"/>
      <c r="F1256" s="1436"/>
      <c r="G1256" s="1436"/>
      <c r="H1256" s="1430"/>
      <c r="I1256" s="94"/>
      <c r="J1256" s="1164"/>
      <c r="K1256" s="94"/>
      <c r="L1256" s="94"/>
      <c r="M1256" s="1430"/>
      <c r="N1256" s="94"/>
      <c r="O1256" s="1430"/>
      <c r="P1256" s="94"/>
      <c r="Q1256" s="1431"/>
      <c r="R1256" s="1164"/>
      <c r="S1256" s="1164"/>
      <c r="T1256" s="1164"/>
      <c r="U1256" s="2174"/>
      <c r="V1256" s="2174"/>
      <c r="W1256" s="2174"/>
      <c r="X1256" s="1164"/>
    </row>
    <row r="1257" ht="15.75" customHeight="1">
      <c r="A1257" s="94"/>
      <c r="B1257" s="94"/>
      <c r="C1257" s="1164"/>
      <c r="D1257" s="1429"/>
      <c r="E1257" s="1429"/>
      <c r="F1257" s="1436"/>
      <c r="G1257" s="1436"/>
      <c r="H1257" s="1430"/>
      <c r="I1257" s="94"/>
      <c r="J1257" s="1164"/>
      <c r="K1257" s="94"/>
      <c r="L1257" s="94"/>
      <c r="M1257" s="1430"/>
      <c r="N1257" s="94"/>
      <c r="O1257" s="1430"/>
      <c r="P1257" s="94"/>
      <c r="Q1257" s="1431"/>
      <c r="R1257" s="1164"/>
      <c r="S1257" s="1164"/>
      <c r="T1257" s="1164"/>
      <c r="U1257" s="2174"/>
      <c r="V1257" s="2174"/>
      <c r="W1257" s="2174"/>
      <c r="X1257" s="1164"/>
    </row>
    <row r="1258" ht="15.75" customHeight="1">
      <c r="A1258" s="94"/>
      <c r="B1258" s="1164"/>
      <c r="C1258" s="1164"/>
      <c r="D1258" s="1429"/>
      <c r="E1258" s="1429"/>
      <c r="F1258" s="1436"/>
      <c r="G1258" s="1436"/>
      <c r="H1258" s="1430"/>
      <c r="I1258" s="1430"/>
      <c r="J1258" s="1164"/>
      <c r="K1258" s="94"/>
      <c r="L1258" s="94"/>
      <c r="M1258" s="94"/>
      <c r="N1258" s="94"/>
      <c r="O1258" s="94"/>
      <c r="P1258" s="94"/>
      <c r="Q1258" s="1431"/>
      <c r="R1258" s="1164"/>
      <c r="S1258" s="1164"/>
      <c r="T1258" s="1164"/>
      <c r="U1258" s="2174"/>
      <c r="V1258" s="2174"/>
      <c r="W1258" s="2174"/>
      <c r="X1258" s="1164"/>
    </row>
    <row r="1259" ht="15.75" customHeight="1">
      <c r="A1259" s="94"/>
      <c r="B1259" s="94"/>
      <c r="C1259" s="1164"/>
      <c r="D1259" s="1429"/>
      <c r="E1259" s="1429"/>
      <c r="F1259" s="1436"/>
      <c r="G1259" s="1436"/>
      <c r="H1259" s="1430"/>
      <c r="I1259" s="94"/>
      <c r="J1259" s="1164"/>
      <c r="K1259" s="94"/>
      <c r="L1259" s="94"/>
      <c r="M1259" s="1430"/>
      <c r="N1259" s="94"/>
      <c r="O1259" s="1430"/>
      <c r="P1259" s="94"/>
      <c r="Q1259" s="1431"/>
      <c r="R1259" s="1164"/>
      <c r="S1259" s="1164"/>
      <c r="T1259" s="1164"/>
      <c r="U1259" s="2174"/>
      <c r="V1259" s="2174"/>
      <c r="W1259" s="2174"/>
      <c r="X1259" s="1164"/>
    </row>
    <row r="1260" ht="15.75" customHeight="1">
      <c r="A1260" s="94"/>
      <c r="B1260" s="1164"/>
      <c r="C1260" s="1164"/>
      <c r="D1260" s="1429"/>
      <c r="E1260" s="1429"/>
      <c r="F1260" s="1436"/>
      <c r="G1260" s="1436"/>
      <c r="H1260" s="1430"/>
      <c r="I1260" s="94"/>
      <c r="J1260" s="1164"/>
      <c r="K1260" s="94"/>
      <c r="L1260" s="94"/>
      <c r="M1260" s="1430"/>
      <c r="N1260" s="94"/>
      <c r="O1260" s="1430"/>
      <c r="P1260" s="94"/>
      <c r="Q1260" s="1431"/>
      <c r="R1260" s="1164"/>
      <c r="S1260" s="1164"/>
      <c r="T1260" s="1164"/>
      <c r="U1260" s="2174"/>
      <c r="V1260" s="2174"/>
      <c r="W1260" s="2174"/>
      <c r="X1260" s="1164"/>
    </row>
    <row r="1261" ht="15.75" customHeight="1">
      <c r="A1261" s="94"/>
      <c r="B1261" s="94"/>
      <c r="C1261" s="1164"/>
      <c r="D1261" s="1429"/>
      <c r="E1261" s="1429"/>
      <c r="F1261" s="1436"/>
      <c r="G1261" s="1436"/>
      <c r="H1261" s="1430"/>
      <c r="I1261" s="94"/>
      <c r="J1261" s="1164"/>
      <c r="K1261" s="94"/>
      <c r="L1261" s="94"/>
      <c r="M1261" s="1430"/>
      <c r="N1261" s="94"/>
      <c r="O1261" s="1430"/>
      <c r="P1261" s="94"/>
      <c r="Q1261" s="1431"/>
      <c r="R1261" s="1164"/>
      <c r="S1261" s="1164"/>
      <c r="T1261" s="1164"/>
      <c r="U1261" s="2174"/>
      <c r="V1261" s="2174"/>
      <c r="W1261" s="2174"/>
      <c r="X1261" s="1164"/>
    </row>
    <row r="1262" ht="15.75" customHeight="1">
      <c r="A1262" s="94"/>
      <c r="B1262" s="1164"/>
      <c r="C1262" s="1164"/>
      <c r="D1262" s="1429"/>
      <c r="E1262" s="1429"/>
      <c r="F1262" s="1436"/>
      <c r="G1262" s="1436"/>
      <c r="H1262" s="1430"/>
      <c r="I1262" s="94"/>
      <c r="J1262" s="1164"/>
      <c r="K1262" s="94"/>
      <c r="L1262" s="94"/>
      <c r="M1262" s="1430"/>
      <c r="N1262" s="94"/>
      <c r="O1262" s="1430"/>
      <c r="P1262" s="94"/>
      <c r="Q1262" s="1431"/>
      <c r="R1262" s="1164"/>
      <c r="S1262" s="1164"/>
      <c r="T1262" s="1164"/>
      <c r="U1262" s="2174"/>
      <c r="V1262" s="2174"/>
      <c r="W1262" s="2174"/>
      <c r="X1262" s="1164"/>
    </row>
    <row r="1263" ht="15.75" customHeight="1">
      <c r="A1263" s="94"/>
      <c r="B1263" s="94"/>
      <c r="C1263" s="1164"/>
      <c r="D1263" s="1429"/>
      <c r="E1263" s="1429"/>
      <c r="F1263" s="1436"/>
      <c r="G1263" s="1436"/>
      <c r="H1263" s="1430"/>
      <c r="I1263" s="94"/>
      <c r="J1263" s="1164"/>
      <c r="K1263" s="94"/>
      <c r="L1263" s="94"/>
      <c r="M1263" s="1430"/>
      <c r="N1263" s="94"/>
      <c r="O1263" s="1430"/>
      <c r="P1263" s="94"/>
      <c r="Q1263" s="1431"/>
      <c r="R1263" s="1164"/>
      <c r="S1263" s="1164"/>
      <c r="T1263" s="1164"/>
      <c r="U1263" s="2174"/>
      <c r="V1263" s="2174"/>
      <c r="W1263" s="2174"/>
      <c r="X1263" s="1164"/>
    </row>
    <row r="1264" ht="15.75" customHeight="1">
      <c r="A1264" s="94"/>
      <c r="B1264" s="94"/>
      <c r="C1264" s="1164"/>
      <c r="D1264" s="1429"/>
      <c r="E1264" s="1429"/>
      <c r="F1264" s="1436"/>
      <c r="G1264" s="1436"/>
      <c r="H1264" s="1430"/>
      <c r="I1264" s="94"/>
      <c r="J1264" s="1164"/>
      <c r="K1264" s="94"/>
      <c r="L1264" s="94"/>
      <c r="M1264" s="1430"/>
      <c r="N1264" s="94"/>
      <c r="O1264" s="1430"/>
      <c r="P1264" s="94"/>
      <c r="Q1264" s="1431"/>
      <c r="R1264" s="1164"/>
      <c r="S1264" s="1164"/>
      <c r="T1264" s="1164"/>
      <c r="U1264" s="2174"/>
      <c r="V1264" s="2174"/>
      <c r="W1264" s="2174"/>
      <c r="X1264" s="1164"/>
    </row>
    <row r="1265" ht="15.75" customHeight="1">
      <c r="A1265" s="94"/>
      <c r="B1265" s="94"/>
      <c r="C1265" s="1164"/>
      <c r="D1265" s="1429"/>
      <c r="E1265" s="1429"/>
      <c r="F1265" s="1436"/>
      <c r="G1265" s="1436"/>
      <c r="H1265" s="1430"/>
      <c r="I1265" s="94"/>
      <c r="J1265" s="1164"/>
      <c r="K1265" s="94"/>
      <c r="L1265" s="94"/>
      <c r="M1265" s="1430"/>
      <c r="N1265" s="94"/>
      <c r="O1265" s="1430"/>
      <c r="P1265" s="94"/>
      <c r="Q1265" s="1431"/>
      <c r="R1265" s="1164"/>
      <c r="S1265" s="1164"/>
      <c r="T1265" s="1164"/>
      <c r="U1265" s="2174"/>
      <c r="V1265" s="2174"/>
      <c r="W1265" s="2174"/>
      <c r="X1265" s="1164"/>
    </row>
    <row r="1266" ht="15.75" customHeight="1">
      <c r="A1266" s="94"/>
      <c r="B1266" s="94"/>
      <c r="C1266" s="1164"/>
      <c r="D1266" s="1429"/>
      <c r="E1266" s="1429"/>
      <c r="F1266" s="1436"/>
      <c r="G1266" s="1436"/>
      <c r="H1266" s="1430"/>
      <c r="I1266" s="94"/>
      <c r="J1266" s="1164"/>
      <c r="K1266" s="94"/>
      <c r="L1266" s="94"/>
      <c r="M1266" s="94"/>
      <c r="N1266" s="94"/>
      <c r="O1266" s="94"/>
      <c r="P1266" s="94"/>
      <c r="Q1266" s="1431"/>
      <c r="R1266" s="1164"/>
      <c r="S1266" s="1164"/>
      <c r="T1266" s="1164"/>
      <c r="U1266" s="2174"/>
      <c r="V1266" s="2174"/>
      <c r="W1266" s="2174"/>
      <c r="X1266" s="1164"/>
    </row>
    <row r="1267" ht="15.75" customHeight="1">
      <c r="A1267" s="94"/>
      <c r="B1267" s="94"/>
      <c r="C1267" s="1164"/>
      <c r="D1267" s="1429"/>
      <c r="E1267" s="1429"/>
      <c r="F1267" s="1436"/>
      <c r="G1267" s="1436"/>
      <c r="H1267" s="1430"/>
      <c r="I1267" s="94"/>
      <c r="J1267" s="1164"/>
      <c r="K1267" s="94"/>
      <c r="L1267" s="94"/>
      <c r="M1267" s="1430"/>
      <c r="N1267" s="94"/>
      <c r="O1267" s="1430"/>
      <c r="P1267" s="94"/>
      <c r="Q1267" s="1431"/>
      <c r="R1267" s="1164"/>
      <c r="S1267" s="1164"/>
      <c r="T1267" s="1164"/>
      <c r="U1267" s="2174"/>
      <c r="V1267" s="2174"/>
      <c r="W1267" s="2174"/>
      <c r="X1267" s="1164"/>
    </row>
    <row r="1268" ht="15.75" customHeight="1">
      <c r="A1268" s="94"/>
      <c r="B1268" s="1164"/>
      <c r="C1268" s="1164"/>
      <c r="D1268" s="1429"/>
      <c r="E1268" s="1429"/>
      <c r="F1268" s="1436"/>
      <c r="G1268" s="1436"/>
      <c r="H1268" s="1430"/>
      <c r="I1268" s="94"/>
      <c r="J1268" s="1164"/>
      <c r="K1268" s="94"/>
      <c r="L1268" s="94"/>
      <c r="M1268" s="1430"/>
      <c r="N1268" s="94"/>
      <c r="O1268" s="1430"/>
      <c r="P1268" s="94"/>
      <c r="Q1268" s="1431"/>
      <c r="R1268" s="1164"/>
      <c r="S1268" s="1164"/>
      <c r="T1268" s="1164"/>
      <c r="U1268" s="2174"/>
      <c r="V1268" s="2174"/>
      <c r="W1268" s="2174"/>
      <c r="X1268" s="1164"/>
    </row>
    <row r="1269" ht="15.75" customHeight="1">
      <c r="A1269" s="94"/>
      <c r="B1269" s="1164"/>
      <c r="C1269" s="1164"/>
      <c r="D1269" s="1429"/>
      <c r="E1269" s="1429"/>
      <c r="F1269" s="1436"/>
      <c r="G1269" s="1436"/>
      <c r="H1269" s="1430"/>
      <c r="I1269" s="94"/>
      <c r="J1269" s="1164"/>
      <c r="K1269" s="94"/>
      <c r="L1269" s="94"/>
      <c r="M1269" s="1430"/>
      <c r="N1269" s="94"/>
      <c r="O1269" s="1430"/>
      <c r="P1269" s="94"/>
      <c r="Q1269" s="1431"/>
      <c r="R1269" s="1164"/>
      <c r="S1269" s="1164"/>
      <c r="T1269" s="1164"/>
      <c r="U1269" s="2174"/>
      <c r="V1269" s="2174"/>
      <c r="W1269" s="2174"/>
      <c r="X1269" s="1164"/>
    </row>
    <row r="1270" ht="15.75" customHeight="1">
      <c r="A1270" s="94"/>
      <c r="B1270" s="1164"/>
      <c r="C1270" s="1164"/>
      <c r="D1270" s="1429"/>
      <c r="E1270" s="1429"/>
      <c r="F1270" s="1436"/>
      <c r="G1270" s="1436"/>
      <c r="H1270" s="1430"/>
      <c r="I1270" s="94"/>
      <c r="J1270" s="1164"/>
      <c r="K1270" s="94"/>
      <c r="L1270" s="94"/>
      <c r="M1270" s="1430"/>
      <c r="N1270" s="94"/>
      <c r="O1270" s="1430"/>
      <c r="P1270" s="94"/>
      <c r="Q1270" s="1431"/>
      <c r="R1270" s="1164"/>
      <c r="S1270" s="1164"/>
      <c r="T1270" s="1164"/>
      <c r="U1270" s="2174"/>
      <c r="V1270" s="2174"/>
      <c r="W1270" s="2174"/>
      <c r="X1270" s="1164"/>
    </row>
    <row r="1271" ht="15.75" customHeight="1">
      <c r="A1271" s="94"/>
      <c r="B1271" s="1164"/>
      <c r="C1271" s="1164"/>
      <c r="D1271" s="1429"/>
      <c r="E1271" s="1429"/>
      <c r="F1271" s="1436"/>
      <c r="G1271" s="1436"/>
      <c r="H1271" s="1430"/>
      <c r="I1271" s="94"/>
      <c r="J1271" s="1164"/>
      <c r="K1271" s="94"/>
      <c r="L1271" s="94"/>
      <c r="M1271" s="1430"/>
      <c r="N1271" s="94"/>
      <c r="O1271" s="1430"/>
      <c r="P1271" s="94"/>
      <c r="Q1271" s="1431"/>
      <c r="R1271" s="1164"/>
      <c r="S1271" s="1164"/>
      <c r="T1271" s="1164"/>
      <c r="U1271" s="2174"/>
      <c r="V1271" s="2174"/>
      <c r="W1271" s="2174"/>
      <c r="X1271" s="1164"/>
    </row>
    <row r="1272" ht="15.75" customHeight="1">
      <c r="A1272" s="94"/>
      <c r="B1272" s="94"/>
      <c r="C1272" s="1164"/>
      <c r="D1272" s="1429"/>
      <c r="E1272" s="1429"/>
      <c r="F1272" s="1436"/>
      <c r="G1272" s="1436"/>
      <c r="H1272" s="1430"/>
      <c r="I1272" s="94"/>
      <c r="J1272" s="1164"/>
      <c r="K1272" s="94"/>
      <c r="L1272" s="94"/>
      <c r="M1272" s="1430"/>
      <c r="N1272" s="94"/>
      <c r="O1272" s="1430"/>
      <c r="P1272" s="94"/>
      <c r="Q1272" s="1431"/>
      <c r="R1272" s="1164"/>
      <c r="S1272" s="1164"/>
      <c r="T1272" s="1164"/>
      <c r="U1272" s="2174"/>
      <c r="V1272" s="2174"/>
      <c r="W1272" s="2174"/>
      <c r="X1272" s="1164"/>
    </row>
    <row r="1273" ht="15.75" customHeight="1">
      <c r="A1273" s="94"/>
      <c r="B1273" s="94"/>
      <c r="C1273" s="1164"/>
      <c r="D1273" s="1429"/>
      <c r="E1273" s="1429"/>
      <c r="F1273" s="1436"/>
      <c r="G1273" s="1436"/>
      <c r="H1273" s="1430"/>
      <c r="I1273" s="94"/>
      <c r="J1273" s="1164"/>
      <c r="K1273" s="94"/>
      <c r="L1273" s="94"/>
      <c r="M1273" s="1430"/>
      <c r="N1273" s="94"/>
      <c r="O1273" s="1430"/>
      <c r="P1273" s="94"/>
      <c r="Q1273" s="1431"/>
      <c r="R1273" s="1164"/>
      <c r="S1273" s="1164"/>
      <c r="T1273" s="1164"/>
      <c r="U1273" s="2174"/>
      <c r="V1273" s="2174"/>
      <c r="W1273" s="2174"/>
      <c r="X1273" s="1164"/>
    </row>
    <row r="1274" ht="15.75" customHeight="1">
      <c r="A1274" s="94"/>
      <c r="B1274" s="94"/>
      <c r="C1274" s="1164"/>
      <c r="D1274" s="1429"/>
      <c r="E1274" s="1429"/>
      <c r="F1274" s="1436"/>
      <c r="G1274" s="1436"/>
      <c r="H1274" s="1430"/>
      <c r="I1274" s="94"/>
      <c r="J1274" s="1164"/>
      <c r="K1274" s="94"/>
      <c r="L1274" s="94"/>
      <c r="M1274" s="1430"/>
      <c r="N1274" s="94"/>
      <c r="O1274" s="1430"/>
      <c r="P1274" s="94"/>
      <c r="Q1274" s="1431"/>
      <c r="R1274" s="1164"/>
      <c r="S1274" s="1164"/>
      <c r="T1274" s="1164"/>
      <c r="U1274" s="2174"/>
      <c r="V1274" s="2174"/>
      <c r="W1274" s="2174"/>
      <c r="X1274" s="1164"/>
    </row>
    <row r="1275" ht="15.75" customHeight="1">
      <c r="A1275" s="94"/>
      <c r="B1275" s="94"/>
      <c r="C1275" s="1164"/>
      <c r="D1275" s="1429"/>
      <c r="E1275" s="1429"/>
      <c r="F1275" s="1436"/>
      <c r="G1275" s="1436"/>
      <c r="H1275" s="1430"/>
      <c r="I1275" s="94"/>
      <c r="J1275" s="1164"/>
      <c r="K1275" s="94"/>
      <c r="L1275" s="94"/>
      <c r="M1275" s="1430"/>
      <c r="N1275" s="94"/>
      <c r="O1275" s="1430"/>
      <c r="P1275" s="94"/>
      <c r="Q1275" s="1431"/>
      <c r="R1275" s="1164"/>
      <c r="S1275" s="1164"/>
      <c r="T1275" s="1164"/>
      <c r="U1275" s="2174"/>
      <c r="V1275" s="2174"/>
      <c r="W1275" s="2174"/>
      <c r="X1275" s="1164"/>
    </row>
    <row r="1276" ht="15.75" customHeight="1">
      <c r="A1276" s="94"/>
      <c r="B1276" s="1164"/>
      <c r="C1276" s="1164"/>
      <c r="D1276" s="1429"/>
      <c r="E1276" s="1429"/>
      <c r="F1276" s="1436"/>
      <c r="G1276" s="1436"/>
      <c r="H1276" s="1430"/>
      <c r="I1276" s="94"/>
      <c r="J1276" s="1164"/>
      <c r="K1276" s="94"/>
      <c r="L1276" s="94"/>
      <c r="M1276" s="1430"/>
      <c r="N1276" s="94"/>
      <c r="O1276" s="1430"/>
      <c r="P1276" s="94"/>
      <c r="Q1276" s="1431"/>
      <c r="R1276" s="1164"/>
      <c r="S1276" s="1164"/>
      <c r="T1276" s="1164"/>
      <c r="U1276" s="2174"/>
      <c r="V1276" s="2174"/>
      <c r="W1276" s="2174"/>
      <c r="X1276" s="1164"/>
    </row>
    <row r="1277" ht="15.75" customHeight="1">
      <c r="A1277" s="94"/>
      <c r="B1277" s="94"/>
      <c r="C1277" s="1164"/>
      <c r="D1277" s="1429"/>
      <c r="E1277" s="1429"/>
      <c r="F1277" s="1436"/>
      <c r="G1277" s="1436"/>
      <c r="H1277" s="1430"/>
      <c r="I1277" s="94"/>
      <c r="J1277" s="1164"/>
      <c r="K1277" s="94"/>
      <c r="L1277" s="94"/>
      <c r="M1277" s="1430"/>
      <c r="N1277" s="94"/>
      <c r="O1277" s="1430"/>
      <c r="P1277" s="94"/>
      <c r="Q1277" s="1431"/>
      <c r="R1277" s="1164"/>
      <c r="S1277" s="1164"/>
      <c r="T1277" s="1164"/>
      <c r="U1277" s="2174"/>
      <c r="V1277" s="2174"/>
      <c r="W1277" s="2174"/>
      <c r="X1277" s="1164"/>
    </row>
    <row r="1278" ht="15.75" customHeight="1">
      <c r="A1278" s="94"/>
      <c r="B1278" s="1164"/>
      <c r="C1278" s="1164"/>
      <c r="D1278" s="1429"/>
      <c r="E1278" s="1429"/>
      <c r="F1278" s="1436"/>
      <c r="G1278" s="1436"/>
      <c r="H1278" s="1430"/>
      <c r="I1278" s="94"/>
      <c r="J1278" s="1164"/>
      <c r="K1278" s="94"/>
      <c r="L1278" s="94"/>
      <c r="M1278" s="94"/>
      <c r="N1278" s="94"/>
      <c r="O1278" s="94"/>
      <c r="P1278" s="94"/>
      <c r="Q1278" s="1431"/>
      <c r="R1278" s="1164"/>
      <c r="S1278" s="1164"/>
      <c r="T1278" s="1164"/>
      <c r="U1278" s="2174"/>
      <c r="V1278" s="2174"/>
      <c r="W1278" s="2174"/>
      <c r="X1278" s="1164"/>
    </row>
    <row r="1279" ht="15.75" customHeight="1">
      <c r="A1279" s="94"/>
      <c r="B1279" s="1164"/>
      <c r="C1279" s="1164"/>
      <c r="D1279" s="1429"/>
      <c r="E1279" s="1429"/>
      <c r="F1279" s="1436"/>
      <c r="G1279" s="1436"/>
      <c r="H1279" s="1430"/>
      <c r="I1279" s="94"/>
      <c r="J1279" s="1164"/>
      <c r="K1279" s="94"/>
      <c r="L1279" s="94"/>
      <c r="M1279" s="1430"/>
      <c r="N1279" s="94"/>
      <c r="O1279" s="1430"/>
      <c r="P1279" s="94"/>
      <c r="Q1279" s="1431"/>
      <c r="R1279" s="1164"/>
      <c r="S1279" s="1164"/>
      <c r="T1279" s="1164"/>
      <c r="U1279" s="2174"/>
      <c r="V1279" s="2174"/>
      <c r="W1279" s="2174"/>
      <c r="X1279" s="1164"/>
    </row>
    <row r="1280" ht="15.75" customHeight="1">
      <c r="A1280" s="94"/>
      <c r="B1280" s="1164"/>
      <c r="C1280" s="1164"/>
      <c r="D1280" s="1429"/>
      <c r="E1280" s="1429"/>
      <c r="F1280" s="1436"/>
      <c r="G1280" s="1436"/>
      <c r="H1280" s="1430"/>
      <c r="I1280" s="94"/>
      <c r="J1280" s="1164"/>
      <c r="K1280" s="94"/>
      <c r="L1280" s="94"/>
      <c r="M1280" s="94"/>
      <c r="N1280" s="94"/>
      <c r="O1280" s="94"/>
      <c r="P1280" s="94"/>
      <c r="Q1280" s="1431"/>
      <c r="R1280" s="1164"/>
      <c r="S1280" s="1164"/>
      <c r="T1280" s="1164"/>
      <c r="U1280" s="2174"/>
      <c r="V1280" s="94"/>
      <c r="W1280" s="2174"/>
      <c r="X1280" s="1164"/>
    </row>
    <row r="1281" ht="15.75" customHeight="1">
      <c r="A1281" s="94"/>
      <c r="B1281" s="94"/>
      <c r="C1281" s="1164"/>
      <c r="D1281" s="1429"/>
      <c r="E1281" s="1429"/>
      <c r="F1281" s="1436"/>
      <c r="G1281" s="1436"/>
      <c r="H1281" s="1430"/>
      <c r="I1281" s="94"/>
      <c r="J1281" s="1164"/>
      <c r="K1281" s="94"/>
      <c r="L1281" s="94"/>
      <c r="M1281" s="1430"/>
      <c r="N1281" s="94"/>
      <c r="O1281" s="1430"/>
      <c r="P1281" s="94"/>
      <c r="Q1281" s="1431"/>
      <c r="R1281" s="1164"/>
      <c r="S1281" s="1164"/>
      <c r="T1281" s="1164"/>
      <c r="U1281" s="2174"/>
      <c r="V1281" s="2174"/>
      <c r="W1281" s="2174"/>
      <c r="X1281" s="1164"/>
    </row>
    <row r="1282" ht="15.75" customHeight="1">
      <c r="A1282" s="94"/>
      <c r="B1282" s="1164"/>
      <c r="C1282" s="1164"/>
      <c r="D1282" s="1429"/>
      <c r="E1282" s="1429"/>
      <c r="F1282" s="1436"/>
      <c r="G1282" s="1436"/>
      <c r="H1282" s="1430"/>
      <c r="I1282" s="94"/>
      <c r="J1282" s="1164"/>
      <c r="K1282" s="94"/>
      <c r="L1282" s="94"/>
      <c r="M1282" s="1430"/>
      <c r="N1282" s="94"/>
      <c r="O1282" s="1430"/>
      <c r="P1282" s="94"/>
      <c r="Q1282" s="1431"/>
      <c r="R1282" s="1164"/>
      <c r="S1282" s="1164"/>
      <c r="T1282" s="1164"/>
      <c r="U1282" s="2174"/>
      <c r="V1282" s="2174"/>
      <c r="W1282" s="2174"/>
      <c r="X1282" s="1164"/>
    </row>
    <row r="1283" ht="15.75" customHeight="1">
      <c r="A1283" s="94"/>
      <c r="B1283" s="94"/>
      <c r="C1283" s="1164"/>
      <c r="D1283" s="1429"/>
      <c r="E1283" s="1429"/>
      <c r="F1283" s="1436"/>
      <c r="G1283" s="1436"/>
      <c r="H1283" s="1430"/>
      <c r="I1283" s="94"/>
      <c r="J1283" s="1164"/>
      <c r="K1283" s="94"/>
      <c r="L1283" s="94"/>
      <c r="M1283" s="94"/>
      <c r="N1283" s="94"/>
      <c r="O1283" s="94"/>
      <c r="P1283" s="94"/>
      <c r="Q1283" s="1431"/>
      <c r="R1283" s="1164"/>
      <c r="S1283" s="1164"/>
      <c r="T1283" s="1164"/>
      <c r="U1283" s="2174"/>
      <c r="V1283" s="2174"/>
      <c r="W1283" s="2174"/>
      <c r="X1283" s="1164"/>
    </row>
    <row r="1284" ht="15.75" customHeight="1">
      <c r="A1284" s="94"/>
      <c r="B1284" s="94"/>
      <c r="C1284" s="1164"/>
      <c r="D1284" s="1429"/>
      <c r="E1284" s="1429"/>
      <c r="F1284" s="1436"/>
      <c r="G1284" s="1436"/>
      <c r="H1284" s="1430"/>
      <c r="I1284" s="94"/>
      <c r="J1284" s="1164"/>
      <c r="K1284" s="94"/>
      <c r="L1284" s="94"/>
      <c r="M1284" s="94"/>
      <c r="N1284" s="94"/>
      <c r="O1284" s="94"/>
      <c r="P1284" s="94"/>
      <c r="Q1284" s="1431"/>
      <c r="R1284" s="1164"/>
      <c r="S1284" s="1164"/>
      <c r="T1284" s="1164"/>
      <c r="U1284" s="2174"/>
      <c r="V1284" s="2174"/>
      <c r="W1284" s="2174"/>
      <c r="X1284" s="1164"/>
    </row>
    <row r="1285" ht="15.75" customHeight="1">
      <c r="A1285" s="94"/>
      <c r="B1285" s="94"/>
      <c r="C1285" s="1164"/>
      <c r="D1285" s="1429"/>
      <c r="E1285" s="1429"/>
      <c r="F1285" s="1436"/>
      <c r="G1285" s="1436"/>
      <c r="H1285" s="1430"/>
      <c r="I1285" s="94"/>
      <c r="J1285" s="1164"/>
      <c r="K1285" s="94"/>
      <c r="L1285" s="94"/>
      <c r="M1285" s="1430"/>
      <c r="N1285" s="94"/>
      <c r="O1285" s="1430"/>
      <c r="P1285" s="94"/>
      <c r="Q1285" s="1431"/>
      <c r="R1285" s="1164"/>
      <c r="S1285" s="1164"/>
      <c r="T1285" s="1164"/>
      <c r="U1285" s="2174"/>
      <c r="V1285" s="2174"/>
      <c r="W1285" s="2174"/>
      <c r="X1285" s="1164"/>
    </row>
    <row r="1286" ht="15.75" customHeight="1">
      <c r="A1286" s="94"/>
      <c r="B1286" s="94"/>
      <c r="C1286" s="1164"/>
      <c r="D1286" s="1429"/>
      <c r="E1286" s="1429"/>
      <c r="F1286" s="1436"/>
      <c r="G1286" s="1436"/>
      <c r="H1286" s="1430"/>
      <c r="I1286" s="94"/>
      <c r="J1286" s="1164"/>
      <c r="K1286" s="94"/>
      <c r="L1286" s="94"/>
      <c r="M1286" s="1430"/>
      <c r="N1286" s="94"/>
      <c r="O1286" s="1430"/>
      <c r="P1286" s="94"/>
      <c r="Q1286" s="1431"/>
      <c r="R1286" s="1164"/>
      <c r="S1286" s="1164"/>
      <c r="T1286" s="1164"/>
      <c r="U1286" s="2174"/>
      <c r="V1286" s="2174"/>
      <c r="W1286" s="2174"/>
      <c r="X1286" s="1164"/>
    </row>
    <row r="1287" ht="15.75" customHeight="1">
      <c r="A1287" s="94"/>
      <c r="B1287" s="94"/>
      <c r="C1287" s="94"/>
      <c r="D1287" s="94"/>
      <c r="E1287" s="94"/>
      <c r="F1287" s="94"/>
      <c r="G1287" s="94"/>
      <c r="H1287" s="1164"/>
      <c r="I1287" s="1164"/>
      <c r="J1287" s="1164"/>
      <c r="K1287" s="1430"/>
      <c r="L1287" s="1430"/>
      <c r="M1287" s="1430"/>
      <c r="N1287" s="1430"/>
      <c r="O1287" s="1430"/>
      <c r="P1287" s="1430"/>
      <c r="Q1287" s="94"/>
      <c r="R1287" s="1430"/>
      <c r="S1287" s="1430"/>
      <c r="T1287" s="1164"/>
      <c r="U1287" s="94"/>
      <c r="V1287" s="94"/>
      <c r="W1287" s="94"/>
      <c r="X1287" s="1430"/>
    </row>
    <row r="1288" ht="15.75" customHeight="1">
      <c r="A1288" s="94"/>
      <c r="B1288" s="1164"/>
      <c r="C1288" s="1164"/>
      <c r="D1288" s="1429"/>
      <c r="E1288" s="1429"/>
      <c r="F1288" s="1436"/>
      <c r="G1288" s="1436"/>
      <c r="H1288" s="1430"/>
      <c r="I1288" s="94"/>
      <c r="J1288" s="1164"/>
      <c r="K1288" s="94"/>
      <c r="L1288" s="94"/>
      <c r="M1288" s="1430"/>
      <c r="N1288" s="94"/>
      <c r="O1288" s="1430"/>
      <c r="P1288" s="94"/>
      <c r="Q1288" s="1431"/>
      <c r="R1288" s="1164"/>
      <c r="S1288" s="1164"/>
      <c r="T1288" s="1164"/>
      <c r="U1288" s="2174"/>
      <c r="V1288" s="2174"/>
      <c r="W1288" s="2174"/>
      <c r="X1288" s="1164"/>
    </row>
    <row r="1289" ht="15.75" customHeight="1">
      <c r="A1289" s="94"/>
      <c r="B1289" s="94"/>
      <c r="C1289" s="1164"/>
      <c r="D1289" s="1429"/>
      <c r="E1289" s="1429"/>
      <c r="F1289" s="1436"/>
      <c r="G1289" s="1436"/>
      <c r="H1289" s="1430"/>
      <c r="I1289" s="94"/>
      <c r="J1289" s="1164"/>
      <c r="K1289" s="94"/>
      <c r="L1289" s="94"/>
      <c r="M1289" s="1430"/>
      <c r="N1289" s="94"/>
      <c r="O1289" s="1430"/>
      <c r="P1289" s="94"/>
      <c r="Q1289" s="1431"/>
      <c r="R1289" s="1164"/>
      <c r="S1289" s="1164"/>
      <c r="T1289" s="1164"/>
      <c r="U1289" s="2174"/>
      <c r="V1289" s="2174"/>
      <c r="W1289" s="2174"/>
      <c r="X1289" s="1164"/>
    </row>
    <row r="1290" ht="15.75" customHeight="1">
      <c r="A1290" s="94"/>
      <c r="B1290" s="1164"/>
      <c r="C1290" s="1164"/>
      <c r="D1290" s="1429"/>
      <c r="E1290" s="1429"/>
      <c r="F1290" s="1436"/>
      <c r="G1290" s="1436"/>
      <c r="H1290" s="1430"/>
      <c r="I1290" s="94"/>
      <c r="J1290" s="1164"/>
      <c r="K1290" s="94"/>
      <c r="L1290" s="94"/>
      <c r="M1290" s="1430"/>
      <c r="N1290" s="94"/>
      <c r="O1290" s="1430"/>
      <c r="P1290" s="94"/>
      <c r="Q1290" s="1431"/>
      <c r="R1290" s="1164"/>
      <c r="S1290" s="1164"/>
      <c r="T1290" s="1164"/>
      <c r="U1290" s="2174"/>
      <c r="V1290" s="2174"/>
      <c r="W1290" s="2174"/>
      <c r="X1290" s="1164"/>
    </row>
    <row r="1291" ht="15.75" customHeight="1">
      <c r="A1291" s="94"/>
      <c r="B1291" s="94"/>
      <c r="C1291" s="1164"/>
      <c r="D1291" s="1429"/>
      <c r="E1291" s="1429"/>
      <c r="F1291" s="1436"/>
      <c r="G1291" s="1436"/>
      <c r="H1291" s="1430"/>
      <c r="I1291" s="94"/>
      <c r="J1291" s="1164"/>
      <c r="K1291" s="94"/>
      <c r="L1291" s="94"/>
      <c r="M1291" s="1430"/>
      <c r="N1291" s="94"/>
      <c r="O1291" s="1430"/>
      <c r="P1291" s="94"/>
      <c r="Q1291" s="1431"/>
      <c r="R1291" s="1164"/>
      <c r="S1291" s="1164"/>
      <c r="T1291" s="1164"/>
      <c r="U1291" s="2174"/>
      <c r="V1291" s="2174"/>
      <c r="W1291" s="2174"/>
      <c r="X1291" s="1164"/>
    </row>
    <row r="1292" ht="15.75" customHeight="1">
      <c r="A1292" s="94"/>
      <c r="B1292" s="94"/>
      <c r="C1292" s="1164"/>
      <c r="D1292" s="1429"/>
      <c r="E1292" s="1429"/>
      <c r="F1292" s="1436"/>
      <c r="G1292" s="1436"/>
      <c r="H1292" s="1430"/>
      <c r="I1292" s="94"/>
      <c r="J1292" s="1164"/>
      <c r="K1292" s="94"/>
      <c r="L1292" s="94"/>
      <c r="M1292" s="1430"/>
      <c r="N1292" s="94"/>
      <c r="O1292" s="1430"/>
      <c r="P1292" s="94"/>
      <c r="Q1292" s="1431"/>
      <c r="R1292" s="1164"/>
      <c r="S1292" s="1164"/>
      <c r="T1292" s="1164"/>
      <c r="U1292" s="2174"/>
      <c r="V1292" s="2174"/>
      <c r="W1292" s="2174"/>
      <c r="X1292" s="1164"/>
    </row>
    <row r="1293" ht="15.75" customHeight="1">
      <c r="A1293" s="94"/>
      <c r="B1293" s="94"/>
      <c r="C1293" s="1164"/>
      <c r="D1293" s="1429"/>
      <c r="E1293" s="1429"/>
      <c r="F1293" s="1436"/>
      <c r="G1293" s="1436"/>
      <c r="H1293" s="1430"/>
      <c r="I1293" s="94"/>
      <c r="J1293" s="1164"/>
      <c r="K1293" s="94"/>
      <c r="L1293" s="94"/>
      <c r="M1293" s="1430"/>
      <c r="N1293" s="94"/>
      <c r="O1293" s="1430"/>
      <c r="P1293" s="94"/>
      <c r="Q1293" s="1431"/>
      <c r="R1293" s="1164"/>
      <c r="S1293" s="1164"/>
      <c r="T1293" s="1164"/>
      <c r="U1293" s="2174"/>
      <c r="V1293" s="2174"/>
      <c r="W1293" s="2174"/>
      <c r="X1293" s="1164"/>
    </row>
    <row r="1294" ht="15.75" customHeight="1">
      <c r="A1294" s="94"/>
      <c r="B1294" s="1164"/>
      <c r="C1294" s="1164"/>
      <c r="D1294" s="1429"/>
      <c r="E1294" s="1429"/>
      <c r="F1294" s="1436"/>
      <c r="G1294" s="1436"/>
      <c r="H1294" s="1430"/>
      <c r="I1294" s="94"/>
      <c r="J1294" s="1164"/>
      <c r="K1294" s="94"/>
      <c r="L1294" s="94"/>
      <c r="M1294" s="94"/>
      <c r="N1294" s="94"/>
      <c r="O1294" s="94"/>
      <c r="P1294" s="94"/>
      <c r="Q1294" s="1431"/>
      <c r="R1294" s="1164"/>
      <c r="S1294" s="1164"/>
      <c r="T1294" s="1164"/>
      <c r="U1294" s="94"/>
      <c r="V1294" s="2174"/>
      <c r="W1294" s="2174"/>
      <c r="X1294" s="1164"/>
    </row>
    <row r="1295" ht="15.75" customHeight="1">
      <c r="A1295" s="94"/>
      <c r="B1295" s="94"/>
      <c r="C1295" s="1164"/>
      <c r="D1295" s="1429"/>
      <c r="E1295" s="1429"/>
      <c r="F1295" s="1436"/>
      <c r="G1295" s="1436"/>
      <c r="H1295" s="1430"/>
      <c r="I1295" s="94"/>
      <c r="J1295" s="1164"/>
      <c r="K1295" s="94"/>
      <c r="L1295" s="94"/>
      <c r="M1295" s="1430"/>
      <c r="N1295" s="94"/>
      <c r="O1295" s="1430"/>
      <c r="P1295" s="94"/>
      <c r="Q1295" s="1431"/>
      <c r="R1295" s="1164"/>
      <c r="S1295" s="1164"/>
      <c r="T1295" s="1164"/>
      <c r="U1295" s="2174"/>
      <c r="V1295" s="2174"/>
      <c r="W1295" s="2174"/>
      <c r="X1295" s="1164"/>
    </row>
    <row r="1296" ht="15.75" customHeight="1">
      <c r="A1296" s="94"/>
      <c r="B1296" s="94"/>
      <c r="C1296" s="1164"/>
      <c r="D1296" s="1429"/>
      <c r="E1296" s="1429"/>
      <c r="F1296" s="1436"/>
      <c r="G1296" s="1436"/>
      <c r="H1296" s="1430"/>
      <c r="I1296" s="94"/>
      <c r="J1296" s="1164"/>
      <c r="K1296" s="94"/>
      <c r="L1296" s="94"/>
      <c r="M1296" s="1430"/>
      <c r="N1296" s="94"/>
      <c r="O1296" s="1430"/>
      <c r="P1296" s="94"/>
      <c r="Q1296" s="1431"/>
      <c r="R1296" s="1164"/>
      <c r="S1296" s="1164"/>
      <c r="T1296" s="1164"/>
      <c r="U1296" s="2174"/>
      <c r="V1296" s="2174"/>
      <c r="W1296" s="2174"/>
      <c r="X1296" s="1164"/>
    </row>
    <row r="1297" ht="15.75" customHeight="1">
      <c r="A1297" s="94"/>
      <c r="B1297" s="1164"/>
      <c r="C1297" s="1164"/>
      <c r="D1297" s="1429"/>
      <c r="E1297" s="1429"/>
      <c r="F1297" s="1436"/>
      <c r="G1297" s="1436"/>
      <c r="H1297" s="1430"/>
      <c r="I1297" s="94"/>
      <c r="J1297" s="1164"/>
      <c r="K1297" s="94"/>
      <c r="L1297" s="94"/>
      <c r="M1297" s="94"/>
      <c r="N1297" s="94"/>
      <c r="O1297" s="94"/>
      <c r="P1297" s="94"/>
      <c r="Q1297" s="1431"/>
      <c r="R1297" s="1164"/>
      <c r="S1297" s="1164"/>
      <c r="T1297" s="1164"/>
      <c r="U1297" s="94"/>
      <c r="V1297" s="2174"/>
      <c r="W1297" s="2174"/>
      <c r="X1297" s="1164"/>
    </row>
    <row r="1298" ht="15.75" customHeight="1">
      <c r="A1298" s="94"/>
      <c r="B1298" s="94"/>
      <c r="C1298" s="1164"/>
      <c r="D1298" s="1429"/>
      <c r="E1298" s="1429"/>
      <c r="F1298" s="1436"/>
      <c r="G1298" s="1436"/>
      <c r="H1298" s="1430"/>
      <c r="I1298" s="94"/>
      <c r="J1298" s="1164"/>
      <c r="K1298" s="94"/>
      <c r="L1298" s="94"/>
      <c r="M1298" s="1430"/>
      <c r="N1298" s="94"/>
      <c r="O1298" s="1430"/>
      <c r="P1298" s="94"/>
      <c r="Q1298" s="1431"/>
      <c r="R1298" s="1164"/>
      <c r="S1298" s="1164"/>
      <c r="T1298" s="1164"/>
      <c r="U1298" s="2174"/>
      <c r="V1298" s="2174"/>
      <c r="W1298" s="2174"/>
      <c r="X1298" s="1164"/>
    </row>
    <row r="1299" ht="15.75" customHeight="1">
      <c r="A1299" s="94"/>
      <c r="B1299" s="1164"/>
      <c r="C1299" s="1164"/>
      <c r="D1299" s="1429"/>
      <c r="E1299" s="1429"/>
      <c r="F1299" s="1436"/>
      <c r="G1299" s="1436"/>
      <c r="H1299" s="1430"/>
      <c r="I1299" s="94"/>
      <c r="J1299" s="1164"/>
      <c r="K1299" s="94"/>
      <c r="L1299" s="94"/>
      <c r="M1299" s="1430"/>
      <c r="N1299" s="94"/>
      <c r="O1299" s="1430"/>
      <c r="P1299" s="94"/>
      <c r="Q1299" s="1431"/>
      <c r="R1299" s="1164"/>
      <c r="S1299" s="1164"/>
      <c r="T1299" s="1164"/>
      <c r="U1299" s="2174"/>
      <c r="V1299" s="2174"/>
      <c r="W1299" s="2174"/>
      <c r="X1299" s="1164"/>
    </row>
    <row r="1300" ht="15.75" customHeight="1">
      <c r="A1300" s="94"/>
      <c r="B1300" s="94"/>
      <c r="C1300" s="1164"/>
      <c r="D1300" s="1429"/>
      <c r="E1300" s="1429"/>
      <c r="F1300" s="1436"/>
      <c r="G1300" s="1436"/>
      <c r="H1300" s="1430"/>
      <c r="I1300" s="94"/>
      <c r="J1300" s="1164"/>
      <c r="K1300" s="94"/>
      <c r="L1300" s="94"/>
      <c r="M1300" s="1430"/>
      <c r="N1300" s="94"/>
      <c r="O1300" s="1430"/>
      <c r="P1300" s="94"/>
      <c r="Q1300" s="1431"/>
      <c r="R1300" s="1164"/>
      <c r="S1300" s="1164"/>
      <c r="T1300" s="1164"/>
      <c r="U1300" s="2174"/>
      <c r="V1300" s="2174"/>
      <c r="W1300" s="2174"/>
      <c r="X1300" s="1164"/>
    </row>
    <row r="1301" ht="15.75" customHeight="1">
      <c r="A1301" s="94"/>
      <c r="B1301" s="94"/>
      <c r="C1301" s="1164"/>
      <c r="D1301" s="1429"/>
      <c r="E1301" s="1429"/>
      <c r="F1301" s="1436"/>
      <c r="G1301" s="1436"/>
      <c r="H1301" s="1430"/>
      <c r="I1301" s="94"/>
      <c r="J1301" s="1164"/>
      <c r="K1301" s="94"/>
      <c r="L1301" s="94"/>
      <c r="M1301" s="1430"/>
      <c r="N1301" s="94"/>
      <c r="O1301" s="1430"/>
      <c r="P1301" s="94"/>
      <c r="Q1301" s="1431"/>
      <c r="R1301" s="1164"/>
      <c r="S1301" s="1164"/>
      <c r="T1301" s="1164"/>
      <c r="U1301" s="2174"/>
      <c r="V1301" s="2174"/>
      <c r="W1301" s="2174"/>
      <c r="X1301" s="1164"/>
    </row>
    <row r="1302" ht="15.75" customHeight="1">
      <c r="A1302" s="94"/>
      <c r="B1302" s="94"/>
      <c r="C1302" s="1164"/>
      <c r="D1302" s="1429"/>
      <c r="E1302" s="1429"/>
      <c r="F1302" s="1436"/>
      <c r="G1302" s="1436"/>
      <c r="H1302" s="1430"/>
      <c r="I1302" s="94"/>
      <c r="J1302" s="1164"/>
      <c r="K1302" s="94"/>
      <c r="L1302" s="94"/>
      <c r="M1302" s="1430"/>
      <c r="N1302" s="94"/>
      <c r="O1302" s="1430"/>
      <c r="P1302" s="94"/>
      <c r="Q1302" s="1431"/>
      <c r="R1302" s="1164"/>
      <c r="S1302" s="1164"/>
      <c r="T1302" s="1164"/>
      <c r="U1302" s="2174"/>
      <c r="V1302" s="2174"/>
      <c r="W1302" s="2174"/>
      <c r="X1302" s="1164"/>
    </row>
    <row r="1303" ht="15.75" customHeight="1">
      <c r="A1303" s="94"/>
      <c r="B1303" s="94"/>
      <c r="C1303" s="1164"/>
      <c r="D1303" s="1429"/>
      <c r="E1303" s="1429"/>
      <c r="F1303" s="1436"/>
      <c r="G1303" s="1436"/>
      <c r="H1303" s="1430"/>
      <c r="I1303" s="94"/>
      <c r="J1303" s="1164"/>
      <c r="K1303" s="94"/>
      <c r="L1303" s="94"/>
      <c r="M1303" s="94"/>
      <c r="N1303" s="94"/>
      <c r="O1303" s="94"/>
      <c r="P1303" s="94"/>
      <c r="Q1303" s="1431"/>
      <c r="R1303" s="1164"/>
      <c r="S1303" s="1164"/>
      <c r="T1303" s="1164"/>
      <c r="U1303" s="94"/>
      <c r="V1303" s="2174"/>
      <c r="W1303" s="2174"/>
      <c r="X1303" s="1164"/>
    </row>
    <row r="1304" ht="15.75" customHeight="1">
      <c r="A1304" s="94"/>
      <c r="B1304" s="1164"/>
      <c r="C1304" s="1164"/>
      <c r="D1304" s="1429"/>
      <c r="E1304" s="1429"/>
      <c r="F1304" s="1436"/>
      <c r="G1304" s="1436"/>
      <c r="H1304" s="1430"/>
      <c r="I1304" s="94"/>
      <c r="J1304" s="1164"/>
      <c r="K1304" s="94"/>
      <c r="L1304" s="94"/>
      <c r="M1304" s="94"/>
      <c r="N1304" s="94"/>
      <c r="O1304" s="94"/>
      <c r="P1304" s="94"/>
      <c r="Q1304" s="1431"/>
      <c r="R1304" s="1164"/>
      <c r="S1304" s="1164"/>
      <c r="T1304" s="1164"/>
      <c r="U1304" s="94"/>
      <c r="V1304" s="2174"/>
      <c r="W1304" s="2174"/>
      <c r="X1304" s="1164"/>
    </row>
    <row r="1305" ht="15.75" customHeight="1">
      <c r="A1305" s="94"/>
      <c r="B1305" s="94"/>
      <c r="C1305" s="1164"/>
      <c r="D1305" s="1429"/>
      <c r="E1305" s="1429"/>
      <c r="F1305" s="1436"/>
      <c r="G1305" s="1436"/>
      <c r="H1305" s="1430"/>
      <c r="I1305" s="94"/>
      <c r="J1305" s="1164"/>
      <c r="K1305" s="94"/>
      <c r="L1305" s="94"/>
      <c r="M1305" s="1430"/>
      <c r="N1305" s="94"/>
      <c r="O1305" s="1430"/>
      <c r="P1305" s="94"/>
      <c r="Q1305" s="1431"/>
      <c r="R1305" s="1164"/>
      <c r="S1305" s="1164"/>
      <c r="T1305" s="1164"/>
      <c r="U1305" s="2174"/>
      <c r="V1305" s="2174"/>
      <c r="W1305" s="2174"/>
      <c r="X1305" s="1164"/>
    </row>
    <row r="1306" ht="15.75" customHeight="1">
      <c r="A1306" s="94"/>
      <c r="B1306" s="1164"/>
      <c r="C1306" s="1164"/>
      <c r="D1306" s="1429"/>
      <c r="E1306" s="1429"/>
      <c r="F1306" s="1436"/>
      <c r="G1306" s="1436"/>
      <c r="H1306" s="1430"/>
      <c r="I1306" s="94"/>
      <c r="J1306" s="1164"/>
      <c r="K1306" s="94"/>
      <c r="L1306" s="94"/>
      <c r="M1306" s="1430"/>
      <c r="N1306" s="94"/>
      <c r="O1306" s="1430"/>
      <c r="P1306" s="94"/>
      <c r="Q1306" s="1431"/>
      <c r="R1306" s="1164"/>
      <c r="S1306" s="1164"/>
      <c r="T1306" s="1164"/>
      <c r="U1306" s="2174"/>
      <c r="V1306" s="2174"/>
      <c r="W1306" s="2174"/>
      <c r="X1306" s="1164"/>
    </row>
    <row r="1307" ht="15.75" customHeight="1">
      <c r="A1307" s="94"/>
      <c r="B1307" s="1164"/>
      <c r="C1307" s="1164"/>
      <c r="D1307" s="1429"/>
      <c r="E1307" s="1429"/>
      <c r="F1307" s="1436"/>
      <c r="G1307" s="1436"/>
      <c r="H1307" s="1430"/>
      <c r="I1307" s="94"/>
      <c r="J1307" s="1164"/>
      <c r="K1307" s="94"/>
      <c r="L1307" s="94"/>
      <c r="M1307" s="94"/>
      <c r="N1307" s="94"/>
      <c r="O1307" s="94"/>
      <c r="P1307" s="94"/>
      <c r="Q1307" s="1431"/>
      <c r="R1307" s="1164"/>
      <c r="S1307" s="1164"/>
      <c r="T1307" s="1164"/>
      <c r="U1307" s="94"/>
      <c r="V1307" s="2174"/>
      <c r="W1307" s="2174"/>
      <c r="X1307" s="1164"/>
    </row>
    <row r="1308" ht="15.75" customHeight="1">
      <c r="A1308" s="94"/>
      <c r="B1308" s="1164"/>
      <c r="C1308" s="1164"/>
      <c r="D1308" s="1429"/>
      <c r="E1308" s="1429"/>
      <c r="F1308" s="1436"/>
      <c r="G1308" s="1436"/>
      <c r="H1308" s="1430"/>
      <c r="I1308" s="94"/>
      <c r="J1308" s="1164"/>
      <c r="K1308" s="94"/>
      <c r="L1308" s="94"/>
      <c r="M1308" s="94"/>
      <c r="N1308" s="94"/>
      <c r="O1308" s="94"/>
      <c r="P1308" s="94"/>
      <c r="Q1308" s="1431"/>
      <c r="R1308" s="1164"/>
      <c r="S1308" s="1164"/>
      <c r="T1308" s="1164"/>
      <c r="U1308" s="94"/>
      <c r="V1308" s="2174"/>
      <c r="W1308" s="2174"/>
      <c r="X1308" s="1164"/>
    </row>
    <row r="1309" ht="15.75" customHeight="1">
      <c r="A1309" s="94"/>
      <c r="B1309" s="94"/>
      <c r="C1309" s="1164"/>
      <c r="D1309" s="1429"/>
      <c r="E1309" s="1429"/>
      <c r="F1309" s="1436"/>
      <c r="G1309" s="1436"/>
      <c r="H1309" s="1430"/>
      <c r="I1309" s="94"/>
      <c r="J1309" s="1164"/>
      <c r="K1309" s="94"/>
      <c r="L1309" s="94"/>
      <c r="M1309" s="1430"/>
      <c r="N1309" s="94"/>
      <c r="O1309" s="1430"/>
      <c r="P1309" s="94"/>
      <c r="Q1309" s="1431"/>
      <c r="R1309" s="1164"/>
      <c r="S1309" s="1164"/>
      <c r="T1309" s="1164"/>
      <c r="U1309" s="2174"/>
      <c r="V1309" s="2174"/>
      <c r="W1309" s="2174"/>
      <c r="X1309" s="1164"/>
    </row>
    <row r="1310" ht="15.75" customHeight="1">
      <c r="A1310" s="94"/>
      <c r="B1310" s="1164"/>
      <c r="C1310" s="1164"/>
      <c r="D1310" s="1429"/>
      <c r="E1310" s="1429"/>
      <c r="F1310" s="1436"/>
      <c r="G1310" s="1436"/>
      <c r="H1310" s="1430"/>
      <c r="I1310" s="94"/>
      <c r="J1310" s="1164"/>
      <c r="K1310" s="94"/>
      <c r="L1310" s="94"/>
      <c r="M1310" s="1430"/>
      <c r="N1310" s="94"/>
      <c r="O1310" s="1430"/>
      <c r="P1310" s="94"/>
      <c r="Q1310" s="1431"/>
      <c r="R1310" s="1164"/>
      <c r="S1310" s="1164"/>
      <c r="T1310" s="1164"/>
      <c r="U1310" s="2174"/>
      <c r="V1310" s="2174"/>
      <c r="W1310" s="2174"/>
      <c r="X1310" s="1164"/>
    </row>
    <row r="1311" ht="15.75" customHeight="1">
      <c r="A1311" s="94"/>
      <c r="B1311" s="1164"/>
      <c r="C1311" s="1164"/>
      <c r="D1311" s="1429"/>
      <c r="E1311" s="1429"/>
      <c r="F1311" s="1436"/>
      <c r="G1311" s="1436"/>
      <c r="H1311" s="1430"/>
      <c r="I1311" s="94"/>
      <c r="J1311" s="1164"/>
      <c r="K1311" s="94"/>
      <c r="L1311" s="94"/>
      <c r="M1311" s="1430"/>
      <c r="N1311" s="94"/>
      <c r="O1311" s="1430"/>
      <c r="P1311" s="94"/>
      <c r="Q1311" s="1431"/>
      <c r="R1311" s="1164"/>
      <c r="S1311" s="1164"/>
      <c r="T1311" s="1164"/>
      <c r="U1311" s="2174"/>
      <c r="V1311" s="2174"/>
      <c r="W1311" s="2174"/>
      <c r="X1311" s="1164"/>
    </row>
    <row r="1312" ht="15.75" customHeight="1">
      <c r="A1312" s="94"/>
      <c r="B1312" s="94"/>
      <c r="C1312" s="1164"/>
      <c r="D1312" s="1429"/>
      <c r="E1312" s="1429"/>
      <c r="F1312" s="1436"/>
      <c r="G1312" s="1436"/>
      <c r="H1312" s="1430"/>
      <c r="I1312" s="94"/>
      <c r="J1312" s="1164"/>
      <c r="K1312" s="94"/>
      <c r="L1312" s="94"/>
      <c r="M1312" s="1430"/>
      <c r="N1312" s="94"/>
      <c r="O1312" s="1430"/>
      <c r="P1312" s="94"/>
      <c r="Q1312" s="1431"/>
      <c r="R1312" s="1164"/>
      <c r="S1312" s="1164"/>
      <c r="T1312" s="1164"/>
      <c r="U1312" s="2174"/>
      <c r="V1312" s="2174"/>
      <c r="W1312" s="2174"/>
      <c r="X1312" s="1164"/>
    </row>
    <row r="1313" ht="15.75" customHeight="1">
      <c r="A1313" s="94"/>
      <c r="B1313" s="94"/>
      <c r="C1313" s="1164"/>
      <c r="D1313" s="1429"/>
      <c r="E1313" s="1429"/>
      <c r="F1313" s="1436"/>
      <c r="G1313" s="1436"/>
      <c r="H1313" s="1430"/>
      <c r="I1313" s="94"/>
      <c r="J1313" s="1164"/>
      <c r="K1313" s="94"/>
      <c r="L1313" s="94"/>
      <c r="M1313" s="94"/>
      <c r="N1313" s="94"/>
      <c r="O1313" s="94"/>
      <c r="P1313" s="94"/>
      <c r="Q1313" s="1431"/>
      <c r="R1313" s="1164"/>
      <c r="S1313" s="1164"/>
      <c r="T1313" s="1164"/>
      <c r="U1313" s="94"/>
      <c r="V1313" s="2174"/>
      <c r="W1313" s="2174"/>
      <c r="X1313" s="1164"/>
    </row>
    <row r="1314" ht="15.75" customHeight="1">
      <c r="A1314" s="94"/>
      <c r="B1314" s="94"/>
      <c r="C1314" s="1164"/>
      <c r="D1314" s="1429"/>
      <c r="E1314" s="1429"/>
      <c r="F1314" s="1436"/>
      <c r="G1314" s="1436"/>
      <c r="H1314" s="1430"/>
      <c r="I1314" s="94"/>
      <c r="J1314" s="1164"/>
      <c r="K1314" s="94"/>
      <c r="L1314" s="94"/>
      <c r="M1314" s="1430"/>
      <c r="N1314" s="94"/>
      <c r="O1314" s="1430"/>
      <c r="P1314" s="94"/>
      <c r="Q1314" s="1431"/>
      <c r="R1314" s="1164"/>
      <c r="S1314" s="1164"/>
      <c r="T1314" s="1164"/>
      <c r="U1314" s="2174"/>
      <c r="V1314" s="2174"/>
      <c r="W1314" s="2174"/>
      <c r="X1314" s="1164"/>
    </row>
    <row r="1315" ht="15.75" customHeight="1">
      <c r="A1315" s="94"/>
      <c r="B1315" s="1164"/>
      <c r="C1315" s="1164"/>
      <c r="D1315" s="1429"/>
      <c r="E1315" s="1429"/>
      <c r="F1315" s="1436"/>
      <c r="G1315" s="1436"/>
      <c r="H1315" s="1430"/>
      <c r="I1315" s="94"/>
      <c r="J1315" s="1164"/>
      <c r="K1315" s="94"/>
      <c r="L1315" s="94"/>
      <c r="M1315" s="1430"/>
      <c r="N1315" s="94"/>
      <c r="O1315" s="1430"/>
      <c r="P1315" s="94"/>
      <c r="Q1315" s="1431"/>
      <c r="R1315" s="1164"/>
      <c r="S1315" s="1164"/>
      <c r="T1315" s="1164"/>
      <c r="U1315" s="2174"/>
      <c r="V1315" s="2174"/>
      <c r="W1315" s="2174"/>
      <c r="X1315" s="1164"/>
    </row>
    <row r="1316" ht="15.75" customHeight="1">
      <c r="A1316" s="94"/>
      <c r="B1316" s="1164"/>
      <c r="C1316" s="1164"/>
      <c r="D1316" s="1429"/>
      <c r="E1316" s="1429"/>
      <c r="F1316" s="1436"/>
      <c r="G1316" s="1436"/>
      <c r="H1316" s="1430"/>
      <c r="I1316" s="94"/>
      <c r="J1316" s="1164"/>
      <c r="K1316" s="94"/>
      <c r="L1316" s="94"/>
      <c r="M1316" s="1430"/>
      <c r="N1316" s="94"/>
      <c r="O1316" s="1430"/>
      <c r="P1316" s="94"/>
      <c r="Q1316" s="1431"/>
      <c r="R1316" s="1164"/>
      <c r="S1316" s="1164"/>
      <c r="T1316" s="1164"/>
      <c r="U1316" s="2174"/>
      <c r="V1316" s="2174"/>
      <c r="W1316" s="2174"/>
      <c r="X1316" s="1164"/>
    </row>
    <row r="1317" ht="15.75" customHeight="1">
      <c r="A1317" s="94"/>
      <c r="B1317" s="1164"/>
      <c r="C1317" s="1164"/>
      <c r="D1317" s="1429"/>
      <c r="E1317" s="1429"/>
      <c r="F1317" s="1436"/>
      <c r="G1317" s="1436"/>
      <c r="H1317" s="1430"/>
      <c r="I1317" s="94"/>
      <c r="J1317" s="1164"/>
      <c r="K1317" s="94"/>
      <c r="L1317" s="94"/>
      <c r="M1317" s="1430"/>
      <c r="N1317" s="94"/>
      <c r="O1317" s="1430"/>
      <c r="P1317" s="94"/>
      <c r="Q1317" s="1431"/>
      <c r="R1317" s="1164"/>
      <c r="S1317" s="1164"/>
      <c r="T1317" s="1164"/>
      <c r="U1317" s="2174"/>
      <c r="V1317" s="2174"/>
      <c r="W1317" s="2174"/>
      <c r="X1317" s="1164"/>
    </row>
    <row r="1318" ht="15.75" customHeight="1">
      <c r="A1318" s="94"/>
      <c r="B1318" s="94"/>
      <c r="C1318" s="1164"/>
      <c r="D1318" s="1429"/>
      <c r="E1318" s="1429"/>
      <c r="F1318" s="1436"/>
      <c r="G1318" s="1436"/>
      <c r="H1318" s="1430"/>
      <c r="I1318" s="94"/>
      <c r="J1318" s="1164"/>
      <c r="K1318" s="94"/>
      <c r="L1318" s="94"/>
      <c r="M1318" s="1430"/>
      <c r="N1318" s="94"/>
      <c r="O1318" s="1430"/>
      <c r="P1318" s="94"/>
      <c r="Q1318" s="1431"/>
      <c r="R1318" s="1164"/>
      <c r="S1318" s="1164"/>
      <c r="T1318" s="1164"/>
      <c r="U1318" s="2174"/>
      <c r="V1318" s="2174"/>
      <c r="W1318" s="2174"/>
      <c r="X1318" s="1164"/>
    </row>
    <row r="1319" ht="15.75" customHeight="1">
      <c r="A1319" s="94"/>
      <c r="B1319" s="94"/>
      <c r="C1319" s="1164"/>
      <c r="D1319" s="1429"/>
      <c r="E1319" s="1429"/>
      <c r="F1319" s="1436"/>
      <c r="G1319" s="1436"/>
      <c r="H1319" s="1430"/>
      <c r="I1319" s="94"/>
      <c r="J1319" s="1164"/>
      <c r="K1319" s="94"/>
      <c r="L1319" s="94"/>
      <c r="M1319" s="1430"/>
      <c r="N1319" s="94"/>
      <c r="O1319" s="1430"/>
      <c r="P1319" s="94"/>
      <c r="Q1319" s="1431"/>
      <c r="R1319" s="1164"/>
      <c r="S1319" s="1164"/>
      <c r="T1319" s="1164"/>
      <c r="U1319" s="2174"/>
      <c r="V1319" s="2174"/>
      <c r="W1319" s="2174"/>
      <c r="X1319" s="1164"/>
    </row>
    <row r="1320" ht="15.75" customHeight="1">
      <c r="A1320" s="94"/>
      <c r="B1320" s="1164"/>
      <c r="C1320" s="1164"/>
      <c r="D1320" s="1429"/>
      <c r="E1320" s="1429"/>
      <c r="F1320" s="1436"/>
      <c r="G1320" s="1436"/>
      <c r="H1320" s="1430"/>
      <c r="I1320" s="94"/>
      <c r="J1320" s="1164"/>
      <c r="K1320" s="94"/>
      <c r="L1320" s="94"/>
      <c r="M1320" s="1430"/>
      <c r="N1320" s="94"/>
      <c r="O1320" s="1430"/>
      <c r="P1320" s="94"/>
      <c r="Q1320" s="1431"/>
      <c r="R1320" s="1164"/>
      <c r="S1320" s="1164"/>
      <c r="T1320" s="1164"/>
      <c r="U1320" s="2174"/>
      <c r="V1320" s="2174"/>
      <c r="W1320" s="2174"/>
      <c r="X1320" s="1164"/>
    </row>
    <row r="1321" ht="15.75" customHeight="1">
      <c r="A1321" s="94"/>
      <c r="B1321" s="1164"/>
      <c r="C1321" s="1164"/>
      <c r="D1321" s="1429"/>
      <c r="E1321" s="1429"/>
      <c r="F1321" s="1436"/>
      <c r="G1321" s="1436"/>
      <c r="H1321" s="1430"/>
      <c r="I1321" s="94"/>
      <c r="J1321" s="1164"/>
      <c r="K1321" s="94"/>
      <c r="L1321" s="94"/>
      <c r="M1321" s="94"/>
      <c r="N1321" s="94"/>
      <c r="O1321" s="94"/>
      <c r="P1321" s="94"/>
      <c r="Q1321" s="1431"/>
      <c r="R1321" s="1164"/>
      <c r="S1321" s="1164"/>
      <c r="T1321" s="1164"/>
      <c r="U1321" s="2174"/>
      <c r="V1321" s="2174"/>
      <c r="W1321" s="2174"/>
      <c r="X1321" s="1164"/>
    </row>
    <row r="1322" ht="15.75" customHeight="1">
      <c r="A1322" s="94"/>
      <c r="B1322" s="94"/>
      <c r="C1322" s="1164"/>
      <c r="D1322" s="1429"/>
      <c r="E1322" s="1429"/>
      <c r="F1322" s="1436"/>
      <c r="G1322" s="1436"/>
      <c r="H1322" s="1430"/>
      <c r="I1322" s="94"/>
      <c r="J1322" s="1164"/>
      <c r="K1322" s="94"/>
      <c r="L1322" s="94"/>
      <c r="M1322" s="1430"/>
      <c r="N1322" s="94"/>
      <c r="O1322" s="1430"/>
      <c r="P1322" s="94"/>
      <c r="Q1322" s="1431"/>
      <c r="R1322" s="1164"/>
      <c r="S1322" s="1164"/>
      <c r="T1322" s="1164"/>
      <c r="U1322" s="2174"/>
      <c r="V1322" s="2174"/>
      <c r="W1322" s="2174"/>
      <c r="X1322" s="1164"/>
    </row>
    <row r="1323" ht="15.75" customHeight="1">
      <c r="A1323" s="94"/>
      <c r="B1323" s="94"/>
      <c r="C1323" s="1164"/>
      <c r="D1323" s="1429"/>
      <c r="E1323" s="1429"/>
      <c r="F1323" s="1436"/>
      <c r="G1323" s="1436"/>
      <c r="H1323" s="1430"/>
      <c r="I1323" s="94"/>
      <c r="J1323" s="1164"/>
      <c r="K1323" s="94"/>
      <c r="L1323" s="94"/>
      <c r="M1323" s="1430"/>
      <c r="N1323" s="94"/>
      <c r="O1323" s="1430"/>
      <c r="P1323" s="94"/>
      <c r="Q1323" s="1431"/>
      <c r="R1323" s="1164"/>
      <c r="S1323" s="1164"/>
      <c r="T1323" s="1164"/>
      <c r="U1323" s="2174"/>
      <c r="V1323" s="2174"/>
      <c r="W1323" s="2174"/>
      <c r="X1323" s="1164"/>
    </row>
    <row r="1324" ht="15.75" customHeight="1">
      <c r="A1324" s="94"/>
      <c r="B1324" s="94"/>
      <c r="C1324" s="1164"/>
      <c r="D1324" s="1429"/>
      <c r="E1324" s="1429"/>
      <c r="F1324" s="1436"/>
      <c r="G1324" s="1436"/>
      <c r="H1324" s="1430"/>
      <c r="I1324" s="94"/>
      <c r="J1324" s="1164"/>
      <c r="K1324" s="94"/>
      <c r="L1324" s="94"/>
      <c r="M1324" s="94"/>
      <c r="N1324" s="94"/>
      <c r="O1324" s="94"/>
      <c r="P1324" s="94"/>
      <c r="Q1324" s="1431"/>
      <c r="R1324" s="1164"/>
      <c r="S1324" s="1164"/>
      <c r="T1324" s="1164"/>
      <c r="U1324" s="2174"/>
      <c r="V1324" s="2174"/>
      <c r="W1324" s="2174"/>
      <c r="X1324" s="1164"/>
    </row>
    <row r="1325" ht="15.75" customHeight="1">
      <c r="A1325" s="94"/>
      <c r="B1325" s="94"/>
      <c r="C1325" s="1164"/>
      <c r="D1325" s="1429"/>
      <c r="E1325" s="1429"/>
      <c r="F1325" s="1436"/>
      <c r="G1325" s="1436"/>
      <c r="H1325" s="1430"/>
      <c r="I1325" s="94"/>
      <c r="J1325" s="1164"/>
      <c r="K1325" s="94"/>
      <c r="L1325" s="94"/>
      <c r="M1325" s="1430"/>
      <c r="N1325" s="94"/>
      <c r="O1325" s="1430"/>
      <c r="P1325" s="94"/>
      <c r="Q1325" s="1431"/>
      <c r="R1325" s="1164"/>
      <c r="S1325" s="1164"/>
      <c r="T1325" s="1164"/>
      <c r="U1325" s="2174"/>
      <c r="V1325" s="2174"/>
      <c r="W1325" s="2174"/>
      <c r="X1325" s="1164"/>
    </row>
    <row r="1326" ht="15.75" customHeight="1">
      <c r="A1326" s="94"/>
      <c r="B1326" s="1164"/>
      <c r="C1326" s="1164"/>
      <c r="D1326" s="1429"/>
      <c r="E1326" s="1429"/>
      <c r="F1326" s="1436"/>
      <c r="G1326" s="1436"/>
      <c r="H1326" s="1430"/>
      <c r="I1326" s="94"/>
      <c r="J1326" s="1164"/>
      <c r="K1326" s="94"/>
      <c r="L1326" s="94"/>
      <c r="M1326" s="1430"/>
      <c r="N1326" s="94"/>
      <c r="O1326" s="1430"/>
      <c r="P1326" s="94"/>
      <c r="Q1326" s="1431"/>
      <c r="R1326" s="1164"/>
      <c r="S1326" s="1164"/>
      <c r="T1326" s="1164"/>
      <c r="U1326" s="2174"/>
      <c r="V1326" s="2174"/>
      <c r="W1326" s="2174"/>
      <c r="X1326" s="1164"/>
    </row>
    <row r="1327" ht="15.75" customHeight="1">
      <c r="A1327" s="94"/>
      <c r="B1327" s="94"/>
      <c r="C1327" s="1164"/>
      <c r="D1327" s="1429"/>
      <c r="E1327" s="1429"/>
      <c r="F1327" s="1436"/>
      <c r="G1327" s="1436"/>
      <c r="H1327" s="1430"/>
      <c r="I1327" s="94"/>
      <c r="J1327" s="1164"/>
      <c r="K1327" s="94"/>
      <c r="L1327" s="94"/>
      <c r="M1327" s="1430"/>
      <c r="N1327" s="94"/>
      <c r="O1327" s="1430"/>
      <c r="P1327" s="94"/>
      <c r="Q1327" s="1431"/>
      <c r="R1327" s="1164"/>
      <c r="S1327" s="1164"/>
      <c r="T1327" s="1164"/>
      <c r="U1327" s="2174"/>
      <c r="V1327" s="2174"/>
      <c r="W1327" s="2174"/>
      <c r="X1327" s="1164"/>
    </row>
    <row r="1328" ht="15.75" customHeight="1">
      <c r="A1328" s="94"/>
      <c r="B1328" s="1164"/>
      <c r="C1328" s="1164"/>
      <c r="D1328" s="1429"/>
      <c r="E1328" s="1429"/>
      <c r="F1328" s="1436"/>
      <c r="G1328" s="1436"/>
      <c r="H1328" s="1430"/>
      <c r="I1328" s="94"/>
      <c r="J1328" s="1164"/>
      <c r="K1328" s="94"/>
      <c r="L1328" s="94"/>
      <c r="M1328" s="1430"/>
      <c r="N1328" s="94"/>
      <c r="O1328" s="1430"/>
      <c r="P1328" s="94"/>
      <c r="Q1328" s="1431"/>
      <c r="R1328" s="1164"/>
      <c r="S1328" s="1164"/>
      <c r="T1328" s="1164"/>
      <c r="U1328" s="2174"/>
      <c r="V1328" s="2174"/>
      <c r="W1328" s="2174"/>
      <c r="X1328" s="1164"/>
    </row>
    <row r="1329" ht="15.75" customHeight="1">
      <c r="A1329" s="94"/>
      <c r="B1329" s="1164"/>
      <c r="C1329" s="1164"/>
      <c r="D1329" s="1429"/>
      <c r="E1329" s="1429"/>
      <c r="F1329" s="1436"/>
      <c r="G1329" s="1436"/>
      <c r="H1329" s="1430"/>
      <c r="I1329" s="94"/>
      <c r="J1329" s="1164"/>
      <c r="K1329" s="94"/>
      <c r="L1329" s="94"/>
      <c r="M1329" s="94"/>
      <c r="N1329" s="94"/>
      <c r="O1329" s="94"/>
      <c r="P1329" s="94"/>
      <c r="Q1329" s="1431"/>
      <c r="R1329" s="1164"/>
      <c r="S1329" s="1164"/>
      <c r="T1329" s="1164"/>
      <c r="U1329" s="94"/>
      <c r="V1329" s="2174"/>
      <c r="W1329" s="2174"/>
      <c r="X1329" s="1164"/>
    </row>
    <row r="1330" ht="15.75" customHeight="1">
      <c r="A1330" s="94"/>
      <c r="B1330" s="1164"/>
      <c r="C1330" s="1164"/>
      <c r="D1330" s="1429"/>
      <c r="E1330" s="1429"/>
      <c r="F1330" s="1436"/>
      <c r="G1330" s="1436"/>
      <c r="H1330" s="1430"/>
      <c r="I1330" s="94"/>
      <c r="J1330" s="1164"/>
      <c r="K1330" s="94"/>
      <c r="L1330" s="94"/>
      <c r="M1330" s="94"/>
      <c r="N1330" s="94"/>
      <c r="O1330" s="94"/>
      <c r="P1330" s="94"/>
      <c r="Q1330" s="1431"/>
      <c r="R1330" s="1164"/>
      <c r="S1330" s="1164"/>
      <c r="T1330" s="1164"/>
      <c r="U1330" s="94"/>
      <c r="V1330" s="2174"/>
      <c r="W1330" s="2174"/>
      <c r="X1330" s="1164"/>
    </row>
    <row r="1331" ht="15.75" customHeight="1">
      <c r="A1331" s="94"/>
      <c r="B1331" s="1164"/>
      <c r="C1331" s="1164"/>
      <c r="D1331" s="1429"/>
      <c r="E1331" s="1429"/>
      <c r="F1331" s="1436"/>
      <c r="G1331" s="1436"/>
      <c r="H1331" s="1430"/>
      <c r="I1331" s="94"/>
      <c r="J1331" s="1164"/>
      <c r="K1331" s="94"/>
      <c r="L1331" s="94"/>
      <c r="M1331" s="1430"/>
      <c r="N1331" s="94"/>
      <c r="O1331" s="1430"/>
      <c r="P1331" s="94"/>
      <c r="Q1331" s="1431"/>
      <c r="R1331" s="1164"/>
      <c r="S1331" s="1164"/>
      <c r="T1331" s="1164"/>
      <c r="U1331" s="2174"/>
      <c r="V1331" s="2174"/>
      <c r="W1331" s="2174"/>
      <c r="X1331" s="1164"/>
    </row>
    <row r="1332" ht="15.75" customHeight="1">
      <c r="A1332" s="94"/>
      <c r="B1332" s="1164"/>
      <c r="C1332" s="1164"/>
      <c r="D1332" s="1429"/>
      <c r="E1332" s="1429"/>
      <c r="F1332" s="1436"/>
      <c r="G1332" s="1436"/>
      <c r="H1332" s="1430"/>
      <c r="I1332" s="94"/>
      <c r="J1332" s="1164"/>
      <c r="K1332" s="94"/>
      <c r="L1332" s="94"/>
      <c r="M1332" s="1430"/>
      <c r="N1332" s="94"/>
      <c r="O1332" s="1430"/>
      <c r="P1332" s="94"/>
      <c r="Q1332" s="1431"/>
      <c r="R1332" s="1164"/>
      <c r="S1332" s="1164"/>
      <c r="T1332" s="1164"/>
      <c r="U1332" s="2174"/>
      <c r="V1332" s="2174"/>
      <c r="W1332" s="2174"/>
      <c r="X1332" s="1164"/>
    </row>
    <row r="1333" ht="15.75" customHeight="1">
      <c r="A1333" s="94"/>
      <c r="B1333" s="1164"/>
      <c r="C1333" s="1164"/>
      <c r="D1333" s="1429"/>
      <c r="E1333" s="1429"/>
      <c r="F1333" s="1436"/>
      <c r="G1333" s="1436"/>
      <c r="H1333" s="1430"/>
      <c r="I1333" s="94"/>
      <c r="J1333" s="1164"/>
      <c r="K1333" s="94"/>
      <c r="L1333" s="94"/>
      <c r="M1333" s="94"/>
      <c r="N1333" s="94"/>
      <c r="O1333" s="94"/>
      <c r="P1333" s="94"/>
      <c r="Q1333" s="1431"/>
      <c r="R1333" s="1164"/>
      <c r="S1333" s="1164"/>
      <c r="T1333" s="1164"/>
      <c r="U1333" s="94"/>
      <c r="V1333" s="2174"/>
      <c r="W1333" s="2174"/>
      <c r="X1333" s="1164"/>
    </row>
    <row r="1334" ht="15.75" customHeight="1">
      <c r="A1334" s="94"/>
      <c r="B1334" s="94"/>
      <c r="C1334" s="1164"/>
      <c r="D1334" s="1429"/>
      <c r="E1334" s="1429"/>
      <c r="F1334" s="1436"/>
      <c r="G1334" s="1436"/>
      <c r="H1334" s="1430"/>
      <c r="I1334" s="94"/>
      <c r="J1334" s="1164"/>
      <c r="K1334" s="94"/>
      <c r="L1334" s="94"/>
      <c r="M1334" s="94"/>
      <c r="N1334" s="94"/>
      <c r="O1334" s="94"/>
      <c r="P1334" s="94"/>
      <c r="Q1334" s="1431"/>
      <c r="R1334" s="1164"/>
      <c r="S1334" s="1164"/>
      <c r="T1334" s="1164"/>
      <c r="U1334" s="94"/>
      <c r="V1334" s="2174"/>
      <c r="W1334" s="2174"/>
      <c r="X1334" s="1164"/>
    </row>
    <row r="1335" ht="15.75" customHeight="1">
      <c r="A1335" s="94"/>
      <c r="B1335" s="94"/>
      <c r="C1335" s="1164"/>
      <c r="D1335" s="1429"/>
      <c r="E1335" s="1429"/>
      <c r="F1335" s="1436"/>
      <c r="G1335" s="1436"/>
      <c r="H1335" s="1430"/>
      <c r="I1335" s="94"/>
      <c r="J1335" s="1164"/>
      <c r="K1335" s="94"/>
      <c r="L1335" s="94"/>
      <c r="M1335" s="1430"/>
      <c r="N1335" s="94"/>
      <c r="O1335" s="1430"/>
      <c r="P1335" s="94"/>
      <c r="Q1335" s="1431"/>
      <c r="R1335" s="1164"/>
      <c r="S1335" s="1164"/>
      <c r="T1335" s="1164"/>
      <c r="U1335" s="2174"/>
      <c r="V1335" s="2174"/>
      <c r="W1335" s="2174"/>
      <c r="X1335" s="1164"/>
    </row>
    <row r="1336" ht="15.75" customHeight="1">
      <c r="A1336" s="94"/>
      <c r="B1336" s="94"/>
      <c r="C1336" s="1164"/>
      <c r="D1336" s="1429"/>
      <c r="E1336" s="1429"/>
      <c r="F1336" s="1436"/>
      <c r="G1336" s="1436"/>
      <c r="H1336" s="1430"/>
      <c r="I1336" s="94"/>
      <c r="J1336" s="1164"/>
      <c r="K1336" s="94"/>
      <c r="L1336" s="94"/>
      <c r="M1336" s="1430"/>
      <c r="N1336" s="94"/>
      <c r="O1336" s="1430"/>
      <c r="P1336" s="94"/>
      <c r="Q1336" s="1431"/>
      <c r="R1336" s="1164"/>
      <c r="S1336" s="1164"/>
      <c r="T1336" s="1164"/>
      <c r="U1336" s="2174"/>
      <c r="V1336" s="2174"/>
      <c r="W1336" s="2174"/>
      <c r="X1336" s="1164"/>
    </row>
    <row r="1337" ht="15.75" customHeight="1">
      <c r="A1337" s="94"/>
      <c r="B1337" s="94"/>
      <c r="C1337" s="1164"/>
      <c r="D1337" s="1429"/>
      <c r="E1337" s="1429"/>
      <c r="F1337" s="1436"/>
      <c r="G1337" s="1436"/>
      <c r="H1337" s="1430"/>
      <c r="I1337" s="94"/>
      <c r="J1337" s="1164"/>
      <c r="K1337" s="94"/>
      <c r="L1337" s="94"/>
      <c r="M1337" s="94"/>
      <c r="N1337" s="94"/>
      <c r="O1337" s="94"/>
      <c r="P1337" s="94"/>
      <c r="Q1337" s="1431"/>
      <c r="R1337" s="1164"/>
      <c r="S1337" s="1164"/>
      <c r="T1337" s="1164"/>
      <c r="U1337" s="94"/>
      <c r="V1337" s="2174"/>
      <c r="W1337" s="2174"/>
      <c r="X1337" s="1164"/>
    </row>
    <row r="1338" ht="15.75" customHeight="1">
      <c r="A1338" s="94"/>
      <c r="B1338" s="1164"/>
      <c r="C1338" s="1164"/>
      <c r="D1338" s="1429"/>
      <c r="E1338" s="1429"/>
      <c r="F1338" s="1436"/>
      <c r="G1338" s="1436"/>
      <c r="H1338" s="1430"/>
      <c r="I1338" s="94"/>
      <c r="J1338" s="1164"/>
      <c r="K1338" s="94"/>
      <c r="L1338" s="94"/>
      <c r="M1338" s="94"/>
      <c r="N1338" s="94"/>
      <c r="O1338" s="94"/>
      <c r="P1338" s="94"/>
      <c r="Q1338" s="1431"/>
      <c r="R1338" s="1164"/>
      <c r="S1338" s="1164"/>
      <c r="T1338" s="1164"/>
      <c r="U1338" s="94"/>
      <c r="V1338" s="2174"/>
      <c r="W1338" s="2174"/>
      <c r="X1338" s="1164"/>
    </row>
    <row r="1339" ht="15.75" customHeight="1">
      <c r="A1339" s="94"/>
      <c r="B1339" s="1164"/>
      <c r="C1339" s="1164"/>
      <c r="D1339" s="1429"/>
      <c r="E1339" s="1429"/>
      <c r="F1339" s="1436"/>
      <c r="G1339" s="1436"/>
      <c r="H1339" s="1430"/>
      <c r="I1339" s="94"/>
      <c r="J1339" s="1164"/>
      <c r="K1339" s="94"/>
      <c r="L1339" s="94"/>
      <c r="M1339" s="94"/>
      <c r="N1339" s="94"/>
      <c r="O1339" s="94"/>
      <c r="P1339" s="94"/>
      <c r="Q1339" s="1431"/>
      <c r="R1339" s="1164"/>
      <c r="S1339" s="1164"/>
      <c r="T1339" s="1164"/>
      <c r="U1339" s="94"/>
      <c r="V1339" s="2174"/>
      <c r="W1339" s="2174"/>
      <c r="X1339" s="1164"/>
    </row>
    <row r="1340" ht="15.75" customHeight="1">
      <c r="A1340" s="94"/>
      <c r="B1340" s="1164"/>
      <c r="C1340" s="1164"/>
      <c r="D1340" s="1429"/>
      <c r="E1340" s="1429"/>
      <c r="F1340" s="1436"/>
      <c r="G1340" s="1436"/>
      <c r="H1340" s="1430"/>
      <c r="I1340" s="94"/>
      <c r="J1340" s="1164"/>
      <c r="K1340" s="94"/>
      <c r="L1340" s="94"/>
      <c r="M1340" s="94"/>
      <c r="N1340" s="94"/>
      <c r="O1340" s="94"/>
      <c r="P1340" s="94"/>
      <c r="Q1340" s="1431"/>
      <c r="R1340" s="1164"/>
      <c r="S1340" s="1164"/>
      <c r="T1340" s="1164"/>
      <c r="U1340" s="94"/>
      <c r="V1340" s="2174"/>
      <c r="W1340" s="2174"/>
      <c r="X1340" s="1164"/>
    </row>
    <row r="1341" ht="15.75" customHeight="1">
      <c r="A1341" s="94"/>
      <c r="B1341" s="94"/>
      <c r="C1341" s="1164"/>
      <c r="D1341" s="1429"/>
      <c r="E1341" s="1429"/>
      <c r="F1341" s="1436"/>
      <c r="G1341" s="1436"/>
      <c r="H1341" s="1430"/>
      <c r="I1341" s="94"/>
      <c r="J1341" s="1164"/>
      <c r="K1341" s="94"/>
      <c r="L1341" s="94"/>
      <c r="M1341" s="1430"/>
      <c r="N1341" s="94"/>
      <c r="O1341" s="1430"/>
      <c r="P1341" s="94"/>
      <c r="Q1341" s="1431"/>
      <c r="R1341" s="1164"/>
      <c r="S1341" s="1164"/>
      <c r="T1341" s="1164"/>
      <c r="U1341" s="2174"/>
      <c r="V1341" s="2174"/>
      <c r="W1341" s="2174"/>
      <c r="X1341" s="1164"/>
    </row>
    <row r="1342" ht="15.75" customHeight="1">
      <c r="A1342" s="94"/>
      <c r="B1342" s="94"/>
      <c r="C1342" s="1164"/>
      <c r="D1342" s="1429"/>
      <c r="E1342" s="1429"/>
      <c r="F1342" s="1436"/>
      <c r="G1342" s="1436"/>
      <c r="H1342" s="1430"/>
      <c r="I1342" s="94"/>
      <c r="J1342" s="1164"/>
      <c r="K1342" s="94"/>
      <c r="L1342" s="94"/>
      <c r="M1342" s="1430"/>
      <c r="N1342" s="94"/>
      <c r="O1342" s="1430"/>
      <c r="P1342" s="94"/>
      <c r="Q1342" s="1431"/>
      <c r="R1342" s="1164"/>
      <c r="S1342" s="1164"/>
      <c r="T1342" s="1164"/>
      <c r="U1342" s="94"/>
      <c r="V1342" s="2174"/>
      <c r="W1342" s="2174"/>
      <c r="X1342" s="1164"/>
    </row>
    <row r="1343" ht="15.75" customHeight="1">
      <c r="A1343" s="94"/>
      <c r="B1343" s="94"/>
      <c r="C1343" s="1164"/>
      <c r="D1343" s="1429"/>
      <c r="E1343" s="1429"/>
      <c r="F1343" s="1436"/>
      <c r="G1343" s="1436"/>
      <c r="H1343" s="1430"/>
      <c r="I1343" s="94"/>
      <c r="J1343" s="1164"/>
      <c r="K1343" s="94"/>
      <c r="L1343" s="94"/>
      <c r="M1343" s="94"/>
      <c r="N1343" s="94"/>
      <c r="O1343" s="94"/>
      <c r="P1343" s="94"/>
      <c r="Q1343" s="1431"/>
      <c r="R1343" s="1164"/>
      <c r="S1343" s="1164"/>
      <c r="T1343" s="1164"/>
      <c r="U1343" s="2174"/>
      <c r="V1343" s="2174"/>
      <c r="W1343" s="2174"/>
      <c r="X1343" s="1164"/>
    </row>
    <row r="1344" ht="15.75" customHeight="1">
      <c r="A1344" s="94"/>
      <c r="B1344" s="94"/>
      <c r="C1344" s="1164"/>
      <c r="D1344" s="1429"/>
      <c r="E1344" s="1429"/>
      <c r="F1344" s="1436"/>
      <c r="G1344" s="1436"/>
      <c r="H1344" s="1430"/>
      <c r="I1344" s="94"/>
      <c r="J1344" s="1164"/>
      <c r="K1344" s="94"/>
      <c r="L1344" s="94"/>
      <c r="M1344" s="1430"/>
      <c r="N1344" s="94"/>
      <c r="O1344" s="1430"/>
      <c r="P1344" s="94"/>
      <c r="Q1344" s="1431"/>
      <c r="R1344" s="1164"/>
      <c r="S1344" s="1164"/>
      <c r="T1344" s="1164"/>
      <c r="U1344" s="2174"/>
      <c r="V1344" s="2174"/>
      <c r="W1344" s="2174"/>
      <c r="X1344" s="1164"/>
    </row>
    <row r="1345" ht="15.75" customHeight="1">
      <c r="A1345" s="94"/>
      <c r="B1345" s="94"/>
      <c r="C1345" s="1164"/>
      <c r="D1345" s="1429"/>
      <c r="E1345" s="1429"/>
      <c r="F1345" s="1436"/>
      <c r="G1345" s="1436"/>
      <c r="H1345" s="1430"/>
      <c r="I1345" s="94"/>
      <c r="J1345" s="1164"/>
      <c r="K1345" s="94"/>
      <c r="L1345" s="94"/>
      <c r="M1345" s="1430"/>
      <c r="N1345" s="94"/>
      <c r="O1345" s="1430"/>
      <c r="P1345" s="94"/>
      <c r="Q1345" s="1431"/>
      <c r="R1345" s="1164"/>
      <c r="S1345" s="1164"/>
      <c r="T1345" s="1164"/>
      <c r="U1345" s="2174"/>
      <c r="V1345" s="2174"/>
      <c r="W1345" s="2174"/>
      <c r="X1345" s="1164"/>
    </row>
    <row r="1346" ht="15.75" customHeight="1">
      <c r="A1346" s="94"/>
      <c r="B1346" s="94"/>
      <c r="C1346" s="1164"/>
      <c r="D1346" s="1429"/>
      <c r="E1346" s="1429"/>
      <c r="F1346" s="1436"/>
      <c r="G1346" s="1436"/>
      <c r="H1346" s="1430"/>
      <c r="I1346" s="94"/>
      <c r="J1346" s="1164"/>
      <c r="K1346" s="94"/>
      <c r="L1346" s="94"/>
      <c r="M1346" s="1430"/>
      <c r="N1346" s="94"/>
      <c r="O1346" s="1430"/>
      <c r="P1346" s="94"/>
      <c r="Q1346" s="1431"/>
      <c r="R1346" s="1164"/>
      <c r="S1346" s="1164"/>
      <c r="T1346" s="1164"/>
      <c r="U1346" s="2174"/>
      <c r="V1346" s="2174"/>
      <c r="W1346" s="2174"/>
      <c r="X1346" s="1164"/>
    </row>
    <row r="1347" ht="15.75" customHeight="1">
      <c r="A1347" s="94"/>
      <c r="B1347" s="94"/>
      <c r="C1347" s="1164"/>
      <c r="D1347" s="1429"/>
      <c r="E1347" s="1429"/>
      <c r="F1347" s="1436"/>
      <c r="G1347" s="1436"/>
      <c r="H1347" s="1430"/>
      <c r="I1347" s="94"/>
      <c r="J1347" s="1164"/>
      <c r="K1347" s="94"/>
      <c r="L1347" s="94"/>
      <c r="M1347" s="1430"/>
      <c r="N1347" s="94"/>
      <c r="O1347" s="1430"/>
      <c r="P1347" s="94"/>
      <c r="Q1347" s="1431"/>
      <c r="R1347" s="1164"/>
      <c r="S1347" s="1164"/>
      <c r="T1347" s="1164"/>
      <c r="U1347" s="2174"/>
      <c r="V1347" s="2174"/>
      <c r="W1347" s="2174"/>
      <c r="X1347" s="1164"/>
    </row>
    <row r="1348" ht="15.75" customHeight="1">
      <c r="A1348" s="94"/>
      <c r="B1348" s="94"/>
      <c r="C1348" s="1164"/>
      <c r="D1348" s="1429"/>
      <c r="E1348" s="1429"/>
      <c r="F1348" s="1436"/>
      <c r="G1348" s="1436"/>
      <c r="H1348" s="1430"/>
      <c r="I1348" s="94"/>
      <c r="J1348" s="1164"/>
      <c r="K1348" s="94"/>
      <c r="L1348" s="94"/>
      <c r="M1348" s="94"/>
      <c r="N1348" s="94"/>
      <c r="O1348" s="94"/>
      <c r="P1348" s="94"/>
      <c r="Q1348" s="1431"/>
      <c r="R1348" s="1164"/>
      <c r="S1348" s="1164"/>
      <c r="T1348" s="1164"/>
      <c r="U1348" s="2174"/>
      <c r="V1348" s="2174"/>
      <c r="W1348" s="2174"/>
      <c r="X1348" s="1164"/>
    </row>
    <row r="1349" ht="15.75" customHeight="1">
      <c r="A1349" s="94"/>
      <c r="B1349" s="1164"/>
      <c r="C1349" s="1164"/>
      <c r="D1349" s="1429"/>
      <c r="E1349" s="1429"/>
      <c r="F1349" s="1436"/>
      <c r="G1349" s="1436"/>
      <c r="H1349" s="1430"/>
      <c r="I1349" s="94"/>
      <c r="J1349" s="1164"/>
      <c r="K1349" s="94"/>
      <c r="L1349" s="94"/>
      <c r="M1349" s="1430"/>
      <c r="N1349" s="94"/>
      <c r="O1349" s="1430"/>
      <c r="P1349" s="94"/>
      <c r="Q1349" s="1431"/>
      <c r="R1349" s="1164"/>
      <c r="S1349" s="1164"/>
      <c r="T1349" s="1164"/>
      <c r="U1349" s="2174"/>
      <c r="V1349" s="2174"/>
      <c r="W1349" s="2174"/>
      <c r="X1349" s="1164"/>
    </row>
    <row r="1350" ht="15.75" customHeight="1">
      <c r="A1350" s="94"/>
      <c r="B1350" s="1164"/>
      <c r="C1350" s="1164"/>
      <c r="D1350" s="1429"/>
      <c r="E1350" s="1429"/>
      <c r="F1350" s="1436"/>
      <c r="G1350" s="1436"/>
      <c r="H1350" s="1430"/>
      <c r="I1350" s="94"/>
      <c r="J1350" s="1164"/>
      <c r="K1350" s="94"/>
      <c r="L1350" s="94"/>
      <c r="M1350" s="94"/>
      <c r="N1350" s="94"/>
      <c r="O1350" s="94"/>
      <c r="P1350" s="94"/>
      <c r="Q1350" s="1431"/>
      <c r="R1350" s="1164"/>
      <c r="S1350" s="1164"/>
      <c r="T1350" s="1164"/>
      <c r="U1350" s="94"/>
      <c r="V1350" s="94"/>
      <c r="W1350" s="2174"/>
      <c r="X1350" s="1164"/>
    </row>
    <row r="1351" ht="15.75" customHeight="1">
      <c r="A1351" s="94"/>
      <c r="B1351" s="1164"/>
      <c r="C1351" s="1164"/>
      <c r="D1351" s="1429"/>
      <c r="E1351" s="1429"/>
      <c r="F1351" s="1436"/>
      <c r="G1351" s="1436"/>
      <c r="H1351" s="1430"/>
      <c r="I1351" s="94"/>
      <c r="J1351" s="1164"/>
      <c r="K1351" s="94"/>
      <c r="L1351" s="94"/>
      <c r="M1351" s="94"/>
      <c r="N1351" s="94"/>
      <c r="O1351" s="94"/>
      <c r="P1351" s="94"/>
      <c r="Q1351" s="1431"/>
      <c r="R1351" s="1164"/>
      <c r="S1351" s="1164"/>
      <c r="T1351" s="1164"/>
      <c r="U1351" s="94"/>
      <c r="V1351" s="2174"/>
      <c r="W1351" s="2174"/>
      <c r="X1351" s="1164"/>
    </row>
    <row r="1352" ht="15.75" customHeight="1">
      <c r="A1352" s="94"/>
      <c r="B1352" s="1164"/>
      <c r="C1352" s="1164"/>
      <c r="D1352" s="1429"/>
      <c r="E1352" s="1429"/>
      <c r="F1352" s="1436"/>
      <c r="G1352" s="1436"/>
      <c r="H1352" s="1430"/>
      <c r="I1352" s="94"/>
      <c r="J1352" s="1164"/>
      <c r="K1352" s="94"/>
      <c r="L1352" s="94"/>
      <c r="M1352" s="1430"/>
      <c r="N1352" s="94"/>
      <c r="O1352" s="1430"/>
      <c r="P1352" s="94"/>
      <c r="Q1352" s="1431"/>
      <c r="R1352" s="1164"/>
      <c r="S1352" s="1164"/>
      <c r="T1352" s="1164"/>
      <c r="U1352" s="2174"/>
      <c r="V1352" s="2174"/>
      <c r="W1352" s="2174"/>
      <c r="X1352" s="1164"/>
    </row>
    <row r="1353" ht="15.75" customHeight="1">
      <c r="A1353" s="94"/>
      <c r="B1353" s="94"/>
      <c r="C1353" s="1164"/>
      <c r="D1353" s="1429"/>
      <c r="E1353" s="1429"/>
      <c r="F1353" s="1436"/>
      <c r="G1353" s="1436"/>
      <c r="H1353" s="1430"/>
      <c r="I1353" s="94"/>
      <c r="J1353" s="1164"/>
      <c r="K1353" s="94"/>
      <c r="L1353" s="94"/>
      <c r="M1353" s="1430"/>
      <c r="N1353" s="94"/>
      <c r="O1353" s="1430"/>
      <c r="P1353" s="94"/>
      <c r="Q1353" s="1431"/>
      <c r="R1353" s="1164"/>
      <c r="S1353" s="1164"/>
      <c r="T1353" s="1164"/>
      <c r="U1353" s="2174"/>
      <c r="V1353" s="2174"/>
      <c r="W1353" s="2174"/>
      <c r="X1353" s="1164"/>
    </row>
    <row r="1354" ht="15.75" customHeight="1">
      <c r="A1354" s="94"/>
      <c r="B1354" s="1164"/>
      <c r="C1354" s="1164"/>
      <c r="D1354" s="1429"/>
      <c r="E1354" s="1429"/>
      <c r="F1354" s="1436"/>
      <c r="G1354" s="1436"/>
      <c r="H1354" s="1430"/>
      <c r="I1354" s="94"/>
      <c r="J1354" s="1164"/>
      <c r="K1354" s="94"/>
      <c r="L1354" s="94"/>
      <c r="M1354" s="94"/>
      <c r="N1354" s="94"/>
      <c r="O1354" s="94"/>
      <c r="P1354" s="94"/>
      <c r="Q1354" s="1431"/>
      <c r="R1354" s="1164"/>
      <c r="S1354" s="1164"/>
      <c r="T1354" s="1164"/>
      <c r="U1354" s="94"/>
      <c r="V1354" s="2174"/>
      <c r="W1354" s="2174"/>
      <c r="X1354" s="1164"/>
    </row>
    <row r="1355" ht="15.75" customHeight="1">
      <c r="A1355" s="94"/>
      <c r="B1355" s="1164"/>
      <c r="C1355" s="1164"/>
      <c r="D1355" s="1429"/>
      <c r="E1355" s="1429"/>
      <c r="F1355" s="1436"/>
      <c r="G1355" s="1436"/>
      <c r="H1355" s="1430"/>
      <c r="I1355" s="94"/>
      <c r="J1355" s="1164"/>
      <c r="K1355" s="94"/>
      <c r="L1355" s="94"/>
      <c r="M1355" s="1430"/>
      <c r="N1355" s="94"/>
      <c r="O1355" s="1430"/>
      <c r="P1355" s="94"/>
      <c r="Q1355" s="1431"/>
      <c r="R1355" s="1164"/>
      <c r="S1355" s="1164"/>
      <c r="T1355" s="1164"/>
      <c r="U1355" s="2174"/>
      <c r="V1355" s="2174"/>
      <c r="W1355" s="2174"/>
      <c r="X1355" s="1164"/>
    </row>
    <row r="1356" ht="15.75" customHeight="1">
      <c r="A1356" s="94"/>
      <c r="B1356" s="94"/>
      <c r="C1356" s="1164"/>
      <c r="D1356" s="1429"/>
      <c r="E1356" s="1429"/>
      <c r="F1356" s="1436"/>
      <c r="G1356" s="1436"/>
      <c r="H1356" s="1430"/>
      <c r="I1356" s="94"/>
      <c r="J1356" s="1164"/>
      <c r="K1356" s="94"/>
      <c r="L1356" s="94"/>
      <c r="M1356" s="1430"/>
      <c r="N1356" s="94"/>
      <c r="O1356" s="1430"/>
      <c r="P1356" s="94"/>
      <c r="Q1356" s="1431"/>
      <c r="R1356" s="1164"/>
      <c r="S1356" s="1164"/>
      <c r="T1356" s="1164"/>
      <c r="U1356" s="2174"/>
      <c r="V1356" s="2174"/>
      <c r="W1356" s="2174"/>
      <c r="X1356" s="1164"/>
    </row>
    <row r="1357" ht="15.75" customHeight="1">
      <c r="A1357" s="94"/>
      <c r="B1357" s="94"/>
      <c r="C1357" s="1164"/>
      <c r="D1357" s="1429"/>
      <c r="E1357" s="1429"/>
      <c r="F1357" s="1436"/>
      <c r="G1357" s="1436"/>
      <c r="H1357" s="1430"/>
      <c r="I1357" s="94"/>
      <c r="J1357" s="1164"/>
      <c r="K1357" s="94"/>
      <c r="L1357" s="94"/>
      <c r="M1357" s="1430"/>
      <c r="N1357" s="94"/>
      <c r="O1357" s="1430"/>
      <c r="P1357" s="94"/>
      <c r="Q1357" s="1431"/>
      <c r="R1357" s="1164"/>
      <c r="S1357" s="1164"/>
      <c r="T1357" s="1164"/>
      <c r="U1357" s="2174"/>
      <c r="V1357" s="2174"/>
      <c r="W1357" s="2174"/>
      <c r="X1357" s="1164"/>
    </row>
    <row r="1358" ht="15.75" customHeight="1">
      <c r="A1358" s="94"/>
      <c r="B1358" s="1164"/>
      <c r="C1358" s="1164"/>
      <c r="D1358" s="1429"/>
      <c r="E1358" s="1429"/>
      <c r="F1358" s="1436"/>
      <c r="G1358" s="1436"/>
      <c r="H1358" s="1430"/>
      <c r="I1358" s="94"/>
      <c r="J1358" s="1164"/>
      <c r="K1358" s="94"/>
      <c r="L1358" s="94"/>
      <c r="M1358" s="1430"/>
      <c r="N1358" s="94"/>
      <c r="O1358" s="1430"/>
      <c r="P1358" s="94"/>
      <c r="Q1358" s="1431"/>
      <c r="R1358" s="1164"/>
      <c r="S1358" s="1164"/>
      <c r="T1358" s="1164"/>
      <c r="U1358" s="2174"/>
      <c r="V1358" s="2174"/>
      <c r="W1358" s="2174"/>
      <c r="X1358" s="1164"/>
    </row>
    <row r="1359" ht="15.75" customHeight="1">
      <c r="A1359" s="94"/>
      <c r="B1359" s="94"/>
      <c r="C1359" s="1164"/>
      <c r="D1359" s="1429"/>
      <c r="E1359" s="1429"/>
      <c r="F1359" s="1436"/>
      <c r="G1359" s="1436"/>
      <c r="H1359" s="1430"/>
      <c r="I1359" s="94"/>
      <c r="J1359" s="1164"/>
      <c r="K1359" s="94"/>
      <c r="L1359" s="94"/>
      <c r="M1359" s="1430"/>
      <c r="N1359" s="94"/>
      <c r="O1359" s="1430"/>
      <c r="P1359" s="94"/>
      <c r="Q1359" s="1431"/>
      <c r="R1359" s="1164"/>
      <c r="S1359" s="1164"/>
      <c r="T1359" s="1164"/>
      <c r="U1359" s="2174"/>
      <c r="V1359" s="2174"/>
      <c r="W1359" s="2174"/>
      <c r="X1359" s="1164"/>
    </row>
    <row r="1360" ht="15.75" customHeight="1">
      <c r="A1360" s="94"/>
      <c r="B1360" s="1164"/>
      <c r="C1360" s="1164"/>
      <c r="D1360" s="1429"/>
      <c r="E1360" s="1429"/>
      <c r="F1360" s="1436"/>
      <c r="G1360" s="1436"/>
      <c r="H1360" s="1430"/>
      <c r="I1360" s="94"/>
      <c r="J1360" s="1164"/>
      <c r="K1360" s="94"/>
      <c r="L1360" s="94"/>
      <c r="M1360" s="1430"/>
      <c r="N1360" s="94"/>
      <c r="O1360" s="1430"/>
      <c r="P1360" s="94"/>
      <c r="Q1360" s="1431"/>
      <c r="R1360" s="1164"/>
      <c r="S1360" s="1164"/>
      <c r="T1360" s="1164"/>
      <c r="U1360" s="2174"/>
      <c r="V1360" s="2174"/>
      <c r="W1360" s="2174"/>
      <c r="X1360" s="1164"/>
    </row>
    <row r="1361" ht="15.75" customHeight="1">
      <c r="A1361" s="94"/>
      <c r="B1361" s="94"/>
      <c r="C1361" s="1164"/>
      <c r="D1361" s="1429"/>
      <c r="E1361" s="1429"/>
      <c r="F1361" s="1436"/>
      <c r="G1361" s="1436"/>
      <c r="H1361" s="1430"/>
      <c r="I1361" s="94"/>
      <c r="J1361" s="1164"/>
      <c r="K1361" s="94"/>
      <c r="L1361" s="94"/>
      <c r="M1361" s="1430"/>
      <c r="N1361" s="94"/>
      <c r="O1361" s="1430"/>
      <c r="P1361" s="94"/>
      <c r="Q1361" s="1431"/>
      <c r="R1361" s="1164"/>
      <c r="S1361" s="1164"/>
      <c r="T1361" s="1164"/>
      <c r="U1361" s="2174"/>
      <c r="V1361" s="2174"/>
      <c r="W1361" s="2174"/>
      <c r="X1361" s="1164"/>
    </row>
    <row r="1362" ht="15.75" customHeight="1">
      <c r="A1362" s="94"/>
      <c r="B1362" s="1164"/>
      <c r="C1362" s="1164"/>
      <c r="D1362" s="1429"/>
      <c r="E1362" s="1429"/>
      <c r="F1362" s="1436"/>
      <c r="G1362" s="1436"/>
      <c r="H1362" s="1430"/>
      <c r="I1362" s="94"/>
      <c r="J1362" s="1164"/>
      <c r="K1362" s="94"/>
      <c r="L1362" s="94"/>
      <c r="M1362" s="94"/>
      <c r="N1362" s="94"/>
      <c r="O1362" s="94"/>
      <c r="P1362" s="94"/>
      <c r="Q1362" s="1431"/>
      <c r="R1362" s="1164"/>
      <c r="S1362" s="1164"/>
      <c r="T1362" s="1164"/>
      <c r="U1362" s="94"/>
      <c r="V1362" s="2174"/>
      <c r="W1362" s="2174"/>
      <c r="X1362" s="1164"/>
    </row>
    <row r="1363" ht="15.75" customHeight="1">
      <c r="A1363" s="94"/>
      <c r="B1363" s="1164"/>
      <c r="C1363" s="1164"/>
      <c r="D1363" s="1429"/>
      <c r="E1363" s="1429"/>
      <c r="F1363" s="1436"/>
      <c r="G1363" s="1436"/>
      <c r="H1363" s="1430"/>
      <c r="I1363" s="94"/>
      <c r="J1363" s="1164"/>
      <c r="K1363" s="94"/>
      <c r="L1363" s="94"/>
      <c r="M1363" s="94"/>
      <c r="N1363" s="94"/>
      <c r="O1363" s="94"/>
      <c r="P1363" s="94"/>
      <c r="Q1363" s="1431"/>
      <c r="R1363" s="1164"/>
      <c r="S1363" s="1164"/>
      <c r="T1363" s="1164"/>
      <c r="U1363" s="94"/>
      <c r="V1363" s="2174"/>
      <c r="W1363" s="2174"/>
      <c r="X1363" s="1164"/>
    </row>
    <row r="1364" ht="15.75" customHeight="1">
      <c r="A1364" s="94"/>
      <c r="B1364" s="1164"/>
      <c r="C1364" s="1164"/>
      <c r="D1364" s="1429"/>
      <c r="E1364" s="1429"/>
      <c r="F1364" s="1436"/>
      <c r="G1364" s="1436"/>
      <c r="H1364" s="1430"/>
      <c r="I1364" s="94"/>
      <c r="J1364" s="1164"/>
      <c r="K1364" s="94"/>
      <c r="L1364" s="94"/>
      <c r="M1364" s="1430"/>
      <c r="N1364" s="94"/>
      <c r="O1364" s="1430"/>
      <c r="P1364" s="94"/>
      <c r="Q1364" s="1431"/>
      <c r="R1364" s="1164"/>
      <c r="S1364" s="1164"/>
      <c r="T1364" s="1164"/>
      <c r="U1364" s="2174"/>
      <c r="V1364" s="2174"/>
      <c r="W1364" s="2174"/>
      <c r="X1364" s="1164"/>
    </row>
    <row r="1365" ht="15.75" customHeight="1">
      <c r="A1365" s="94"/>
      <c r="B1365" s="94"/>
      <c r="C1365" s="1164"/>
      <c r="D1365" s="1429"/>
      <c r="E1365" s="1429"/>
      <c r="F1365" s="1436"/>
      <c r="G1365" s="1436"/>
      <c r="H1365" s="1430"/>
      <c r="I1365" s="94"/>
      <c r="J1365" s="1164"/>
      <c r="K1365" s="94"/>
      <c r="L1365" s="94"/>
      <c r="M1365" s="1430"/>
      <c r="N1365" s="94"/>
      <c r="O1365" s="1430"/>
      <c r="P1365" s="94"/>
      <c r="Q1365" s="1431"/>
      <c r="R1365" s="1164"/>
      <c r="S1365" s="1164"/>
      <c r="T1365" s="1164"/>
      <c r="U1365" s="2174"/>
      <c r="V1365" s="2174"/>
      <c r="W1365" s="2174"/>
      <c r="X1365" s="1164"/>
    </row>
    <row r="1366" ht="15.75" customHeight="1">
      <c r="A1366" s="94"/>
      <c r="B1366" s="94"/>
      <c r="C1366" s="1164"/>
      <c r="D1366" s="1429"/>
      <c r="E1366" s="1429"/>
      <c r="F1366" s="1436"/>
      <c r="G1366" s="1436"/>
      <c r="H1366" s="1430"/>
      <c r="I1366" s="94"/>
      <c r="J1366" s="1164"/>
      <c r="K1366" s="94"/>
      <c r="L1366" s="94"/>
      <c r="M1366" s="1430"/>
      <c r="N1366" s="94"/>
      <c r="O1366" s="1430"/>
      <c r="P1366" s="94"/>
      <c r="Q1366" s="1431"/>
      <c r="R1366" s="1164"/>
      <c r="S1366" s="1164"/>
      <c r="T1366" s="1164"/>
      <c r="U1366" s="2174"/>
      <c r="V1366" s="2174"/>
      <c r="W1366" s="2174"/>
      <c r="X1366" s="1164"/>
    </row>
    <row r="1367" ht="15.75" customHeight="1">
      <c r="A1367" s="94"/>
      <c r="B1367" s="94"/>
      <c r="C1367" s="1164"/>
      <c r="D1367" s="1429"/>
      <c r="E1367" s="1429"/>
      <c r="F1367" s="1436"/>
      <c r="G1367" s="1436"/>
      <c r="H1367" s="1430"/>
      <c r="I1367" s="94"/>
      <c r="J1367" s="1164"/>
      <c r="K1367" s="94"/>
      <c r="L1367" s="94"/>
      <c r="M1367" s="1430"/>
      <c r="N1367" s="94"/>
      <c r="O1367" s="1430"/>
      <c r="P1367" s="94"/>
      <c r="Q1367" s="1431"/>
      <c r="R1367" s="1164"/>
      <c r="S1367" s="1164"/>
      <c r="T1367" s="1164"/>
      <c r="U1367" s="2174"/>
      <c r="V1367" s="2174"/>
      <c r="W1367" s="2174"/>
      <c r="X1367" s="1164"/>
    </row>
    <row r="1368" ht="15.75" customHeight="1">
      <c r="A1368" s="94"/>
      <c r="B1368" s="1164"/>
      <c r="C1368" s="1164"/>
      <c r="D1368" s="1429"/>
      <c r="E1368" s="1429"/>
      <c r="F1368" s="1436"/>
      <c r="G1368" s="1436"/>
      <c r="H1368" s="1430"/>
      <c r="I1368" s="94"/>
      <c r="J1368" s="1164"/>
      <c r="K1368" s="94"/>
      <c r="L1368" s="94"/>
      <c r="M1368" s="1430"/>
      <c r="N1368" s="94"/>
      <c r="O1368" s="1430"/>
      <c r="P1368" s="94"/>
      <c r="Q1368" s="1431"/>
      <c r="R1368" s="1164"/>
      <c r="S1368" s="1164"/>
      <c r="T1368" s="1164"/>
      <c r="U1368" s="2174"/>
      <c r="V1368" s="2174"/>
      <c r="W1368" s="2174"/>
      <c r="X1368" s="1164"/>
    </row>
    <row r="1369" ht="15.75" customHeight="1">
      <c r="A1369" s="94"/>
      <c r="B1369" s="94"/>
      <c r="C1369" s="1164"/>
      <c r="D1369" s="1429"/>
      <c r="E1369" s="1429"/>
      <c r="F1369" s="1436"/>
      <c r="G1369" s="1436"/>
      <c r="H1369" s="1430"/>
      <c r="I1369" s="94"/>
      <c r="J1369" s="1164"/>
      <c r="K1369" s="94"/>
      <c r="L1369" s="94"/>
      <c r="M1369" s="1430"/>
      <c r="N1369" s="94"/>
      <c r="O1369" s="1430"/>
      <c r="P1369" s="94"/>
      <c r="Q1369" s="1431"/>
      <c r="R1369" s="1164"/>
      <c r="S1369" s="1164"/>
      <c r="T1369" s="1164"/>
      <c r="U1369" s="2174"/>
      <c r="V1369" s="2174"/>
      <c r="W1369" s="2174"/>
      <c r="X1369" s="1164"/>
    </row>
    <row r="1370" ht="15.75" customHeight="1">
      <c r="A1370" s="94"/>
      <c r="B1370" s="94"/>
      <c r="C1370" s="1164"/>
      <c r="D1370" s="1429"/>
      <c r="E1370" s="1429"/>
      <c r="F1370" s="1436"/>
      <c r="G1370" s="1436"/>
      <c r="H1370" s="1430"/>
      <c r="I1370" s="94"/>
      <c r="J1370" s="1164"/>
      <c r="K1370" s="94"/>
      <c r="L1370" s="94"/>
      <c r="M1370" s="1430"/>
      <c r="N1370" s="94"/>
      <c r="O1370" s="1430"/>
      <c r="P1370" s="94"/>
      <c r="Q1370" s="1431"/>
      <c r="R1370" s="1164"/>
      <c r="S1370" s="1164"/>
      <c r="T1370" s="1164"/>
      <c r="U1370" s="94"/>
      <c r="V1370" s="2174"/>
      <c r="W1370" s="2174"/>
      <c r="X1370" s="1164"/>
    </row>
    <row r="1371" ht="15.75" customHeight="1">
      <c r="A1371" s="94"/>
      <c r="B1371" s="94"/>
      <c r="C1371" s="1164"/>
      <c r="D1371" s="1429"/>
      <c r="E1371" s="1429"/>
      <c r="F1371" s="1436"/>
      <c r="G1371" s="1436"/>
      <c r="H1371" s="1430"/>
      <c r="I1371" s="94"/>
      <c r="J1371" s="1164"/>
      <c r="K1371" s="94"/>
      <c r="L1371" s="94"/>
      <c r="M1371" s="1430"/>
      <c r="N1371" s="94"/>
      <c r="O1371" s="1430"/>
      <c r="P1371" s="94"/>
      <c r="Q1371" s="1431"/>
      <c r="R1371" s="1164"/>
      <c r="S1371" s="1164"/>
      <c r="T1371" s="1164"/>
      <c r="U1371" s="2174"/>
      <c r="V1371" s="2174"/>
      <c r="W1371" s="2174"/>
      <c r="X1371" s="1164"/>
    </row>
    <row r="1372" ht="15.75" customHeight="1">
      <c r="A1372" s="94"/>
      <c r="B1372" s="1164"/>
      <c r="C1372" s="1164"/>
      <c r="D1372" s="1429"/>
      <c r="E1372" s="1429"/>
      <c r="F1372" s="1436"/>
      <c r="G1372" s="1436"/>
      <c r="H1372" s="1430"/>
      <c r="I1372" s="94"/>
      <c r="J1372" s="1164"/>
      <c r="K1372" s="94"/>
      <c r="L1372" s="94"/>
      <c r="M1372" s="1430"/>
      <c r="N1372" s="94"/>
      <c r="O1372" s="1430"/>
      <c r="P1372" s="94"/>
      <c r="Q1372" s="1431"/>
      <c r="R1372" s="1164"/>
      <c r="S1372" s="1164"/>
      <c r="T1372" s="1164"/>
      <c r="U1372" s="2174"/>
      <c r="V1372" s="2174"/>
      <c r="W1372" s="2174"/>
      <c r="X1372" s="1164"/>
    </row>
    <row r="1373" ht="15.75" customHeight="1">
      <c r="A1373" s="94"/>
      <c r="B1373" s="94"/>
      <c r="C1373" s="1164"/>
      <c r="D1373" s="1429"/>
      <c r="E1373" s="1429"/>
      <c r="F1373" s="1436"/>
      <c r="G1373" s="1436"/>
      <c r="H1373" s="1430"/>
      <c r="I1373" s="94"/>
      <c r="J1373" s="1164"/>
      <c r="K1373" s="94"/>
      <c r="L1373" s="94"/>
      <c r="M1373" s="1430"/>
      <c r="N1373" s="94"/>
      <c r="O1373" s="1430"/>
      <c r="P1373" s="94"/>
      <c r="Q1373" s="1431"/>
      <c r="R1373" s="1164"/>
      <c r="S1373" s="1164"/>
      <c r="T1373" s="1164"/>
      <c r="U1373" s="2174"/>
      <c r="V1373" s="2174"/>
      <c r="W1373" s="2174"/>
      <c r="X1373" s="1164"/>
    </row>
    <row r="1374" ht="15.75" customHeight="1">
      <c r="A1374" s="94"/>
      <c r="B1374" s="94"/>
      <c r="C1374" s="1164"/>
      <c r="D1374" s="1429"/>
      <c r="E1374" s="1429"/>
      <c r="F1374" s="1436"/>
      <c r="G1374" s="1436"/>
      <c r="H1374" s="1430"/>
      <c r="I1374" s="94"/>
      <c r="J1374" s="1164"/>
      <c r="K1374" s="94"/>
      <c r="L1374" s="94"/>
      <c r="M1374" s="1430"/>
      <c r="N1374" s="94"/>
      <c r="O1374" s="1430"/>
      <c r="P1374" s="94"/>
      <c r="Q1374" s="1431"/>
      <c r="R1374" s="1164"/>
      <c r="S1374" s="1164"/>
      <c r="T1374" s="1164"/>
      <c r="U1374" s="2174"/>
      <c r="V1374" s="2174"/>
      <c r="W1374" s="2174"/>
      <c r="X1374" s="1164"/>
    </row>
    <row r="1375" ht="15.75" customHeight="1">
      <c r="A1375" s="94"/>
      <c r="B1375" s="1164"/>
      <c r="C1375" s="1164"/>
      <c r="D1375" s="1429"/>
      <c r="E1375" s="1429"/>
      <c r="F1375" s="1436"/>
      <c r="G1375" s="1436"/>
      <c r="H1375" s="1430"/>
      <c r="I1375" s="94"/>
      <c r="J1375" s="1164"/>
      <c r="K1375" s="94"/>
      <c r="L1375" s="94"/>
      <c r="M1375" s="94"/>
      <c r="N1375" s="94"/>
      <c r="O1375" s="94"/>
      <c r="P1375" s="94"/>
      <c r="Q1375" s="1431"/>
      <c r="R1375" s="1164"/>
      <c r="S1375" s="1164"/>
      <c r="T1375" s="1164"/>
      <c r="U1375" s="94"/>
      <c r="V1375" s="2174"/>
      <c r="W1375" s="2174"/>
      <c r="X1375" s="1164"/>
    </row>
    <row r="1376" ht="15.75" customHeight="1">
      <c r="A1376" s="94"/>
      <c r="B1376" s="94"/>
      <c r="C1376" s="1164"/>
      <c r="D1376" s="1429"/>
      <c r="E1376" s="1429"/>
      <c r="F1376" s="1436"/>
      <c r="G1376" s="1436"/>
      <c r="H1376" s="1430"/>
      <c r="I1376" s="94"/>
      <c r="J1376" s="1164"/>
      <c r="K1376" s="94"/>
      <c r="L1376" s="94"/>
      <c r="M1376" s="1430"/>
      <c r="N1376" s="94"/>
      <c r="O1376" s="1430"/>
      <c r="P1376" s="94"/>
      <c r="Q1376" s="1431"/>
      <c r="R1376" s="1164"/>
      <c r="S1376" s="1164"/>
      <c r="T1376" s="1164"/>
      <c r="U1376" s="2174"/>
      <c r="V1376" s="2174"/>
      <c r="W1376" s="2174"/>
      <c r="X1376" s="1164"/>
    </row>
    <row r="1377" ht="15.75" customHeight="1">
      <c r="A1377" s="94"/>
      <c r="B1377" s="1164"/>
      <c r="C1377" s="1164"/>
      <c r="D1377" s="1429"/>
      <c r="E1377" s="1429"/>
      <c r="F1377" s="1436"/>
      <c r="G1377" s="1436"/>
      <c r="H1377" s="1430"/>
      <c r="I1377" s="94"/>
      <c r="J1377" s="1164"/>
      <c r="K1377" s="94"/>
      <c r="L1377" s="94"/>
      <c r="M1377" s="94"/>
      <c r="N1377" s="94"/>
      <c r="O1377" s="94"/>
      <c r="P1377" s="94"/>
      <c r="Q1377" s="1431"/>
      <c r="R1377" s="1164"/>
      <c r="S1377" s="1164"/>
      <c r="T1377" s="1164"/>
      <c r="U1377" s="94"/>
      <c r="V1377" s="2174"/>
      <c r="W1377" s="2174"/>
      <c r="X1377" s="1164"/>
    </row>
    <row r="1378" ht="15.75" customHeight="1">
      <c r="A1378" s="94"/>
      <c r="B1378" s="94"/>
      <c r="C1378" s="1164"/>
      <c r="D1378" s="1429"/>
      <c r="E1378" s="1429"/>
      <c r="F1378" s="1436"/>
      <c r="G1378" s="1436"/>
      <c r="H1378" s="1430"/>
      <c r="I1378" s="94"/>
      <c r="J1378" s="1164"/>
      <c r="K1378" s="94"/>
      <c r="L1378" s="94"/>
      <c r="M1378" s="1430"/>
      <c r="N1378" s="94"/>
      <c r="O1378" s="1430"/>
      <c r="P1378" s="94"/>
      <c r="Q1378" s="1431"/>
      <c r="R1378" s="1164"/>
      <c r="S1378" s="1164"/>
      <c r="T1378" s="1164"/>
      <c r="U1378" s="2174"/>
      <c r="V1378" s="2174"/>
      <c r="W1378" s="2174"/>
      <c r="X1378" s="1164"/>
    </row>
    <row r="1379" ht="15.75" customHeight="1">
      <c r="A1379" s="94"/>
      <c r="B1379" s="1164"/>
      <c r="C1379" s="1164"/>
      <c r="D1379" s="1429"/>
      <c r="E1379" s="1429"/>
      <c r="F1379" s="1436"/>
      <c r="G1379" s="1436"/>
      <c r="H1379" s="1430"/>
      <c r="I1379" s="94"/>
      <c r="J1379" s="1164"/>
      <c r="K1379" s="94"/>
      <c r="L1379" s="94"/>
      <c r="M1379" s="1430"/>
      <c r="N1379" s="94"/>
      <c r="O1379" s="1430"/>
      <c r="P1379" s="94"/>
      <c r="Q1379" s="1431"/>
      <c r="R1379" s="1164"/>
      <c r="S1379" s="1164"/>
      <c r="T1379" s="1164"/>
      <c r="U1379" s="2174"/>
      <c r="V1379" s="2174"/>
      <c r="W1379" s="2174"/>
      <c r="X1379" s="1164"/>
    </row>
    <row r="1380" ht="15.75" customHeight="1">
      <c r="A1380" s="94"/>
      <c r="B1380" s="94"/>
      <c r="C1380" s="1164"/>
      <c r="D1380" s="1429"/>
      <c r="E1380" s="1429"/>
      <c r="F1380" s="1436"/>
      <c r="G1380" s="1436"/>
      <c r="H1380" s="1430"/>
      <c r="I1380" s="94"/>
      <c r="J1380" s="1164"/>
      <c r="K1380" s="94"/>
      <c r="L1380" s="94"/>
      <c r="M1380" s="1430"/>
      <c r="N1380" s="94"/>
      <c r="O1380" s="1430"/>
      <c r="P1380" s="94"/>
      <c r="Q1380" s="1431"/>
      <c r="R1380" s="1164"/>
      <c r="S1380" s="1164"/>
      <c r="T1380" s="1164"/>
      <c r="U1380" s="2174"/>
      <c r="V1380" s="2174"/>
      <c r="W1380" s="2174"/>
      <c r="X1380" s="1164"/>
    </row>
    <row r="1381" ht="15.75" customHeight="1">
      <c r="A1381" s="94"/>
      <c r="B1381" s="94"/>
      <c r="C1381" s="1164"/>
      <c r="D1381" s="1429"/>
      <c r="E1381" s="1429"/>
      <c r="F1381" s="1436"/>
      <c r="G1381" s="1436"/>
      <c r="H1381" s="1430"/>
      <c r="I1381" s="94"/>
      <c r="J1381" s="1164"/>
      <c r="K1381" s="94"/>
      <c r="L1381" s="94"/>
      <c r="M1381" s="1430"/>
      <c r="N1381" s="94"/>
      <c r="O1381" s="1430"/>
      <c r="P1381" s="94"/>
      <c r="Q1381" s="1431"/>
      <c r="R1381" s="1164"/>
      <c r="S1381" s="1164"/>
      <c r="T1381" s="1164"/>
      <c r="U1381" s="94"/>
      <c r="V1381" s="2174"/>
      <c r="W1381" s="2174"/>
      <c r="X1381" s="1164"/>
    </row>
    <row r="1382" ht="15.75" customHeight="1">
      <c r="A1382" s="94"/>
      <c r="B1382" s="1164"/>
      <c r="C1382" s="1164"/>
      <c r="D1382" s="1429"/>
      <c r="E1382" s="1429"/>
      <c r="F1382" s="1436"/>
      <c r="G1382" s="1436"/>
      <c r="H1382" s="1430"/>
      <c r="I1382" s="94"/>
      <c r="J1382" s="1164"/>
      <c r="K1382" s="94"/>
      <c r="L1382" s="94"/>
      <c r="M1382" s="94"/>
      <c r="N1382" s="94"/>
      <c r="O1382" s="94"/>
      <c r="P1382" s="94"/>
      <c r="Q1382" s="1431"/>
      <c r="R1382" s="1164"/>
      <c r="S1382" s="1164"/>
      <c r="T1382" s="1164"/>
      <c r="U1382" s="94"/>
      <c r="V1382" s="2174"/>
      <c r="W1382" s="2174"/>
      <c r="X1382" s="1164"/>
    </row>
    <row r="1383" ht="15.75" customHeight="1">
      <c r="A1383" s="94"/>
      <c r="B1383" s="1164"/>
      <c r="C1383" s="1164"/>
      <c r="D1383" s="1429"/>
      <c r="E1383" s="1429"/>
      <c r="F1383" s="1436"/>
      <c r="G1383" s="1436"/>
      <c r="H1383" s="1430"/>
      <c r="I1383" s="94"/>
      <c r="J1383" s="1164"/>
      <c r="K1383" s="94"/>
      <c r="L1383" s="94"/>
      <c r="M1383" s="94"/>
      <c r="N1383" s="94"/>
      <c r="O1383" s="94"/>
      <c r="P1383" s="94"/>
      <c r="Q1383" s="1431"/>
      <c r="R1383" s="1164"/>
      <c r="S1383" s="1164"/>
      <c r="T1383" s="1164"/>
      <c r="U1383" s="94"/>
      <c r="V1383" s="94"/>
      <c r="W1383" s="2174"/>
      <c r="X1383" s="1164"/>
    </row>
    <row r="1384" ht="15.75" customHeight="1">
      <c r="A1384" s="94"/>
      <c r="B1384" s="1164"/>
      <c r="C1384" s="1164"/>
      <c r="D1384" s="1429"/>
      <c r="E1384" s="1429"/>
      <c r="F1384" s="1436"/>
      <c r="G1384" s="1436"/>
      <c r="H1384" s="1430"/>
      <c r="I1384" s="94"/>
      <c r="J1384" s="1164"/>
      <c r="K1384" s="94"/>
      <c r="L1384" s="94"/>
      <c r="M1384" s="1430"/>
      <c r="N1384" s="94"/>
      <c r="O1384" s="1430"/>
      <c r="P1384" s="94"/>
      <c r="Q1384" s="1431"/>
      <c r="R1384" s="1164"/>
      <c r="S1384" s="1164"/>
      <c r="T1384" s="1164"/>
      <c r="U1384" s="2174"/>
      <c r="V1384" s="2174"/>
      <c r="W1384" s="2174"/>
      <c r="X1384" s="1164"/>
    </row>
    <row r="1385" ht="15.75" customHeight="1">
      <c r="A1385" s="94"/>
      <c r="B1385" s="94"/>
      <c r="C1385" s="1164"/>
      <c r="D1385" s="1429"/>
      <c r="E1385" s="1429"/>
      <c r="F1385" s="1436"/>
      <c r="G1385" s="1436"/>
      <c r="H1385" s="1430"/>
      <c r="I1385" s="94"/>
      <c r="J1385" s="1164"/>
      <c r="K1385" s="94"/>
      <c r="L1385" s="94"/>
      <c r="M1385" s="1430"/>
      <c r="N1385" s="94"/>
      <c r="O1385" s="1430"/>
      <c r="P1385" s="94"/>
      <c r="Q1385" s="1431"/>
      <c r="R1385" s="1164"/>
      <c r="S1385" s="1164"/>
      <c r="T1385" s="1164"/>
      <c r="U1385" s="2174"/>
      <c r="V1385" s="2174"/>
      <c r="W1385" s="2174"/>
      <c r="X1385" s="1164"/>
    </row>
    <row r="1386" ht="15.75" customHeight="1">
      <c r="A1386" s="94"/>
      <c r="B1386" s="94"/>
      <c r="C1386" s="1164"/>
      <c r="D1386" s="1429"/>
      <c r="E1386" s="1429"/>
      <c r="F1386" s="1436"/>
      <c r="G1386" s="1436"/>
      <c r="H1386" s="1430"/>
      <c r="I1386" s="94"/>
      <c r="J1386" s="1164"/>
      <c r="K1386" s="94"/>
      <c r="L1386" s="94"/>
      <c r="M1386" s="1430"/>
      <c r="N1386" s="94"/>
      <c r="O1386" s="1430"/>
      <c r="P1386" s="94"/>
      <c r="Q1386" s="1431"/>
      <c r="R1386" s="1164"/>
      <c r="S1386" s="1164"/>
      <c r="T1386" s="1164"/>
      <c r="U1386" s="2174"/>
      <c r="V1386" s="2174"/>
      <c r="W1386" s="2174"/>
      <c r="X1386" s="1164"/>
    </row>
    <row r="1387" ht="15.75" customHeight="1">
      <c r="A1387" s="94"/>
      <c r="B1387" s="1164"/>
      <c r="C1387" s="1164"/>
      <c r="D1387" s="1429"/>
      <c r="E1387" s="1429"/>
      <c r="F1387" s="1436"/>
      <c r="G1387" s="1436"/>
      <c r="H1387" s="1430"/>
      <c r="I1387" s="94"/>
      <c r="J1387" s="1164"/>
      <c r="K1387" s="94"/>
      <c r="L1387" s="94"/>
      <c r="M1387" s="1430"/>
      <c r="N1387" s="94"/>
      <c r="O1387" s="1430"/>
      <c r="P1387" s="94"/>
      <c r="Q1387" s="1431"/>
      <c r="R1387" s="1164"/>
      <c r="S1387" s="1164"/>
      <c r="T1387" s="1164"/>
      <c r="U1387" s="2174"/>
      <c r="V1387" s="2174"/>
      <c r="W1387" s="2174"/>
      <c r="X1387" s="1164"/>
    </row>
    <row r="1388" ht="15.75" customHeight="1">
      <c r="A1388" s="94"/>
      <c r="B1388" s="94"/>
      <c r="C1388" s="1164"/>
      <c r="D1388" s="1429"/>
      <c r="E1388" s="1429"/>
      <c r="F1388" s="1436"/>
      <c r="G1388" s="1436"/>
      <c r="H1388" s="1430"/>
      <c r="I1388" s="94"/>
      <c r="J1388" s="1164"/>
      <c r="K1388" s="94"/>
      <c r="L1388" s="94"/>
      <c r="M1388" s="1430"/>
      <c r="N1388" s="94"/>
      <c r="O1388" s="1430"/>
      <c r="P1388" s="94"/>
      <c r="Q1388" s="1431"/>
      <c r="R1388" s="1164"/>
      <c r="S1388" s="1164"/>
      <c r="T1388" s="1164"/>
      <c r="U1388" s="2174"/>
      <c r="V1388" s="2174"/>
      <c r="W1388" s="2174"/>
      <c r="X1388" s="1164"/>
    </row>
    <row r="1389" ht="15.75" customHeight="1">
      <c r="A1389" s="94"/>
      <c r="B1389" s="94"/>
      <c r="C1389" s="1164"/>
      <c r="D1389" s="1429"/>
      <c r="E1389" s="1429"/>
      <c r="F1389" s="1436"/>
      <c r="G1389" s="1436"/>
      <c r="H1389" s="1430"/>
      <c r="I1389" s="94"/>
      <c r="J1389" s="1164"/>
      <c r="K1389" s="94"/>
      <c r="L1389" s="94"/>
      <c r="M1389" s="1430"/>
      <c r="N1389" s="94"/>
      <c r="O1389" s="1430"/>
      <c r="P1389" s="94"/>
      <c r="Q1389" s="1431"/>
      <c r="R1389" s="1164"/>
      <c r="S1389" s="1164"/>
      <c r="T1389" s="1164"/>
      <c r="U1389" s="2174"/>
      <c r="V1389" s="2174"/>
      <c r="W1389" s="2174"/>
      <c r="X1389" s="1164"/>
    </row>
    <row r="1390" ht="15.75" customHeight="1">
      <c r="A1390" s="94"/>
      <c r="B1390" s="94"/>
      <c r="C1390" s="1164"/>
      <c r="D1390" s="1429"/>
      <c r="E1390" s="1429"/>
      <c r="F1390" s="1436"/>
      <c r="G1390" s="1436"/>
      <c r="H1390" s="1430"/>
      <c r="I1390" s="94"/>
      <c r="J1390" s="1164"/>
      <c r="K1390" s="94"/>
      <c r="L1390" s="94"/>
      <c r="M1390" s="1430"/>
      <c r="N1390" s="94"/>
      <c r="O1390" s="1430"/>
      <c r="P1390" s="94"/>
      <c r="Q1390" s="1431"/>
      <c r="R1390" s="1164"/>
      <c r="S1390" s="1164"/>
      <c r="T1390" s="1164"/>
      <c r="U1390" s="2174"/>
      <c r="V1390" s="2174"/>
      <c r="W1390" s="2174"/>
      <c r="X1390" s="1164"/>
    </row>
    <row r="1391" ht="15.75" customHeight="1">
      <c r="A1391" s="94"/>
      <c r="B1391" s="94"/>
      <c r="C1391" s="1164"/>
      <c r="D1391" s="1429"/>
      <c r="E1391" s="1429"/>
      <c r="F1391" s="2175"/>
      <c r="G1391" s="1429"/>
      <c r="H1391" s="1430"/>
      <c r="I1391" s="1430"/>
      <c r="J1391" s="94"/>
      <c r="K1391" s="94"/>
      <c r="L1391" s="94"/>
      <c r="M1391" s="1430"/>
      <c r="N1391" s="94"/>
      <c r="O1391" s="1430"/>
      <c r="P1391" s="94"/>
      <c r="Q1391" s="1431"/>
      <c r="R1391" s="1164"/>
      <c r="S1391" s="94"/>
      <c r="T1391" s="94"/>
      <c r="U1391" s="94"/>
      <c r="V1391" s="94"/>
      <c r="W1391" s="94"/>
      <c r="X1391" s="1164"/>
    </row>
    <row r="1392" ht="15.75" customHeight="1">
      <c r="A1392" s="94"/>
      <c r="B1392" s="94"/>
      <c r="C1392" s="1164"/>
      <c r="D1392" s="1429"/>
      <c r="E1392" s="1429"/>
      <c r="F1392" s="1429"/>
      <c r="G1392" s="1436"/>
      <c r="H1392" s="1430"/>
      <c r="I1392" s="1430"/>
      <c r="J1392" s="94"/>
      <c r="K1392" s="94"/>
      <c r="L1392" s="94"/>
      <c r="M1392" s="1430"/>
      <c r="N1392" s="94"/>
      <c r="O1392" s="1430"/>
      <c r="P1392" s="94"/>
      <c r="Q1392" s="1431"/>
      <c r="R1392" s="1164"/>
      <c r="S1392" s="1164"/>
      <c r="T1392" s="1164"/>
      <c r="U1392" s="94"/>
      <c r="V1392" s="94"/>
      <c r="W1392" s="94"/>
      <c r="X1392" s="1164"/>
    </row>
    <row r="1393" ht="15.75" customHeight="1">
      <c r="A1393" s="94"/>
      <c r="B1393" s="94"/>
      <c r="C1393" s="94"/>
      <c r="D1393" s="94"/>
      <c r="E1393" s="94"/>
      <c r="F1393" s="94"/>
      <c r="G1393" s="94"/>
      <c r="H1393" s="1164"/>
      <c r="I1393" s="1164"/>
      <c r="J1393" s="1164"/>
      <c r="K1393" s="1430"/>
      <c r="L1393" s="1430"/>
      <c r="M1393" s="1430"/>
      <c r="N1393" s="1430"/>
      <c r="O1393" s="1430"/>
      <c r="P1393" s="1430"/>
      <c r="Q1393" s="1430"/>
      <c r="R1393" s="1430"/>
      <c r="S1393" s="1430"/>
      <c r="T1393" s="1430"/>
      <c r="U1393" s="94"/>
      <c r="V1393" s="94"/>
      <c r="W1393" s="94"/>
      <c r="X1393" s="1430"/>
    </row>
    <row r="1394" ht="15.75" customHeight="1">
      <c r="A1394" s="94"/>
      <c r="B1394" s="94"/>
      <c r="C1394" s="1164"/>
      <c r="D1394" s="1429"/>
      <c r="E1394" s="1429"/>
      <c r="F1394" s="1429"/>
      <c r="G1394" s="1436"/>
      <c r="H1394" s="1430"/>
      <c r="I1394" s="1430"/>
      <c r="J1394" s="94"/>
      <c r="K1394" s="94"/>
      <c r="L1394" s="94"/>
      <c r="M1394" s="94"/>
      <c r="N1394" s="94"/>
      <c r="O1394" s="94"/>
      <c r="P1394" s="94"/>
      <c r="Q1394" s="1431"/>
      <c r="R1394" s="1164"/>
      <c r="S1394" s="1164"/>
      <c r="T1394" s="1164"/>
      <c r="U1394" s="94"/>
      <c r="V1394" s="94"/>
      <c r="W1394" s="94"/>
      <c r="X1394" s="1164"/>
    </row>
    <row r="1395" ht="15.75" customHeight="1">
      <c r="A1395" s="94"/>
      <c r="B1395" s="94"/>
      <c r="C1395" s="1164"/>
      <c r="D1395" s="1429"/>
      <c r="E1395" s="1429"/>
      <c r="F1395" s="1429"/>
      <c r="G1395" s="1429"/>
      <c r="H1395" s="1430"/>
      <c r="I1395" s="1430"/>
      <c r="J1395" s="94"/>
      <c r="K1395" s="94"/>
      <c r="L1395" s="94"/>
      <c r="M1395" s="94"/>
      <c r="N1395" s="94"/>
      <c r="O1395" s="94"/>
      <c r="P1395" s="94"/>
      <c r="Q1395" s="1431"/>
      <c r="R1395" s="1164"/>
      <c r="S1395" s="1164"/>
      <c r="T1395" s="1164"/>
      <c r="U1395" s="94"/>
      <c r="V1395" s="94"/>
      <c r="W1395" s="94"/>
      <c r="X1395" s="1164"/>
    </row>
    <row r="1396" ht="15.75" customHeight="1">
      <c r="A1396" s="94"/>
      <c r="B1396" s="94"/>
      <c r="C1396" s="1164"/>
      <c r="D1396" s="1429"/>
      <c r="E1396" s="1429"/>
      <c r="F1396" s="1429"/>
      <c r="G1396" s="1429"/>
      <c r="H1396" s="1430"/>
      <c r="I1396" s="1430"/>
      <c r="J1396" s="94"/>
      <c r="K1396" s="94"/>
      <c r="L1396" s="94"/>
      <c r="M1396" s="94"/>
      <c r="N1396" s="94"/>
      <c r="O1396" s="94"/>
      <c r="P1396" s="94"/>
      <c r="Q1396" s="1431"/>
      <c r="R1396" s="1164"/>
      <c r="S1396" s="1164"/>
      <c r="T1396" s="1164"/>
      <c r="U1396" s="94"/>
      <c r="V1396" s="94"/>
      <c r="W1396" s="94"/>
      <c r="X1396" s="1164"/>
    </row>
    <row r="1397" ht="15.75" customHeight="1">
      <c r="A1397" s="94"/>
      <c r="B1397" s="1164"/>
      <c r="C1397" s="1164"/>
      <c r="D1397" s="1429"/>
      <c r="E1397" s="1429"/>
      <c r="F1397" s="1436"/>
      <c r="G1397" s="1436"/>
      <c r="H1397" s="1430"/>
      <c r="I1397" s="94"/>
      <c r="J1397" s="1164"/>
      <c r="K1397" s="94"/>
      <c r="L1397" s="94"/>
      <c r="M1397" s="94"/>
      <c r="N1397" s="94"/>
      <c r="O1397" s="94"/>
      <c r="P1397" s="94"/>
      <c r="Q1397" s="1431"/>
      <c r="R1397" s="1164"/>
      <c r="S1397" s="1164"/>
      <c r="T1397" s="1164"/>
      <c r="U1397" s="2174"/>
      <c r="V1397" s="2174"/>
      <c r="W1397" s="2174"/>
      <c r="X1397" s="1164"/>
    </row>
    <row r="1398" ht="15.75" customHeight="1">
      <c r="A1398" s="94"/>
      <c r="B1398" s="1164"/>
      <c r="C1398" s="1164"/>
      <c r="D1398" s="1429"/>
      <c r="E1398" s="1429"/>
      <c r="F1398" s="1436"/>
      <c r="G1398" s="1436"/>
      <c r="H1398" s="1430"/>
      <c r="I1398" s="94"/>
      <c r="J1398" s="1164"/>
      <c r="K1398" s="94"/>
      <c r="L1398" s="94"/>
      <c r="M1398" s="94"/>
      <c r="N1398" s="94"/>
      <c r="O1398" s="94"/>
      <c r="P1398" s="94"/>
      <c r="Q1398" s="1431"/>
      <c r="R1398" s="1164"/>
      <c r="S1398" s="1164"/>
      <c r="T1398" s="1164"/>
      <c r="U1398" s="2174"/>
      <c r="V1398" s="2174"/>
      <c r="W1398" s="2174"/>
      <c r="X1398" s="1164"/>
    </row>
    <row r="1399" ht="15.75" customHeight="1">
      <c r="A1399" s="94"/>
      <c r="B1399" s="94"/>
      <c r="C1399" s="1164"/>
      <c r="D1399" s="1429"/>
      <c r="E1399" s="1429"/>
      <c r="F1399" s="1436"/>
      <c r="G1399" s="1436"/>
      <c r="H1399" s="1430"/>
      <c r="I1399" s="94"/>
      <c r="J1399" s="1164"/>
      <c r="K1399" s="94"/>
      <c r="L1399" s="94"/>
      <c r="M1399" s="1430"/>
      <c r="N1399" s="94"/>
      <c r="O1399" s="1430"/>
      <c r="P1399" s="94"/>
      <c r="Q1399" s="1431"/>
      <c r="R1399" s="1164"/>
      <c r="S1399" s="1164"/>
      <c r="T1399" s="1164"/>
      <c r="U1399" s="2174"/>
      <c r="V1399" s="2174"/>
      <c r="W1399" s="2174"/>
      <c r="X1399" s="1164"/>
    </row>
    <row r="1400" ht="15.75" customHeight="1">
      <c r="A1400" s="94"/>
      <c r="B1400" s="94"/>
      <c r="C1400" s="1164"/>
      <c r="D1400" s="1429"/>
      <c r="E1400" s="1429"/>
      <c r="F1400" s="1436"/>
      <c r="G1400" s="1436"/>
      <c r="H1400" s="1430"/>
      <c r="I1400" s="94"/>
      <c r="J1400" s="1164"/>
      <c r="K1400" s="94"/>
      <c r="L1400" s="94"/>
      <c r="M1400" s="1430"/>
      <c r="N1400" s="94"/>
      <c r="O1400" s="1430"/>
      <c r="P1400" s="94"/>
      <c r="Q1400" s="1431"/>
      <c r="R1400" s="1164"/>
      <c r="S1400" s="1164"/>
      <c r="T1400" s="1164"/>
      <c r="U1400" s="2174"/>
      <c r="V1400" s="2174"/>
      <c r="W1400" s="2174"/>
      <c r="X1400" s="1164"/>
    </row>
    <row r="1401" ht="15.75" customHeight="1">
      <c r="A1401" s="94"/>
      <c r="B1401" s="1164"/>
      <c r="C1401" s="1164"/>
      <c r="D1401" s="1429"/>
      <c r="E1401" s="1429"/>
      <c r="F1401" s="1436"/>
      <c r="G1401" s="1436"/>
      <c r="H1401" s="1430"/>
      <c r="I1401" s="94"/>
      <c r="J1401" s="1164"/>
      <c r="K1401" s="94"/>
      <c r="L1401" s="94"/>
      <c r="M1401" s="1430"/>
      <c r="N1401" s="94"/>
      <c r="O1401" s="1430"/>
      <c r="P1401" s="94"/>
      <c r="Q1401" s="1431"/>
      <c r="R1401" s="1164"/>
      <c r="S1401" s="1164"/>
      <c r="T1401" s="1164"/>
      <c r="U1401" s="2174"/>
      <c r="V1401" s="2174"/>
      <c r="W1401" s="2174"/>
      <c r="X1401" s="1164"/>
    </row>
    <row r="1402" ht="15.75" customHeight="1">
      <c r="A1402" s="94"/>
      <c r="B1402" s="1164"/>
      <c r="C1402" s="1164"/>
      <c r="D1402" s="1429"/>
      <c r="E1402" s="1429"/>
      <c r="F1402" s="1436"/>
      <c r="G1402" s="1436"/>
      <c r="H1402" s="1430"/>
      <c r="I1402" s="94"/>
      <c r="J1402" s="1164"/>
      <c r="K1402" s="94"/>
      <c r="L1402" s="94"/>
      <c r="M1402" s="94"/>
      <c r="N1402" s="94"/>
      <c r="O1402" s="94"/>
      <c r="P1402" s="94"/>
      <c r="Q1402" s="1431"/>
      <c r="R1402" s="1164"/>
      <c r="S1402" s="1164"/>
      <c r="T1402" s="1164"/>
      <c r="U1402" s="2174"/>
      <c r="V1402" s="2174"/>
      <c r="W1402" s="2174"/>
      <c r="X1402" s="1164"/>
    </row>
    <row r="1403" ht="15.75" customHeight="1">
      <c r="A1403" s="94"/>
      <c r="B1403" s="1164"/>
      <c r="C1403" s="1164"/>
      <c r="D1403" s="1429"/>
      <c r="E1403" s="1429"/>
      <c r="F1403" s="1436"/>
      <c r="G1403" s="1436"/>
      <c r="H1403" s="1430"/>
      <c r="I1403" s="94"/>
      <c r="J1403" s="1164"/>
      <c r="K1403" s="94"/>
      <c r="L1403" s="94"/>
      <c r="M1403" s="1430"/>
      <c r="N1403" s="94"/>
      <c r="O1403" s="1430"/>
      <c r="P1403" s="94"/>
      <c r="Q1403" s="1431"/>
      <c r="R1403" s="1164"/>
      <c r="S1403" s="1164"/>
      <c r="T1403" s="1164"/>
      <c r="U1403" s="2174"/>
      <c r="V1403" s="2174"/>
      <c r="W1403" s="2174"/>
      <c r="X1403" s="1164"/>
    </row>
    <row r="1404" ht="15.75" customHeight="1">
      <c r="A1404" s="94"/>
      <c r="B1404" s="1164"/>
      <c r="C1404" s="1164"/>
      <c r="D1404" s="1429"/>
      <c r="E1404" s="1429"/>
      <c r="F1404" s="1436"/>
      <c r="G1404" s="1436"/>
      <c r="H1404" s="1430"/>
      <c r="I1404" s="94"/>
      <c r="J1404" s="1164"/>
      <c r="K1404" s="94"/>
      <c r="L1404" s="94"/>
      <c r="M1404" s="94"/>
      <c r="N1404" s="94"/>
      <c r="O1404" s="94"/>
      <c r="P1404" s="94"/>
      <c r="Q1404" s="1431"/>
      <c r="R1404" s="1164"/>
      <c r="S1404" s="1164"/>
      <c r="T1404" s="1164"/>
      <c r="U1404" s="2174"/>
      <c r="V1404" s="2174"/>
      <c r="W1404" s="2174"/>
      <c r="X1404" s="1164"/>
    </row>
    <row r="1405" ht="15.75" customHeight="1">
      <c r="A1405" s="94"/>
      <c r="B1405" s="1164"/>
      <c r="C1405" s="1164"/>
      <c r="D1405" s="1429"/>
      <c r="E1405" s="1429"/>
      <c r="F1405" s="1436"/>
      <c r="G1405" s="1436"/>
      <c r="H1405" s="1430"/>
      <c r="I1405" s="94"/>
      <c r="J1405" s="1164"/>
      <c r="K1405" s="94"/>
      <c r="L1405" s="94"/>
      <c r="M1405" s="94"/>
      <c r="N1405" s="94"/>
      <c r="O1405" s="94"/>
      <c r="P1405" s="94"/>
      <c r="Q1405" s="1431"/>
      <c r="R1405" s="1164"/>
      <c r="S1405" s="1164"/>
      <c r="T1405" s="1164"/>
      <c r="U1405" s="2174"/>
      <c r="V1405" s="2174"/>
      <c r="W1405" s="2174"/>
      <c r="X1405" s="1164"/>
    </row>
    <row r="1406" ht="15.75" customHeight="1">
      <c r="A1406" s="94"/>
      <c r="B1406" s="1164"/>
      <c r="C1406" s="1164"/>
      <c r="D1406" s="1429"/>
      <c r="E1406" s="1429"/>
      <c r="F1406" s="1436"/>
      <c r="G1406" s="1436"/>
      <c r="H1406" s="1430"/>
      <c r="I1406" s="94"/>
      <c r="J1406" s="1164"/>
      <c r="K1406" s="94"/>
      <c r="L1406" s="94"/>
      <c r="M1406" s="94"/>
      <c r="N1406" s="94"/>
      <c r="O1406" s="94"/>
      <c r="P1406" s="94"/>
      <c r="Q1406" s="1431"/>
      <c r="R1406" s="1164"/>
      <c r="S1406" s="1164"/>
      <c r="T1406" s="1164"/>
      <c r="U1406" s="2174"/>
      <c r="V1406" s="2174"/>
      <c r="W1406" s="2174"/>
      <c r="X1406" s="1164"/>
    </row>
    <row r="1407" ht="15.75" customHeight="1">
      <c r="A1407" s="94"/>
      <c r="B1407" s="94"/>
      <c r="C1407" s="1164"/>
      <c r="D1407" s="1429"/>
      <c r="E1407" s="1429"/>
      <c r="F1407" s="1436"/>
      <c r="G1407" s="1436"/>
      <c r="H1407" s="1430"/>
      <c r="I1407" s="94"/>
      <c r="J1407" s="1164"/>
      <c r="K1407" s="94"/>
      <c r="L1407" s="94"/>
      <c r="M1407" s="1430"/>
      <c r="N1407" s="94"/>
      <c r="O1407" s="1430"/>
      <c r="P1407" s="94"/>
      <c r="Q1407" s="1431"/>
      <c r="R1407" s="1164"/>
      <c r="S1407" s="1164"/>
      <c r="T1407" s="1164"/>
      <c r="U1407" s="2174"/>
      <c r="V1407" s="2174"/>
      <c r="W1407" s="2174"/>
      <c r="X1407" s="1164"/>
    </row>
    <row r="1408" ht="15.75" customHeight="1">
      <c r="A1408" s="94"/>
      <c r="B1408" s="1164"/>
      <c r="C1408" s="1164"/>
      <c r="D1408" s="1429"/>
      <c r="E1408" s="1429"/>
      <c r="F1408" s="1436"/>
      <c r="G1408" s="1436"/>
      <c r="H1408" s="1430"/>
      <c r="I1408" s="94"/>
      <c r="J1408" s="1164"/>
      <c r="K1408" s="94"/>
      <c r="L1408" s="94"/>
      <c r="M1408" s="1430"/>
      <c r="N1408" s="94"/>
      <c r="O1408" s="1430"/>
      <c r="P1408" s="94"/>
      <c r="Q1408" s="1431"/>
      <c r="R1408" s="1164"/>
      <c r="S1408" s="1164"/>
      <c r="T1408" s="1164"/>
      <c r="U1408" s="2174"/>
      <c r="V1408" s="2174"/>
      <c r="W1408" s="2174"/>
      <c r="X1408" s="1164"/>
    </row>
    <row r="1409" ht="15.75" customHeight="1">
      <c r="A1409" s="94"/>
      <c r="B1409" s="94"/>
      <c r="C1409" s="1164"/>
      <c r="D1409" s="1429"/>
      <c r="E1409" s="1429"/>
      <c r="F1409" s="1436"/>
      <c r="G1409" s="1436"/>
      <c r="H1409" s="1430"/>
      <c r="I1409" s="94"/>
      <c r="J1409" s="1164"/>
      <c r="K1409" s="94"/>
      <c r="L1409" s="94"/>
      <c r="M1409" s="1430"/>
      <c r="N1409" s="94"/>
      <c r="O1409" s="1430"/>
      <c r="P1409" s="94"/>
      <c r="Q1409" s="1431"/>
      <c r="R1409" s="1164"/>
      <c r="S1409" s="1164"/>
      <c r="T1409" s="1164"/>
      <c r="U1409" s="2174"/>
      <c r="V1409" s="2174"/>
      <c r="W1409" s="2174"/>
      <c r="X1409" s="1164"/>
    </row>
    <row r="1410" ht="15.75" customHeight="1">
      <c r="A1410" s="94"/>
      <c r="B1410" s="94"/>
      <c r="C1410" s="1164"/>
      <c r="D1410" s="1429"/>
      <c r="E1410" s="1429"/>
      <c r="F1410" s="1436"/>
      <c r="G1410" s="1436"/>
      <c r="H1410" s="1430"/>
      <c r="I1410" s="94"/>
      <c r="J1410" s="1164"/>
      <c r="K1410" s="94"/>
      <c r="L1410" s="94"/>
      <c r="M1410" s="1430"/>
      <c r="N1410" s="94"/>
      <c r="O1410" s="1430"/>
      <c r="P1410" s="94"/>
      <c r="Q1410" s="1431"/>
      <c r="R1410" s="1164"/>
      <c r="S1410" s="1164"/>
      <c r="T1410" s="1164"/>
      <c r="U1410" s="2174"/>
      <c r="V1410" s="2174"/>
      <c r="W1410" s="2174"/>
      <c r="X1410" s="1164"/>
    </row>
    <row r="1411" ht="15.75" customHeight="1">
      <c r="A1411" s="94"/>
      <c r="B1411" s="1164"/>
      <c r="C1411" s="1164"/>
      <c r="D1411" s="1429"/>
      <c r="E1411" s="1429"/>
      <c r="F1411" s="1436"/>
      <c r="G1411" s="1436"/>
      <c r="H1411" s="1430"/>
      <c r="I1411" s="94"/>
      <c r="J1411" s="1164"/>
      <c r="K1411" s="94"/>
      <c r="L1411" s="94"/>
      <c r="M1411" s="1430"/>
      <c r="N1411" s="94"/>
      <c r="O1411" s="1430"/>
      <c r="P1411" s="94"/>
      <c r="Q1411" s="1431"/>
      <c r="R1411" s="1164"/>
      <c r="S1411" s="1164"/>
      <c r="T1411" s="1164"/>
      <c r="U1411" s="2174"/>
      <c r="V1411" s="2174"/>
      <c r="W1411" s="2174"/>
      <c r="X1411" s="1164"/>
    </row>
    <row r="1412" ht="15.75" customHeight="1">
      <c r="A1412" s="94"/>
      <c r="B1412" s="94"/>
      <c r="C1412" s="1164"/>
      <c r="D1412" s="1429"/>
      <c r="E1412" s="1429"/>
      <c r="F1412" s="1436"/>
      <c r="G1412" s="1436"/>
      <c r="H1412" s="1430"/>
      <c r="I1412" s="94"/>
      <c r="J1412" s="1164"/>
      <c r="K1412" s="94"/>
      <c r="L1412" s="94"/>
      <c r="M1412" s="1430"/>
      <c r="N1412" s="94"/>
      <c r="O1412" s="1430"/>
      <c r="P1412" s="94"/>
      <c r="Q1412" s="1431"/>
      <c r="R1412" s="1164"/>
      <c r="S1412" s="1164"/>
      <c r="T1412" s="1164"/>
      <c r="U1412" s="2174"/>
      <c r="V1412" s="2174"/>
      <c r="W1412" s="2174"/>
      <c r="X1412" s="1164"/>
    </row>
    <row r="1413" ht="15.75" customHeight="1">
      <c r="A1413" s="94"/>
      <c r="B1413" s="1164"/>
      <c r="C1413" s="1164"/>
      <c r="D1413" s="1429"/>
      <c r="E1413" s="1429"/>
      <c r="F1413" s="1436"/>
      <c r="G1413" s="1436"/>
      <c r="H1413" s="1430"/>
      <c r="I1413" s="94"/>
      <c r="J1413" s="1164"/>
      <c r="K1413" s="94"/>
      <c r="L1413" s="94"/>
      <c r="M1413" s="1430"/>
      <c r="N1413" s="94"/>
      <c r="O1413" s="1430"/>
      <c r="P1413" s="94"/>
      <c r="Q1413" s="1431"/>
      <c r="R1413" s="1164"/>
      <c r="S1413" s="1164"/>
      <c r="T1413" s="1164"/>
      <c r="U1413" s="2174"/>
      <c r="V1413" s="2174"/>
      <c r="W1413" s="2174"/>
      <c r="X1413" s="1164"/>
    </row>
    <row r="1414" ht="15.75" customHeight="1">
      <c r="A1414" s="94"/>
      <c r="B1414" s="94"/>
      <c r="C1414" s="1164"/>
      <c r="D1414" s="1429"/>
      <c r="E1414" s="1429"/>
      <c r="F1414" s="1436"/>
      <c r="G1414" s="1436"/>
      <c r="H1414" s="1430"/>
      <c r="I1414" s="94"/>
      <c r="J1414" s="1164"/>
      <c r="K1414" s="94"/>
      <c r="L1414" s="94"/>
      <c r="M1414" s="1430"/>
      <c r="N1414" s="94"/>
      <c r="O1414" s="1430"/>
      <c r="P1414" s="94"/>
      <c r="Q1414" s="1431"/>
      <c r="R1414" s="1164"/>
      <c r="S1414" s="1164"/>
      <c r="T1414" s="1164"/>
      <c r="U1414" s="2174"/>
      <c r="V1414" s="2174"/>
      <c r="W1414" s="2174"/>
      <c r="X1414" s="1164"/>
    </row>
    <row r="1415" ht="15.75" customHeight="1">
      <c r="A1415" s="94"/>
      <c r="B1415" s="1164"/>
      <c r="C1415" s="1164"/>
      <c r="D1415" s="1429"/>
      <c r="E1415" s="1429"/>
      <c r="F1415" s="1436"/>
      <c r="G1415" s="1436"/>
      <c r="H1415" s="1430"/>
      <c r="I1415" s="94"/>
      <c r="J1415" s="1164"/>
      <c r="K1415" s="94"/>
      <c r="L1415" s="94"/>
      <c r="M1415" s="94"/>
      <c r="N1415" s="94"/>
      <c r="O1415" s="94"/>
      <c r="P1415" s="94"/>
      <c r="Q1415" s="1431"/>
      <c r="R1415" s="1164"/>
      <c r="S1415" s="1164"/>
      <c r="T1415" s="1164"/>
      <c r="U1415" s="2174"/>
      <c r="V1415" s="2174"/>
      <c r="W1415" s="2174"/>
      <c r="X1415" s="1164"/>
    </row>
    <row r="1416" ht="15.75" customHeight="1">
      <c r="A1416" s="94"/>
      <c r="B1416" s="1164"/>
      <c r="C1416" s="1164"/>
      <c r="D1416" s="1429"/>
      <c r="E1416" s="1429"/>
      <c r="F1416" s="1436"/>
      <c r="G1416" s="1436"/>
      <c r="H1416" s="1430"/>
      <c r="I1416" s="94"/>
      <c r="J1416" s="1164"/>
      <c r="K1416" s="94"/>
      <c r="L1416" s="94"/>
      <c r="M1416" s="1430"/>
      <c r="N1416" s="94"/>
      <c r="O1416" s="1430"/>
      <c r="P1416" s="94"/>
      <c r="Q1416" s="1431"/>
      <c r="R1416" s="1164"/>
      <c r="S1416" s="1164"/>
      <c r="T1416" s="1164"/>
      <c r="U1416" s="2174"/>
      <c r="V1416" s="2174"/>
      <c r="W1416" s="2174"/>
      <c r="X1416" s="1164"/>
    </row>
    <row r="1417" ht="15.75" customHeight="1">
      <c r="A1417" s="94"/>
      <c r="B1417" s="1164"/>
      <c r="C1417" s="1164"/>
      <c r="D1417" s="1429"/>
      <c r="E1417" s="1429"/>
      <c r="F1417" s="1436"/>
      <c r="G1417" s="1436"/>
      <c r="H1417" s="1430"/>
      <c r="I1417" s="94"/>
      <c r="J1417" s="1164"/>
      <c r="K1417" s="94"/>
      <c r="L1417" s="94"/>
      <c r="M1417" s="94"/>
      <c r="N1417" s="94"/>
      <c r="O1417" s="94"/>
      <c r="P1417" s="94"/>
      <c r="Q1417" s="1431"/>
      <c r="R1417" s="1164"/>
      <c r="S1417" s="1164"/>
      <c r="T1417" s="1164"/>
      <c r="U1417" s="2174"/>
      <c r="V1417" s="2174"/>
      <c r="W1417" s="2174"/>
      <c r="X1417" s="1164"/>
    </row>
    <row r="1418" ht="15.75" customHeight="1">
      <c r="A1418" s="94"/>
      <c r="B1418" s="94"/>
      <c r="C1418" s="1164"/>
      <c r="D1418" s="1429"/>
      <c r="E1418" s="1429"/>
      <c r="F1418" s="1436"/>
      <c r="G1418" s="1436"/>
      <c r="H1418" s="1430"/>
      <c r="I1418" s="94"/>
      <c r="J1418" s="1164"/>
      <c r="K1418" s="94"/>
      <c r="L1418" s="94"/>
      <c r="M1418" s="1430"/>
      <c r="N1418" s="94"/>
      <c r="O1418" s="1430"/>
      <c r="P1418" s="94"/>
      <c r="Q1418" s="1431"/>
      <c r="R1418" s="1164"/>
      <c r="S1418" s="1164"/>
      <c r="T1418" s="1164"/>
      <c r="U1418" s="2174"/>
      <c r="V1418" s="2174"/>
      <c r="W1418" s="2174"/>
      <c r="X1418" s="1164"/>
    </row>
    <row r="1419" ht="15.75" customHeight="1">
      <c r="A1419" s="94"/>
      <c r="B1419" s="94"/>
      <c r="C1419" s="1164"/>
      <c r="D1419" s="1429"/>
      <c r="E1419" s="1429"/>
      <c r="F1419" s="1436"/>
      <c r="G1419" s="1436"/>
      <c r="H1419" s="1430"/>
      <c r="I1419" s="94"/>
      <c r="J1419" s="1164"/>
      <c r="K1419" s="94"/>
      <c r="L1419" s="94"/>
      <c r="M1419" s="1430"/>
      <c r="N1419" s="94"/>
      <c r="O1419" s="1430"/>
      <c r="P1419" s="94"/>
      <c r="Q1419" s="1431"/>
      <c r="R1419" s="1164"/>
      <c r="S1419" s="1164"/>
      <c r="T1419" s="1164"/>
      <c r="U1419" s="2174"/>
      <c r="V1419" s="2174"/>
      <c r="W1419" s="2174"/>
      <c r="X1419" s="1164"/>
    </row>
    <row r="1420" ht="15.75" customHeight="1">
      <c r="A1420" s="94"/>
      <c r="B1420" s="94"/>
      <c r="C1420" s="1164"/>
      <c r="D1420" s="1429"/>
      <c r="E1420" s="1429"/>
      <c r="F1420" s="1436"/>
      <c r="G1420" s="1436"/>
      <c r="H1420" s="1430"/>
      <c r="I1420" s="94"/>
      <c r="J1420" s="1164"/>
      <c r="K1420" s="94"/>
      <c r="L1420" s="94"/>
      <c r="M1420" s="1430"/>
      <c r="N1420" s="94"/>
      <c r="O1420" s="1430"/>
      <c r="P1420" s="94"/>
      <c r="Q1420" s="1431"/>
      <c r="R1420" s="1164"/>
      <c r="S1420" s="1164"/>
      <c r="T1420" s="1164"/>
      <c r="U1420" s="2174"/>
      <c r="V1420" s="2174"/>
      <c r="W1420" s="2174"/>
      <c r="X1420" s="1164"/>
    </row>
    <row r="1421" ht="15.75" customHeight="1">
      <c r="A1421" s="94"/>
      <c r="B1421" s="94"/>
      <c r="C1421" s="1164"/>
      <c r="D1421" s="1429"/>
      <c r="E1421" s="1429"/>
      <c r="F1421" s="1436"/>
      <c r="G1421" s="1436"/>
      <c r="H1421" s="1430"/>
      <c r="I1421" s="94"/>
      <c r="J1421" s="1164"/>
      <c r="K1421" s="94"/>
      <c r="L1421" s="94"/>
      <c r="M1421" s="1430"/>
      <c r="N1421" s="94"/>
      <c r="O1421" s="1430"/>
      <c r="P1421" s="94"/>
      <c r="Q1421" s="1431"/>
      <c r="R1421" s="1164"/>
      <c r="S1421" s="1164"/>
      <c r="T1421" s="1164"/>
      <c r="U1421" s="2174"/>
      <c r="V1421" s="2174"/>
      <c r="W1421" s="2174"/>
      <c r="X1421" s="1164"/>
    </row>
    <row r="1422" ht="15.75" customHeight="1">
      <c r="A1422" s="94"/>
      <c r="B1422" s="94"/>
      <c r="C1422" s="1164"/>
      <c r="D1422" s="1429"/>
      <c r="E1422" s="1429"/>
      <c r="F1422" s="1436"/>
      <c r="G1422" s="1436"/>
      <c r="H1422" s="1430"/>
      <c r="I1422" s="94"/>
      <c r="J1422" s="1164"/>
      <c r="K1422" s="94"/>
      <c r="L1422" s="94"/>
      <c r="M1422" s="1430"/>
      <c r="N1422" s="94"/>
      <c r="O1422" s="1430"/>
      <c r="P1422" s="94"/>
      <c r="Q1422" s="1431"/>
      <c r="R1422" s="1164"/>
      <c r="S1422" s="1164"/>
      <c r="T1422" s="1164"/>
      <c r="U1422" s="2174"/>
      <c r="V1422" s="2174"/>
      <c r="W1422" s="2174"/>
      <c r="X1422" s="1164"/>
    </row>
    <row r="1423" ht="15.75" customHeight="1">
      <c r="A1423" s="94"/>
      <c r="B1423" s="94"/>
      <c r="C1423" s="1164"/>
      <c r="D1423" s="1429"/>
      <c r="E1423" s="1429"/>
      <c r="F1423" s="1436"/>
      <c r="G1423" s="1436"/>
      <c r="H1423" s="1430"/>
      <c r="I1423" s="94"/>
      <c r="J1423" s="1164"/>
      <c r="K1423" s="94"/>
      <c r="L1423" s="94"/>
      <c r="M1423" s="1430"/>
      <c r="N1423" s="94"/>
      <c r="O1423" s="1430"/>
      <c r="P1423" s="94"/>
      <c r="Q1423" s="1431"/>
      <c r="R1423" s="1164"/>
      <c r="S1423" s="1164"/>
      <c r="T1423" s="1164"/>
      <c r="U1423" s="2174"/>
      <c r="V1423" s="2174"/>
      <c r="W1423" s="2174"/>
      <c r="X1423" s="1164"/>
    </row>
    <row r="1424" ht="15.75" customHeight="1">
      <c r="A1424" s="94"/>
      <c r="B1424" s="1164"/>
      <c r="C1424" s="1164"/>
      <c r="D1424" s="1429"/>
      <c r="E1424" s="1429"/>
      <c r="F1424" s="1436"/>
      <c r="G1424" s="1436"/>
      <c r="H1424" s="1430"/>
      <c r="I1424" s="94"/>
      <c r="J1424" s="1164"/>
      <c r="K1424" s="94"/>
      <c r="L1424" s="94"/>
      <c r="M1424" s="1430"/>
      <c r="N1424" s="94"/>
      <c r="O1424" s="1430"/>
      <c r="P1424" s="94"/>
      <c r="Q1424" s="1431"/>
      <c r="R1424" s="1164"/>
      <c r="S1424" s="1164"/>
      <c r="T1424" s="1164"/>
      <c r="U1424" s="2174"/>
      <c r="V1424" s="2174"/>
      <c r="W1424" s="2174"/>
      <c r="X1424" s="1164"/>
    </row>
    <row r="1425" ht="15.75" customHeight="1">
      <c r="A1425" s="94"/>
      <c r="B1425" s="1164"/>
      <c r="C1425" s="1164"/>
      <c r="D1425" s="1429"/>
      <c r="E1425" s="1429"/>
      <c r="F1425" s="1436"/>
      <c r="G1425" s="1436"/>
      <c r="H1425" s="1430"/>
      <c r="I1425" s="94"/>
      <c r="J1425" s="1164"/>
      <c r="K1425" s="94"/>
      <c r="L1425" s="94"/>
      <c r="M1425" s="1430"/>
      <c r="N1425" s="94"/>
      <c r="O1425" s="1430"/>
      <c r="P1425" s="94"/>
      <c r="Q1425" s="1431"/>
      <c r="R1425" s="1164"/>
      <c r="S1425" s="1164"/>
      <c r="T1425" s="1164"/>
      <c r="U1425" s="2174"/>
      <c r="V1425" s="2174"/>
      <c r="W1425" s="2174"/>
      <c r="X1425" s="1164"/>
    </row>
    <row r="1426" ht="15.75" customHeight="1">
      <c r="A1426" s="94"/>
      <c r="B1426" s="94"/>
      <c r="C1426" s="1164"/>
      <c r="D1426" s="1429"/>
      <c r="E1426" s="1429"/>
      <c r="F1426" s="1436"/>
      <c r="G1426" s="1436"/>
      <c r="H1426" s="1430"/>
      <c r="I1426" s="94"/>
      <c r="J1426" s="1164"/>
      <c r="K1426" s="94"/>
      <c r="L1426" s="94"/>
      <c r="M1426" s="1430"/>
      <c r="N1426" s="94"/>
      <c r="O1426" s="1430"/>
      <c r="P1426" s="94"/>
      <c r="Q1426" s="1431"/>
      <c r="R1426" s="1164"/>
      <c r="S1426" s="1164"/>
      <c r="T1426" s="1164"/>
      <c r="U1426" s="2174"/>
      <c r="V1426" s="2174"/>
      <c r="W1426" s="2174"/>
      <c r="X1426" s="1164"/>
    </row>
    <row r="1427" ht="15.75" customHeight="1">
      <c r="A1427" s="94"/>
      <c r="B1427" s="1164"/>
      <c r="C1427" s="1164"/>
      <c r="D1427" s="1429"/>
      <c r="E1427" s="1429"/>
      <c r="F1427" s="1436"/>
      <c r="G1427" s="1436"/>
      <c r="H1427" s="1430"/>
      <c r="I1427" s="94"/>
      <c r="J1427" s="1164"/>
      <c r="K1427" s="94"/>
      <c r="L1427" s="94"/>
      <c r="M1427" s="1430"/>
      <c r="N1427" s="94"/>
      <c r="O1427" s="1430"/>
      <c r="P1427" s="94"/>
      <c r="Q1427" s="1431"/>
      <c r="R1427" s="1164"/>
      <c r="S1427" s="1164"/>
      <c r="T1427" s="1164"/>
      <c r="U1427" s="2174"/>
      <c r="V1427" s="2174"/>
      <c r="W1427" s="2174"/>
      <c r="X1427" s="1164"/>
    </row>
    <row r="1428" ht="15.75" customHeight="1">
      <c r="A1428" s="94"/>
      <c r="B1428" s="1164"/>
      <c r="C1428" s="1164"/>
      <c r="D1428" s="1429"/>
      <c r="E1428" s="1429"/>
      <c r="F1428" s="1436"/>
      <c r="G1428" s="1436"/>
      <c r="H1428" s="1430"/>
      <c r="I1428" s="94"/>
      <c r="J1428" s="1164"/>
      <c r="K1428" s="94"/>
      <c r="L1428" s="94"/>
      <c r="M1428" s="1430"/>
      <c r="N1428" s="94"/>
      <c r="O1428" s="1430"/>
      <c r="P1428" s="94"/>
      <c r="Q1428" s="1431"/>
      <c r="R1428" s="1164"/>
      <c r="S1428" s="1164"/>
      <c r="T1428" s="1164"/>
      <c r="U1428" s="2174"/>
      <c r="V1428" s="2174"/>
      <c r="W1428" s="2174"/>
      <c r="X1428" s="1164"/>
    </row>
    <row r="1429" ht="15.75" customHeight="1">
      <c r="A1429" s="94"/>
      <c r="B1429" s="1164"/>
      <c r="C1429" s="1164"/>
      <c r="D1429" s="1429"/>
      <c r="E1429" s="1429"/>
      <c r="F1429" s="1436"/>
      <c r="G1429" s="1436"/>
      <c r="H1429" s="1430"/>
      <c r="I1429" s="94"/>
      <c r="J1429" s="1164"/>
      <c r="K1429" s="94"/>
      <c r="L1429" s="94"/>
      <c r="M1429" s="1430"/>
      <c r="N1429" s="94"/>
      <c r="O1429" s="1430"/>
      <c r="P1429" s="94"/>
      <c r="Q1429" s="1431"/>
      <c r="R1429" s="1164"/>
      <c r="S1429" s="1164"/>
      <c r="T1429" s="1164"/>
      <c r="U1429" s="2174"/>
      <c r="V1429" s="2174"/>
      <c r="W1429" s="2174"/>
      <c r="X1429" s="1164"/>
    </row>
    <row r="1430" ht="15.75" customHeight="1">
      <c r="A1430" s="94"/>
      <c r="B1430" s="94"/>
      <c r="C1430" s="1164"/>
      <c r="D1430" s="1429"/>
      <c r="E1430" s="1429"/>
      <c r="F1430" s="1436"/>
      <c r="G1430" s="1436"/>
      <c r="H1430" s="1430"/>
      <c r="I1430" s="94"/>
      <c r="J1430" s="1164"/>
      <c r="K1430" s="94"/>
      <c r="L1430" s="94"/>
      <c r="M1430" s="94"/>
      <c r="N1430" s="94"/>
      <c r="O1430" s="94"/>
      <c r="P1430" s="94"/>
      <c r="Q1430" s="1431"/>
      <c r="R1430" s="1164"/>
      <c r="S1430" s="1164"/>
      <c r="T1430" s="1164"/>
      <c r="U1430" s="94"/>
      <c r="V1430" s="94"/>
      <c r="W1430" s="94"/>
      <c r="X1430" s="1164"/>
    </row>
    <row r="1431" ht="15.75" customHeight="1">
      <c r="A1431" s="94"/>
      <c r="B1431" s="94"/>
      <c r="C1431" s="1164"/>
      <c r="D1431" s="1429"/>
      <c r="E1431" s="1429"/>
      <c r="F1431" s="1436"/>
      <c r="G1431" s="1436"/>
      <c r="H1431" s="1430"/>
      <c r="I1431" s="94"/>
      <c r="J1431" s="1164"/>
      <c r="K1431" s="94"/>
      <c r="L1431" s="94"/>
      <c r="M1431" s="94"/>
      <c r="N1431" s="94"/>
      <c r="O1431" s="94"/>
      <c r="P1431" s="94"/>
      <c r="Q1431" s="1431"/>
      <c r="R1431" s="1164"/>
      <c r="S1431" s="1164"/>
      <c r="T1431" s="1164"/>
      <c r="U1431" s="94"/>
      <c r="V1431" s="94"/>
      <c r="W1431" s="94"/>
      <c r="X1431" s="1164"/>
    </row>
    <row r="1432" ht="15.75" customHeight="1">
      <c r="A1432" s="94"/>
      <c r="B1432" s="1164"/>
      <c r="C1432" s="1164"/>
      <c r="D1432" s="1429"/>
      <c r="E1432" s="1429"/>
      <c r="F1432" s="1436"/>
      <c r="G1432" s="1436"/>
      <c r="H1432" s="1430"/>
      <c r="I1432" s="94"/>
      <c r="J1432" s="1164"/>
      <c r="K1432" s="94"/>
      <c r="L1432" s="94"/>
      <c r="M1432" s="1430"/>
      <c r="N1432" s="94"/>
      <c r="O1432" s="1430"/>
      <c r="P1432" s="94"/>
      <c r="Q1432" s="1431"/>
      <c r="R1432" s="1164"/>
      <c r="S1432" s="1164"/>
      <c r="T1432" s="1164"/>
      <c r="U1432" s="2174"/>
      <c r="V1432" s="2174"/>
      <c r="W1432" s="2174"/>
      <c r="X1432" s="1164"/>
    </row>
    <row r="1433" ht="15.75" customHeight="1">
      <c r="A1433" s="94"/>
      <c r="B1433" s="1164"/>
      <c r="C1433" s="1164"/>
      <c r="D1433" s="1429"/>
      <c r="E1433" s="1429"/>
      <c r="F1433" s="1436"/>
      <c r="G1433" s="1436"/>
      <c r="H1433" s="1430"/>
      <c r="I1433" s="94"/>
      <c r="J1433" s="1164"/>
      <c r="K1433" s="94"/>
      <c r="L1433" s="94"/>
      <c r="M1433" s="1430"/>
      <c r="N1433" s="94"/>
      <c r="O1433" s="1430"/>
      <c r="P1433" s="94"/>
      <c r="Q1433" s="1431"/>
      <c r="R1433" s="1164"/>
      <c r="S1433" s="1164"/>
      <c r="T1433" s="1164"/>
      <c r="U1433" s="2174"/>
      <c r="V1433" s="2174"/>
      <c r="W1433" s="2174"/>
      <c r="X1433" s="1164"/>
    </row>
    <row r="1434" ht="15.75" customHeight="1">
      <c r="A1434" s="94"/>
      <c r="B1434" s="94"/>
      <c r="C1434" s="1164"/>
      <c r="D1434" s="1429"/>
      <c r="E1434" s="1429"/>
      <c r="F1434" s="1436"/>
      <c r="G1434" s="1436"/>
      <c r="H1434" s="1430"/>
      <c r="I1434" s="94"/>
      <c r="J1434" s="1164"/>
      <c r="K1434" s="94"/>
      <c r="L1434" s="94"/>
      <c r="M1434" s="1430"/>
      <c r="N1434" s="94"/>
      <c r="O1434" s="1430"/>
      <c r="P1434" s="94"/>
      <c r="Q1434" s="1431"/>
      <c r="R1434" s="1164"/>
      <c r="S1434" s="1164"/>
      <c r="T1434" s="1164"/>
      <c r="U1434" s="2174"/>
      <c r="V1434" s="2174"/>
      <c r="W1434" s="2174"/>
      <c r="X1434" s="1164"/>
    </row>
    <row r="1435" ht="15.75" customHeight="1">
      <c r="A1435" s="94"/>
      <c r="B1435" s="1164"/>
      <c r="C1435" s="1164"/>
      <c r="D1435" s="1429"/>
      <c r="E1435" s="1429"/>
      <c r="F1435" s="1436"/>
      <c r="G1435" s="1436"/>
      <c r="H1435" s="1430"/>
      <c r="I1435" s="94"/>
      <c r="J1435" s="1164"/>
      <c r="K1435" s="94"/>
      <c r="L1435" s="94"/>
      <c r="M1435" s="1430"/>
      <c r="N1435" s="94"/>
      <c r="O1435" s="1430"/>
      <c r="P1435" s="94"/>
      <c r="Q1435" s="1431"/>
      <c r="R1435" s="1164"/>
      <c r="S1435" s="1164"/>
      <c r="T1435" s="1164"/>
      <c r="U1435" s="2174"/>
      <c r="V1435" s="2174"/>
      <c r="W1435" s="2174"/>
      <c r="X1435" s="1164"/>
    </row>
    <row r="1436" ht="15.75" customHeight="1">
      <c r="A1436" s="94"/>
      <c r="B1436" s="1164"/>
      <c r="C1436" s="1164"/>
      <c r="D1436" s="1429"/>
      <c r="E1436" s="1429"/>
      <c r="F1436" s="1436"/>
      <c r="G1436" s="1436"/>
      <c r="H1436" s="1430"/>
      <c r="I1436" s="94"/>
      <c r="J1436" s="1164"/>
      <c r="K1436" s="94"/>
      <c r="L1436" s="94"/>
      <c r="M1436" s="1430"/>
      <c r="N1436" s="94"/>
      <c r="O1436" s="1430"/>
      <c r="P1436" s="94"/>
      <c r="Q1436" s="1431"/>
      <c r="R1436" s="1164"/>
      <c r="S1436" s="1164"/>
      <c r="T1436" s="1164"/>
      <c r="U1436" s="2174"/>
      <c r="V1436" s="2174"/>
      <c r="W1436" s="2174"/>
      <c r="X1436" s="1164"/>
    </row>
    <row r="1437" ht="15.75" customHeight="1">
      <c r="A1437" s="94"/>
      <c r="B1437" s="94"/>
      <c r="C1437" s="1164"/>
      <c r="D1437" s="1429"/>
      <c r="E1437" s="1429"/>
      <c r="F1437" s="1436"/>
      <c r="G1437" s="1436"/>
      <c r="H1437" s="1430"/>
      <c r="I1437" s="94"/>
      <c r="J1437" s="1164"/>
      <c r="K1437" s="94"/>
      <c r="L1437" s="94"/>
      <c r="M1437" s="94"/>
      <c r="N1437" s="94"/>
      <c r="O1437" s="94"/>
      <c r="P1437" s="94"/>
      <c r="Q1437" s="1431"/>
      <c r="R1437" s="1164"/>
      <c r="S1437" s="1164"/>
      <c r="T1437" s="1164"/>
      <c r="U1437" s="2174"/>
      <c r="V1437" s="2174"/>
      <c r="W1437" s="2174"/>
      <c r="X1437" s="1164"/>
    </row>
    <row r="1438" ht="15.75" customHeight="1">
      <c r="A1438" s="94"/>
      <c r="B1438" s="1164"/>
      <c r="C1438" s="1164"/>
      <c r="D1438" s="1429"/>
      <c r="E1438" s="1429"/>
      <c r="F1438" s="1436"/>
      <c r="G1438" s="1436"/>
      <c r="H1438" s="1430"/>
      <c r="I1438" s="94"/>
      <c r="J1438" s="1164"/>
      <c r="K1438" s="94"/>
      <c r="L1438" s="94"/>
      <c r="M1438" s="94"/>
      <c r="N1438" s="94"/>
      <c r="O1438" s="94"/>
      <c r="P1438" s="94"/>
      <c r="Q1438" s="1431"/>
      <c r="R1438" s="1164"/>
      <c r="S1438" s="1164"/>
      <c r="T1438" s="1164"/>
      <c r="U1438" s="2174"/>
      <c r="V1438" s="2174"/>
      <c r="W1438" s="2174"/>
      <c r="X1438" s="1164"/>
    </row>
    <row r="1439" ht="15.75" customHeight="1">
      <c r="A1439" s="94"/>
      <c r="B1439" s="94"/>
      <c r="C1439" s="1164"/>
      <c r="D1439" s="1429"/>
      <c r="E1439" s="1429"/>
      <c r="F1439" s="1436"/>
      <c r="G1439" s="1436"/>
      <c r="H1439" s="1430"/>
      <c r="I1439" s="94"/>
      <c r="J1439" s="1164"/>
      <c r="K1439" s="94"/>
      <c r="L1439" s="94"/>
      <c r="M1439" s="1430"/>
      <c r="N1439" s="94"/>
      <c r="O1439" s="1430"/>
      <c r="P1439" s="94"/>
      <c r="Q1439" s="1431"/>
      <c r="R1439" s="1164"/>
      <c r="S1439" s="1164"/>
      <c r="T1439" s="1164"/>
      <c r="U1439" s="2174"/>
      <c r="V1439" s="2174"/>
      <c r="W1439" s="2174"/>
      <c r="X1439" s="1164"/>
    </row>
    <row r="1440" ht="15.75" customHeight="1">
      <c r="A1440" s="94"/>
      <c r="B1440" s="1164"/>
      <c r="C1440" s="1164"/>
      <c r="D1440" s="1429"/>
      <c r="E1440" s="1429"/>
      <c r="F1440" s="1436"/>
      <c r="G1440" s="1436"/>
      <c r="H1440" s="1430"/>
      <c r="I1440" s="94"/>
      <c r="J1440" s="1164"/>
      <c r="K1440" s="94"/>
      <c r="L1440" s="94"/>
      <c r="M1440" s="94"/>
      <c r="N1440" s="94"/>
      <c r="O1440" s="94"/>
      <c r="P1440" s="94"/>
      <c r="Q1440" s="1431"/>
      <c r="R1440" s="1164"/>
      <c r="S1440" s="1164"/>
      <c r="T1440" s="1164"/>
      <c r="U1440" s="2174"/>
      <c r="V1440" s="2174"/>
      <c r="W1440" s="2174"/>
      <c r="X1440" s="1164"/>
    </row>
    <row r="1441" ht="15.75" customHeight="1">
      <c r="A1441" s="94"/>
      <c r="B1441" s="94"/>
      <c r="C1441" s="1164"/>
      <c r="D1441" s="1429"/>
      <c r="E1441" s="1429"/>
      <c r="F1441" s="1436"/>
      <c r="G1441" s="1436"/>
      <c r="H1441" s="1430"/>
      <c r="I1441" s="94"/>
      <c r="J1441" s="1164"/>
      <c r="K1441" s="94"/>
      <c r="L1441" s="94"/>
      <c r="M1441" s="1430"/>
      <c r="N1441" s="94"/>
      <c r="O1441" s="1430"/>
      <c r="P1441" s="94"/>
      <c r="Q1441" s="1431"/>
      <c r="R1441" s="1164"/>
      <c r="S1441" s="1164"/>
      <c r="T1441" s="1164"/>
      <c r="U1441" s="2174"/>
      <c r="V1441" s="2174"/>
      <c r="W1441" s="2174"/>
      <c r="X1441" s="1164"/>
    </row>
    <row r="1442" ht="15.75" customHeight="1">
      <c r="A1442" s="94"/>
      <c r="B1442" s="1164"/>
      <c r="C1442" s="1164"/>
      <c r="D1442" s="1429"/>
      <c r="E1442" s="1429"/>
      <c r="F1442" s="1436"/>
      <c r="G1442" s="1436"/>
      <c r="H1442" s="1430"/>
      <c r="I1442" s="94"/>
      <c r="J1442" s="1164"/>
      <c r="K1442" s="94"/>
      <c r="L1442" s="94"/>
      <c r="M1442" s="94"/>
      <c r="N1442" s="94"/>
      <c r="O1442" s="94"/>
      <c r="P1442" s="94"/>
      <c r="Q1442" s="1431"/>
      <c r="R1442" s="1164"/>
      <c r="S1442" s="1164"/>
      <c r="T1442" s="1164"/>
      <c r="U1442" s="2174"/>
      <c r="V1442" s="2174"/>
      <c r="W1442" s="2174"/>
      <c r="X1442" s="1164"/>
    </row>
    <row r="1443" ht="15.75" customHeight="1">
      <c r="A1443" s="94"/>
      <c r="B1443" s="94"/>
      <c r="C1443" s="1164"/>
      <c r="D1443" s="1429"/>
      <c r="E1443" s="1429"/>
      <c r="F1443" s="1436"/>
      <c r="G1443" s="1436"/>
      <c r="H1443" s="1430"/>
      <c r="I1443" s="94"/>
      <c r="J1443" s="1164"/>
      <c r="K1443" s="94"/>
      <c r="L1443" s="94"/>
      <c r="M1443" s="1430"/>
      <c r="N1443" s="94"/>
      <c r="O1443" s="1430"/>
      <c r="P1443" s="94"/>
      <c r="Q1443" s="1431"/>
      <c r="R1443" s="1164"/>
      <c r="S1443" s="1164"/>
      <c r="T1443" s="1164"/>
      <c r="U1443" s="2174"/>
      <c r="V1443" s="2174"/>
      <c r="W1443" s="2174"/>
      <c r="X1443" s="1164"/>
    </row>
    <row r="1444" ht="15.75" customHeight="1">
      <c r="A1444" s="94"/>
      <c r="B1444" s="94"/>
      <c r="C1444" s="1164"/>
      <c r="D1444" s="1429"/>
      <c r="E1444" s="1429"/>
      <c r="F1444" s="1436"/>
      <c r="G1444" s="1436"/>
      <c r="H1444" s="1430"/>
      <c r="I1444" s="94"/>
      <c r="J1444" s="1164"/>
      <c r="K1444" s="94"/>
      <c r="L1444" s="94"/>
      <c r="M1444" s="1430"/>
      <c r="N1444" s="94"/>
      <c r="O1444" s="1430"/>
      <c r="P1444" s="94"/>
      <c r="Q1444" s="1431"/>
      <c r="R1444" s="1164"/>
      <c r="S1444" s="1164"/>
      <c r="T1444" s="1164"/>
      <c r="U1444" s="2174"/>
      <c r="V1444" s="2174"/>
      <c r="W1444" s="2174"/>
      <c r="X1444" s="1164"/>
    </row>
    <row r="1445" ht="15.75" customHeight="1">
      <c r="A1445" s="94"/>
      <c r="B1445" s="1164"/>
      <c r="C1445" s="1164"/>
      <c r="D1445" s="1429"/>
      <c r="E1445" s="1429"/>
      <c r="F1445" s="1436"/>
      <c r="G1445" s="1436"/>
      <c r="H1445" s="1430"/>
      <c r="I1445" s="94"/>
      <c r="J1445" s="1164"/>
      <c r="K1445" s="94"/>
      <c r="L1445" s="94"/>
      <c r="M1445" s="1430"/>
      <c r="N1445" s="94"/>
      <c r="O1445" s="1430"/>
      <c r="P1445" s="94"/>
      <c r="Q1445" s="1431"/>
      <c r="R1445" s="1164"/>
      <c r="S1445" s="1164"/>
      <c r="T1445" s="1164"/>
      <c r="U1445" s="2174"/>
      <c r="V1445" s="2174"/>
      <c r="W1445" s="2174"/>
      <c r="X1445" s="1164"/>
    </row>
    <row r="1446" ht="15.75" customHeight="1">
      <c r="A1446" s="94"/>
      <c r="B1446" s="94"/>
      <c r="C1446" s="1164"/>
      <c r="D1446" s="1429"/>
      <c r="E1446" s="1429"/>
      <c r="F1446" s="1436"/>
      <c r="G1446" s="1436"/>
      <c r="H1446" s="1430"/>
      <c r="I1446" s="94"/>
      <c r="J1446" s="1164"/>
      <c r="K1446" s="94"/>
      <c r="L1446" s="94"/>
      <c r="M1446" s="1430"/>
      <c r="N1446" s="94"/>
      <c r="O1446" s="1430"/>
      <c r="P1446" s="94"/>
      <c r="Q1446" s="1431"/>
      <c r="R1446" s="1164"/>
      <c r="S1446" s="1164"/>
      <c r="T1446" s="1164"/>
      <c r="U1446" s="2174"/>
      <c r="V1446" s="2174"/>
      <c r="W1446" s="2174"/>
      <c r="X1446" s="1164"/>
    </row>
    <row r="1447" ht="15.75" customHeight="1">
      <c r="A1447" s="94"/>
      <c r="B1447" s="94"/>
      <c r="C1447" s="1164"/>
      <c r="D1447" s="1429"/>
      <c r="E1447" s="1429"/>
      <c r="F1447" s="1436"/>
      <c r="G1447" s="1436"/>
      <c r="H1447" s="1430"/>
      <c r="I1447" s="94"/>
      <c r="J1447" s="1164"/>
      <c r="K1447" s="94"/>
      <c r="L1447" s="94"/>
      <c r="M1447" s="1430"/>
      <c r="N1447" s="94"/>
      <c r="O1447" s="1430"/>
      <c r="P1447" s="94"/>
      <c r="Q1447" s="1431"/>
      <c r="R1447" s="1164"/>
      <c r="S1447" s="1164"/>
      <c r="T1447" s="1164"/>
      <c r="U1447" s="2174"/>
      <c r="V1447" s="2174"/>
      <c r="W1447" s="2174"/>
      <c r="X1447" s="1164"/>
    </row>
    <row r="1448" ht="15.75" customHeight="1">
      <c r="A1448" s="94"/>
      <c r="B1448" s="1164"/>
      <c r="C1448" s="1164"/>
      <c r="D1448" s="1429"/>
      <c r="E1448" s="1429"/>
      <c r="F1448" s="1436"/>
      <c r="G1448" s="1436"/>
      <c r="H1448" s="1430"/>
      <c r="I1448" s="94"/>
      <c r="J1448" s="1164"/>
      <c r="K1448" s="94"/>
      <c r="L1448" s="94"/>
      <c r="M1448" s="94"/>
      <c r="N1448" s="94"/>
      <c r="O1448" s="94"/>
      <c r="P1448" s="94"/>
      <c r="Q1448" s="1431"/>
      <c r="R1448" s="1164"/>
      <c r="S1448" s="1164"/>
      <c r="T1448" s="1164"/>
      <c r="U1448" s="2174"/>
      <c r="V1448" s="2174"/>
      <c r="W1448" s="2174"/>
      <c r="X1448" s="1164"/>
    </row>
    <row r="1449" ht="15.75" customHeight="1">
      <c r="A1449" s="94"/>
      <c r="B1449" s="94"/>
      <c r="C1449" s="1164"/>
      <c r="D1449" s="1429"/>
      <c r="E1449" s="1429"/>
      <c r="F1449" s="1436"/>
      <c r="G1449" s="1436"/>
      <c r="H1449" s="1430"/>
      <c r="I1449" s="94"/>
      <c r="J1449" s="1164"/>
      <c r="K1449" s="94"/>
      <c r="L1449" s="94"/>
      <c r="M1449" s="1430"/>
      <c r="N1449" s="94"/>
      <c r="O1449" s="1430"/>
      <c r="P1449" s="94"/>
      <c r="Q1449" s="1431"/>
      <c r="R1449" s="1164"/>
      <c r="S1449" s="1164"/>
      <c r="T1449" s="1164"/>
      <c r="U1449" s="2174"/>
      <c r="V1449" s="2174"/>
      <c r="W1449" s="2174"/>
      <c r="X1449" s="1164"/>
    </row>
    <row r="1450" ht="15.75" customHeight="1">
      <c r="A1450" s="94"/>
      <c r="B1450" s="1164"/>
      <c r="C1450" s="1164"/>
      <c r="D1450" s="1429"/>
      <c r="E1450" s="1429"/>
      <c r="F1450" s="1436"/>
      <c r="G1450" s="1436"/>
      <c r="H1450" s="1430"/>
      <c r="I1450" s="94"/>
      <c r="J1450" s="1164"/>
      <c r="K1450" s="94"/>
      <c r="L1450" s="94"/>
      <c r="M1450" s="94"/>
      <c r="N1450" s="94"/>
      <c r="O1450" s="94"/>
      <c r="P1450" s="94"/>
      <c r="Q1450" s="1431"/>
      <c r="R1450" s="1164"/>
      <c r="S1450" s="1164"/>
      <c r="T1450" s="1164"/>
      <c r="U1450" s="2174"/>
      <c r="V1450" s="2174"/>
      <c r="W1450" s="2174"/>
      <c r="X1450" s="1164"/>
    </row>
    <row r="1451" ht="15.75" customHeight="1">
      <c r="A1451" s="94"/>
      <c r="B1451" s="94"/>
      <c r="C1451" s="1164"/>
      <c r="D1451" s="1429"/>
      <c r="E1451" s="1429"/>
      <c r="F1451" s="1436"/>
      <c r="G1451" s="1436"/>
      <c r="H1451" s="1430"/>
      <c r="I1451" s="94"/>
      <c r="J1451" s="1164"/>
      <c r="K1451" s="94"/>
      <c r="L1451" s="94"/>
      <c r="M1451" s="1430"/>
      <c r="N1451" s="94"/>
      <c r="O1451" s="1430"/>
      <c r="P1451" s="94"/>
      <c r="Q1451" s="1431"/>
      <c r="R1451" s="1164"/>
      <c r="S1451" s="1164"/>
      <c r="T1451" s="1164"/>
      <c r="U1451" s="2174"/>
      <c r="V1451" s="2174"/>
      <c r="W1451" s="2174"/>
      <c r="X1451" s="1164"/>
    </row>
    <row r="1452" ht="15.75" customHeight="1">
      <c r="A1452" s="94"/>
      <c r="B1452" s="94"/>
      <c r="C1452" s="1164"/>
      <c r="D1452" s="1429"/>
      <c r="E1452" s="1429"/>
      <c r="F1452" s="1436"/>
      <c r="G1452" s="1436"/>
      <c r="H1452" s="1430"/>
      <c r="I1452" s="94"/>
      <c r="J1452" s="1164"/>
      <c r="K1452" s="94"/>
      <c r="L1452" s="94"/>
      <c r="M1452" s="1430"/>
      <c r="N1452" s="94"/>
      <c r="O1452" s="1430"/>
      <c r="P1452" s="94"/>
      <c r="Q1452" s="1431"/>
      <c r="R1452" s="1164"/>
      <c r="S1452" s="1164"/>
      <c r="T1452" s="1164"/>
      <c r="U1452" s="2174"/>
      <c r="V1452" s="2174"/>
      <c r="W1452" s="2174"/>
      <c r="X1452" s="1164"/>
    </row>
    <row r="1453" ht="15.75" customHeight="1">
      <c r="A1453" s="94"/>
      <c r="B1453" s="94"/>
      <c r="C1453" s="1164"/>
      <c r="D1453" s="1429"/>
      <c r="E1453" s="1429"/>
      <c r="F1453" s="1436"/>
      <c r="G1453" s="1436"/>
      <c r="H1453" s="1430"/>
      <c r="I1453" s="94"/>
      <c r="J1453" s="1164"/>
      <c r="K1453" s="94"/>
      <c r="L1453" s="94"/>
      <c r="M1453" s="94"/>
      <c r="N1453" s="94"/>
      <c r="O1453" s="94"/>
      <c r="P1453" s="94"/>
      <c r="Q1453" s="1431"/>
      <c r="R1453" s="1164"/>
      <c r="S1453" s="1164"/>
      <c r="T1453" s="1164"/>
      <c r="U1453" s="2174"/>
      <c r="V1453" s="2174"/>
      <c r="W1453" s="2174"/>
      <c r="X1453" s="1164"/>
    </row>
    <row r="1454" ht="15.75" customHeight="1">
      <c r="A1454" s="94"/>
      <c r="B1454" s="1164"/>
      <c r="C1454" s="1164"/>
      <c r="D1454" s="1429"/>
      <c r="E1454" s="1429"/>
      <c r="F1454" s="1436"/>
      <c r="G1454" s="1436"/>
      <c r="H1454" s="1430"/>
      <c r="I1454" s="94"/>
      <c r="J1454" s="1164"/>
      <c r="K1454" s="94"/>
      <c r="L1454" s="94"/>
      <c r="M1454" s="1430"/>
      <c r="N1454" s="94"/>
      <c r="O1454" s="1430"/>
      <c r="P1454" s="94"/>
      <c r="Q1454" s="1431"/>
      <c r="R1454" s="1164"/>
      <c r="S1454" s="1164"/>
      <c r="T1454" s="1164"/>
      <c r="U1454" s="2174"/>
      <c r="V1454" s="2174"/>
      <c r="W1454" s="2174"/>
      <c r="X1454" s="1164"/>
    </row>
    <row r="1455" ht="15.75" customHeight="1">
      <c r="A1455" s="94"/>
      <c r="B1455" s="1164"/>
      <c r="C1455" s="1164"/>
      <c r="D1455" s="1429"/>
      <c r="E1455" s="1429"/>
      <c r="F1455" s="1436"/>
      <c r="G1455" s="1436"/>
      <c r="H1455" s="1430"/>
      <c r="I1455" s="94"/>
      <c r="J1455" s="1164"/>
      <c r="K1455" s="94"/>
      <c r="L1455" s="94"/>
      <c r="M1455" s="1430"/>
      <c r="N1455" s="94"/>
      <c r="O1455" s="1430"/>
      <c r="P1455" s="94"/>
      <c r="Q1455" s="1431"/>
      <c r="R1455" s="1164"/>
      <c r="S1455" s="1164"/>
      <c r="T1455" s="1164"/>
      <c r="U1455" s="2174"/>
      <c r="V1455" s="2174"/>
      <c r="W1455" s="2174"/>
      <c r="X1455" s="1164"/>
    </row>
    <row r="1456" ht="15.75" customHeight="1">
      <c r="A1456" s="94"/>
      <c r="B1456" s="94"/>
      <c r="C1456" s="1164"/>
      <c r="D1456" s="1429"/>
      <c r="E1456" s="1429"/>
      <c r="F1456" s="1436"/>
      <c r="G1456" s="1436"/>
      <c r="H1456" s="1430"/>
      <c r="I1456" s="94"/>
      <c r="J1456" s="1164"/>
      <c r="K1456" s="94"/>
      <c r="L1456" s="94"/>
      <c r="M1456" s="94"/>
      <c r="N1456" s="94"/>
      <c r="O1456" s="94"/>
      <c r="P1456" s="94"/>
      <c r="Q1456" s="1431"/>
      <c r="R1456" s="1164"/>
      <c r="S1456" s="1164"/>
      <c r="T1456" s="1164"/>
      <c r="U1456" s="2174"/>
      <c r="V1456" s="2174"/>
      <c r="W1456" s="2174"/>
      <c r="X1456" s="1164"/>
    </row>
    <row r="1457" ht="15.75" customHeight="1">
      <c r="A1457" s="94"/>
      <c r="B1457" s="94"/>
      <c r="C1457" s="1164"/>
      <c r="D1457" s="1429"/>
      <c r="E1457" s="1429"/>
      <c r="F1457" s="1436"/>
      <c r="G1457" s="1436"/>
      <c r="H1457" s="1430"/>
      <c r="I1457" s="94"/>
      <c r="J1457" s="1164"/>
      <c r="K1457" s="94"/>
      <c r="L1457" s="94"/>
      <c r="M1457" s="1430"/>
      <c r="N1457" s="94"/>
      <c r="O1457" s="1430"/>
      <c r="P1457" s="94"/>
      <c r="Q1457" s="1431"/>
      <c r="R1457" s="1164"/>
      <c r="S1457" s="1164"/>
      <c r="T1457" s="1164"/>
      <c r="U1457" s="2174"/>
      <c r="V1457" s="2174"/>
      <c r="W1457" s="2174"/>
      <c r="X1457" s="1164"/>
    </row>
    <row r="1458" ht="15.75" customHeight="1">
      <c r="A1458" s="94"/>
      <c r="B1458" s="1164"/>
      <c r="C1458" s="1164"/>
      <c r="D1458" s="1429"/>
      <c r="E1458" s="1429"/>
      <c r="F1458" s="1436"/>
      <c r="G1458" s="1436"/>
      <c r="H1458" s="1430"/>
      <c r="I1458" s="94"/>
      <c r="J1458" s="1164"/>
      <c r="K1458" s="94"/>
      <c r="L1458" s="94"/>
      <c r="M1458" s="1430"/>
      <c r="N1458" s="94"/>
      <c r="O1458" s="1430"/>
      <c r="P1458" s="94"/>
      <c r="Q1458" s="1431"/>
      <c r="R1458" s="1164"/>
      <c r="S1458" s="1164"/>
      <c r="T1458" s="1164"/>
      <c r="U1458" s="2174"/>
      <c r="V1458" s="2174"/>
      <c r="W1458" s="2174"/>
      <c r="X1458" s="1164"/>
    </row>
    <row r="1459" ht="15.75" customHeight="1">
      <c r="A1459" s="94"/>
      <c r="B1459" s="1164"/>
      <c r="C1459" s="1164"/>
      <c r="D1459" s="1429"/>
      <c r="E1459" s="1429"/>
      <c r="F1459" s="1436"/>
      <c r="G1459" s="1436"/>
      <c r="H1459" s="1430"/>
      <c r="I1459" s="94"/>
      <c r="J1459" s="1164"/>
      <c r="K1459" s="94"/>
      <c r="L1459" s="94"/>
      <c r="M1459" s="1430"/>
      <c r="N1459" s="94"/>
      <c r="O1459" s="1430"/>
      <c r="P1459" s="94"/>
      <c r="Q1459" s="1431"/>
      <c r="R1459" s="1164"/>
      <c r="S1459" s="1164"/>
      <c r="T1459" s="1164"/>
      <c r="U1459" s="2174"/>
      <c r="V1459" s="2174"/>
      <c r="W1459" s="2174"/>
      <c r="X1459" s="1164"/>
    </row>
    <row r="1460" ht="15.75" customHeight="1">
      <c r="A1460" s="94"/>
      <c r="B1460" s="94"/>
      <c r="C1460" s="1164"/>
      <c r="D1460" s="1429"/>
      <c r="E1460" s="1429"/>
      <c r="F1460" s="1436"/>
      <c r="G1460" s="1436"/>
      <c r="H1460" s="1430"/>
      <c r="I1460" s="94"/>
      <c r="J1460" s="1164"/>
      <c r="K1460" s="94"/>
      <c r="L1460" s="94"/>
      <c r="M1460" s="1430"/>
      <c r="N1460" s="94"/>
      <c r="O1460" s="1430"/>
      <c r="P1460" s="94"/>
      <c r="Q1460" s="1431"/>
      <c r="R1460" s="1164"/>
      <c r="S1460" s="1164"/>
      <c r="T1460" s="1164"/>
      <c r="U1460" s="2174"/>
      <c r="V1460" s="2174"/>
      <c r="W1460" s="2174"/>
      <c r="X1460" s="1164"/>
    </row>
    <row r="1461" ht="15.75" customHeight="1">
      <c r="A1461" s="94"/>
      <c r="B1461" s="1164"/>
      <c r="C1461" s="1164"/>
      <c r="D1461" s="1429"/>
      <c r="E1461" s="1429"/>
      <c r="F1461" s="1436"/>
      <c r="G1461" s="1436"/>
      <c r="H1461" s="1430"/>
      <c r="I1461" s="94"/>
      <c r="J1461" s="1164"/>
      <c r="K1461" s="94"/>
      <c r="L1461" s="94"/>
      <c r="M1461" s="1430"/>
      <c r="N1461" s="94"/>
      <c r="O1461" s="1430"/>
      <c r="P1461" s="94"/>
      <c r="Q1461" s="1431"/>
      <c r="R1461" s="1164"/>
      <c r="S1461" s="1164"/>
      <c r="T1461" s="1164"/>
      <c r="U1461" s="2174"/>
      <c r="V1461" s="2174"/>
      <c r="W1461" s="2174"/>
      <c r="X1461" s="1164"/>
    </row>
    <row r="1462" ht="15.75" customHeight="1">
      <c r="A1462" s="94"/>
      <c r="B1462" s="94"/>
      <c r="C1462" s="1164"/>
      <c r="D1462" s="1429"/>
      <c r="E1462" s="1429"/>
      <c r="F1462" s="1436"/>
      <c r="G1462" s="1436"/>
      <c r="H1462" s="1430"/>
      <c r="I1462" s="94"/>
      <c r="J1462" s="1164"/>
      <c r="K1462" s="94"/>
      <c r="L1462" s="94"/>
      <c r="M1462" s="1430"/>
      <c r="N1462" s="94"/>
      <c r="O1462" s="1430"/>
      <c r="P1462" s="94"/>
      <c r="Q1462" s="1431"/>
      <c r="R1462" s="1164"/>
      <c r="S1462" s="1164"/>
      <c r="T1462" s="1164"/>
      <c r="U1462" s="2174"/>
      <c r="V1462" s="2174"/>
      <c r="W1462" s="2174"/>
      <c r="X1462" s="1164"/>
    </row>
    <row r="1463" ht="15.75" customHeight="1">
      <c r="A1463" s="94"/>
      <c r="B1463" s="1164"/>
      <c r="C1463" s="1164"/>
      <c r="D1463" s="1429"/>
      <c r="E1463" s="1429"/>
      <c r="F1463" s="1436"/>
      <c r="G1463" s="1436"/>
      <c r="H1463" s="1430"/>
      <c r="I1463" s="94"/>
      <c r="J1463" s="1164"/>
      <c r="K1463" s="94"/>
      <c r="L1463" s="94"/>
      <c r="M1463" s="1430"/>
      <c r="N1463" s="94"/>
      <c r="O1463" s="1430"/>
      <c r="P1463" s="94"/>
      <c r="Q1463" s="1431"/>
      <c r="R1463" s="1164"/>
      <c r="S1463" s="1164"/>
      <c r="T1463" s="1164"/>
      <c r="U1463" s="2174"/>
      <c r="V1463" s="2174"/>
      <c r="W1463" s="2174"/>
      <c r="X1463" s="1164"/>
    </row>
    <row r="1464" ht="15.75" customHeight="1">
      <c r="A1464" s="94"/>
      <c r="B1464" s="1164"/>
      <c r="C1464" s="1164"/>
      <c r="D1464" s="1429"/>
      <c r="E1464" s="1429"/>
      <c r="F1464" s="1436"/>
      <c r="G1464" s="1436"/>
      <c r="H1464" s="1430"/>
      <c r="I1464" s="94"/>
      <c r="J1464" s="1164"/>
      <c r="K1464" s="94"/>
      <c r="L1464" s="94"/>
      <c r="M1464" s="94"/>
      <c r="N1464" s="94"/>
      <c r="O1464" s="94"/>
      <c r="P1464" s="94"/>
      <c r="Q1464" s="1431"/>
      <c r="R1464" s="1164"/>
      <c r="S1464" s="1164"/>
      <c r="T1464" s="1164"/>
      <c r="U1464" s="2174"/>
      <c r="V1464" s="2174"/>
      <c r="W1464" s="2174"/>
      <c r="X1464" s="1164"/>
    </row>
    <row r="1465" ht="15.75" customHeight="1">
      <c r="A1465" s="94"/>
      <c r="B1465" s="1164"/>
      <c r="C1465" s="1164"/>
      <c r="D1465" s="1429"/>
      <c r="E1465" s="1429"/>
      <c r="F1465" s="1436"/>
      <c r="G1465" s="1436"/>
      <c r="H1465" s="1430"/>
      <c r="I1465" s="94"/>
      <c r="J1465" s="1164"/>
      <c r="K1465" s="94"/>
      <c r="L1465" s="94"/>
      <c r="M1465" s="1430"/>
      <c r="N1465" s="94"/>
      <c r="O1465" s="1430"/>
      <c r="P1465" s="94"/>
      <c r="Q1465" s="1431"/>
      <c r="R1465" s="1164"/>
      <c r="S1465" s="1164"/>
      <c r="T1465" s="1164"/>
      <c r="U1465" s="2174"/>
      <c r="V1465" s="2174"/>
      <c r="W1465" s="2174"/>
      <c r="X1465" s="1164"/>
    </row>
    <row r="1466" ht="15.75" customHeight="1">
      <c r="A1466" s="94"/>
      <c r="B1466" s="94"/>
      <c r="C1466" s="1164"/>
      <c r="D1466" s="1429"/>
      <c r="E1466" s="1429"/>
      <c r="F1466" s="1436"/>
      <c r="G1466" s="1436"/>
      <c r="H1466" s="1430"/>
      <c r="I1466" s="94"/>
      <c r="J1466" s="1164"/>
      <c r="K1466" s="94"/>
      <c r="L1466" s="94"/>
      <c r="M1466" s="1430"/>
      <c r="N1466" s="94"/>
      <c r="O1466" s="1430"/>
      <c r="P1466" s="94"/>
      <c r="Q1466" s="1431"/>
      <c r="R1466" s="1164"/>
      <c r="S1466" s="1164"/>
      <c r="T1466" s="1164"/>
      <c r="U1466" s="2174"/>
      <c r="V1466" s="2174"/>
      <c r="W1466" s="2174"/>
      <c r="X1466" s="1164"/>
    </row>
    <row r="1467" ht="15.75" customHeight="1">
      <c r="A1467" s="94"/>
      <c r="B1467" s="1164"/>
      <c r="C1467" s="1164"/>
      <c r="D1467" s="1429"/>
      <c r="E1467" s="1429"/>
      <c r="F1467" s="1436"/>
      <c r="G1467" s="1436"/>
      <c r="H1467" s="1430"/>
      <c r="I1467" s="94"/>
      <c r="J1467" s="1164"/>
      <c r="K1467" s="94"/>
      <c r="L1467" s="94"/>
      <c r="M1467" s="94"/>
      <c r="N1467" s="94"/>
      <c r="O1467" s="94"/>
      <c r="P1467" s="94"/>
      <c r="Q1467" s="1431"/>
      <c r="R1467" s="1164"/>
      <c r="S1467" s="1164"/>
      <c r="T1467" s="1164"/>
      <c r="U1467" s="2174"/>
      <c r="V1467" s="2174"/>
      <c r="W1467" s="2174"/>
      <c r="X1467" s="1164"/>
    </row>
    <row r="1468" ht="15.75" customHeight="1">
      <c r="A1468" s="94"/>
      <c r="B1468" s="1164"/>
      <c r="C1468" s="1164"/>
      <c r="D1468" s="1429"/>
      <c r="E1468" s="1429"/>
      <c r="F1468" s="1436"/>
      <c r="G1468" s="1436"/>
      <c r="H1468" s="1430"/>
      <c r="I1468" s="94"/>
      <c r="J1468" s="1164"/>
      <c r="K1468" s="94"/>
      <c r="L1468" s="94"/>
      <c r="M1468" s="94"/>
      <c r="N1468" s="94"/>
      <c r="O1468" s="94"/>
      <c r="P1468" s="94"/>
      <c r="Q1468" s="1431"/>
      <c r="R1468" s="1164"/>
      <c r="S1468" s="1164"/>
      <c r="T1468" s="1164"/>
      <c r="U1468" s="2174"/>
      <c r="V1468" s="2174"/>
      <c r="W1468" s="2174"/>
      <c r="X1468" s="1164"/>
    </row>
    <row r="1469" ht="15.75" customHeight="1">
      <c r="A1469" s="94"/>
      <c r="B1469" s="1164"/>
      <c r="C1469" s="1164"/>
      <c r="D1469" s="1429"/>
      <c r="E1469" s="1429"/>
      <c r="F1469" s="1436"/>
      <c r="G1469" s="1436"/>
      <c r="H1469" s="1430"/>
      <c r="I1469" s="94"/>
      <c r="J1469" s="1164"/>
      <c r="K1469" s="94"/>
      <c r="L1469" s="94"/>
      <c r="M1469" s="1430"/>
      <c r="N1469" s="94"/>
      <c r="O1469" s="1430"/>
      <c r="P1469" s="94"/>
      <c r="Q1469" s="1431"/>
      <c r="R1469" s="1164"/>
      <c r="S1469" s="1164"/>
      <c r="T1469" s="1164"/>
      <c r="U1469" s="2174"/>
      <c r="V1469" s="2174"/>
      <c r="W1469" s="2174"/>
      <c r="X1469" s="1164"/>
    </row>
    <row r="1470" ht="15.75" customHeight="1">
      <c r="A1470" s="94"/>
      <c r="B1470" s="94"/>
      <c r="C1470" s="1164"/>
      <c r="D1470" s="1429"/>
      <c r="E1470" s="1429"/>
      <c r="F1470" s="1436"/>
      <c r="G1470" s="1436"/>
      <c r="H1470" s="1430"/>
      <c r="I1470" s="94"/>
      <c r="J1470" s="1164"/>
      <c r="K1470" s="94"/>
      <c r="L1470" s="94"/>
      <c r="M1470" s="1430"/>
      <c r="N1470" s="94"/>
      <c r="O1470" s="1430"/>
      <c r="P1470" s="94"/>
      <c r="Q1470" s="1431"/>
      <c r="R1470" s="1164"/>
      <c r="S1470" s="1164"/>
      <c r="T1470" s="1164"/>
      <c r="U1470" s="2174"/>
      <c r="V1470" s="2174"/>
      <c r="W1470" s="2174"/>
      <c r="X1470" s="1164"/>
    </row>
    <row r="1471" ht="15.75" customHeight="1">
      <c r="A1471" s="94"/>
      <c r="B1471" s="94"/>
      <c r="C1471" s="1164"/>
      <c r="D1471" s="1429"/>
      <c r="E1471" s="1429"/>
      <c r="F1471" s="1436"/>
      <c r="G1471" s="1436"/>
      <c r="H1471" s="1430"/>
      <c r="I1471" s="94"/>
      <c r="J1471" s="1164"/>
      <c r="K1471" s="94"/>
      <c r="L1471" s="94"/>
      <c r="M1471" s="1430"/>
      <c r="N1471" s="94"/>
      <c r="O1471" s="1430"/>
      <c r="P1471" s="94"/>
      <c r="Q1471" s="1431"/>
      <c r="R1471" s="1164"/>
      <c r="S1471" s="1164"/>
      <c r="T1471" s="1164"/>
      <c r="U1471" s="2174"/>
      <c r="V1471" s="2174"/>
      <c r="W1471" s="2174"/>
      <c r="X1471" s="1164"/>
    </row>
    <row r="1472" ht="15.75" customHeight="1">
      <c r="A1472" s="94"/>
      <c r="B1472" s="1164"/>
      <c r="C1472" s="1164"/>
      <c r="D1472" s="1429"/>
      <c r="E1472" s="1429"/>
      <c r="F1472" s="1436"/>
      <c r="G1472" s="1436"/>
      <c r="H1472" s="1430"/>
      <c r="I1472" s="94"/>
      <c r="J1472" s="1164"/>
      <c r="K1472" s="94"/>
      <c r="L1472" s="94"/>
      <c r="M1472" s="94"/>
      <c r="N1472" s="94"/>
      <c r="O1472" s="94"/>
      <c r="P1472" s="94"/>
      <c r="Q1472" s="1431"/>
      <c r="R1472" s="1164"/>
      <c r="S1472" s="1164"/>
      <c r="T1472" s="1164"/>
      <c r="U1472" s="2174"/>
      <c r="V1472" s="2174"/>
      <c r="W1472" s="2174"/>
      <c r="X1472" s="1164"/>
    </row>
    <row r="1473" ht="15.75" customHeight="1">
      <c r="A1473" s="94"/>
      <c r="B1473" s="94"/>
      <c r="C1473" s="1164"/>
      <c r="D1473" s="1429"/>
      <c r="E1473" s="1429"/>
      <c r="F1473" s="1436"/>
      <c r="G1473" s="1436"/>
      <c r="H1473" s="1430"/>
      <c r="I1473" s="94"/>
      <c r="J1473" s="1164"/>
      <c r="K1473" s="94"/>
      <c r="L1473" s="94"/>
      <c r="M1473" s="1430"/>
      <c r="N1473" s="94"/>
      <c r="O1473" s="1430"/>
      <c r="P1473" s="94"/>
      <c r="Q1473" s="1431"/>
      <c r="R1473" s="1164"/>
      <c r="S1473" s="1164"/>
      <c r="T1473" s="1164"/>
      <c r="U1473" s="2174"/>
      <c r="V1473" s="2174"/>
      <c r="W1473" s="2174"/>
      <c r="X1473" s="1164"/>
    </row>
    <row r="1474" ht="15.75" customHeight="1">
      <c r="A1474" s="94"/>
      <c r="B1474" s="94"/>
      <c r="C1474" s="1164"/>
      <c r="D1474" s="1429"/>
      <c r="E1474" s="1429"/>
      <c r="F1474" s="1436"/>
      <c r="G1474" s="1436"/>
      <c r="H1474" s="1430"/>
      <c r="I1474" s="94"/>
      <c r="J1474" s="1164"/>
      <c r="K1474" s="94"/>
      <c r="L1474" s="94"/>
      <c r="M1474" s="1430"/>
      <c r="N1474" s="94"/>
      <c r="O1474" s="1430"/>
      <c r="P1474" s="94"/>
      <c r="Q1474" s="1431"/>
      <c r="R1474" s="1164"/>
      <c r="S1474" s="1164"/>
      <c r="T1474" s="1164"/>
      <c r="U1474" s="2174"/>
      <c r="V1474" s="2174"/>
      <c r="W1474" s="2174"/>
      <c r="X1474" s="1164"/>
    </row>
    <row r="1475" ht="15.75" customHeight="1">
      <c r="A1475" s="94"/>
      <c r="B1475" s="1164"/>
      <c r="C1475" s="1164"/>
      <c r="D1475" s="1429"/>
      <c r="E1475" s="1429"/>
      <c r="F1475" s="1436"/>
      <c r="G1475" s="1436"/>
      <c r="H1475" s="1430"/>
      <c r="I1475" s="94"/>
      <c r="J1475" s="1164"/>
      <c r="K1475" s="94"/>
      <c r="L1475" s="94"/>
      <c r="M1475" s="94"/>
      <c r="N1475" s="94"/>
      <c r="O1475" s="94"/>
      <c r="P1475" s="94"/>
      <c r="Q1475" s="1431"/>
      <c r="R1475" s="1164"/>
      <c r="S1475" s="1164"/>
      <c r="T1475" s="1164"/>
      <c r="U1475" s="2174"/>
      <c r="V1475" s="2174"/>
      <c r="W1475" s="2174"/>
      <c r="X1475" s="1164"/>
    </row>
    <row r="1476" ht="15.75" customHeight="1">
      <c r="A1476" s="94"/>
      <c r="B1476" s="1164"/>
      <c r="C1476" s="1164"/>
      <c r="D1476" s="1429"/>
      <c r="E1476" s="1429"/>
      <c r="F1476" s="1436"/>
      <c r="G1476" s="1436"/>
      <c r="H1476" s="1430"/>
      <c r="I1476" s="94"/>
      <c r="J1476" s="1164"/>
      <c r="K1476" s="94"/>
      <c r="L1476" s="94"/>
      <c r="M1476" s="94"/>
      <c r="N1476" s="94"/>
      <c r="O1476" s="94"/>
      <c r="P1476" s="94"/>
      <c r="Q1476" s="1431"/>
      <c r="R1476" s="1164"/>
      <c r="S1476" s="1164"/>
      <c r="T1476" s="1164"/>
      <c r="U1476" s="2174"/>
      <c r="V1476" s="2174"/>
      <c r="W1476" s="2174"/>
      <c r="X1476" s="1164"/>
    </row>
    <row r="1477" ht="15.75" customHeight="1">
      <c r="A1477" s="94"/>
      <c r="B1477" s="94"/>
      <c r="C1477" s="1164"/>
      <c r="D1477" s="1429"/>
      <c r="E1477" s="1429"/>
      <c r="F1477" s="1436"/>
      <c r="G1477" s="1436"/>
      <c r="H1477" s="1430"/>
      <c r="I1477" s="94"/>
      <c r="J1477" s="1164"/>
      <c r="K1477" s="94"/>
      <c r="L1477" s="94"/>
      <c r="M1477" s="94"/>
      <c r="N1477" s="94"/>
      <c r="O1477" s="94"/>
      <c r="P1477" s="94"/>
      <c r="Q1477" s="1431"/>
      <c r="R1477" s="1164"/>
      <c r="S1477" s="1164"/>
      <c r="T1477" s="1164"/>
      <c r="U1477" s="2174"/>
      <c r="V1477" s="2174"/>
      <c r="W1477" s="2174"/>
      <c r="X1477" s="1164"/>
    </row>
    <row r="1478" ht="15.75" customHeight="1">
      <c r="A1478" s="94"/>
      <c r="B1478" s="94"/>
      <c r="C1478" s="1164"/>
      <c r="D1478" s="1429"/>
      <c r="E1478" s="1429"/>
      <c r="F1478" s="1436"/>
      <c r="G1478" s="1436"/>
      <c r="H1478" s="1430"/>
      <c r="I1478" s="94"/>
      <c r="J1478" s="1164"/>
      <c r="K1478" s="94"/>
      <c r="L1478" s="94"/>
      <c r="M1478" s="94"/>
      <c r="N1478" s="94"/>
      <c r="O1478" s="94"/>
      <c r="P1478" s="94"/>
      <c r="Q1478" s="1431"/>
      <c r="R1478" s="1164"/>
      <c r="S1478" s="1164"/>
      <c r="T1478" s="1164"/>
      <c r="U1478" s="2174"/>
      <c r="V1478" s="2174"/>
      <c r="W1478" s="2174"/>
      <c r="X1478" s="1164"/>
    </row>
    <row r="1479" ht="15.75" customHeight="1">
      <c r="A1479" s="94"/>
      <c r="B1479" s="94"/>
      <c r="C1479" s="1164"/>
      <c r="D1479" s="1429"/>
      <c r="E1479" s="1429"/>
      <c r="F1479" s="1436"/>
      <c r="G1479" s="1436"/>
      <c r="H1479" s="1430"/>
      <c r="I1479" s="94"/>
      <c r="J1479" s="1164"/>
      <c r="K1479" s="94"/>
      <c r="L1479" s="94"/>
      <c r="M1479" s="1430"/>
      <c r="N1479" s="94"/>
      <c r="O1479" s="1430"/>
      <c r="P1479" s="94"/>
      <c r="Q1479" s="1431"/>
      <c r="R1479" s="1164"/>
      <c r="S1479" s="1164"/>
      <c r="T1479" s="1164"/>
      <c r="U1479" s="2174"/>
      <c r="V1479" s="2174"/>
      <c r="W1479" s="2174"/>
      <c r="X1479" s="1164"/>
    </row>
    <row r="1480" ht="15.75" customHeight="1">
      <c r="A1480" s="94"/>
      <c r="B1480" s="94"/>
      <c r="C1480" s="1164"/>
      <c r="D1480" s="1429"/>
      <c r="E1480" s="1429"/>
      <c r="F1480" s="1436"/>
      <c r="G1480" s="1436"/>
      <c r="H1480" s="1430"/>
      <c r="I1480" s="94"/>
      <c r="J1480" s="1164"/>
      <c r="K1480" s="94"/>
      <c r="L1480" s="94"/>
      <c r="M1480" s="1430"/>
      <c r="N1480" s="94"/>
      <c r="O1480" s="1430"/>
      <c r="P1480" s="94"/>
      <c r="Q1480" s="1431"/>
      <c r="R1480" s="1164"/>
      <c r="S1480" s="1164"/>
      <c r="T1480" s="1164"/>
      <c r="U1480" s="2174"/>
      <c r="V1480" s="2174"/>
      <c r="W1480" s="2174"/>
      <c r="X1480" s="1164"/>
    </row>
    <row r="1481" ht="15.75" customHeight="1">
      <c r="A1481" s="94"/>
      <c r="B1481" s="94"/>
      <c r="C1481" s="1164"/>
      <c r="D1481" s="1429"/>
      <c r="E1481" s="1429"/>
      <c r="F1481" s="1436"/>
      <c r="G1481" s="1436"/>
      <c r="H1481" s="1430"/>
      <c r="I1481" s="94"/>
      <c r="J1481" s="1164"/>
      <c r="K1481" s="94"/>
      <c r="L1481" s="94"/>
      <c r="M1481" s="1430"/>
      <c r="N1481" s="94"/>
      <c r="O1481" s="1430"/>
      <c r="P1481" s="94"/>
      <c r="Q1481" s="1431"/>
      <c r="R1481" s="1164"/>
      <c r="S1481" s="1164"/>
      <c r="T1481" s="1164"/>
      <c r="U1481" s="2174"/>
      <c r="V1481" s="2174"/>
      <c r="W1481" s="2174"/>
      <c r="X1481" s="1164"/>
    </row>
    <row r="1482" ht="15.75" customHeight="1">
      <c r="A1482" s="94"/>
      <c r="B1482" s="94"/>
      <c r="C1482" s="1164"/>
      <c r="D1482" s="1429"/>
      <c r="E1482" s="1429"/>
      <c r="F1482" s="1436"/>
      <c r="G1482" s="1436"/>
      <c r="H1482" s="1430"/>
      <c r="I1482" s="94"/>
      <c r="J1482" s="1164"/>
      <c r="K1482" s="94"/>
      <c r="L1482" s="94"/>
      <c r="M1482" s="1430"/>
      <c r="N1482" s="94"/>
      <c r="O1482" s="1430"/>
      <c r="P1482" s="94"/>
      <c r="Q1482" s="1431"/>
      <c r="R1482" s="1164"/>
      <c r="S1482" s="1164"/>
      <c r="T1482" s="1164"/>
      <c r="U1482" s="2174"/>
      <c r="V1482" s="2174"/>
      <c r="W1482" s="2174"/>
      <c r="X1482" s="1164"/>
    </row>
    <row r="1483" ht="15.75" customHeight="1">
      <c r="A1483" s="94"/>
      <c r="B1483" s="94"/>
      <c r="C1483" s="1164"/>
      <c r="D1483" s="1429"/>
      <c r="E1483" s="1429"/>
      <c r="F1483" s="1436"/>
      <c r="G1483" s="1436"/>
      <c r="H1483" s="1430"/>
      <c r="I1483" s="94"/>
      <c r="J1483" s="1164"/>
      <c r="K1483" s="94"/>
      <c r="L1483" s="94"/>
      <c r="M1483" s="1430"/>
      <c r="N1483" s="94"/>
      <c r="O1483" s="1430"/>
      <c r="P1483" s="94"/>
      <c r="Q1483" s="1431"/>
      <c r="R1483" s="1164"/>
      <c r="S1483" s="1164"/>
      <c r="T1483" s="1164"/>
      <c r="U1483" s="2174"/>
      <c r="V1483" s="2174"/>
      <c r="W1483" s="2174"/>
      <c r="X1483" s="1164"/>
    </row>
    <row r="1484" ht="15.75" customHeight="1">
      <c r="A1484" s="94"/>
      <c r="B1484" s="94"/>
      <c r="C1484" s="94"/>
      <c r="D1484" s="94"/>
      <c r="E1484" s="94"/>
      <c r="F1484" s="94"/>
      <c r="G1484" s="94"/>
      <c r="H1484" s="1164"/>
      <c r="I1484" s="1164"/>
      <c r="J1484" s="1164"/>
      <c r="K1484" s="1430"/>
      <c r="L1484" s="1430"/>
      <c r="M1484" s="1430"/>
      <c r="N1484" s="1430"/>
      <c r="O1484" s="1430"/>
      <c r="P1484" s="1430"/>
      <c r="Q1484" s="1430"/>
      <c r="R1484" s="1430"/>
      <c r="S1484" s="1430"/>
      <c r="T1484" s="1430"/>
      <c r="U1484" s="94"/>
      <c r="V1484" s="94"/>
      <c r="W1484" s="94"/>
      <c r="X1484" s="1430"/>
    </row>
    <row r="1485" ht="15.75" customHeight="1">
      <c r="A1485" s="94"/>
      <c r="B1485" s="94"/>
      <c r="C1485" s="1164"/>
      <c r="D1485" s="1429"/>
      <c r="E1485" s="1429"/>
      <c r="F1485" s="1429"/>
      <c r="G1485" s="1429"/>
      <c r="H1485" s="1430"/>
      <c r="I1485" s="94"/>
      <c r="J1485" s="1164"/>
      <c r="K1485" s="94"/>
      <c r="L1485" s="94"/>
      <c r="M1485" s="1430"/>
      <c r="N1485" s="94"/>
      <c r="O1485" s="1430"/>
      <c r="P1485" s="94"/>
      <c r="Q1485" s="1431"/>
      <c r="R1485" s="1164"/>
      <c r="S1485" s="1164"/>
      <c r="T1485" s="1164"/>
      <c r="U1485" s="2174"/>
      <c r="V1485" s="2174"/>
      <c r="W1485" s="2174"/>
      <c r="X1485" s="1164"/>
    </row>
    <row r="1486" ht="15.75" customHeight="1">
      <c r="A1486" s="94"/>
      <c r="B1486" s="94"/>
      <c r="C1486" s="1164"/>
      <c r="D1486" s="1429"/>
      <c r="E1486" s="1429"/>
      <c r="F1486" s="1429"/>
      <c r="G1486" s="1429"/>
      <c r="H1486" s="1430"/>
      <c r="I1486" s="94"/>
      <c r="J1486" s="1164"/>
      <c r="K1486" s="94"/>
      <c r="L1486" s="94"/>
      <c r="M1486" s="1430"/>
      <c r="N1486" s="94"/>
      <c r="O1486" s="1430"/>
      <c r="P1486" s="94"/>
      <c r="Q1486" s="1431"/>
      <c r="R1486" s="1164"/>
      <c r="S1486" s="1164"/>
      <c r="T1486" s="1164"/>
      <c r="U1486" s="2174"/>
      <c r="V1486" s="2174"/>
      <c r="W1486" s="2174"/>
      <c r="X1486" s="1164"/>
    </row>
    <row r="1487" ht="15.75" customHeight="1">
      <c r="A1487" s="94"/>
      <c r="B1487" s="94"/>
      <c r="C1487" s="1164"/>
      <c r="D1487" s="1429"/>
      <c r="E1487" s="1429"/>
      <c r="F1487" s="1429"/>
      <c r="G1487" s="1429"/>
      <c r="H1487" s="1430"/>
      <c r="I1487" s="94"/>
      <c r="J1487" s="1164"/>
      <c r="K1487" s="94"/>
      <c r="L1487" s="94"/>
      <c r="M1487" s="1430"/>
      <c r="N1487" s="94"/>
      <c r="O1487" s="1430"/>
      <c r="P1487" s="94"/>
      <c r="Q1487" s="1431"/>
      <c r="R1487" s="1164"/>
      <c r="S1487" s="1164"/>
      <c r="T1487" s="1164"/>
      <c r="U1487" s="2174"/>
      <c r="V1487" s="2174"/>
      <c r="W1487" s="2174"/>
      <c r="X1487" s="1164"/>
    </row>
    <row r="1488" ht="15.75" customHeight="1">
      <c r="A1488" s="94"/>
      <c r="B1488" s="94"/>
      <c r="C1488" s="1164"/>
      <c r="D1488" s="1429"/>
      <c r="E1488" s="1429"/>
      <c r="F1488" s="1429"/>
      <c r="G1488" s="1429"/>
      <c r="H1488" s="1430"/>
      <c r="I1488" s="94"/>
      <c r="J1488" s="1164"/>
      <c r="K1488" s="94"/>
      <c r="L1488" s="94"/>
      <c r="M1488" s="1430"/>
      <c r="N1488" s="94"/>
      <c r="O1488" s="1430"/>
      <c r="P1488" s="94"/>
      <c r="Q1488" s="1431"/>
      <c r="R1488" s="1164"/>
      <c r="S1488" s="1164"/>
      <c r="T1488" s="1164"/>
      <c r="U1488" s="2174"/>
      <c r="V1488" s="2174"/>
      <c r="W1488" s="2174"/>
      <c r="X1488" s="1164"/>
    </row>
    <row r="1489" ht="15.75" customHeight="1">
      <c r="A1489" s="94"/>
      <c r="B1489" s="94"/>
      <c r="C1489" s="1164"/>
      <c r="D1489" s="1429"/>
      <c r="E1489" s="1429"/>
      <c r="F1489" s="1429"/>
      <c r="G1489" s="1429"/>
      <c r="H1489" s="1430"/>
      <c r="I1489" s="94"/>
      <c r="J1489" s="1164"/>
      <c r="K1489" s="94"/>
      <c r="L1489" s="94"/>
      <c r="M1489" s="1430"/>
      <c r="N1489" s="94"/>
      <c r="O1489" s="1430"/>
      <c r="P1489" s="94"/>
      <c r="Q1489" s="1431"/>
      <c r="R1489" s="1164"/>
      <c r="S1489" s="1164"/>
      <c r="T1489" s="1164"/>
      <c r="U1489" s="2174"/>
      <c r="V1489" s="2174"/>
      <c r="W1489" s="2174"/>
      <c r="X1489" s="1164"/>
    </row>
    <row r="1490" ht="15.75" customHeight="1">
      <c r="A1490" s="94"/>
      <c r="B1490" s="94"/>
      <c r="C1490" s="1164"/>
      <c r="D1490" s="1429"/>
      <c r="E1490" s="1429"/>
      <c r="F1490" s="1429"/>
      <c r="G1490" s="1429"/>
      <c r="H1490" s="1430"/>
      <c r="I1490" s="94"/>
      <c r="J1490" s="1164"/>
      <c r="K1490" s="94"/>
      <c r="L1490" s="94"/>
      <c r="M1490" s="1430"/>
      <c r="N1490" s="94"/>
      <c r="O1490" s="1430"/>
      <c r="P1490" s="94"/>
      <c r="Q1490" s="1431"/>
      <c r="R1490" s="1164"/>
      <c r="S1490" s="1164"/>
      <c r="T1490" s="1164"/>
      <c r="U1490" s="2174"/>
      <c r="V1490" s="2174"/>
      <c r="W1490" s="2174"/>
      <c r="X1490" s="1164"/>
    </row>
    <row r="1491" ht="15.75" customHeight="1">
      <c r="A1491" s="94"/>
      <c r="B1491" s="1164"/>
      <c r="C1491" s="1164"/>
      <c r="D1491" s="1429"/>
      <c r="E1491" s="1429"/>
      <c r="F1491" s="1429"/>
      <c r="G1491" s="1429"/>
      <c r="H1491" s="1430"/>
      <c r="I1491" s="94"/>
      <c r="J1491" s="1164"/>
      <c r="K1491" s="94"/>
      <c r="L1491" s="94"/>
      <c r="M1491" s="1430"/>
      <c r="N1491" s="94"/>
      <c r="O1491" s="1430"/>
      <c r="P1491" s="94"/>
      <c r="Q1491" s="1431"/>
      <c r="R1491" s="1164"/>
      <c r="S1491" s="1164"/>
      <c r="T1491" s="1164"/>
      <c r="U1491" s="2174"/>
      <c r="V1491" s="2174"/>
      <c r="W1491" s="2174"/>
      <c r="X1491" s="1164"/>
    </row>
    <row r="1492" ht="15.75" customHeight="1">
      <c r="A1492" s="94"/>
      <c r="B1492" s="94"/>
      <c r="C1492" s="1164"/>
      <c r="D1492" s="1429"/>
      <c r="E1492" s="1429"/>
      <c r="F1492" s="1429"/>
      <c r="G1492" s="1429"/>
      <c r="H1492" s="1430"/>
      <c r="I1492" s="94"/>
      <c r="J1492" s="1164"/>
      <c r="K1492" s="94"/>
      <c r="L1492" s="94"/>
      <c r="M1492" s="1430"/>
      <c r="N1492" s="94"/>
      <c r="O1492" s="1430"/>
      <c r="P1492" s="94"/>
      <c r="Q1492" s="1431"/>
      <c r="R1492" s="1164"/>
      <c r="S1492" s="1164"/>
      <c r="T1492" s="1164"/>
      <c r="U1492" s="2174"/>
      <c r="V1492" s="2174"/>
      <c r="W1492" s="2174"/>
      <c r="X1492" s="1164"/>
    </row>
    <row r="1493" ht="15.75" customHeight="1">
      <c r="A1493" s="94"/>
      <c r="B1493" s="94"/>
      <c r="C1493" s="1164"/>
      <c r="D1493" s="1429"/>
      <c r="E1493" s="1429"/>
      <c r="F1493" s="1429"/>
      <c r="G1493" s="1429"/>
      <c r="H1493" s="1430"/>
      <c r="I1493" s="94"/>
      <c r="J1493" s="1164"/>
      <c r="K1493" s="94"/>
      <c r="L1493" s="94"/>
      <c r="M1493" s="1430"/>
      <c r="N1493" s="94"/>
      <c r="O1493" s="1430"/>
      <c r="P1493" s="94"/>
      <c r="Q1493" s="1431"/>
      <c r="R1493" s="1164"/>
      <c r="S1493" s="1164"/>
      <c r="T1493" s="1164"/>
      <c r="U1493" s="2174"/>
      <c r="V1493" s="2174"/>
      <c r="W1493" s="2174"/>
      <c r="X1493" s="1164"/>
    </row>
    <row r="1494" ht="15.75" customHeight="1">
      <c r="A1494" s="94"/>
      <c r="B1494" s="1164"/>
      <c r="C1494" s="1164"/>
      <c r="D1494" s="1429"/>
      <c r="E1494" s="1429"/>
      <c r="F1494" s="1429"/>
      <c r="G1494" s="1429"/>
      <c r="H1494" s="1430"/>
      <c r="I1494" s="94"/>
      <c r="J1494" s="1164"/>
      <c r="K1494" s="94"/>
      <c r="L1494" s="94"/>
      <c r="M1494" s="94"/>
      <c r="N1494" s="94"/>
      <c r="O1494" s="94"/>
      <c r="P1494" s="94"/>
      <c r="Q1494" s="1431"/>
      <c r="R1494" s="1164"/>
      <c r="S1494" s="1164"/>
      <c r="T1494" s="1164"/>
      <c r="U1494" s="2174"/>
      <c r="V1494" s="2174"/>
      <c r="W1494" s="2174"/>
      <c r="X1494" s="1164"/>
    </row>
    <row r="1495" ht="15.75" customHeight="1">
      <c r="A1495" s="94"/>
      <c r="B1495" s="94"/>
      <c r="C1495" s="1164"/>
      <c r="D1495" s="1429"/>
      <c r="E1495" s="1429"/>
      <c r="F1495" s="1429"/>
      <c r="G1495" s="1429"/>
      <c r="H1495" s="1430"/>
      <c r="I1495" s="94"/>
      <c r="J1495" s="1164"/>
      <c r="K1495" s="94"/>
      <c r="L1495" s="94"/>
      <c r="M1495" s="94"/>
      <c r="N1495" s="94"/>
      <c r="O1495" s="94"/>
      <c r="P1495" s="94"/>
      <c r="Q1495" s="1431"/>
      <c r="R1495" s="1164"/>
      <c r="S1495" s="1164"/>
      <c r="T1495" s="1164"/>
      <c r="U1495" s="2174"/>
      <c r="V1495" s="2174"/>
      <c r="W1495" s="2174"/>
      <c r="X1495" s="1164"/>
    </row>
    <row r="1496" ht="15.75" customHeight="1">
      <c r="A1496" s="94"/>
      <c r="B1496" s="94"/>
      <c r="C1496" s="1164"/>
      <c r="D1496" s="1429"/>
      <c r="E1496" s="1429"/>
      <c r="F1496" s="1429"/>
      <c r="G1496" s="1429"/>
      <c r="H1496" s="1430"/>
      <c r="I1496" s="94"/>
      <c r="J1496" s="1164"/>
      <c r="K1496" s="94"/>
      <c r="L1496" s="94"/>
      <c r="M1496" s="1430"/>
      <c r="N1496" s="94"/>
      <c r="O1496" s="1430"/>
      <c r="P1496" s="94"/>
      <c r="Q1496" s="1431"/>
      <c r="R1496" s="1164"/>
      <c r="S1496" s="1164"/>
      <c r="T1496" s="1164"/>
      <c r="U1496" s="2174"/>
      <c r="V1496" s="2174"/>
      <c r="W1496" s="2174"/>
      <c r="X1496" s="1164"/>
    </row>
    <row r="1497" ht="15.75" customHeight="1">
      <c r="A1497" s="94"/>
      <c r="B1497" s="1164"/>
      <c r="C1497" s="1164"/>
      <c r="D1497" s="1429"/>
      <c r="E1497" s="1429"/>
      <c r="F1497" s="1429"/>
      <c r="G1497" s="1429"/>
      <c r="H1497" s="1430"/>
      <c r="I1497" s="94"/>
      <c r="J1497" s="1164"/>
      <c r="K1497" s="94"/>
      <c r="L1497" s="94"/>
      <c r="M1497" s="1430"/>
      <c r="N1497" s="94"/>
      <c r="O1497" s="1430"/>
      <c r="P1497" s="94"/>
      <c r="Q1497" s="1431"/>
      <c r="R1497" s="1164"/>
      <c r="S1497" s="1164"/>
      <c r="T1497" s="1164"/>
      <c r="U1497" s="2174"/>
      <c r="V1497" s="2174"/>
      <c r="W1497" s="2174"/>
      <c r="X1497" s="1164"/>
    </row>
    <row r="1498" ht="15.75" customHeight="1">
      <c r="A1498" s="94"/>
      <c r="B1498" s="94"/>
      <c r="C1498" s="1164"/>
      <c r="D1498" s="1429"/>
      <c r="E1498" s="1429"/>
      <c r="F1498" s="1429"/>
      <c r="G1498" s="1429"/>
      <c r="H1498" s="1430"/>
      <c r="I1498" s="94"/>
      <c r="J1498" s="1164"/>
      <c r="K1498" s="94"/>
      <c r="L1498" s="94"/>
      <c r="M1498" s="1430"/>
      <c r="N1498" s="94"/>
      <c r="O1498" s="1430"/>
      <c r="P1498" s="94"/>
      <c r="Q1498" s="1431"/>
      <c r="R1498" s="1164"/>
      <c r="S1498" s="1164"/>
      <c r="T1498" s="1164"/>
      <c r="U1498" s="2174"/>
      <c r="V1498" s="2174"/>
      <c r="W1498" s="2174"/>
      <c r="X1498" s="1164"/>
    </row>
    <row r="1499" ht="15.75" customHeight="1">
      <c r="A1499" s="94"/>
      <c r="B1499" s="94"/>
      <c r="C1499" s="1164"/>
      <c r="D1499" s="1429"/>
      <c r="E1499" s="1429"/>
      <c r="F1499" s="1429"/>
      <c r="G1499" s="1429"/>
      <c r="H1499" s="1430"/>
      <c r="I1499" s="94"/>
      <c r="J1499" s="1164"/>
      <c r="K1499" s="94"/>
      <c r="L1499" s="94"/>
      <c r="M1499" s="1430"/>
      <c r="N1499" s="94"/>
      <c r="O1499" s="1430"/>
      <c r="P1499" s="94"/>
      <c r="Q1499" s="1431"/>
      <c r="R1499" s="1164"/>
      <c r="S1499" s="1164"/>
      <c r="T1499" s="1164"/>
      <c r="U1499" s="2174"/>
      <c r="V1499" s="2174"/>
      <c r="W1499" s="2174"/>
      <c r="X1499" s="1164"/>
    </row>
    <row r="1500" ht="15.75" customHeight="1">
      <c r="A1500" s="94"/>
      <c r="B1500" s="94"/>
      <c r="C1500" s="1164"/>
      <c r="D1500" s="1429"/>
      <c r="E1500" s="1429"/>
      <c r="F1500" s="1429"/>
      <c r="G1500" s="1429"/>
      <c r="H1500" s="1430"/>
      <c r="I1500" s="94"/>
      <c r="J1500" s="1164"/>
      <c r="K1500" s="94"/>
      <c r="L1500" s="94"/>
      <c r="M1500" s="1430"/>
      <c r="N1500" s="94"/>
      <c r="O1500" s="1430"/>
      <c r="P1500" s="94"/>
      <c r="Q1500" s="1431"/>
      <c r="R1500" s="1164"/>
      <c r="S1500" s="1164"/>
      <c r="T1500" s="1164"/>
      <c r="U1500" s="2174"/>
      <c r="V1500" s="2174"/>
      <c r="W1500" s="2174"/>
      <c r="X1500" s="1164"/>
    </row>
    <row r="1501" ht="15.75" customHeight="1">
      <c r="A1501" s="94"/>
      <c r="B1501" s="94"/>
      <c r="C1501" s="1164"/>
      <c r="D1501" s="1429"/>
      <c r="E1501" s="1429"/>
      <c r="F1501" s="1429"/>
      <c r="G1501" s="1429"/>
      <c r="H1501" s="1430"/>
      <c r="I1501" s="94"/>
      <c r="J1501" s="1164"/>
      <c r="K1501" s="94"/>
      <c r="L1501" s="94"/>
      <c r="M1501" s="1430"/>
      <c r="N1501" s="94"/>
      <c r="O1501" s="1430"/>
      <c r="P1501" s="94"/>
      <c r="Q1501" s="1431"/>
      <c r="R1501" s="1164"/>
      <c r="S1501" s="1164"/>
      <c r="T1501" s="1164"/>
      <c r="U1501" s="2174"/>
      <c r="V1501" s="2174"/>
      <c r="W1501" s="2174"/>
      <c r="X1501" s="1164"/>
    </row>
    <row r="1502" ht="15.75" customHeight="1">
      <c r="A1502" s="94"/>
      <c r="B1502" s="1164"/>
      <c r="C1502" s="1164"/>
      <c r="D1502" s="1429"/>
      <c r="E1502" s="1429"/>
      <c r="F1502" s="1429"/>
      <c r="G1502" s="1429"/>
      <c r="H1502" s="1430"/>
      <c r="I1502" s="94"/>
      <c r="J1502" s="1164"/>
      <c r="K1502" s="94"/>
      <c r="L1502" s="94"/>
      <c r="M1502" s="94"/>
      <c r="N1502" s="94"/>
      <c r="O1502" s="94"/>
      <c r="P1502" s="94"/>
      <c r="Q1502" s="1431"/>
      <c r="R1502" s="1164"/>
      <c r="S1502" s="1164"/>
      <c r="T1502" s="1164"/>
      <c r="U1502" s="2174"/>
      <c r="V1502" s="94"/>
      <c r="W1502" s="2174"/>
      <c r="X1502" s="1164"/>
    </row>
    <row r="1503" ht="15.75" customHeight="1">
      <c r="A1503" s="94"/>
      <c r="B1503" s="94"/>
      <c r="C1503" s="1164"/>
      <c r="D1503" s="1429"/>
      <c r="E1503" s="1429"/>
      <c r="F1503" s="1429"/>
      <c r="G1503" s="1429"/>
      <c r="H1503" s="1430"/>
      <c r="I1503" s="94"/>
      <c r="J1503" s="1164"/>
      <c r="K1503" s="94"/>
      <c r="L1503" s="94"/>
      <c r="M1503" s="1430"/>
      <c r="N1503" s="94"/>
      <c r="O1503" s="1430"/>
      <c r="P1503" s="94"/>
      <c r="Q1503" s="1431"/>
      <c r="R1503" s="1164"/>
      <c r="S1503" s="1164"/>
      <c r="T1503" s="1164"/>
      <c r="U1503" s="2174"/>
      <c r="V1503" s="2174"/>
      <c r="W1503" s="2174"/>
      <c r="X1503" s="1164"/>
    </row>
    <row r="1504" ht="15.75" customHeight="1">
      <c r="A1504" s="94"/>
      <c r="B1504" s="94"/>
      <c r="C1504" s="1164"/>
      <c r="D1504" s="1429"/>
      <c r="E1504" s="1429"/>
      <c r="F1504" s="1429"/>
      <c r="G1504" s="1429"/>
      <c r="H1504" s="1430"/>
      <c r="I1504" s="94"/>
      <c r="J1504" s="1164"/>
      <c r="K1504" s="94"/>
      <c r="L1504" s="94"/>
      <c r="M1504" s="1430"/>
      <c r="N1504" s="94"/>
      <c r="O1504" s="1430"/>
      <c r="P1504" s="94"/>
      <c r="Q1504" s="1431"/>
      <c r="R1504" s="1164"/>
      <c r="S1504" s="1164"/>
      <c r="T1504" s="1164"/>
      <c r="U1504" s="2174"/>
      <c r="V1504" s="2174"/>
      <c r="W1504" s="2174"/>
      <c r="X1504" s="1164"/>
    </row>
    <row r="1505" ht="15.75" customHeight="1">
      <c r="A1505" s="94"/>
      <c r="B1505" s="1164"/>
      <c r="C1505" s="1164"/>
      <c r="D1505" s="1429"/>
      <c r="E1505" s="1429"/>
      <c r="F1505" s="1429"/>
      <c r="G1505" s="1429"/>
      <c r="H1505" s="1430"/>
      <c r="I1505" s="94"/>
      <c r="J1505" s="1164"/>
      <c r="K1505" s="94"/>
      <c r="L1505" s="94"/>
      <c r="M1505" s="94"/>
      <c r="N1505" s="94"/>
      <c r="O1505" s="94"/>
      <c r="P1505" s="94"/>
      <c r="Q1505" s="1431"/>
      <c r="R1505" s="1164"/>
      <c r="S1505" s="1164"/>
      <c r="T1505" s="1164"/>
      <c r="U1505" s="2174"/>
      <c r="V1505" s="2174"/>
      <c r="W1505" s="2174"/>
      <c r="X1505" s="1164"/>
    </row>
    <row r="1506" ht="15.75" customHeight="1">
      <c r="A1506" s="94"/>
      <c r="B1506" s="1164"/>
      <c r="C1506" s="1164"/>
      <c r="D1506" s="1429"/>
      <c r="E1506" s="1429"/>
      <c r="F1506" s="1429"/>
      <c r="G1506" s="1429"/>
      <c r="H1506" s="1430"/>
      <c r="I1506" s="94"/>
      <c r="J1506" s="1164"/>
      <c r="K1506" s="94"/>
      <c r="L1506" s="94"/>
      <c r="M1506" s="1430"/>
      <c r="N1506" s="94"/>
      <c r="O1506" s="1430"/>
      <c r="P1506" s="94"/>
      <c r="Q1506" s="1431"/>
      <c r="R1506" s="1164"/>
      <c r="S1506" s="1164"/>
      <c r="T1506" s="1164"/>
      <c r="U1506" s="2174"/>
      <c r="V1506" s="2174"/>
      <c r="W1506" s="2174"/>
      <c r="X1506" s="1164"/>
    </row>
    <row r="1507" ht="15.75" customHeight="1">
      <c r="A1507" s="94"/>
      <c r="B1507" s="94"/>
      <c r="C1507" s="1164"/>
      <c r="D1507" s="1429"/>
      <c r="E1507" s="1429"/>
      <c r="F1507" s="1429"/>
      <c r="G1507" s="1429"/>
      <c r="H1507" s="1430"/>
      <c r="I1507" s="94"/>
      <c r="J1507" s="1164"/>
      <c r="K1507" s="94"/>
      <c r="L1507" s="94"/>
      <c r="M1507" s="1430"/>
      <c r="N1507" s="94"/>
      <c r="O1507" s="1430"/>
      <c r="P1507" s="94"/>
      <c r="Q1507" s="1431"/>
      <c r="R1507" s="1164"/>
      <c r="S1507" s="1164"/>
      <c r="T1507" s="1164"/>
      <c r="U1507" s="2174"/>
      <c r="V1507" s="2174"/>
      <c r="W1507" s="2174"/>
      <c r="X1507" s="1164"/>
    </row>
    <row r="1508" ht="15.75" customHeight="1">
      <c r="A1508" s="94"/>
      <c r="B1508" s="94"/>
      <c r="C1508" s="1164"/>
      <c r="D1508" s="1429"/>
      <c r="E1508" s="1429"/>
      <c r="F1508" s="1429"/>
      <c r="G1508" s="1429"/>
      <c r="H1508" s="1430"/>
      <c r="I1508" s="94"/>
      <c r="J1508" s="1164"/>
      <c r="K1508" s="94"/>
      <c r="L1508" s="94"/>
      <c r="M1508" s="1430"/>
      <c r="N1508" s="94"/>
      <c r="O1508" s="1430"/>
      <c r="P1508" s="94"/>
      <c r="Q1508" s="1431"/>
      <c r="R1508" s="1164"/>
      <c r="S1508" s="1164"/>
      <c r="T1508" s="1164"/>
      <c r="U1508" s="2174"/>
      <c r="V1508" s="2174"/>
      <c r="W1508" s="2174"/>
      <c r="X1508" s="1164"/>
    </row>
    <row r="1509" ht="15.75" customHeight="1">
      <c r="A1509" s="94"/>
      <c r="B1509" s="1164"/>
      <c r="C1509" s="1164"/>
      <c r="D1509" s="1429"/>
      <c r="E1509" s="1429"/>
      <c r="F1509" s="1429"/>
      <c r="G1509" s="1429"/>
      <c r="H1509" s="1430"/>
      <c r="I1509" s="94"/>
      <c r="J1509" s="1164"/>
      <c r="K1509" s="94"/>
      <c r="L1509" s="94"/>
      <c r="M1509" s="94"/>
      <c r="N1509" s="94"/>
      <c r="O1509" s="94"/>
      <c r="P1509" s="94"/>
      <c r="Q1509" s="1431"/>
      <c r="R1509" s="1164"/>
      <c r="S1509" s="1164"/>
      <c r="T1509" s="1164"/>
      <c r="U1509" s="2174"/>
      <c r="V1509" s="2174"/>
      <c r="W1509" s="2174"/>
      <c r="X1509" s="1164"/>
    </row>
    <row r="1510" ht="15.75" customHeight="1">
      <c r="A1510" s="94"/>
      <c r="B1510" s="94"/>
      <c r="C1510" s="1164"/>
      <c r="D1510" s="1429"/>
      <c r="E1510" s="1429"/>
      <c r="F1510" s="1429"/>
      <c r="G1510" s="1429"/>
      <c r="H1510" s="1430"/>
      <c r="I1510" s="94"/>
      <c r="J1510" s="1164"/>
      <c r="K1510" s="94"/>
      <c r="L1510" s="94"/>
      <c r="M1510" s="94"/>
      <c r="N1510" s="94"/>
      <c r="O1510" s="94"/>
      <c r="P1510" s="94"/>
      <c r="Q1510" s="1431"/>
      <c r="R1510" s="1164"/>
      <c r="S1510" s="1164"/>
      <c r="T1510" s="1164"/>
      <c r="U1510" s="2174"/>
      <c r="V1510" s="2174"/>
      <c r="W1510" s="2174"/>
      <c r="X1510" s="1164"/>
    </row>
    <row r="1511" ht="15.75" customHeight="1">
      <c r="A1511" s="94"/>
      <c r="B1511" s="1164"/>
      <c r="C1511" s="1164"/>
      <c r="D1511" s="1429"/>
      <c r="E1511" s="1429"/>
      <c r="F1511" s="1429"/>
      <c r="G1511" s="1429"/>
      <c r="H1511" s="1430"/>
      <c r="I1511" s="94"/>
      <c r="J1511" s="1164"/>
      <c r="K1511" s="94"/>
      <c r="L1511" s="94"/>
      <c r="M1511" s="94"/>
      <c r="N1511" s="94"/>
      <c r="O1511" s="94"/>
      <c r="P1511" s="94"/>
      <c r="Q1511" s="1431"/>
      <c r="R1511" s="1164"/>
      <c r="S1511" s="1164"/>
      <c r="T1511" s="1164"/>
      <c r="U1511" s="2174"/>
      <c r="V1511" s="2174"/>
      <c r="W1511" s="2174"/>
      <c r="X1511" s="1164"/>
    </row>
    <row r="1512" ht="15.75" customHeight="1">
      <c r="A1512" s="94"/>
      <c r="B1512" s="94"/>
      <c r="C1512" s="1164"/>
      <c r="D1512" s="1429"/>
      <c r="E1512" s="1429"/>
      <c r="F1512" s="1429"/>
      <c r="G1512" s="1429"/>
      <c r="H1512" s="1430"/>
      <c r="I1512" s="94"/>
      <c r="J1512" s="1164"/>
      <c r="K1512" s="94"/>
      <c r="L1512" s="94"/>
      <c r="M1512" s="1430"/>
      <c r="N1512" s="94"/>
      <c r="O1512" s="1430"/>
      <c r="P1512" s="94"/>
      <c r="Q1512" s="1431"/>
      <c r="R1512" s="1164"/>
      <c r="S1512" s="1164"/>
      <c r="T1512" s="1164"/>
      <c r="U1512" s="2174"/>
      <c r="V1512" s="2174"/>
      <c r="W1512" s="2174"/>
      <c r="X1512" s="1164"/>
    </row>
    <row r="1513" ht="15.75" customHeight="1">
      <c r="A1513" s="94"/>
      <c r="B1513" s="1164"/>
      <c r="C1513" s="1164"/>
      <c r="D1513" s="1429"/>
      <c r="E1513" s="1429"/>
      <c r="F1513" s="1429"/>
      <c r="G1513" s="1429"/>
      <c r="H1513" s="1430"/>
      <c r="I1513" s="94"/>
      <c r="J1513" s="1164"/>
      <c r="K1513" s="94"/>
      <c r="L1513" s="94"/>
      <c r="M1513" s="94"/>
      <c r="N1513" s="94"/>
      <c r="O1513" s="94"/>
      <c r="P1513" s="94"/>
      <c r="Q1513" s="1431"/>
      <c r="R1513" s="1164"/>
      <c r="S1513" s="1164"/>
      <c r="T1513" s="1164"/>
      <c r="U1513" s="2174"/>
      <c r="V1513" s="2174"/>
      <c r="W1513" s="2174"/>
      <c r="X1513" s="1164"/>
    </row>
    <row r="1514" ht="15.75" customHeight="1">
      <c r="A1514" s="94"/>
      <c r="B1514" s="94"/>
      <c r="C1514" s="1164"/>
      <c r="D1514" s="1429"/>
      <c r="E1514" s="1429"/>
      <c r="F1514" s="1429"/>
      <c r="G1514" s="1429"/>
      <c r="H1514" s="1430"/>
      <c r="I1514" s="94"/>
      <c r="J1514" s="1164"/>
      <c r="K1514" s="94"/>
      <c r="L1514" s="94"/>
      <c r="M1514" s="1430"/>
      <c r="N1514" s="94"/>
      <c r="O1514" s="1430"/>
      <c r="P1514" s="94"/>
      <c r="Q1514" s="1431"/>
      <c r="R1514" s="1164"/>
      <c r="S1514" s="1164"/>
      <c r="T1514" s="1164"/>
      <c r="U1514" s="2174"/>
      <c r="V1514" s="2174"/>
      <c r="W1514" s="2174"/>
      <c r="X1514" s="1164"/>
    </row>
    <row r="1515" ht="15.75" customHeight="1">
      <c r="A1515" s="94"/>
      <c r="B1515" s="1164"/>
      <c r="C1515" s="1164"/>
      <c r="D1515" s="1429"/>
      <c r="E1515" s="1429"/>
      <c r="F1515" s="1429"/>
      <c r="G1515" s="1429"/>
      <c r="H1515" s="1430"/>
      <c r="I1515" s="94"/>
      <c r="J1515" s="1164"/>
      <c r="K1515" s="94"/>
      <c r="L1515" s="94"/>
      <c r="M1515" s="1430"/>
      <c r="N1515" s="94"/>
      <c r="O1515" s="1430"/>
      <c r="P1515" s="94"/>
      <c r="Q1515" s="1431"/>
      <c r="R1515" s="1164"/>
      <c r="S1515" s="1164"/>
      <c r="T1515" s="1164"/>
      <c r="U1515" s="2174"/>
      <c r="V1515" s="2174"/>
      <c r="W1515" s="2174"/>
      <c r="X1515" s="1164"/>
    </row>
    <row r="1516" ht="15.75" customHeight="1">
      <c r="A1516" s="94"/>
      <c r="B1516" s="1164"/>
      <c r="C1516" s="1164"/>
      <c r="D1516" s="1429"/>
      <c r="E1516" s="1429"/>
      <c r="F1516" s="1429"/>
      <c r="G1516" s="1429"/>
      <c r="H1516" s="1430"/>
      <c r="I1516" s="94"/>
      <c r="J1516" s="1164"/>
      <c r="K1516" s="94"/>
      <c r="L1516" s="94"/>
      <c r="M1516" s="1430"/>
      <c r="N1516" s="94"/>
      <c r="O1516" s="1430"/>
      <c r="P1516" s="94"/>
      <c r="Q1516" s="1431"/>
      <c r="R1516" s="1164"/>
      <c r="S1516" s="1164"/>
      <c r="T1516" s="1164"/>
      <c r="U1516" s="2174"/>
      <c r="V1516" s="2174"/>
      <c r="W1516" s="2174"/>
      <c r="X1516" s="1164"/>
    </row>
    <row r="1517" ht="15.75" customHeight="1">
      <c r="A1517" s="94"/>
      <c r="B1517" s="94"/>
      <c r="C1517" s="1164"/>
      <c r="D1517" s="1429"/>
      <c r="E1517" s="1429"/>
      <c r="F1517" s="1429"/>
      <c r="G1517" s="1429"/>
      <c r="H1517" s="1430"/>
      <c r="I1517" s="94"/>
      <c r="J1517" s="1164"/>
      <c r="K1517" s="94"/>
      <c r="L1517" s="94"/>
      <c r="M1517" s="94"/>
      <c r="N1517" s="94"/>
      <c r="O1517" s="94"/>
      <c r="P1517" s="94"/>
      <c r="Q1517" s="1431"/>
      <c r="R1517" s="1164"/>
      <c r="S1517" s="1164"/>
      <c r="T1517" s="1164"/>
      <c r="U1517" s="2174"/>
      <c r="V1517" s="2174"/>
      <c r="W1517" s="2174"/>
      <c r="X1517" s="1164"/>
    </row>
    <row r="1518" ht="15.75" customHeight="1">
      <c r="A1518" s="94"/>
      <c r="B1518" s="1164"/>
      <c r="C1518" s="1164"/>
      <c r="D1518" s="1429"/>
      <c r="E1518" s="1429"/>
      <c r="F1518" s="1429"/>
      <c r="G1518" s="1429"/>
      <c r="H1518" s="1430"/>
      <c r="I1518" s="94"/>
      <c r="J1518" s="1164"/>
      <c r="K1518" s="94"/>
      <c r="L1518" s="94"/>
      <c r="M1518" s="94"/>
      <c r="N1518" s="94"/>
      <c r="O1518" s="94"/>
      <c r="P1518" s="94"/>
      <c r="Q1518" s="1431"/>
      <c r="R1518" s="1164"/>
      <c r="S1518" s="1164"/>
      <c r="T1518" s="1164"/>
      <c r="U1518" s="2174"/>
      <c r="V1518" s="2174"/>
      <c r="W1518" s="2174"/>
      <c r="X1518" s="1164"/>
    </row>
    <row r="1519" ht="15.75" customHeight="1">
      <c r="A1519" s="94"/>
      <c r="B1519" s="94"/>
      <c r="C1519" s="1164"/>
      <c r="D1519" s="1429"/>
      <c r="E1519" s="1429"/>
      <c r="F1519" s="1429"/>
      <c r="G1519" s="1429"/>
      <c r="H1519" s="1430"/>
      <c r="I1519" s="94"/>
      <c r="J1519" s="1164"/>
      <c r="K1519" s="94"/>
      <c r="L1519" s="94"/>
      <c r="M1519" s="1430"/>
      <c r="N1519" s="94"/>
      <c r="O1519" s="1430"/>
      <c r="P1519" s="94"/>
      <c r="Q1519" s="1431"/>
      <c r="R1519" s="1164"/>
      <c r="S1519" s="1164"/>
      <c r="T1519" s="1164"/>
      <c r="U1519" s="2174"/>
      <c r="V1519" s="2174"/>
      <c r="W1519" s="2174"/>
      <c r="X1519" s="1164"/>
    </row>
    <row r="1520" ht="15.75" customHeight="1">
      <c r="A1520" s="94"/>
      <c r="B1520" s="1164"/>
      <c r="C1520" s="1164"/>
      <c r="D1520" s="1429"/>
      <c r="E1520" s="1429"/>
      <c r="F1520" s="1429"/>
      <c r="G1520" s="1429"/>
      <c r="H1520" s="1430"/>
      <c r="I1520" s="94"/>
      <c r="J1520" s="1164"/>
      <c r="K1520" s="94"/>
      <c r="L1520" s="94"/>
      <c r="M1520" s="94"/>
      <c r="N1520" s="94"/>
      <c r="O1520" s="94"/>
      <c r="P1520" s="94"/>
      <c r="Q1520" s="1431"/>
      <c r="R1520" s="1164"/>
      <c r="S1520" s="1164"/>
      <c r="T1520" s="1164"/>
      <c r="U1520" s="2174"/>
      <c r="V1520" s="2174"/>
      <c r="W1520" s="2174"/>
      <c r="X1520" s="1164"/>
    </row>
    <row r="1521" ht="15.75" customHeight="1">
      <c r="A1521" s="94"/>
      <c r="B1521" s="94"/>
      <c r="C1521" s="1164"/>
      <c r="D1521" s="1429"/>
      <c r="E1521" s="1429"/>
      <c r="F1521" s="1429"/>
      <c r="G1521" s="1429"/>
      <c r="H1521" s="1430"/>
      <c r="I1521" s="94"/>
      <c r="J1521" s="1164"/>
      <c r="K1521" s="94"/>
      <c r="L1521" s="94"/>
      <c r="M1521" s="94"/>
      <c r="N1521" s="94"/>
      <c r="O1521" s="94"/>
      <c r="P1521" s="94"/>
      <c r="Q1521" s="1431"/>
      <c r="R1521" s="1164"/>
      <c r="S1521" s="1164"/>
      <c r="T1521" s="1164"/>
      <c r="U1521" s="2174"/>
      <c r="V1521" s="2174"/>
      <c r="W1521" s="2174"/>
      <c r="X1521" s="1164"/>
    </row>
    <row r="1522" ht="15.75" customHeight="1">
      <c r="A1522" s="94"/>
      <c r="B1522" s="94"/>
      <c r="C1522" s="1164"/>
      <c r="D1522" s="1429"/>
      <c r="E1522" s="1429"/>
      <c r="F1522" s="1429"/>
      <c r="G1522" s="1429"/>
      <c r="H1522" s="1430"/>
      <c r="I1522" s="94"/>
      <c r="J1522" s="1164"/>
      <c r="K1522" s="94"/>
      <c r="L1522" s="94"/>
      <c r="M1522" s="1430"/>
      <c r="N1522" s="94"/>
      <c r="O1522" s="1430"/>
      <c r="P1522" s="94"/>
      <c r="Q1522" s="1431"/>
      <c r="R1522" s="1164"/>
      <c r="S1522" s="1164"/>
      <c r="T1522" s="1164"/>
      <c r="U1522" s="2174"/>
      <c r="V1522" s="2174"/>
      <c r="W1522" s="2174"/>
      <c r="X1522" s="1164"/>
    </row>
    <row r="1523" ht="15.75" customHeight="1">
      <c r="A1523" s="94"/>
      <c r="B1523" s="1164"/>
      <c r="C1523" s="1164"/>
      <c r="D1523" s="1429"/>
      <c r="E1523" s="1429"/>
      <c r="F1523" s="1429"/>
      <c r="G1523" s="1429"/>
      <c r="H1523" s="1430"/>
      <c r="I1523" s="94"/>
      <c r="J1523" s="1164"/>
      <c r="K1523" s="94"/>
      <c r="L1523" s="94"/>
      <c r="M1523" s="94"/>
      <c r="N1523" s="94"/>
      <c r="O1523" s="94"/>
      <c r="P1523" s="94"/>
      <c r="Q1523" s="1431"/>
      <c r="R1523" s="1164"/>
      <c r="S1523" s="1164"/>
      <c r="T1523" s="1164"/>
      <c r="U1523" s="2174"/>
      <c r="V1523" s="2174"/>
      <c r="W1523" s="2174"/>
      <c r="X1523" s="1164"/>
    </row>
    <row r="1524" ht="15.75" customHeight="1">
      <c r="A1524" s="94"/>
      <c r="B1524" s="1164"/>
      <c r="C1524" s="1164"/>
      <c r="D1524" s="1429"/>
      <c r="E1524" s="1429"/>
      <c r="F1524" s="1429"/>
      <c r="G1524" s="1429"/>
      <c r="H1524" s="1430"/>
      <c r="I1524" s="94"/>
      <c r="J1524" s="1164"/>
      <c r="K1524" s="94"/>
      <c r="L1524" s="94"/>
      <c r="M1524" s="94"/>
      <c r="N1524" s="94"/>
      <c r="O1524" s="94"/>
      <c r="P1524" s="94"/>
      <c r="Q1524" s="1431"/>
      <c r="R1524" s="1164"/>
      <c r="S1524" s="1164"/>
      <c r="T1524" s="1164"/>
      <c r="U1524" s="2174"/>
      <c r="V1524" s="2174"/>
      <c r="W1524" s="2174"/>
      <c r="X1524" s="1164"/>
    </row>
    <row r="1525" ht="15.75" customHeight="1">
      <c r="A1525" s="94"/>
      <c r="B1525" s="94"/>
      <c r="C1525" s="1164"/>
      <c r="D1525" s="1429"/>
      <c r="E1525" s="1429"/>
      <c r="F1525" s="1429"/>
      <c r="G1525" s="1429"/>
      <c r="H1525" s="1430"/>
      <c r="I1525" s="94"/>
      <c r="J1525" s="1164"/>
      <c r="K1525" s="94"/>
      <c r="L1525" s="94"/>
      <c r="M1525" s="1430"/>
      <c r="N1525" s="94"/>
      <c r="O1525" s="1430"/>
      <c r="P1525" s="94"/>
      <c r="Q1525" s="1431"/>
      <c r="R1525" s="1164"/>
      <c r="S1525" s="1164"/>
      <c r="T1525" s="1164"/>
      <c r="U1525" s="2174"/>
      <c r="V1525" s="2174"/>
      <c r="W1525" s="2174"/>
      <c r="X1525" s="1164"/>
    </row>
    <row r="1526" ht="15.75" customHeight="1">
      <c r="A1526" s="94"/>
      <c r="B1526" s="94"/>
      <c r="C1526" s="1164"/>
      <c r="D1526" s="1429"/>
      <c r="E1526" s="1429"/>
      <c r="F1526" s="1429"/>
      <c r="G1526" s="1429"/>
      <c r="H1526" s="1430"/>
      <c r="I1526" s="94"/>
      <c r="J1526" s="1164"/>
      <c r="K1526" s="94"/>
      <c r="L1526" s="94"/>
      <c r="M1526" s="1430"/>
      <c r="N1526" s="94"/>
      <c r="O1526" s="1430"/>
      <c r="P1526" s="94"/>
      <c r="Q1526" s="1431"/>
      <c r="R1526" s="1164"/>
      <c r="S1526" s="1164"/>
      <c r="T1526" s="1164"/>
      <c r="U1526" s="2174"/>
      <c r="V1526" s="2174"/>
      <c r="W1526" s="2174"/>
      <c r="X1526" s="1164"/>
    </row>
    <row r="1527" ht="15.75" customHeight="1">
      <c r="A1527" s="94"/>
      <c r="B1527" s="94"/>
      <c r="C1527" s="1164"/>
      <c r="D1527" s="1429"/>
      <c r="E1527" s="1429"/>
      <c r="F1527" s="1429"/>
      <c r="G1527" s="1429"/>
      <c r="H1527" s="1430"/>
      <c r="I1527" s="94"/>
      <c r="J1527" s="1164"/>
      <c r="K1527" s="94"/>
      <c r="L1527" s="94"/>
      <c r="M1527" s="1430"/>
      <c r="N1527" s="94"/>
      <c r="O1527" s="1430"/>
      <c r="P1527" s="94"/>
      <c r="Q1527" s="1431"/>
      <c r="R1527" s="1164"/>
      <c r="S1527" s="1164"/>
      <c r="T1527" s="1164"/>
      <c r="U1527" s="2174"/>
      <c r="V1527" s="2174"/>
      <c r="W1527" s="2174"/>
      <c r="X1527" s="1164"/>
    </row>
    <row r="1528" ht="15.75" customHeight="1">
      <c r="A1528" s="94"/>
      <c r="B1528" s="94"/>
      <c r="C1528" s="1164"/>
      <c r="D1528" s="1429"/>
      <c r="E1528" s="1429"/>
      <c r="F1528" s="1429"/>
      <c r="G1528" s="1429"/>
      <c r="H1528" s="1430"/>
      <c r="I1528" s="94"/>
      <c r="J1528" s="1164"/>
      <c r="K1528" s="94"/>
      <c r="L1528" s="94"/>
      <c r="M1528" s="1430"/>
      <c r="N1528" s="94"/>
      <c r="O1528" s="1430"/>
      <c r="P1528" s="94"/>
      <c r="Q1528" s="1431"/>
      <c r="R1528" s="1164"/>
      <c r="S1528" s="1164"/>
      <c r="T1528" s="1164"/>
      <c r="U1528" s="2174"/>
      <c r="V1528" s="2174"/>
      <c r="W1528" s="2174"/>
      <c r="X1528" s="1164"/>
    </row>
    <row r="1529" ht="15.75" customHeight="1">
      <c r="A1529" s="94"/>
      <c r="B1529" s="1164"/>
      <c r="C1529" s="1164"/>
      <c r="D1529" s="1429"/>
      <c r="E1529" s="1429"/>
      <c r="F1529" s="1429"/>
      <c r="G1529" s="1429"/>
      <c r="H1529" s="1430"/>
      <c r="I1529" s="94"/>
      <c r="J1529" s="1164"/>
      <c r="K1529" s="94"/>
      <c r="L1529" s="94"/>
      <c r="M1529" s="1430"/>
      <c r="N1529" s="94"/>
      <c r="O1529" s="1430"/>
      <c r="P1529" s="94"/>
      <c r="Q1529" s="1431"/>
      <c r="R1529" s="1164"/>
      <c r="S1529" s="1164"/>
      <c r="T1529" s="1164"/>
      <c r="U1529" s="2174"/>
      <c r="V1529" s="2174"/>
      <c r="W1529" s="2174"/>
      <c r="X1529" s="1164"/>
    </row>
    <row r="1530" ht="15.75" customHeight="1">
      <c r="A1530" s="94"/>
      <c r="B1530" s="1164"/>
      <c r="C1530" s="1164"/>
      <c r="D1530" s="1429"/>
      <c r="E1530" s="1429"/>
      <c r="F1530" s="1429"/>
      <c r="G1530" s="1429"/>
      <c r="H1530" s="1430"/>
      <c r="I1530" s="94"/>
      <c r="J1530" s="1164"/>
      <c r="K1530" s="94"/>
      <c r="L1530" s="94"/>
      <c r="M1530" s="94"/>
      <c r="N1530" s="94"/>
      <c r="O1530" s="94"/>
      <c r="P1530" s="94"/>
      <c r="Q1530" s="1431"/>
      <c r="R1530" s="1164"/>
      <c r="S1530" s="1164"/>
      <c r="T1530" s="1164"/>
      <c r="U1530" s="2174"/>
      <c r="V1530" s="94"/>
      <c r="W1530" s="2174"/>
      <c r="X1530" s="1164"/>
    </row>
    <row r="1531" ht="15.75" customHeight="1">
      <c r="A1531" s="94"/>
      <c r="B1531" s="1164"/>
      <c r="C1531" s="1164"/>
      <c r="D1531" s="1429"/>
      <c r="E1531" s="1429"/>
      <c r="F1531" s="1429"/>
      <c r="G1531" s="1429"/>
      <c r="H1531" s="1430"/>
      <c r="I1531" s="94"/>
      <c r="J1531" s="1164"/>
      <c r="K1531" s="94"/>
      <c r="L1531" s="94"/>
      <c r="M1531" s="1430"/>
      <c r="N1531" s="94"/>
      <c r="O1531" s="1430"/>
      <c r="P1531" s="94"/>
      <c r="Q1531" s="1431"/>
      <c r="R1531" s="1164"/>
      <c r="S1531" s="1164"/>
      <c r="T1531" s="1164"/>
      <c r="U1531" s="2174"/>
      <c r="V1531" s="2174"/>
      <c r="W1531" s="2174"/>
      <c r="X1531" s="1164"/>
    </row>
    <row r="1532" ht="15.75" customHeight="1">
      <c r="A1532" s="94"/>
      <c r="B1532" s="1164"/>
      <c r="C1532" s="1164"/>
      <c r="D1532" s="1429"/>
      <c r="E1532" s="1429"/>
      <c r="F1532" s="1429"/>
      <c r="G1532" s="1429"/>
      <c r="H1532" s="1430"/>
      <c r="I1532" s="94"/>
      <c r="J1532" s="1164"/>
      <c r="K1532" s="94"/>
      <c r="L1532" s="94"/>
      <c r="M1532" s="1430"/>
      <c r="N1532" s="94"/>
      <c r="O1532" s="1430"/>
      <c r="P1532" s="94"/>
      <c r="Q1532" s="1431"/>
      <c r="R1532" s="1164"/>
      <c r="S1532" s="1164"/>
      <c r="T1532" s="1164"/>
      <c r="U1532" s="2174"/>
      <c r="V1532" s="2174"/>
      <c r="W1532" s="2174"/>
      <c r="X1532" s="1164"/>
    </row>
    <row r="1533" ht="15.75" customHeight="1">
      <c r="A1533" s="94"/>
      <c r="B1533" s="94"/>
      <c r="C1533" s="1164"/>
      <c r="D1533" s="1429"/>
      <c r="E1533" s="1429"/>
      <c r="F1533" s="1429"/>
      <c r="G1533" s="1429"/>
      <c r="H1533" s="1430"/>
      <c r="I1533" s="94"/>
      <c r="J1533" s="1164"/>
      <c r="K1533" s="94"/>
      <c r="L1533" s="94"/>
      <c r="M1533" s="94"/>
      <c r="N1533" s="94"/>
      <c r="O1533" s="94"/>
      <c r="P1533" s="94"/>
      <c r="Q1533" s="1431"/>
      <c r="R1533" s="1164"/>
      <c r="S1533" s="1164"/>
      <c r="T1533" s="1164"/>
      <c r="U1533" s="2174"/>
      <c r="V1533" s="2174"/>
      <c r="W1533" s="2174"/>
      <c r="X1533" s="1164"/>
    </row>
    <row r="1534" ht="15.75" customHeight="1">
      <c r="A1534" s="94"/>
      <c r="B1534" s="1164"/>
      <c r="C1534" s="1164"/>
      <c r="D1534" s="1429"/>
      <c r="E1534" s="1429"/>
      <c r="F1534" s="1429"/>
      <c r="G1534" s="1429"/>
      <c r="H1534" s="1430"/>
      <c r="I1534" s="94"/>
      <c r="J1534" s="1164"/>
      <c r="K1534" s="94"/>
      <c r="L1534" s="94"/>
      <c r="M1534" s="94"/>
      <c r="N1534" s="94"/>
      <c r="O1534" s="94"/>
      <c r="P1534" s="94"/>
      <c r="Q1534" s="1431"/>
      <c r="R1534" s="1164"/>
      <c r="S1534" s="1164"/>
      <c r="T1534" s="1164"/>
      <c r="U1534" s="2174"/>
      <c r="V1534" s="2174"/>
      <c r="W1534" s="2174"/>
      <c r="X1534" s="1164"/>
    </row>
    <row r="1535" ht="15.75" customHeight="1">
      <c r="A1535" s="94"/>
      <c r="B1535" s="1164"/>
      <c r="C1535" s="1164"/>
      <c r="D1535" s="1429"/>
      <c r="E1535" s="1429"/>
      <c r="F1535" s="1429"/>
      <c r="G1535" s="1429"/>
      <c r="H1535" s="1430"/>
      <c r="I1535" s="94"/>
      <c r="J1535" s="1164"/>
      <c r="K1535" s="94"/>
      <c r="L1535" s="94"/>
      <c r="M1535" s="1430"/>
      <c r="N1535" s="94"/>
      <c r="O1535" s="1430"/>
      <c r="P1535" s="94"/>
      <c r="Q1535" s="1431"/>
      <c r="R1535" s="1164"/>
      <c r="S1535" s="1164"/>
      <c r="T1535" s="1164"/>
      <c r="U1535" s="2174"/>
      <c r="V1535" s="2174"/>
      <c r="W1535" s="2174"/>
      <c r="X1535" s="1164"/>
    </row>
    <row r="1536" ht="15.75" customHeight="1">
      <c r="A1536" s="94"/>
      <c r="B1536" s="94"/>
      <c r="C1536" s="1164"/>
      <c r="D1536" s="1429"/>
      <c r="E1536" s="1429"/>
      <c r="F1536" s="1429"/>
      <c r="G1536" s="1429"/>
      <c r="H1536" s="1430"/>
      <c r="I1536" s="94"/>
      <c r="J1536" s="1164"/>
      <c r="K1536" s="94"/>
      <c r="L1536" s="94"/>
      <c r="M1536" s="1430"/>
      <c r="N1536" s="94"/>
      <c r="O1536" s="1430"/>
      <c r="P1536" s="94"/>
      <c r="Q1536" s="1431"/>
      <c r="R1536" s="1164"/>
      <c r="S1536" s="1164"/>
      <c r="T1536" s="1164"/>
      <c r="U1536" s="2174"/>
      <c r="V1536" s="2174"/>
      <c r="W1536" s="2174"/>
      <c r="X1536" s="1164"/>
    </row>
    <row r="1537" ht="15.75" customHeight="1">
      <c r="A1537" s="94"/>
      <c r="B1537" s="94"/>
      <c r="C1537" s="1164"/>
      <c r="D1537" s="1429"/>
      <c r="E1537" s="1429"/>
      <c r="F1537" s="1429"/>
      <c r="G1537" s="1429"/>
      <c r="H1537" s="1430"/>
      <c r="I1537" s="94"/>
      <c r="J1537" s="1164"/>
      <c r="K1537" s="94"/>
      <c r="L1537" s="94"/>
      <c r="M1537" s="1430"/>
      <c r="N1537" s="94"/>
      <c r="O1537" s="1430"/>
      <c r="P1537" s="94"/>
      <c r="Q1537" s="1431"/>
      <c r="R1537" s="1164"/>
      <c r="S1537" s="1164"/>
      <c r="T1537" s="1164"/>
      <c r="U1537" s="2174"/>
      <c r="V1537" s="2174"/>
      <c r="W1537" s="2174"/>
      <c r="X1537" s="1164"/>
    </row>
    <row r="1538" ht="15.75" customHeight="1">
      <c r="A1538" s="94"/>
      <c r="B1538" s="1164"/>
      <c r="C1538" s="1164"/>
      <c r="D1538" s="1429"/>
      <c r="E1538" s="1429"/>
      <c r="F1538" s="1429"/>
      <c r="G1538" s="1429"/>
      <c r="H1538" s="1430"/>
      <c r="I1538" s="94"/>
      <c r="J1538" s="1164"/>
      <c r="K1538" s="94"/>
      <c r="L1538" s="94"/>
      <c r="M1538" s="1430"/>
      <c r="N1538" s="94"/>
      <c r="O1538" s="1430"/>
      <c r="P1538" s="94"/>
      <c r="Q1538" s="1431"/>
      <c r="R1538" s="1164"/>
      <c r="S1538" s="1164"/>
      <c r="T1538" s="1164"/>
      <c r="U1538" s="2174"/>
      <c r="V1538" s="2174"/>
      <c r="W1538" s="2174"/>
      <c r="X1538" s="1164"/>
    </row>
    <row r="1539" ht="15.75" customHeight="1">
      <c r="A1539" s="94"/>
      <c r="B1539" s="1164"/>
      <c r="C1539" s="1164"/>
      <c r="D1539" s="1429"/>
      <c r="E1539" s="1429"/>
      <c r="F1539" s="1429"/>
      <c r="G1539" s="1429"/>
      <c r="H1539" s="1430"/>
      <c r="I1539" s="94"/>
      <c r="J1539" s="1164"/>
      <c r="K1539" s="94"/>
      <c r="L1539" s="94"/>
      <c r="M1539" s="1430"/>
      <c r="N1539" s="94"/>
      <c r="O1539" s="1430"/>
      <c r="P1539" s="94"/>
      <c r="Q1539" s="1431"/>
      <c r="R1539" s="1164"/>
      <c r="S1539" s="1164"/>
      <c r="T1539" s="1164"/>
      <c r="U1539" s="2174"/>
      <c r="V1539" s="2174"/>
      <c r="W1539" s="2174"/>
      <c r="X1539" s="1164"/>
    </row>
    <row r="1540" ht="15.75" customHeight="1">
      <c r="A1540" s="94"/>
      <c r="B1540" s="94"/>
      <c r="C1540" s="1164"/>
      <c r="D1540" s="1429"/>
      <c r="E1540" s="1429"/>
      <c r="F1540" s="1429"/>
      <c r="G1540" s="1429"/>
      <c r="H1540" s="1430"/>
      <c r="I1540" s="94"/>
      <c r="J1540" s="1164"/>
      <c r="K1540" s="94"/>
      <c r="L1540" s="94"/>
      <c r="M1540" s="1430"/>
      <c r="N1540" s="94"/>
      <c r="O1540" s="1430"/>
      <c r="P1540" s="94"/>
      <c r="Q1540" s="1431"/>
      <c r="R1540" s="1164"/>
      <c r="S1540" s="1164"/>
      <c r="T1540" s="1164"/>
      <c r="U1540" s="2174"/>
      <c r="V1540" s="2174"/>
      <c r="W1540" s="2174"/>
      <c r="X1540" s="1164"/>
    </row>
    <row r="1541" ht="15.75" customHeight="1">
      <c r="A1541" s="94"/>
      <c r="B1541" s="94"/>
      <c r="C1541" s="1164"/>
      <c r="D1541" s="1429"/>
      <c r="E1541" s="1429"/>
      <c r="F1541" s="1429"/>
      <c r="G1541" s="1429"/>
      <c r="H1541" s="1430"/>
      <c r="I1541" s="94"/>
      <c r="J1541" s="1164"/>
      <c r="K1541" s="94"/>
      <c r="L1541" s="94"/>
      <c r="M1541" s="1430"/>
      <c r="N1541" s="94"/>
      <c r="O1541" s="1430"/>
      <c r="P1541" s="94"/>
      <c r="Q1541" s="1431"/>
      <c r="R1541" s="1164"/>
      <c r="S1541" s="1164"/>
      <c r="T1541" s="1164"/>
      <c r="U1541" s="2174"/>
      <c r="V1541" s="2174"/>
      <c r="W1541" s="2174"/>
      <c r="X1541" s="1164"/>
    </row>
    <row r="1542" ht="15.75" customHeight="1">
      <c r="A1542" s="94"/>
      <c r="B1542" s="94"/>
      <c r="C1542" s="1164"/>
      <c r="D1542" s="1429"/>
      <c r="E1542" s="1429"/>
      <c r="F1542" s="1429"/>
      <c r="G1542" s="1429"/>
      <c r="H1542" s="1430"/>
      <c r="I1542" s="94"/>
      <c r="J1542" s="1164"/>
      <c r="K1542" s="94"/>
      <c r="L1542" s="94"/>
      <c r="M1542" s="1430"/>
      <c r="N1542" s="94"/>
      <c r="O1542" s="1430"/>
      <c r="P1542" s="94"/>
      <c r="Q1542" s="1431"/>
      <c r="R1542" s="1164"/>
      <c r="S1542" s="1164"/>
      <c r="T1542" s="1164"/>
      <c r="U1542" s="2174"/>
      <c r="V1542" s="2174"/>
      <c r="W1542" s="2174"/>
      <c r="X1542" s="1164"/>
    </row>
    <row r="1543" ht="15.75" customHeight="1">
      <c r="A1543" s="94"/>
      <c r="B1543" s="94"/>
      <c r="C1543" s="1164"/>
      <c r="D1543" s="1429"/>
      <c r="E1543" s="1429"/>
      <c r="F1543" s="1429"/>
      <c r="G1543" s="1429"/>
      <c r="H1543" s="1430"/>
      <c r="I1543" s="94"/>
      <c r="J1543" s="1164"/>
      <c r="K1543" s="94"/>
      <c r="L1543" s="94"/>
      <c r="M1543" s="1430"/>
      <c r="N1543" s="94"/>
      <c r="O1543" s="1430"/>
      <c r="P1543" s="94"/>
      <c r="Q1543" s="1431"/>
      <c r="R1543" s="1164"/>
      <c r="S1543" s="1164"/>
      <c r="T1543" s="1164"/>
      <c r="U1543" s="2174"/>
      <c r="V1543" s="2174"/>
      <c r="W1543" s="2174"/>
      <c r="X1543" s="1164"/>
    </row>
    <row r="1544" ht="15.75" customHeight="1">
      <c r="A1544" s="94"/>
      <c r="B1544" s="94"/>
      <c r="C1544" s="1164"/>
      <c r="D1544" s="1429"/>
      <c r="E1544" s="1429"/>
      <c r="F1544" s="1429"/>
      <c r="G1544" s="1429"/>
      <c r="H1544" s="1430"/>
      <c r="I1544" s="94"/>
      <c r="J1544" s="1164"/>
      <c r="K1544" s="94"/>
      <c r="L1544" s="94"/>
      <c r="M1544" s="1430"/>
      <c r="N1544" s="94"/>
      <c r="O1544" s="1430"/>
      <c r="P1544" s="94"/>
      <c r="Q1544" s="1431"/>
      <c r="R1544" s="1164"/>
      <c r="S1544" s="1164"/>
      <c r="T1544" s="1164"/>
      <c r="U1544" s="2174"/>
      <c r="V1544" s="2174"/>
      <c r="W1544" s="2174"/>
      <c r="X1544" s="1164"/>
    </row>
    <row r="1545" ht="15.75" customHeight="1">
      <c r="A1545" s="94"/>
      <c r="B1545" s="94"/>
      <c r="C1545" s="1164"/>
      <c r="D1545" s="1429"/>
      <c r="E1545" s="1429"/>
      <c r="F1545" s="1429"/>
      <c r="G1545" s="1429"/>
      <c r="H1545" s="1430"/>
      <c r="I1545" s="94"/>
      <c r="J1545" s="1164"/>
      <c r="K1545" s="94"/>
      <c r="L1545" s="94"/>
      <c r="M1545" s="1430"/>
      <c r="N1545" s="94"/>
      <c r="O1545" s="1430"/>
      <c r="P1545" s="94"/>
      <c r="Q1545" s="1431"/>
      <c r="R1545" s="1164"/>
      <c r="S1545" s="1164"/>
      <c r="T1545" s="1164"/>
      <c r="U1545" s="2174"/>
      <c r="V1545" s="2174"/>
      <c r="W1545" s="2174"/>
      <c r="X1545" s="1164"/>
    </row>
    <row r="1546" ht="15.75" customHeight="1">
      <c r="A1546" s="94"/>
      <c r="B1546" s="1164"/>
      <c r="C1546" s="1164"/>
      <c r="D1546" s="1429"/>
      <c r="E1546" s="1429"/>
      <c r="F1546" s="1429"/>
      <c r="G1546" s="1429"/>
      <c r="H1546" s="1430"/>
      <c r="I1546" s="94"/>
      <c r="J1546" s="1164"/>
      <c r="K1546" s="94"/>
      <c r="L1546" s="94"/>
      <c r="M1546" s="94"/>
      <c r="N1546" s="94"/>
      <c r="O1546" s="94"/>
      <c r="P1546" s="94"/>
      <c r="Q1546" s="1431"/>
      <c r="R1546" s="1164"/>
      <c r="S1546" s="1164"/>
      <c r="T1546" s="1164"/>
      <c r="U1546" s="2174"/>
      <c r="V1546" s="2174"/>
      <c r="W1546" s="2174"/>
      <c r="X1546" s="1164"/>
    </row>
    <row r="1547" ht="15.75" customHeight="1">
      <c r="A1547" s="94"/>
      <c r="B1547" s="1164"/>
      <c r="C1547" s="1164"/>
      <c r="D1547" s="1429"/>
      <c r="E1547" s="1429"/>
      <c r="F1547" s="1429"/>
      <c r="G1547" s="1429"/>
      <c r="H1547" s="1430"/>
      <c r="I1547" s="94"/>
      <c r="J1547" s="1164"/>
      <c r="K1547" s="94"/>
      <c r="L1547" s="94"/>
      <c r="M1547" s="1430"/>
      <c r="N1547" s="94"/>
      <c r="O1547" s="1430"/>
      <c r="P1547" s="94"/>
      <c r="Q1547" s="1431"/>
      <c r="R1547" s="1164"/>
      <c r="S1547" s="1164"/>
      <c r="T1547" s="1164"/>
      <c r="U1547" s="2174"/>
      <c r="V1547" s="2174"/>
      <c r="W1547" s="2174"/>
      <c r="X1547" s="1164"/>
    </row>
    <row r="1548" ht="15.75" customHeight="1">
      <c r="A1548" s="94"/>
      <c r="B1548" s="94"/>
      <c r="C1548" s="1164"/>
      <c r="D1548" s="1429"/>
      <c r="E1548" s="1429"/>
      <c r="F1548" s="1429"/>
      <c r="G1548" s="1429"/>
      <c r="H1548" s="1430"/>
      <c r="I1548" s="94"/>
      <c r="J1548" s="1164"/>
      <c r="K1548" s="94"/>
      <c r="L1548" s="94"/>
      <c r="M1548" s="94"/>
      <c r="N1548" s="94"/>
      <c r="O1548" s="94"/>
      <c r="P1548" s="94"/>
      <c r="Q1548" s="1431"/>
      <c r="R1548" s="1164"/>
      <c r="S1548" s="1164"/>
      <c r="T1548" s="1164"/>
      <c r="U1548" s="2174"/>
      <c r="V1548" s="94"/>
      <c r="W1548" s="2174"/>
      <c r="X1548" s="1164"/>
    </row>
    <row r="1549" ht="15.75" customHeight="1">
      <c r="A1549" s="94"/>
      <c r="B1549" s="94"/>
      <c r="C1549" s="1164"/>
      <c r="D1549" s="1429"/>
      <c r="E1549" s="1429"/>
      <c r="F1549" s="1429"/>
      <c r="G1549" s="1429"/>
      <c r="H1549" s="1430"/>
      <c r="I1549" s="94"/>
      <c r="J1549" s="1164"/>
      <c r="K1549" s="94"/>
      <c r="L1549" s="94"/>
      <c r="M1549" s="1430"/>
      <c r="N1549" s="94"/>
      <c r="O1549" s="1430"/>
      <c r="P1549" s="94"/>
      <c r="Q1549" s="1431"/>
      <c r="R1549" s="1164"/>
      <c r="S1549" s="1164"/>
      <c r="T1549" s="1164"/>
      <c r="U1549" s="2174"/>
      <c r="V1549" s="2174"/>
      <c r="W1549" s="2174"/>
      <c r="X1549" s="1164"/>
    </row>
    <row r="1550" ht="15.75" customHeight="1">
      <c r="A1550" s="94"/>
      <c r="B1550" s="94"/>
      <c r="C1550" s="1164"/>
      <c r="D1550" s="1429"/>
      <c r="E1550" s="1429"/>
      <c r="F1550" s="1429"/>
      <c r="G1550" s="1429"/>
      <c r="H1550" s="1430"/>
      <c r="I1550" s="94"/>
      <c r="J1550" s="1164"/>
      <c r="K1550" s="94"/>
      <c r="L1550" s="94"/>
      <c r="M1550" s="1430"/>
      <c r="N1550" s="94"/>
      <c r="O1550" s="1430"/>
      <c r="P1550" s="94"/>
      <c r="Q1550" s="1431"/>
      <c r="R1550" s="1164"/>
      <c r="S1550" s="1164"/>
      <c r="T1550" s="1164"/>
      <c r="U1550" s="2174"/>
      <c r="V1550" s="2174"/>
      <c r="W1550" s="2174"/>
      <c r="X1550" s="1164"/>
    </row>
    <row r="1551" ht="15.75" customHeight="1">
      <c r="A1551" s="94"/>
      <c r="B1551" s="94"/>
      <c r="C1551" s="1164"/>
      <c r="D1551" s="1429"/>
      <c r="E1551" s="1429"/>
      <c r="F1551" s="1429"/>
      <c r="G1551" s="1429"/>
      <c r="H1551" s="1430"/>
      <c r="I1551" s="94"/>
      <c r="J1551" s="1164"/>
      <c r="K1551" s="94"/>
      <c r="L1551" s="94"/>
      <c r="M1551" s="1430"/>
      <c r="N1551" s="94"/>
      <c r="O1551" s="1430"/>
      <c r="P1551" s="94"/>
      <c r="Q1551" s="1431"/>
      <c r="R1551" s="1164"/>
      <c r="S1551" s="1164"/>
      <c r="T1551" s="1164"/>
      <c r="U1551" s="2174"/>
      <c r="V1551" s="2174"/>
      <c r="W1551" s="2174"/>
      <c r="X1551" s="1164"/>
    </row>
    <row r="1552" ht="15.75" customHeight="1">
      <c r="A1552" s="94"/>
      <c r="B1552" s="1164"/>
      <c r="C1552" s="1164"/>
      <c r="D1552" s="1429"/>
      <c r="E1552" s="1429"/>
      <c r="F1552" s="1429"/>
      <c r="G1552" s="1429"/>
      <c r="H1552" s="1430"/>
      <c r="I1552" s="94"/>
      <c r="J1552" s="1164"/>
      <c r="K1552" s="94"/>
      <c r="L1552" s="94"/>
      <c r="M1552" s="1430"/>
      <c r="N1552" s="94"/>
      <c r="O1552" s="1430"/>
      <c r="P1552" s="94"/>
      <c r="Q1552" s="1431"/>
      <c r="R1552" s="1164"/>
      <c r="S1552" s="1164"/>
      <c r="T1552" s="1164"/>
      <c r="U1552" s="2174"/>
      <c r="V1552" s="2174"/>
      <c r="W1552" s="2174"/>
      <c r="X1552" s="1164"/>
    </row>
    <row r="1553" ht="15.75" customHeight="1">
      <c r="A1553" s="94"/>
      <c r="B1553" s="94"/>
      <c r="C1553" s="1164"/>
      <c r="D1553" s="1429"/>
      <c r="E1553" s="1429"/>
      <c r="F1553" s="1429"/>
      <c r="G1553" s="1429"/>
      <c r="H1553" s="1430"/>
      <c r="I1553" s="1430"/>
      <c r="J1553" s="1164"/>
      <c r="K1553" s="94"/>
      <c r="L1553" s="94"/>
      <c r="M1553" s="1430"/>
      <c r="N1553" s="94"/>
      <c r="O1553" s="1430"/>
      <c r="P1553" s="94"/>
      <c r="Q1553" s="1431"/>
      <c r="R1553" s="1164"/>
      <c r="S1553" s="1164"/>
      <c r="T1553" s="1164"/>
      <c r="U1553" s="94"/>
      <c r="V1553" s="94"/>
      <c r="W1553" s="94"/>
      <c r="X1553" s="1164"/>
    </row>
    <row r="1554" ht="15.75" customHeight="1">
      <c r="A1554" s="94"/>
      <c r="B1554" s="94"/>
      <c r="C1554" s="1164"/>
      <c r="D1554" s="1429"/>
      <c r="E1554" s="1429"/>
      <c r="F1554" s="1429"/>
      <c r="G1554" s="1429"/>
      <c r="H1554" s="1430"/>
      <c r="I1554" s="94"/>
      <c r="J1554" s="1164"/>
      <c r="K1554" s="94"/>
      <c r="L1554" s="94"/>
      <c r="M1554" s="1430"/>
      <c r="N1554" s="94"/>
      <c r="O1554" s="1430"/>
      <c r="P1554" s="94"/>
      <c r="Q1554" s="1431"/>
      <c r="R1554" s="1164"/>
      <c r="S1554" s="1164"/>
      <c r="T1554" s="1164"/>
      <c r="U1554" s="2174"/>
      <c r="V1554" s="2174"/>
      <c r="W1554" s="2174"/>
      <c r="X1554" s="1164"/>
    </row>
    <row r="1555" ht="15.75" customHeight="1">
      <c r="A1555" s="94"/>
      <c r="B1555" s="94"/>
      <c r="C1555" s="1164"/>
      <c r="D1555" s="1429"/>
      <c r="E1555" s="1429"/>
      <c r="F1555" s="1429"/>
      <c r="G1555" s="1429"/>
      <c r="H1555" s="1430"/>
      <c r="I1555" s="94"/>
      <c r="J1555" s="1164"/>
      <c r="K1555" s="94"/>
      <c r="L1555" s="94"/>
      <c r="M1555" s="94"/>
      <c r="N1555" s="94"/>
      <c r="O1555" s="94"/>
      <c r="P1555" s="94"/>
      <c r="Q1555" s="1431"/>
      <c r="R1555" s="1164"/>
      <c r="S1555" s="1164"/>
      <c r="T1555" s="1164"/>
      <c r="U1555" s="2174"/>
      <c r="V1555" s="2174"/>
      <c r="W1555" s="2174"/>
      <c r="X1555" s="1164"/>
    </row>
    <row r="1556" ht="15.75" customHeight="1">
      <c r="A1556" s="94"/>
      <c r="B1556" s="94"/>
      <c r="C1556" s="1164"/>
      <c r="D1556" s="1429"/>
      <c r="E1556" s="1429"/>
      <c r="F1556" s="1429"/>
      <c r="G1556" s="1429"/>
      <c r="H1556" s="1430"/>
      <c r="I1556" s="94"/>
      <c r="J1556" s="1164"/>
      <c r="K1556" s="94"/>
      <c r="L1556" s="94"/>
      <c r="M1556" s="1430"/>
      <c r="N1556" s="94"/>
      <c r="O1556" s="1430"/>
      <c r="P1556" s="94"/>
      <c r="Q1556" s="1431"/>
      <c r="R1556" s="1164"/>
      <c r="S1556" s="1164"/>
      <c r="T1556" s="1164"/>
      <c r="U1556" s="2174"/>
      <c r="V1556" s="2174"/>
      <c r="W1556" s="2174"/>
      <c r="X1556" s="1164"/>
    </row>
    <row r="1557" ht="15.75" customHeight="1">
      <c r="A1557" s="94"/>
      <c r="B1557" s="1164"/>
      <c r="C1557" s="1164"/>
      <c r="D1557" s="1429"/>
      <c r="E1557" s="1429"/>
      <c r="F1557" s="1429"/>
      <c r="G1557" s="1429"/>
      <c r="H1557" s="1430"/>
      <c r="I1557" s="94"/>
      <c r="J1557" s="1164"/>
      <c r="K1557" s="94"/>
      <c r="L1557" s="94"/>
      <c r="M1557" s="94"/>
      <c r="N1557" s="94"/>
      <c r="O1557" s="94"/>
      <c r="P1557" s="94"/>
      <c r="Q1557" s="1431"/>
      <c r="R1557" s="1164"/>
      <c r="S1557" s="1164"/>
      <c r="T1557" s="1164"/>
      <c r="U1557" s="2174"/>
      <c r="V1557" s="2174"/>
      <c r="W1557" s="2174"/>
      <c r="X1557" s="1164"/>
    </row>
    <row r="1558" ht="15.75" customHeight="1">
      <c r="A1558" s="94"/>
      <c r="B1558" s="94"/>
      <c r="C1558" s="1164"/>
      <c r="D1558" s="1429"/>
      <c r="E1558" s="1429"/>
      <c r="F1558" s="1429"/>
      <c r="G1558" s="1429"/>
      <c r="H1558" s="1430"/>
      <c r="I1558" s="94"/>
      <c r="J1558" s="1164"/>
      <c r="K1558" s="94"/>
      <c r="L1558" s="94"/>
      <c r="M1558" s="1430"/>
      <c r="N1558" s="94"/>
      <c r="O1558" s="1430"/>
      <c r="P1558" s="94"/>
      <c r="Q1558" s="1431"/>
      <c r="R1558" s="1164"/>
      <c r="S1558" s="1164"/>
      <c r="T1558" s="1164"/>
      <c r="U1558" s="2174"/>
      <c r="V1558" s="2174"/>
      <c r="W1558" s="2174"/>
      <c r="X1558" s="1164"/>
    </row>
    <row r="1559" ht="15.75" customHeight="1">
      <c r="A1559" s="94"/>
      <c r="B1559" s="94"/>
      <c r="C1559" s="1164"/>
      <c r="D1559" s="1429"/>
      <c r="E1559" s="1429"/>
      <c r="F1559" s="1429"/>
      <c r="G1559" s="1429"/>
      <c r="H1559" s="1430"/>
      <c r="I1559" s="94"/>
      <c r="J1559" s="1164"/>
      <c r="K1559" s="94"/>
      <c r="L1559" s="94"/>
      <c r="M1559" s="94"/>
      <c r="N1559" s="94"/>
      <c r="O1559" s="94"/>
      <c r="P1559" s="94"/>
      <c r="Q1559" s="1431"/>
      <c r="R1559" s="1164"/>
      <c r="S1559" s="1164"/>
      <c r="T1559" s="1164"/>
      <c r="U1559" s="2174"/>
      <c r="V1559" s="2174"/>
      <c r="W1559" s="2174"/>
      <c r="X1559" s="1164"/>
    </row>
    <row r="1560" ht="15.75" customHeight="1">
      <c r="A1560" s="94"/>
      <c r="B1560" s="94"/>
      <c r="C1560" s="1164"/>
      <c r="D1560" s="1429"/>
      <c r="E1560" s="1429"/>
      <c r="F1560" s="1429"/>
      <c r="G1560" s="1429"/>
      <c r="H1560" s="1430"/>
      <c r="I1560" s="94"/>
      <c r="J1560" s="1164"/>
      <c r="K1560" s="94"/>
      <c r="L1560" s="94"/>
      <c r="M1560" s="1430"/>
      <c r="N1560" s="94"/>
      <c r="O1560" s="1430"/>
      <c r="P1560" s="94"/>
      <c r="Q1560" s="1431"/>
      <c r="R1560" s="1164"/>
      <c r="S1560" s="1164"/>
      <c r="T1560" s="1164"/>
      <c r="U1560" s="2174"/>
      <c r="V1560" s="2174"/>
      <c r="W1560" s="2174"/>
      <c r="X1560" s="1164"/>
    </row>
    <row r="1561" ht="15.75" customHeight="1">
      <c r="A1561" s="94"/>
      <c r="B1561" s="94"/>
      <c r="C1561" s="1164"/>
      <c r="D1561" s="1429"/>
      <c r="E1561" s="1429"/>
      <c r="F1561" s="1429"/>
      <c r="G1561" s="1429"/>
      <c r="H1561" s="1430"/>
      <c r="I1561" s="94"/>
      <c r="J1561" s="1164"/>
      <c r="K1561" s="94"/>
      <c r="L1561" s="94"/>
      <c r="M1561" s="1430"/>
      <c r="N1561" s="94"/>
      <c r="O1561" s="1430"/>
      <c r="P1561" s="94"/>
      <c r="Q1561" s="1431"/>
      <c r="R1561" s="1164"/>
      <c r="S1561" s="1164"/>
      <c r="T1561" s="1164"/>
      <c r="U1561" s="2174"/>
      <c r="V1561" s="2174"/>
      <c r="W1561" s="2174"/>
      <c r="X1561" s="1164"/>
    </row>
    <row r="1562" ht="15.75" customHeight="1">
      <c r="A1562" s="94"/>
      <c r="B1562" s="1164"/>
      <c r="C1562" s="1164"/>
      <c r="D1562" s="1429"/>
      <c r="E1562" s="1429"/>
      <c r="F1562" s="1429"/>
      <c r="G1562" s="1429"/>
      <c r="H1562" s="1430"/>
      <c r="I1562" s="94"/>
      <c r="J1562" s="1164"/>
      <c r="K1562" s="94"/>
      <c r="L1562" s="94"/>
      <c r="M1562" s="94"/>
      <c r="N1562" s="94"/>
      <c r="O1562" s="94"/>
      <c r="P1562" s="94"/>
      <c r="Q1562" s="1431"/>
      <c r="R1562" s="1164"/>
      <c r="S1562" s="1164"/>
      <c r="T1562" s="1164"/>
      <c r="U1562" s="2174"/>
      <c r="V1562" s="2174"/>
      <c r="W1562" s="2174"/>
      <c r="X1562" s="1164"/>
    </row>
    <row r="1563" ht="15.75" customHeight="1">
      <c r="A1563" s="94"/>
      <c r="B1563" s="1164"/>
      <c r="C1563" s="1164"/>
      <c r="D1563" s="1429"/>
      <c r="E1563" s="1429"/>
      <c r="F1563" s="1429"/>
      <c r="G1563" s="1429"/>
      <c r="H1563" s="1430"/>
      <c r="I1563" s="94"/>
      <c r="J1563" s="1164"/>
      <c r="K1563" s="94"/>
      <c r="L1563" s="94"/>
      <c r="M1563" s="94"/>
      <c r="N1563" s="94"/>
      <c r="O1563" s="94"/>
      <c r="P1563" s="94"/>
      <c r="Q1563" s="1431"/>
      <c r="R1563" s="1164"/>
      <c r="S1563" s="1164"/>
      <c r="T1563" s="1164"/>
      <c r="U1563" s="2174"/>
      <c r="V1563" s="2174"/>
      <c r="W1563" s="2174"/>
      <c r="X1563" s="1164"/>
    </row>
    <row r="1564" ht="15.75" customHeight="1">
      <c r="A1564" s="94"/>
      <c r="B1564" s="1164"/>
      <c r="C1564" s="1164"/>
      <c r="D1564" s="1429"/>
      <c r="E1564" s="1429"/>
      <c r="F1564" s="1429"/>
      <c r="G1564" s="1429"/>
      <c r="H1564" s="1430"/>
      <c r="I1564" s="94"/>
      <c r="J1564" s="1164"/>
      <c r="K1564" s="94"/>
      <c r="L1564" s="94"/>
      <c r="M1564" s="94"/>
      <c r="N1564" s="94"/>
      <c r="O1564" s="94"/>
      <c r="P1564" s="94"/>
      <c r="Q1564" s="1431"/>
      <c r="R1564" s="1164"/>
      <c r="S1564" s="1164"/>
      <c r="T1564" s="1164"/>
      <c r="U1564" s="2174"/>
      <c r="V1564" s="2174"/>
      <c r="W1564" s="2174"/>
      <c r="X1564" s="1164"/>
    </row>
    <row r="1565" ht="15.75" customHeight="1">
      <c r="A1565" s="94"/>
      <c r="B1565" s="1164"/>
      <c r="C1565" s="1164"/>
      <c r="D1565" s="1429"/>
      <c r="E1565" s="1429"/>
      <c r="F1565" s="1429"/>
      <c r="G1565" s="1429"/>
      <c r="H1565" s="1430"/>
      <c r="I1565" s="94"/>
      <c r="J1565" s="1164"/>
      <c r="K1565" s="94"/>
      <c r="L1565" s="94"/>
      <c r="M1565" s="94"/>
      <c r="N1565" s="94"/>
      <c r="O1565" s="94"/>
      <c r="P1565" s="94"/>
      <c r="Q1565" s="1431"/>
      <c r="R1565" s="1164"/>
      <c r="S1565" s="1164"/>
      <c r="T1565" s="1164"/>
      <c r="U1565" s="2174"/>
      <c r="V1565" s="2174"/>
      <c r="W1565" s="2174"/>
      <c r="X1565" s="1164"/>
    </row>
    <row r="1566" ht="15.75" customHeight="1">
      <c r="A1566" s="94"/>
      <c r="B1566" s="94"/>
      <c r="C1566" s="1164"/>
      <c r="D1566" s="1429"/>
      <c r="E1566" s="1429"/>
      <c r="F1566" s="1429"/>
      <c r="G1566" s="1429"/>
      <c r="H1566" s="1430"/>
      <c r="I1566" s="94"/>
      <c r="J1566" s="1164"/>
      <c r="K1566" s="94"/>
      <c r="L1566" s="94"/>
      <c r="M1566" s="1430"/>
      <c r="N1566" s="94"/>
      <c r="O1566" s="1430"/>
      <c r="P1566" s="94"/>
      <c r="Q1566" s="1431"/>
      <c r="R1566" s="1164"/>
      <c r="S1566" s="1164"/>
      <c r="T1566" s="1164"/>
      <c r="U1566" s="2174"/>
      <c r="V1566" s="2174"/>
      <c r="W1566" s="2174"/>
      <c r="X1566" s="1164"/>
    </row>
    <row r="1567" ht="15.75" customHeight="1">
      <c r="A1567" s="94"/>
      <c r="B1567" s="94"/>
      <c r="C1567" s="94"/>
      <c r="D1567" s="94"/>
      <c r="E1567" s="94"/>
      <c r="F1567" s="94"/>
      <c r="G1567" s="94"/>
      <c r="H1567" s="1164"/>
      <c r="I1567" s="1164"/>
      <c r="J1567" s="1164"/>
      <c r="K1567" s="1430"/>
      <c r="L1567" s="1430"/>
      <c r="M1567" s="1430"/>
      <c r="N1567" s="1430"/>
      <c r="O1567" s="1430"/>
      <c r="P1567" s="1430"/>
      <c r="Q1567" s="1430"/>
      <c r="R1567" s="1430"/>
      <c r="S1567" s="1430"/>
      <c r="T1567" s="1430"/>
      <c r="U1567" s="94"/>
      <c r="V1567" s="94"/>
      <c r="W1567" s="94"/>
      <c r="X1567" s="1430"/>
    </row>
    <row r="1568" ht="15.75" customHeight="1">
      <c r="A1568" s="94"/>
      <c r="B1568" s="94"/>
      <c r="C1568" s="1164"/>
      <c r="D1568" s="1429"/>
      <c r="E1568" s="1429"/>
      <c r="F1568" s="1429"/>
      <c r="G1568" s="1429"/>
      <c r="H1568" s="1430"/>
      <c r="I1568" s="1430"/>
      <c r="J1568" s="94"/>
      <c r="K1568" s="94"/>
      <c r="L1568" s="94"/>
      <c r="M1568" s="94"/>
      <c r="N1568" s="94"/>
      <c r="O1568" s="94"/>
      <c r="P1568" s="94"/>
      <c r="Q1568" s="1431"/>
      <c r="R1568" s="1164"/>
      <c r="S1568" s="1164"/>
      <c r="T1568" s="1164"/>
      <c r="U1568" s="94"/>
      <c r="V1568" s="94"/>
      <c r="W1568" s="94"/>
      <c r="X1568" s="1164"/>
    </row>
    <row r="1569" ht="15.75" customHeight="1">
      <c r="A1569" s="94"/>
      <c r="B1569" s="94"/>
      <c r="C1569" s="1164"/>
      <c r="D1569" s="1429"/>
      <c r="E1569" s="1429"/>
      <c r="F1569" s="1429"/>
      <c r="G1569" s="1429"/>
      <c r="H1569" s="1430"/>
      <c r="I1569" s="94"/>
      <c r="J1569" s="94"/>
      <c r="K1569" s="94"/>
      <c r="L1569" s="94"/>
      <c r="M1569" s="94"/>
      <c r="N1569" s="94"/>
      <c r="O1569" s="94"/>
      <c r="P1569" s="94"/>
      <c r="Q1569" s="1431"/>
      <c r="R1569" s="1164"/>
      <c r="S1569" s="1164"/>
      <c r="T1569" s="1164"/>
      <c r="U1569" s="2174"/>
      <c r="V1569" s="94"/>
      <c r="W1569" s="2174"/>
      <c r="X1569" s="1164"/>
    </row>
    <row r="1570" ht="15.75" customHeight="1">
      <c r="A1570" s="94"/>
      <c r="B1570" s="94"/>
      <c r="C1570" s="1164"/>
      <c r="D1570" s="1429"/>
      <c r="E1570" s="1429"/>
      <c r="F1570" s="1429"/>
      <c r="G1570" s="1429"/>
      <c r="H1570" s="1430"/>
      <c r="I1570" s="94"/>
      <c r="J1570" s="1164"/>
      <c r="K1570" s="94"/>
      <c r="L1570" s="94"/>
      <c r="M1570" s="1430"/>
      <c r="N1570" s="94"/>
      <c r="O1570" s="1430"/>
      <c r="P1570" s="94"/>
      <c r="Q1570" s="1431"/>
      <c r="R1570" s="1164"/>
      <c r="S1570" s="1164"/>
      <c r="T1570" s="1164"/>
      <c r="U1570" s="2174"/>
      <c r="V1570" s="2174"/>
      <c r="W1570" s="2174"/>
      <c r="X1570" s="1164"/>
    </row>
    <row r="1571" ht="15.75" customHeight="1">
      <c r="A1571" s="94"/>
      <c r="B1571" s="94"/>
      <c r="C1571" s="1164"/>
      <c r="D1571" s="1429"/>
      <c r="E1571" s="1429"/>
      <c r="F1571" s="1429"/>
      <c r="G1571" s="1429"/>
      <c r="H1571" s="1430"/>
      <c r="I1571" s="94"/>
      <c r="J1571" s="1164"/>
      <c r="K1571" s="94"/>
      <c r="L1571" s="94"/>
      <c r="M1571" s="1430"/>
      <c r="N1571" s="94"/>
      <c r="O1571" s="1430"/>
      <c r="P1571" s="94"/>
      <c r="Q1571" s="1431"/>
      <c r="R1571" s="1164"/>
      <c r="S1571" s="1164"/>
      <c r="T1571" s="1164"/>
      <c r="U1571" s="2174"/>
      <c r="V1571" s="2174"/>
      <c r="W1571" s="2174"/>
      <c r="X1571" s="1164"/>
    </row>
    <row r="1572" ht="15.75" customHeight="1">
      <c r="A1572" s="94"/>
      <c r="B1572" s="1164"/>
      <c r="C1572" s="1164"/>
      <c r="D1572" s="1429"/>
      <c r="E1572" s="1429"/>
      <c r="F1572" s="1429"/>
      <c r="G1572" s="1429"/>
      <c r="H1572" s="1430"/>
      <c r="I1572" s="94"/>
      <c r="J1572" s="1164"/>
      <c r="K1572" s="94"/>
      <c r="L1572" s="94"/>
      <c r="M1572" s="1430"/>
      <c r="N1572" s="94"/>
      <c r="O1572" s="1430"/>
      <c r="P1572" s="94"/>
      <c r="Q1572" s="1431"/>
      <c r="R1572" s="1164"/>
      <c r="S1572" s="1164"/>
      <c r="T1572" s="1164"/>
      <c r="U1572" s="2174"/>
      <c r="V1572" s="2174"/>
      <c r="W1572" s="2174"/>
      <c r="X1572" s="1164"/>
    </row>
    <row r="1573" ht="15.75" customHeight="1">
      <c r="A1573" s="94"/>
      <c r="B1573" s="1164"/>
      <c r="C1573" s="1164"/>
      <c r="D1573" s="1429"/>
      <c r="E1573" s="1429"/>
      <c r="F1573" s="1429"/>
      <c r="G1573" s="1429"/>
      <c r="H1573" s="1430"/>
      <c r="I1573" s="94"/>
      <c r="J1573" s="1164"/>
      <c r="K1573" s="94"/>
      <c r="L1573" s="94"/>
      <c r="M1573" s="1430"/>
      <c r="N1573" s="94"/>
      <c r="O1573" s="1430"/>
      <c r="P1573" s="94"/>
      <c r="Q1573" s="1431"/>
      <c r="R1573" s="1164"/>
      <c r="S1573" s="1164"/>
      <c r="T1573" s="1164"/>
      <c r="U1573" s="2174"/>
      <c r="V1573" s="2174"/>
      <c r="W1573" s="2174"/>
      <c r="X1573" s="1164"/>
    </row>
    <row r="1574" ht="15.75" customHeight="1">
      <c r="A1574" s="94"/>
      <c r="B1574" s="94"/>
      <c r="C1574" s="1164"/>
      <c r="D1574" s="1429"/>
      <c r="E1574" s="1429"/>
      <c r="F1574" s="1429"/>
      <c r="G1574" s="1429"/>
      <c r="H1574" s="1430"/>
      <c r="I1574" s="94"/>
      <c r="J1574" s="94"/>
      <c r="K1574" s="94"/>
      <c r="L1574" s="94"/>
      <c r="M1574" s="94"/>
      <c r="N1574" s="94"/>
      <c r="O1574" s="94"/>
      <c r="P1574" s="94"/>
      <c r="Q1574" s="1431"/>
      <c r="R1574" s="1164"/>
      <c r="S1574" s="1164"/>
      <c r="T1574" s="1164"/>
      <c r="U1574" s="2174"/>
      <c r="V1574" s="2174"/>
      <c r="W1574" s="2174"/>
      <c r="X1574" s="1164"/>
    </row>
    <row r="1575" ht="15.75" customHeight="1">
      <c r="A1575" s="94"/>
      <c r="B1575" s="1164"/>
      <c r="C1575" s="1164"/>
      <c r="D1575" s="1429"/>
      <c r="E1575" s="1429"/>
      <c r="F1575" s="1429"/>
      <c r="G1575" s="1429"/>
      <c r="H1575" s="1430"/>
      <c r="I1575" s="94"/>
      <c r="J1575" s="1164"/>
      <c r="K1575" s="94"/>
      <c r="L1575" s="94"/>
      <c r="M1575" s="1430"/>
      <c r="N1575" s="94"/>
      <c r="O1575" s="1430"/>
      <c r="P1575" s="94"/>
      <c r="Q1575" s="1431"/>
      <c r="R1575" s="1164"/>
      <c r="S1575" s="1164"/>
      <c r="T1575" s="1164"/>
      <c r="U1575" s="2174"/>
      <c r="V1575" s="2174"/>
      <c r="W1575" s="2174"/>
      <c r="X1575" s="1164"/>
    </row>
    <row r="1576" ht="15.75" customHeight="1">
      <c r="A1576" s="94"/>
      <c r="B1576" s="94"/>
      <c r="C1576" s="1164"/>
      <c r="D1576" s="1429"/>
      <c r="E1576" s="1429"/>
      <c r="F1576" s="1429"/>
      <c r="G1576" s="1429"/>
      <c r="H1576" s="1430"/>
      <c r="I1576" s="94"/>
      <c r="J1576" s="1164"/>
      <c r="K1576" s="94"/>
      <c r="L1576" s="94"/>
      <c r="M1576" s="1430"/>
      <c r="N1576" s="94"/>
      <c r="O1576" s="1430"/>
      <c r="P1576" s="94"/>
      <c r="Q1576" s="1431"/>
      <c r="R1576" s="1164"/>
      <c r="S1576" s="1164"/>
      <c r="T1576" s="1164"/>
      <c r="U1576" s="2174"/>
      <c r="V1576" s="2174"/>
      <c r="W1576" s="2174"/>
      <c r="X1576" s="1164"/>
    </row>
    <row r="1577" ht="15.75" customHeight="1">
      <c r="A1577" s="94"/>
      <c r="B1577" s="94"/>
      <c r="C1577" s="1164"/>
      <c r="D1577" s="1429"/>
      <c r="E1577" s="1429"/>
      <c r="F1577" s="1429"/>
      <c r="G1577" s="1429"/>
      <c r="H1577" s="1430"/>
      <c r="I1577" s="94"/>
      <c r="J1577" s="1164"/>
      <c r="K1577" s="94"/>
      <c r="L1577" s="94"/>
      <c r="M1577" s="1430"/>
      <c r="N1577" s="94"/>
      <c r="O1577" s="1430"/>
      <c r="P1577" s="94"/>
      <c r="Q1577" s="1431"/>
      <c r="R1577" s="1164"/>
      <c r="S1577" s="1164"/>
      <c r="T1577" s="1164"/>
      <c r="U1577" s="2174"/>
      <c r="V1577" s="2174"/>
      <c r="W1577" s="2174"/>
      <c r="X1577" s="1164"/>
    </row>
    <row r="1578" ht="15.75" customHeight="1">
      <c r="A1578" s="94"/>
      <c r="B1578" s="94"/>
      <c r="C1578" s="1164"/>
      <c r="D1578" s="1429"/>
      <c r="E1578" s="1429"/>
      <c r="F1578" s="1429"/>
      <c r="G1578" s="1429"/>
      <c r="H1578" s="1430"/>
      <c r="I1578" s="94"/>
      <c r="J1578" s="1164"/>
      <c r="K1578" s="94"/>
      <c r="L1578" s="94"/>
      <c r="M1578" s="1430"/>
      <c r="N1578" s="94"/>
      <c r="O1578" s="1430"/>
      <c r="P1578" s="94"/>
      <c r="Q1578" s="1431"/>
      <c r="R1578" s="1164"/>
      <c r="S1578" s="1164"/>
      <c r="T1578" s="1164"/>
      <c r="U1578" s="2174"/>
      <c r="V1578" s="2174"/>
      <c r="W1578" s="2174"/>
      <c r="X1578" s="1164"/>
    </row>
    <row r="1579" ht="15.75" customHeight="1">
      <c r="A1579" s="94"/>
      <c r="B1579" s="1164"/>
      <c r="C1579" s="1164"/>
      <c r="D1579" s="1429"/>
      <c r="E1579" s="1429"/>
      <c r="F1579" s="1429"/>
      <c r="G1579" s="1429"/>
      <c r="H1579" s="1430"/>
      <c r="I1579" s="94"/>
      <c r="J1579" s="1164"/>
      <c r="K1579" s="94"/>
      <c r="L1579" s="94"/>
      <c r="M1579" s="1430"/>
      <c r="N1579" s="94"/>
      <c r="O1579" s="1430"/>
      <c r="P1579" s="94"/>
      <c r="Q1579" s="1431"/>
      <c r="R1579" s="1164"/>
      <c r="S1579" s="1164"/>
      <c r="T1579" s="1164"/>
      <c r="U1579" s="2174"/>
      <c r="V1579" s="2174"/>
      <c r="W1579" s="2174"/>
      <c r="X1579" s="1164"/>
    </row>
    <row r="1580" ht="15.75" customHeight="1">
      <c r="A1580" s="94"/>
      <c r="B1580" s="94"/>
      <c r="C1580" s="1164"/>
      <c r="D1580" s="1429"/>
      <c r="E1580" s="1429"/>
      <c r="F1580" s="1429"/>
      <c r="G1580" s="1429"/>
      <c r="H1580" s="1430"/>
      <c r="I1580" s="94"/>
      <c r="J1580" s="1164"/>
      <c r="K1580" s="94"/>
      <c r="L1580" s="94"/>
      <c r="M1580" s="94"/>
      <c r="N1580" s="94"/>
      <c r="O1580" s="94"/>
      <c r="P1580" s="94"/>
      <c r="Q1580" s="1431"/>
      <c r="R1580" s="1164"/>
      <c r="S1580" s="1164"/>
      <c r="T1580" s="1164"/>
      <c r="U1580" s="2174"/>
      <c r="V1580" s="2174"/>
      <c r="W1580" s="2174"/>
      <c r="X1580" s="1164"/>
    </row>
    <row r="1581" ht="15.75" customHeight="1">
      <c r="A1581" s="94"/>
      <c r="B1581" s="94"/>
      <c r="C1581" s="1164"/>
      <c r="D1581" s="1429"/>
      <c r="E1581" s="1429"/>
      <c r="F1581" s="1429"/>
      <c r="G1581" s="1429"/>
      <c r="H1581" s="1430"/>
      <c r="I1581" s="94"/>
      <c r="J1581" s="1164"/>
      <c r="K1581" s="94"/>
      <c r="L1581" s="94"/>
      <c r="M1581" s="1430"/>
      <c r="N1581" s="94"/>
      <c r="O1581" s="1430"/>
      <c r="P1581" s="94"/>
      <c r="Q1581" s="1431"/>
      <c r="R1581" s="1164"/>
      <c r="S1581" s="1164"/>
      <c r="T1581" s="1164"/>
      <c r="U1581" s="2174"/>
      <c r="V1581" s="2174"/>
      <c r="W1581" s="2174"/>
      <c r="X1581" s="1164"/>
    </row>
    <row r="1582" ht="15.75" customHeight="1">
      <c r="A1582" s="94"/>
      <c r="B1582" s="94"/>
      <c r="C1582" s="1164"/>
      <c r="D1582" s="1429"/>
      <c r="E1582" s="1429"/>
      <c r="F1582" s="1429"/>
      <c r="G1582" s="1429"/>
      <c r="H1582" s="1430"/>
      <c r="I1582" s="94"/>
      <c r="J1582" s="1164"/>
      <c r="K1582" s="94"/>
      <c r="L1582" s="94"/>
      <c r="M1582" s="1430"/>
      <c r="N1582" s="94"/>
      <c r="O1582" s="1430"/>
      <c r="P1582" s="94"/>
      <c r="Q1582" s="1431"/>
      <c r="R1582" s="1164"/>
      <c r="S1582" s="1164"/>
      <c r="T1582" s="1164"/>
      <c r="U1582" s="2174"/>
      <c r="V1582" s="2174"/>
      <c r="W1582" s="2174"/>
      <c r="X1582" s="1164"/>
    </row>
    <row r="1583" ht="15.75" customHeight="1">
      <c r="A1583" s="94"/>
      <c r="B1583" s="94"/>
      <c r="C1583" s="1164"/>
      <c r="D1583" s="1429"/>
      <c r="E1583" s="1429"/>
      <c r="F1583" s="1429"/>
      <c r="G1583" s="1429"/>
      <c r="H1583" s="1430"/>
      <c r="I1583" s="94"/>
      <c r="J1583" s="94"/>
      <c r="K1583" s="94"/>
      <c r="L1583" s="94"/>
      <c r="M1583" s="94"/>
      <c r="N1583" s="94"/>
      <c r="O1583" s="94"/>
      <c r="P1583" s="94"/>
      <c r="Q1583" s="1431"/>
      <c r="R1583" s="1164"/>
      <c r="S1583" s="1164"/>
      <c r="T1583" s="1164"/>
      <c r="U1583" s="2174"/>
      <c r="V1583" s="2174"/>
      <c r="W1583" s="2174"/>
      <c r="X1583" s="94"/>
    </row>
    <row r="1584" ht="15.75" customHeight="1">
      <c r="A1584" s="94"/>
      <c r="B1584" s="94"/>
      <c r="C1584" s="1164"/>
      <c r="D1584" s="1429"/>
      <c r="E1584" s="1429"/>
      <c r="F1584" s="1429"/>
      <c r="G1584" s="1429"/>
      <c r="H1584" s="1430"/>
      <c r="I1584" s="94"/>
      <c r="J1584" s="1164"/>
      <c r="K1584" s="94"/>
      <c r="L1584" s="94"/>
      <c r="M1584" s="1430"/>
      <c r="N1584" s="94"/>
      <c r="O1584" s="1430"/>
      <c r="P1584" s="94"/>
      <c r="Q1584" s="1431"/>
      <c r="R1584" s="1164"/>
      <c r="S1584" s="1164"/>
      <c r="T1584" s="1164"/>
      <c r="U1584" s="2174"/>
      <c r="V1584" s="2174"/>
      <c r="W1584" s="2174"/>
      <c r="X1584" s="1164"/>
    </row>
    <row r="1585" ht="15.75" customHeight="1">
      <c r="A1585" s="94"/>
      <c r="B1585" s="94"/>
      <c r="C1585" s="1164"/>
      <c r="D1585" s="1429"/>
      <c r="E1585" s="1429"/>
      <c r="F1585" s="1429"/>
      <c r="G1585" s="1429"/>
      <c r="H1585" s="1430"/>
      <c r="I1585" s="94"/>
      <c r="J1585" s="1164"/>
      <c r="K1585" s="94"/>
      <c r="L1585" s="94"/>
      <c r="M1585" s="1430"/>
      <c r="N1585" s="94"/>
      <c r="O1585" s="1430"/>
      <c r="P1585" s="94"/>
      <c r="Q1585" s="1431"/>
      <c r="R1585" s="1164"/>
      <c r="S1585" s="1164"/>
      <c r="T1585" s="1164"/>
      <c r="U1585" s="2174"/>
      <c r="V1585" s="2174"/>
      <c r="W1585" s="2174"/>
      <c r="X1585" s="1164"/>
    </row>
    <row r="1586" ht="15.75" customHeight="1">
      <c r="A1586" s="94"/>
      <c r="B1586" s="1164"/>
      <c r="C1586" s="1164"/>
      <c r="D1586" s="1429"/>
      <c r="E1586" s="1429"/>
      <c r="F1586" s="1429"/>
      <c r="G1586" s="1429"/>
      <c r="H1586" s="1430"/>
      <c r="I1586" s="94"/>
      <c r="J1586" s="1164"/>
      <c r="K1586" s="94"/>
      <c r="L1586" s="94"/>
      <c r="M1586" s="1430"/>
      <c r="N1586" s="94"/>
      <c r="O1586" s="1430"/>
      <c r="P1586" s="94"/>
      <c r="Q1586" s="1431"/>
      <c r="R1586" s="1164"/>
      <c r="S1586" s="1164"/>
      <c r="T1586" s="1164"/>
      <c r="U1586" s="2174"/>
      <c r="V1586" s="2174"/>
      <c r="W1586" s="2174"/>
      <c r="X1586" s="1164"/>
    </row>
    <row r="1587" ht="15.75" customHeight="1">
      <c r="A1587" s="94"/>
      <c r="B1587" s="94"/>
      <c r="C1587" s="1164"/>
      <c r="D1587" s="1429"/>
      <c r="E1587" s="1429"/>
      <c r="F1587" s="1429"/>
      <c r="G1587" s="1429"/>
      <c r="H1587" s="1430"/>
      <c r="I1587" s="94"/>
      <c r="J1587" s="1164"/>
      <c r="K1587" s="94"/>
      <c r="L1587" s="94"/>
      <c r="M1587" s="1430"/>
      <c r="N1587" s="94"/>
      <c r="O1587" s="1430"/>
      <c r="P1587" s="94"/>
      <c r="Q1587" s="1431"/>
      <c r="R1587" s="1164"/>
      <c r="S1587" s="1164"/>
      <c r="T1587" s="1164"/>
      <c r="U1587" s="2174"/>
      <c r="V1587" s="2174"/>
      <c r="W1587" s="2174"/>
      <c r="X1587" s="1164"/>
    </row>
    <row r="1588" ht="15.75" customHeight="1">
      <c r="A1588" s="94"/>
      <c r="B1588" s="94"/>
      <c r="C1588" s="1164"/>
      <c r="D1588" s="1429"/>
      <c r="E1588" s="1429"/>
      <c r="F1588" s="1429"/>
      <c r="G1588" s="1429"/>
      <c r="H1588" s="1430"/>
      <c r="I1588" s="94"/>
      <c r="J1588" s="1164"/>
      <c r="K1588" s="94"/>
      <c r="L1588" s="94"/>
      <c r="M1588" s="1430"/>
      <c r="N1588" s="94"/>
      <c r="O1588" s="1430"/>
      <c r="P1588" s="94"/>
      <c r="Q1588" s="1431"/>
      <c r="R1588" s="1164"/>
      <c r="S1588" s="1164"/>
      <c r="T1588" s="1164"/>
      <c r="U1588" s="2174"/>
      <c r="V1588" s="2174"/>
      <c r="W1588" s="2174"/>
      <c r="X1588" s="1164"/>
    </row>
    <row r="1589" ht="15.75" customHeight="1">
      <c r="A1589" s="94"/>
      <c r="B1589" s="94"/>
      <c r="C1589" s="1164"/>
      <c r="D1589" s="1429"/>
      <c r="E1589" s="1429"/>
      <c r="F1589" s="1429"/>
      <c r="G1589" s="1429"/>
      <c r="H1589" s="1430"/>
      <c r="I1589" s="94"/>
      <c r="J1589" s="1164"/>
      <c r="K1589" s="94"/>
      <c r="L1589" s="94"/>
      <c r="M1589" s="1430"/>
      <c r="N1589" s="94"/>
      <c r="O1589" s="1430"/>
      <c r="P1589" s="94"/>
      <c r="Q1589" s="1431"/>
      <c r="R1589" s="1164"/>
      <c r="S1589" s="1164"/>
      <c r="T1589" s="1164"/>
      <c r="U1589" s="2174"/>
      <c r="V1589" s="2174"/>
      <c r="W1589" s="2174"/>
      <c r="X1589" s="1164"/>
    </row>
    <row r="1590" ht="15.75" customHeight="1">
      <c r="A1590" s="94"/>
      <c r="B1590" s="94"/>
      <c r="C1590" s="1164"/>
      <c r="D1590" s="1429"/>
      <c r="E1590" s="1429"/>
      <c r="F1590" s="1429"/>
      <c r="G1590" s="1429"/>
      <c r="H1590" s="1430"/>
      <c r="I1590" s="94"/>
      <c r="J1590" s="1164"/>
      <c r="K1590" s="94"/>
      <c r="L1590" s="94"/>
      <c r="M1590" s="1430"/>
      <c r="N1590" s="94"/>
      <c r="O1590" s="1430"/>
      <c r="P1590" s="94"/>
      <c r="Q1590" s="1431"/>
      <c r="R1590" s="1164"/>
      <c r="S1590" s="1164"/>
      <c r="T1590" s="1164"/>
      <c r="U1590" s="2174"/>
      <c r="V1590" s="2174"/>
      <c r="W1590" s="2174"/>
      <c r="X1590" s="1164"/>
    </row>
    <row r="1591" ht="15.75" customHeight="1">
      <c r="A1591" s="94"/>
      <c r="B1591" s="1164"/>
      <c r="C1591" s="1164"/>
      <c r="D1591" s="1429"/>
      <c r="E1591" s="1429"/>
      <c r="F1591" s="1429"/>
      <c r="G1591" s="1429"/>
      <c r="H1591" s="1430"/>
      <c r="I1591" s="94"/>
      <c r="J1591" s="1164"/>
      <c r="K1591" s="94"/>
      <c r="L1591" s="94"/>
      <c r="M1591" s="1430"/>
      <c r="N1591" s="94"/>
      <c r="O1591" s="1430"/>
      <c r="P1591" s="94"/>
      <c r="Q1591" s="1431"/>
      <c r="R1591" s="1164"/>
      <c r="S1591" s="1164"/>
      <c r="T1591" s="1164"/>
      <c r="U1591" s="2174"/>
      <c r="V1591" s="2174"/>
      <c r="W1591" s="2174"/>
      <c r="X1591" s="1164"/>
    </row>
    <row r="1592" ht="15.75" customHeight="1">
      <c r="A1592" s="94"/>
      <c r="B1592" s="94"/>
      <c r="C1592" s="1164"/>
      <c r="D1592" s="1429"/>
      <c r="E1592" s="1429"/>
      <c r="F1592" s="1429"/>
      <c r="G1592" s="1429"/>
      <c r="H1592" s="1430"/>
      <c r="I1592" s="94"/>
      <c r="J1592" s="1164"/>
      <c r="K1592" s="94"/>
      <c r="L1592" s="94"/>
      <c r="M1592" s="94"/>
      <c r="N1592" s="94"/>
      <c r="O1592" s="94"/>
      <c r="P1592" s="94"/>
      <c r="Q1592" s="1431"/>
      <c r="R1592" s="1164"/>
      <c r="S1592" s="1164"/>
      <c r="T1592" s="1164"/>
      <c r="U1592" s="2174"/>
      <c r="V1592" s="2174"/>
      <c r="W1592" s="2174"/>
      <c r="X1592" s="1164"/>
    </row>
    <row r="1593" ht="15.75" customHeight="1">
      <c r="A1593" s="94"/>
      <c r="B1593" s="1164"/>
      <c r="C1593" s="1164"/>
      <c r="D1593" s="1429"/>
      <c r="E1593" s="1429"/>
      <c r="F1593" s="1429"/>
      <c r="G1593" s="1429"/>
      <c r="H1593" s="1430"/>
      <c r="I1593" s="94"/>
      <c r="J1593" s="1164"/>
      <c r="K1593" s="94"/>
      <c r="L1593" s="94"/>
      <c r="M1593" s="1430"/>
      <c r="N1593" s="94"/>
      <c r="O1593" s="1430"/>
      <c r="P1593" s="94"/>
      <c r="Q1593" s="1431"/>
      <c r="R1593" s="1164"/>
      <c r="S1593" s="1164"/>
      <c r="T1593" s="1164"/>
      <c r="U1593" s="2174"/>
      <c r="V1593" s="2174"/>
      <c r="W1593" s="2174"/>
      <c r="X1593" s="1164"/>
    </row>
    <row r="1594" ht="15.75" customHeight="1">
      <c r="A1594" s="94"/>
      <c r="B1594" s="94"/>
      <c r="C1594" s="1164"/>
      <c r="D1594" s="1429"/>
      <c r="E1594" s="1429"/>
      <c r="F1594" s="1429"/>
      <c r="G1594" s="1429"/>
      <c r="H1594" s="1430"/>
      <c r="I1594" s="94"/>
      <c r="J1594" s="1164"/>
      <c r="K1594" s="94"/>
      <c r="L1594" s="94"/>
      <c r="M1594" s="1430"/>
      <c r="N1594" s="94"/>
      <c r="O1594" s="1430"/>
      <c r="P1594" s="94"/>
      <c r="Q1594" s="1431"/>
      <c r="R1594" s="1164"/>
      <c r="S1594" s="1164"/>
      <c r="T1594" s="1164"/>
      <c r="U1594" s="2174"/>
      <c r="V1594" s="2174"/>
      <c r="W1594" s="2174"/>
      <c r="X1594" s="1164"/>
    </row>
    <row r="1595" ht="15.75" customHeight="1">
      <c r="A1595" s="94"/>
      <c r="B1595" s="1164"/>
      <c r="C1595" s="1164"/>
      <c r="D1595" s="1429"/>
      <c r="E1595" s="1429"/>
      <c r="F1595" s="1429"/>
      <c r="G1595" s="1429"/>
      <c r="H1595" s="1430"/>
      <c r="I1595" s="94"/>
      <c r="J1595" s="1164"/>
      <c r="K1595" s="94"/>
      <c r="L1595" s="94"/>
      <c r="M1595" s="94"/>
      <c r="N1595" s="94"/>
      <c r="O1595" s="94"/>
      <c r="P1595" s="94"/>
      <c r="Q1595" s="1431"/>
      <c r="R1595" s="1164"/>
      <c r="S1595" s="1164"/>
      <c r="T1595" s="1164"/>
      <c r="U1595" s="2174"/>
      <c r="V1595" s="2174"/>
      <c r="W1595" s="2174"/>
      <c r="X1595" s="1164"/>
    </row>
    <row r="1596" ht="15.75" customHeight="1">
      <c r="A1596" s="94"/>
      <c r="B1596" s="94"/>
      <c r="C1596" s="1164"/>
      <c r="D1596" s="1429"/>
      <c r="E1596" s="1429"/>
      <c r="F1596" s="1429"/>
      <c r="G1596" s="1429"/>
      <c r="H1596" s="1430"/>
      <c r="I1596" s="94"/>
      <c r="J1596" s="1164"/>
      <c r="K1596" s="94"/>
      <c r="L1596" s="94"/>
      <c r="M1596" s="94"/>
      <c r="N1596" s="94"/>
      <c r="O1596" s="94"/>
      <c r="P1596" s="94"/>
      <c r="Q1596" s="1431"/>
      <c r="R1596" s="1164"/>
      <c r="S1596" s="1164"/>
      <c r="T1596" s="1164"/>
      <c r="U1596" s="2174"/>
      <c r="V1596" s="2174"/>
      <c r="W1596" s="2174"/>
      <c r="X1596" s="1164"/>
    </row>
    <row r="1597" ht="15.75" customHeight="1">
      <c r="A1597" s="94"/>
      <c r="B1597" s="1164"/>
      <c r="C1597" s="1164"/>
      <c r="D1597" s="1429"/>
      <c r="E1597" s="1429"/>
      <c r="F1597" s="1429"/>
      <c r="G1597" s="1429"/>
      <c r="H1597" s="1430"/>
      <c r="I1597" s="94"/>
      <c r="J1597" s="1164"/>
      <c r="K1597" s="94"/>
      <c r="L1597" s="94"/>
      <c r="M1597" s="1430"/>
      <c r="N1597" s="94"/>
      <c r="O1597" s="1430"/>
      <c r="P1597" s="94"/>
      <c r="Q1597" s="1431"/>
      <c r="R1597" s="1164"/>
      <c r="S1597" s="1164"/>
      <c r="T1597" s="1164"/>
      <c r="U1597" s="2174"/>
      <c r="V1597" s="2174"/>
      <c r="W1597" s="2174"/>
      <c r="X1597" s="1164"/>
    </row>
    <row r="1598" ht="15.75" customHeight="1">
      <c r="A1598" s="94"/>
      <c r="B1598" s="94"/>
      <c r="C1598" s="1164"/>
      <c r="D1598" s="1429"/>
      <c r="E1598" s="1429"/>
      <c r="F1598" s="1429"/>
      <c r="G1598" s="1429"/>
      <c r="H1598" s="1430"/>
      <c r="I1598" s="94"/>
      <c r="J1598" s="1164"/>
      <c r="K1598" s="94"/>
      <c r="L1598" s="94"/>
      <c r="M1598" s="1430"/>
      <c r="N1598" s="94"/>
      <c r="O1598" s="1430"/>
      <c r="P1598" s="94"/>
      <c r="Q1598" s="1431"/>
      <c r="R1598" s="1164"/>
      <c r="S1598" s="1164"/>
      <c r="T1598" s="1164"/>
      <c r="U1598" s="2174"/>
      <c r="V1598" s="2174"/>
      <c r="W1598" s="2174"/>
      <c r="X1598" s="1164"/>
    </row>
    <row r="1599" ht="15.75" customHeight="1">
      <c r="A1599" s="94"/>
      <c r="B1599" s="1164"/>
      <c r="C1599" s="1164"/>
      <c r="D1599" s="1429"/>
      <c r="E1599" s="1429"/>
      <c r="F1599" s="1429"/>
      <c r="G1599" s="1429"/>
      <c r="H1599" s="1430"/>
      <c r="I1599" s="94"/>
      <c r="J1599" s="1164"/>
      <c r="K1599" s="94"/>
      <c r="L1599" s="94"/>
      <c r="M1599" s="1430"/>
      <c r="N1599" s="94"/>
      <c r="O1599" s="1430"/>
      <c r="P1599" s="94"/>
      <c r="Q1599" s="1431"/>
      <c r="R1599" s="1164"/>
      <c r="S1599" s="1164"/>
      <c r="T1599" s="1164"/>
      <c r="U1599" s="2174"/>
      <c r="V1599" s="2174"/>
      <c r="W1599" s="2174"/>
      <c r="X1599" s="1164"/>
    </row>
    <row r="1600" ht="15.75" customHeight="1">
      <c r="A1600" s="94"/>
      <c r="B1600" s="1164"/>
      <c r="C1600" s="1164"/>
      <c r="D1600" s="1429"/>
      <c r="E1600" s="1429"/>
      <c r="F1600" s="1429"/>
      <c r="G1600" s="1429"/>
      <c r="H1600" s="1430"/>
      <c r="I1600" s="94"/>
      <c r="J1600" s="1164"/>
      <c r="K1600" s="94"/>
      <c r="L1600" s="94"/>
      <c r="M1600" s="1430"/>
      <c r="N1600" s="94"/>
      <c r="O1600" s="1430"/>
      <c r="P1600" s="94"/>
      <c r="Q1600" s="1431"/>
      <c r="R1600" s="1164"/>
      <c r="S1600" s="1164"/>
      <c r="T1600" s="1164"/>
      <c r="U1600" s="2174"/>
      <c r="V1600" s="2174"/>
      <c r="W1600" s="2174"/>
      <c r="X1600" s="1164"/>
    </row>
    <row r="1601" ht="15.75" customHeight="1">
      <c r="A1601" s="94"/>
      <c r="B1601" s="94"/>
      <c r="C1601" s="1164"/>
      <c r="D1601" s="1429"/>
      <c r="E1601" s="1429"/>
      <c r="F1601" s="1429"/>
      <c r="G1601" s="1429"/>
      <c r="H1601" s="1430"/>
      <c r="I1601" s="94"/>
      <c r="J1601" s="1164"/>
      <c r="K1601" s="94"/>
      <c r="L1601" s="94"/>
      <c r="M1601" s="1430"/>
      <c r="N1601" s="94"/>
      <c r="O1601" s="1430"/>
      <c r="P1601" s="94"/>
      <c r="Q1601" s="1431"/>
      <c r="R1601" s="1164"/>
      <c r="S1601" s="1164"/>
      <c r="T1601" s="1164"/>
      <c r="U1601" s="2174"/>
      <c r="V1601" s="2174"/>
      <c r="W1601" s="2174"/>
      <c r="X1601" s="1164"/>
    </row>
    <row r="1602" ht="15.75" customHeight="1">
      <c r="A1602" s="94"/>
      <c r="B1602" s="1164"/>
      <c r="C1602" s="1164"/>
      <c r="D1602" s="1429"/>
      <c r="E1602" s="1429"/>
      <c r="F1602" s="1429"/>
      <c r="G1602" s="1429"/>
      <c r="H1602" s="1430"/>
      <c r="I1602" s="94"/>
      <c r="J1602" s="1164"/>
      <c r="K1602" s="94"/>
      <c r="L1602" s="94"/>
      <c r="M1602" s="1430"/>
      <c r="N1602" s="94"/>
      <c r="O1602" s="1430"/>
      <c r="P1602" s="94"/>
      <c r="Q1602" s="1431"/>
      <c r="R1602" s="1164"/>
      <c r="S1602" s="1164"/>
      <c r="T1602" s="1164"/>
      <c r="U1602" s="2174"/>
      <c r="V1602" s="2174"/>
      <c r="W1602" s="2174"/>
      <c r="X1602" s="1164"/>
    </row>
    <row r="1603" ht="15.75" customHeight="1">
      <c r="A1603" s="94"/>
      <c r="B1603" s="94"/>
      <c r="C1603" s="1164"/>
      <c r="D1603" s="1429"/>
      <c r="E1603" s="1429"/>
      <c r="F1603" s="1429"/>
      <c r="G1603" s="1429"/>
      <c r="H1603" s="1430"/>
      <c r="I1603" s="94"/>
      <c r="J1603" s="1164"/>
      <c r="K1603" s="94"/>
      <c r="L1603" s="94"/>
      <c r="M1603" s="94"/>
      <c r="N1603" s="94"/>
      <c r="O1603" s="94"/>
      <c r="P1603" s="94"/>
      <c r="Q1603" s="1431"/>
      <c r="R1603" s="1164"/>
      <c r="S1603" s="1164"/>
      <c r="T1603" s="1164"/>
      <c r="U1603" s="2174"/>
      <c r="V1603" s="2174"/>
      <c r="W1603" s="2174"/>
      <c r="X1603" s="1164"/>
    </row>
    <row r="1604" ht="15.75" customHeight="1">
      <c r="A1604" s="94"/>
      <c r="B1604" s="94"/>
      <c r="C1604" s="1164"/>
      <c r="D1604" s="1429"/>
      <c r="E1604" s="1429"/>
      <c r="F1604" s="1429"/>
      <c r="G1604" s="1429"/>
      <c r="H1604" s="1430"/>
      <c r="I1604" s="94"/>
      <c r="J1604" s="1164"/>
      <c r="K1604" s="94"/>
      <c r="L1604" s="94"/>
      <c r="M1604" s="1430"/>
      <c r="N1604" s="94"/>
      <c r="O1604" s="1430"/>
      <c r="P1604" s="94"/>
      <c r="Q1604" s="1431"/>
      <c r="R1604" s="1164"/>
      <c r="S1604" s="1164"/>
      <c r="T1604" s="1164"/>
      <c r="U1604" s="2174"/>
      <c r="V1604" s="2174"/>
      <c r="W1604" s="2174"/>
      <c r="X1604" s="1164"/>
    </row>
    <row r="1605" ht="15.75" customHeight="1">
      <c r="A1605" s="94"/>
      <c r="B1605" s="94"/>
      <c r="C1605" s="1164"/>
      <c r="D1605" s="1429"/>
      <c r="E1605" s="1429"/>
      <c r="F1605" s="1429"/>
      <c r="G1605" s="1429"/>
      <c r="H1605" s="1430"/>
      <c r="I1605" s="94"/>
      <c r="J1605" s="1164"/>
      <c r="K1605" s="94"/>
      <c r="L1605" s="94"/>
      <c r="M1605" s="1430"/>
      <c r="N1605" s="94"/>
      <c r="O1605" s="1430"/>
      <c r="P1605" s="94"/>
      <c r="Q1605" s="1431"/>
      <c r="R1605" s="1164"/>
      <c r="S1605" s="1164"/>
      <c r="T1605" s="1164"/>
      <c r="U1605" s="2174"/>
      <c r="V1605" s="2174"/>
      <c r="W1605" s="2174"/>
      <c r="X1605" s="1164"/>
    </row>
    <row r="1606" ht="15.75" customHeight="1">
      <c r="A1606" s="94"/>
      <c r="B1606" s="94"/>
      <c r="C1606" s="1164"/>
      <c r="D1606" s="1429"/>
      <c r="E1606" s="1429"/>
      <c r="F1606" s="1429"/>
      <c r="G1606" s="1429"/>
      <c r="H1606" s="1430"/>
      <c r="I1606" s="94"/>
      <c r="J1606" s="1164"/>
      <c r="K1606" s="94"/>
      <c r="L1606" s="94"/>
      <c r="M1606" s="1430"/>
      <c r="N1606" s="94"/>
      <c r="O1606" s="1430"/>
      <c r="P1606" s="94"/>
      <c r="Q1606" s="1431"/>
      <c r="R1606" s="1164"/>
      <c r="S1606" s="1164"/>
      <c r="T1606" s="1164"/>
      <c r="U1606" s="2174"/>
      <c r="V1606" s="2174"/>
      <c r="W1606" s="2174"/>
      <c r="X1606" s="1164"/>
    </row>
    <row r="1607" ht="15.75" customHeight="1">
      <c r="A1607" s="94"/>
      <c r="B1607" s="94"/>
      <c r="C1607" s="1164"/>
      <c r="D1607" s="1429"/>
      <c r="E1607" s="1429"/>
      <c r="F1607" s="1429"/>
      <c r="G1607" s="1429"/>
      <c r="H1607" s="1430"/>
      <c r="I1607" s="94"/>
      <c r="J1607" s="1164"/>
      <c r="K1607" s="94"/>
      <c r="L1607" s="94"/>
      <c r="M1607" s="1430"/>
      <c r="N1607" s="94"/>
      <c r="O1607" s="1430"/>
      <c r="P1607" s="94"/>
      <c r="Q1607" s="1431"/>
      <c r="R1607" s="1164"/>
      <c r="S1607" s="1164"/>
      <c r="T1607" s="1164"/>
      <c r="U1607" s="2174"/>
      <c r="V1607" s="2174"/>
      <c r="W1607" s="2174"/>
      <c r="X1607" s="1164"/>
    </row>
    <row r="1608" ht="15.75" customHeight="1">
      <c r="A1608" s="94"/>
      <c r="B1608" s="94"/>
      <c r="C1608" s="1164"/>
      <c r="D1608" s="1429"/>
      <c r="E1608" s="1429"/>
      <c r="F1608" s="1429"/>
      <c r="G1608" s="1429"/>
      <c r="H1608" s="1430"/>
      <c r="I1608" s="94"/>
      <c r="J1608" s="1164"/>
      <c r="K1608" s="94"/>
      <c r="L1608" s="94"/>
      <c r="M1608" s="1430"/>
      <c r="N1608" s="94"/>
      <c r="O1608" s="1430"/>
      <c r="P1608" s="94"/>
      <c r="Q1608" s="1431"/>
      <c r="R1608" s="1164"/>
      <c r="S1608" s="1164"/>
      <c r="T1608" s="1164"/>
      <c r="U1608" s="2174"/>
      <c r="V1608" s="2174"/>
      <c r="W1608" s="2174"/>
      <c r="X1608" s="1164"/>
    </row>
    <row r="1609" ht="15.75" customHeight="1">
      <c r="A1609" s="94"/>
      <c r="B1609" s="1164"/>
      <c r="C1609" s="1164"/>
      <c r="D1609" s="1429"/>
      <c r="E1609" s="1429"/>
      <c r="F1609" s="1429"/>
      <c r="G1609" s="1429"/>
      <c r="H1609" s="1430"/>
      <c r="I1609" s="94"/>
      <c r="J1609" s="1164"/>
      <c r="K1609" s="94"/>
      <c r="L1609" s="94"/>
      <c r="M1609" s="1430"/>
      <c r="N1609" s="94"/>
      <c r="O1609" s="1430"/>
      <c r="P1609" s="94"/>
      <c r="Q1609" s="1431"/>
      <c r="R1609" s="1164"/>
      <c r="S1609" s="1164"/>
      <c r="T1609" s="1164"/>
      <c r="U1609" s="2174"/>
      <c r="V1609" s="2174"/>
      <c r="W1609" s="2174"/>
      <c r="X1609" s="1164"/>
    </row>
    <row r="1610" ht="15.75" customHeight="1">
      <c r="A1610" s="94"/>
      <c r="B1610" s="94"/>
      <c r="C1610" s="1164"/>
      <c r="D1610" s="1429"/>
      <c r="E1610" s="1429"/>
      <c r="F1610" s="1429"/>
      <c r="G1610" s="1429"/>
      <c r="H1610" s="1430"/>
      <c r="I1610" s="94"/>
      <c r="J1610" s="1164"/>
      <c r="K1610" s="94"/>
      <c r="L1610" s="94"/>
      <c r="M1610" s="1430"/>
      <c r="N1610" s="94"/>
      <c r="O1610" s="1430"/>
      <c r="P1610" s="94"/>
      <c r="Q1610" s="1431"/>
      <c r="R1610" s="1164"/>
      <c r="S1610" s="1164"/>
      <c r="T1610" s="1164"/>
      <c r="U1610" s="2174"/>
      <c r="V1610" s="2174"/>
      <c r="W1610" s="2174"/>
      <c r="X1610" s="1164"/>
    </row>
    <row r="1611" ht="15.75" customHeight="1">
      <c r="A1611" s="94"/>
      <c r="B1611" s="1164"/>
      <c r="C1611" s="1164"/>
      <c r="D1611" s="1429"/>
      <c r="E1611" s="1429"/>
      <c r="F1611" s="1429"/>
      <c r="G1611" s="1429"/>
      <c r="H1611" s="1430"/>
      <c r="I1611" s="94"/>
      <c r="J1611" s="1164"/>
      <c r="K1611" s="94"/>
      <c r="L1611" s="94"/>
      <c r="M1611" s="1430"/>
      <c r="N1611" s="94"/>
      <c r="O1611" s="1430"/>
      <c r="P1611" s="94"/>
      <c r="Q1611" s="1431"/>
      <c r="R1611" s="1164"/>
      <c r="S1611" s="1164"/>
      <c r="T1611" s="1164"/>
      <c r="U1611" s="2174"/>
      <c r="V1611" s="2174"/>
      <c r="W1611" s="2174"/>
      <c r="X1611" s="1164"/>
    </row>
    <row r="1612" ht="15.75" customHeight="1">
      <c r="A1612" s="94"/>
      <c r="B1612" s="94"/>
      <c r="C1612" s="1164"/>
      <c r="D1612" s="1429"/>
      <c r="E1612" s="1429"/>
      <c r="F1612" s="1429"/>
      <c r="G1612" s="1429"/>
      <c r="H1612" s="1430"/>
      <c r="I1612" s="94"/>
      <c r="J1612" s="1164"/>
      <c r="K1612" s="94"/>
      <c r="L1612" s="94"/>
      <c r="M1612" s="1430"/>
      <c r="N1612" s="94"/>
      <c r="O1612" s="1430"/>
      <c r="P1612" s="94"/>
      <c r="Q1612" s="1431"/>
      <c r="R1612" s="1164"/>
      <c r="S1612" s="1164"/>
      <c r="T1612" s="1164"/>
      <c r="U1612" s="2174"/>
      <c r="V1612" s="2174"/>
      <c r="W1612" s="2174"/>
      <c r="X1612" s="1164"/>
    </row>
    <row r="1613" ht="15.75" customHeight="1">
      <c r="A1613" s="94"/>
      <c r="B1613" s="1164"/>
      <c r="C1613" s="1164"/>
      <c r="D1613" s="1429"/>
      <c r="E1613" s="1429"/>
      <c r="F1613" s="1429"/>
      <c r="G1613" s="1429"/>
      <c r="H1613" s="1430"/>
      <c r="I1613" s="94"/>
      <c r="J1613" s="1164"/>
      <c r="K1613" s="94"/>
      <c r="L1613" s="94"/>
      <c r="M1613" s="94"/>
      <c r="N1613" s="94"/>
      <c r="O1613" s="94"/>
      <c r="P1613" s="94"/>
      <c r="Q1613" s="1431"/>
      <c r="R1613" s="1164"/>
      <c r="S1613" s="1164"/>
      <c r="T1613" s="1164"/>
      <c r="U1613" s="2174"/>
      <c r="V1613" s="2174"/>
      <c r="W1613" s="2174"/>
      <c r="X1613" s="1164"/>
    </row>
    <row r="1614" ht="15.75" customHeight="1">
      <c r="A1614" s="94"/>
      <c r="B1614" s="1164"/>
      <c r="C1614" s="1164"/>
      <c r="D1614" s="1429"/>
      <c r="E1614" s="1429"/>
      <c r="F1614" s="1429"/>
      <c r="G1614" s="1429"/>
      <c r="H1614" s="1430"/>
      <c r="I1614" s="94"/>
      <c r="J1614" s="1164"/>
      <c r="K1614" s="94"/>
      <c r="L1614" s="94"/>
      <c r="M1614" s="94"/>
      <c r="N1614" s="94"/>
      <c r="O1614" s="94"/>
      <c r="P1614" s="94"/>
      <c r="Q1614" s="1431"/>
      <c r="R1614" s="1164"/>
      <c r="S1614" s="1164"/>
      <c r="T1614" s="1164"/>
      <c r="U1614" s="2174"/>
      <c r="V1614" s="2174"/>
      <c r="W1614" s="2174"/>
      <c r="X1614" s="1164"/>
    </row>
    <row r="1615" ht="15.75" customHeight="1">
      <c r="A1615" s="94"/>
      <c r="B1615" s="94"/>
      <c r="C1615" s="1164"/>
      <c r="D1615" s="1429"/>
      <c r="E1615" s="1429"/>
      <c r="F1615" s="1429"/>
      <c r="G1615" s="1429"/>
      <c r="H1615" s="1430"/>
      <c r="I1615" s="94"/>
      <c r="J1615" s="1164"/>
      <c r="K1615" s="94"/>
      <c r="L1615" s="94"/>
      <c r="M1615" s="1430"/>
      <c r="N1615" s="94"/>
      <c r="O1615" s="1430"/>
      <c r="P1615" s="94"/>
      <c r="Q1615" s="1431"/>
      <c r="R1615" s="1164"/>
      <c r="S1615" s="1164"/>
      <c r="T1615" s="1164"/>
      <c r="U1615" s="2174"/>
      <c r="V1615" s="2174"/>
      <c r="W1615" s="2174"/>
      <c r="X1615" s="1164"/>
    </row>
    <row r="1616" ht="15.75" customHeight="1">
      <c r="A1616" s="94"/>
      <c r="B1616" s="94"/>
      <c r="C1616" s="1164"/>
      <c r="D1616" s="1429"/>
      <c r="E1616" s="1429"/>
      <c r="F1616" s="1429"/>
      <c r="G1616" s="1429"/>
      <c r="H1616" s="1430"/>
      <c r="I1616" s="94"/>
      <c r="J1616" s="1164"/>
      <c r="K1616" s="94"/>
      <c r="L1616" s="94"/>
      <c r="M1616" s="94"/>
      <c r="N1616" s="94"/>
      <c r="O1616" s="94"/>
      <c r="P1616" s="94"/>
      <c r="Q1616" s="1431"/>
      <c r="R1616" s="1164"/>
      <c r="S1616" s="1164"/>
      <c r="T1616" s="1164"/>
      <c r="U1616" s="2174"/>
      <c r="V1616" s="2174"/>
      <c r="W1616" s="2174"/>
      <c r="X1616" s="1164"/>
    </row>
    <row r="1617" ht="15.75" customHeight="1">
      <c r="A1617" s="94"/>
      <c r="B1617" s="94"/>
      <c r="C1617" s="1164"/>
      <c r="D1617" s="1429"/>
      <c r="E1617" s="1429"/>
      <c r="F1617" s="1429"/>
      <c r="G1617" s="1429"/>
      <c r="H1617" s="1430"/>
      <c r="I1617" s="94"/>
      <c r="J1617" s="1164"/>
      <c r="K1617" s="94"/>
      <c r="L1617" s="94"/>
      <c r="M1617" s="1430"/>
      <c r="N1617" s="94"/>
      <c r="O1617" s="1430"/>
      <c r="P1617" s="94"/>
      <c r="Q1617" s="1431"/>
      <c r="R1617" s="1164"/>
      <c r="S1617" s="1164"/>
      <c r="T1617" s="1164"/>
      <c r="U1617" s="2174"/>
      <c r="V1617" s="2174"/>
      <c r="W1617" s="2174"/>
      <c r="X1617" s="1164"/>
    </row>
    <row r="1618" ht="15.75" customHeight="1">
      <c r="A1618" s="94"/>
      <c r="B1618" s="94"/>
      <c r="C1618" s="1164"/>
      <c r="D1618" s="1429"/>
      <c r="E1618" s="1429"/>
      <c r="F1618" s="1429"/>
      <c r="G1618" s="1429"/>
      <c r="H1618" s="1430"/>
      <c r="I1618" s="94"/>
      <c r="J1618" s="1164"/>
      <c r="K1618" s="94"/>
      <c r="L1618" s="94"/>
      <c r="M1618" s="1430"/>
      <c r="N1618" s="94"/>
      <c r="O1618" s="1430"/>
      <c r="P1618" s="94"/>
      <c r="Q1618" s="1431"/>
      <c r="R1618" s="1164"/>
      <c r="S1618" s="1164"/>
      <c r="T1618" s="1164"/>
      <c r="U1618" s="2174"/>
      <c r="V1618" s="2174"/>
      <c r="W1618" s="2174"/>
      <c r="X1618" s="1164"/>
    </row>
    <row r="1619" ht="15.75" customHeight="1">
      <c r="A1619" s="94"/>
      <c r="B1619" s="94"/>
      <c r="C1619" s="1164"/>
      <c r="D1619" s="1429"/>
      <c r="E1619" s="1429"/>
      <c r="F1619" s="1429"/>
      <c r="G1619" s="1429"/>
      <c r="H1619" s="1430"/>
      <c r="I1619" s="94"/>
      <c r="J1619" s="1164"/>
      <c r="K1619" s="94"/>
      <c r="L1619" s="94"/>
      <c r="M1619" s="1430"/>
      <c r="N1619" s="94"/>
      <c r="O1619" s="1430"/>
      <c r="P1619" s="94"/>
      <c r="Q1619" s="1431"/>
      <c r="R1619" s="1164"/>
      <c r="S1619" s="1164"/>
      <c r="T1619" s="1164"/>
      <c r="U1619" s="2174"/>
      <c r="V1619" s="2174"/>
      <c r="W1619" s="2174"/>
      <c r="X1619" s="1164"/>
    </row>
    <row r="1620" ht="15.75" customHeight="1">
      <c r="A1620" s="94"/>
      <c r="B1620" s="1164"/>
      <c r="C1620" s="1164"/>
      <c r="D1620" s="1429"/>
      <c r="E1620" s="1429"/>
      <c r="F1620" s="1429"/>
      <c r="G1620" s="1429"/>
      <c r="H1620" s="1430"/>
      <c r="I1620" s="94"/>
      <c r="J1620" s="1164"/>
      <c r="K1620" s="94"/>
      <c r="L1620" s="94"/>
      <c r="M1620" s="1430"/>
      <c r="N1620" s="94"/>
      <c r="O1620" s="1430"/>
      <c r="P1620" s="94"/>
      <c r="Q1620" s="1431"/>
      <c r="R1620" s="1164"/>
      <c r="S1620" s="1164"/>
      <c r="T1620" s="1164"/>
      <c r="U1620" s="2174"/>
      <c r="V1620" s="2174"/>
      <c r="W1620" s="2174"/>
      <c r="X1620" s="1164"/>
    </row>
    <row r="1621" ht="15.75" customHeight="1">
      <c r="A1621" s="94"/>
      <c r="B1621" s="94"/>
      <c r="C1621" s="1164"/>
      <c r="D1621" s="1429"/>
      <c r="E1621" s="1429"/>
      <c r="F1621" s="1429"/>
      <c r="G1621" s="1429"/>
      <c r="H1621" s="1430"/>
      <c r="I1621" s="94"/>
      <c r="J1621" s="1164"/>
      <c r="K1621" s="94"/>
      <c r="L1621" s="94"/>
      <c r="M1621" s="1430"/>
      <c r="N1621" s="94"/>
      <c r="O1621" s="1430"/>
      <c r="P1621" s="94"/>
      <c r="Q1621" s="1431"/>
      <c r="R1621" s="1164"/>
      <c r="S1621" s="1164"/>
      <c r="T1621" s="1164"/>
      <c r="U1621" s="2174"/>
      <c r="V1621" s="2174"/>
      <c r="W1621" s="2174"/>
      <c r="X1621" s="1164"/>
    </row>
    <row r="1622" ht="15.75" customHeight="1">
      <c r="A1622" s="94"/>
      <c r="B1622" s="1164"/>
      <c r="C1622" s="1164"/>
      <c r="D1622" s="1429"/>
      <c r="E1622" s="1429"/>
      <c r="F1622" s="1429"/>
      <c r="G1622" s="1429"/>
      <c r="H1622" s="1430"/>
      <c r="I1622" s="94"/>
      <c r="J1622" s="1164"/>
      <c r="K1622" s="94"/>
      <c r="L1622" s="94"/>
      <c r="M1622" s="1430"/>
      <c r="N1622" s="94"/>
      <c r="O1622" s="1430"/>
      <c r="P1622" s="94"/>
      <c r="Q1622" s="1431"/>
      <c r="R1622" s="1164"/>
      <c r="S1622" s="1164"/>
      <c r="T1622" s="1164"/>
      <c r="U1622" s="2174"/>
      <c r="V1622" s="2174"/>
      <c r="W1622" s="2174"/>
      <c r="X1622" s="1164"/>
    </row>
    <row r="1623" ht="15.75" customHeight="1">
      <c r="A1623" s="94"/>
      <c r="B1623" s="1164"/>
      <c r="C1623" s="1164"/>
      <c r="D1623" s="1429"/>
      <c r="E1623" s="1429"/>
      <c r="F1623" s="1429"/>
      <c r="G1623" s="1429"/>
      <c r="H1623" s="1430"/>
      <c r="I1623" s="94"/>
      <c r="J1623" s="1164"/>
      <c r="K1623" s="94"/>
      <c r="L1623" s="94"/>
      <c r="M1623" s="1430"/>
      <c r="N1623" s="94"/>
      <c r="O1623" s="1430"/>
      <c r="P1623" s="94"/>
      <c r="Q1623" s="1431"/>
      <c r="R1623" s="1164"/>
      <c r="S1623" s="1164"/>
      <c r="T1623" s="1164"/>
      <c r="U1623" s="2174"/>
      <c r="V1623" s="2174"/>
      <c r="W1623" s="2174"/>
      <c r="X1623" s="1164"/>
    </row>
    <row r="1624" ht="15.75" customHeight="1">
      <c r="A1624" s="94"/>
      <c r="B1624" s="94"/>
      <c r="C1624" s="1164"/>
      <c r="D1624" s="1429"/>
      <c r="E1624" s="1429"/>
      <c r="F1624" s="1429"/>
      <c r="G1624" s="1429"/>
      <c r="H1624" s="1430"/>
      <c r="I1624" s="94"/>
      <c r="J1624" s="1164"/>
      <c r="K1624" s="94"/>
      <c r="L1624" s="94"/>
      <c r="M1624" s="1430"/>
      <c r="N1624" s="94"/>
      <c r="O1624" s="1430"/>
      <c r="P1624" s="94"/>
      <c r="Q1624" s="1431"/>
      <c r="R1624" s="1164"/>
      <c r="S1624" s="1164"/>
      <c r="T1624" s="1164"/>
      <c r="U1624" s="2174"/>
      <c r="V1624" s="2174"/>
      <c r="W1624" s="2174"/>
      <c r="X1624" s="1164"/>
    </row>
    <row r="1625" ht="15.75" customHeight="1">
      <c r="A1625" s="94"/>
      <c r="B1625" s="94"/>
      <c r="C1625" s="1164"/>
      <c r="D1625" s="1429"/>
      <c r="E1625" s="1429"/>
      <c r="F1625" s="1429"/>
      <c r="G1625" s="1429"/>
      <c r="H1625" s="1430"/>
      <c r="I1625" s="94"/>
      <c r="J1625" s="1164"/>
      <c r="K1625" s="94"/>
      <c r="L1625" s="94"/>
      <c r="M1625" s="1430"/>
      <c r="N1625" s="94"/>
      <c r="O1625" s="1430"/>
      <c r="P1625" s="94"/>
      <c r="Q1625" s="1431"/>
      <c r="R1625" s="1164"/>
      <c r="S1625" s="1164"/>
      <c r="T1625" s="1164"/>
      <c r="U1625" s="2174"/>
      <c r="V1625" s="2174"/>
      <c r="W1625" s="2174"/>
      <c r="X1625" s="1164"/>
    </row>
    <row r="1626" ht="15.75" customHeight="1">
      <c r="A1626" s="94"/>
      <c r="B1626" s="94"/>
      <c r="C1626" s="1164"/>
      <c r="D1626" s="1429"/>
      <c r="E1626" s="1429"/>
      <c r="F1626" s="1429"/>
      <c r="G1626" s="1429"/>
      <c r="H1626" s="1430"/>
      <c r="I1626" s="94"/>
      <c r="J1626" s="1164"/>
      <c r="K1626" s="94"/>
      <c r="L1626" s="94"/>
      <c r="M1626" s="1430"/>
      <c r="N1626" s="94"/>
      <c r="O1626" s="1430"/>
      <c r="P1626" s="94"/>
      <c r="Q1626" s="1431"/>
      <c r="R1626" s="1164"/>
      <c r="S1626" s="1164"/>
      <c r="T1626" s="1164"/>
      <c r="U1626" s="2174"/>
      <c r="V1626" s="2174"/>
      <c r="W1626" s="2174"/>
      <c r="X1626" s="1164"/>
    </row>
    <row r="1627" ht="15.75" customHeight="1">
      <c r="A1627" s="94"/>
      <c r="B1627" s="1164"/>
      <c r="C1627" s="1164"/>
      <c r="D1627" s="1429"/>
      <c r="E1627" s="1429"/>
      <c r="F1627" s="1429"/>
      <c r="G1627" s="1429"/>
      <c r="H1627" s="1430"/>
      <c r="I1627" s="94"/>
      <c r="J1627" s="1164"/>
      <c r="K1627" s="94"/>
      <c r="L1627" s="94"/>
      <c r="M1627" s="1430"/>
      <c r="N1627" s="94"/>
      <c r="O1627" s="1430"/>
      <c r="P1627" s="94"/>
      <c r="Q1627" s="1431"/>
      <c r="R1627" s="1164"/>
      <c r="S1627" s="1164"/>
      <c r="T1627" s="1164"/>
      <c r="U1627" s="2174"/>
      <c r="V1627" s="2174"/>
      <c r="W1627" s="2174"/>
      <c r="X1627" s="1164"/>
    </row>
    <row r="1628" ht="15.75" customHeight="1">
      <c r="A1628" s="94"/>
      <c r="B1628" s="94"/>
      <c r="C1628" s="1164"/>
      <c r="D1628" s="1429"/>
      <c r="E1628" s="1429"/>
      <c r="F1628" s="1429"/>
      <c r="G1628" s="1429"/>
      <c r="H1628" s="1430"/>
      <c r="I1628" s="94"/>
      <c r="J1628" s="1164"/>
      <c r="K1628" s="94"/>
      <c r="L1628" s="94"/>
      <c r="M1628" s="94"/>
      <c r="N1628" s="94"/>
      <c r="O1628" s="94"/>
      <c r="P1628" s="94"/>
      <c r="Q1628" s="1431"/>
      <c r="R1628" s="1164"/>
      <c r="S1628" s="1164"/>
      <c r="T1628" s="1164"/>
      <c r="U1628" s="2174"/>
      <c r="V1628" s="2174"/>
      <c r="W1628" s="2174"/>
      <c r="X1628" s="1164"/>
    </row>
    <row r="1629" ht="15.75" customHeight="1">
      <c r="A1629" s="94"/>
      <c r="B1629" s="94"/>
      <c r="C1629" s="1164"/>
      <c r="D1629" s="1429"/>
      <c r="E1629" s="1429"/>
      <c r="F1629" s="1429"/>
      <c r="G1629" s="1429"/>
      <c r="H1629" s="1430"/>
      <c r="I1629" s="94"/>
      <c r="J1629" s="1164"/>
      <c r="K1629" s="94"/>
      <c r="L1629" s="94"/>
      <c r="M1629" s="94"/>
      <c r="N1629" s="94"/>
      <c r="O1629" s="94"/>
      <c r="P1629" s="94"/>
      <c r="Q1629" s="1431"/>
      <c r="R1629" s="1164"/>
      <c r="S1629" s="1164"/>
      <c r="T1629" s="1164"/>
      <c r="U1629" s="2174"/>
      <c r="V1629" s="2174"/>
      <c r="W1629" s="2174"/>
      <c r="X1629" s="1164"/>
    </row>
    <row r="1630" ht="15.75" customHeight="1">
      <c r="A1630" s="94"/>
      <c r="B1630" s="94"/>
      <c r="C1630" s="1164"/>
      <c r="D1630" s="1429"/>
      <c r="E1630" s="1429"/>
      <c r="F1630" s="1429"/>
      <c r="G1630" s="1429"/>
      <c r="H1630" s="1430"/>
      <c r="I1630" s="94"/>
      <c r="J1630" s="1164"/>
      <c r="K1630" s="94"/>
      <c r="L1630" s="94"/>
      <c r="M1630" s="1430"/>
      <c r="N1630" s="94"/>
      <c r="O1630" s="1430"/>
      <c r="P1630" s="94"/>
      <c r="Q1630" s="1431"/>
      <c r="R1630" s="1164"/>
      <c r="S1630" s="1164"/>
      <c r="T1630" s="1164"/>
      <c r="U1630" s="2174"/>
      <c r="V1630" s="2174"/>
      <c r="W1630" s="2174"/>
      <c r="X1630" s="1164"/>
    </row>
    <row r="1631" ht="15.75" customHeight="1">
      <c r="A1631" s="94"/>
      <c r="B1631" s="1164"/>
      <c r="C1631" s="1164"/>
      <c r="D1631" s="1429"/>
      <c r="E1631" s="1429"/>
      <c r="F1631" s="1429"/>
      <c r="G1631" s="1429"/>
      <c r="H1631" s="1430"/>
      <c r="I1631" s="94"/>
      <c r="J1631" s="1164"/>
      <c r="K1631" s="94"/>
      <c r="L1631" s="94"/>
      <c r="M1631" s="1430"/>
      <c r="N1631" s="94"/>
      <c r="O1631" s="1430"/>
      <c r="P1631" s="94"/>
      <c r="Q1631" s="1431"/>
      <c r="R1631" s="1164"/>
      <c r="S1631" s="1164"/>
      <c r="T1631" s="1164"/>
      <c r="U1631" s="2174"/>
      <c r="V1631" s="2174"/>
      <c r="W1631" s="2174"/>
      <c r="X1631" s="1164"/>
    </row>
    <row r="1632" ht="15.75" customHeight="1">
      <c r="A1632" s="94"/>
      <c r="B1632" s="94"/>
      <c r="C1632" s="1164"/>
      <c r="D1632" s="1429"/>
      <c r="E1632" s="1429"/>
      <c r="F1632" s="1429"/>
      <c r="G1632" s="1429"/>
      <c r="H1632" s="1430"/>
      <c r="I1632" s="94"/>
      <c r="J1632" s="1164"/>
      <c r="K1632" s="94"/>
      <c r="L1632" s="94"/>
      <c r="M1632" s="1430"/>
      <c r="N1632" s="94"/>
      <c r="O1632" s="1430"/>
      <c r="P1632" s="94"/>
      <c r="Q1632" s="1431"/>
      <c r="R1632" s="1164"/>
      <c r="S1632" s="1164"/>
      <c r="T1632" s="1164"/>
      <c r="U1632" s="2174"/>
      <c r="V1632" s="2174"/>
      <c r="W1632" s="2174"/>
      <c r="X1632" s="1164"/>
    </row>
    <row r="1633" ht="15.75" customHeight="1">
      <c r="A1633" s="94"/>
      <c r="B1633" s="94"/>
      <c r="C1633" s="94"/>
      <c r="D1633" s="94"/>
      <c r="E1633" s="94"/>
      <c r="F1633" s="94"/>
      <c r="G1633" s="94"/>
      <c r="H1633" s="1164"/>
      <c r="I1633" s="1164"/>
      <c r="J1633" s="1164"/>
      <c r="K1633" s="1430"/>
      <c r="L1633" s="1430"/>
      <c r="M1633" s="1430"/>
      <c r="N1633" s="1430"/>
      <c r="O1633" s="1430"/>
      <c r="P1633" s="1430"/>
      <c r="Q1633" s="1430"/>
      <c r="R1633" s="1430"/>
      <c r="S1633" s="1430"/>
      <c r="T1633" s="1430"/>
      <c r="U1633" s="94"/>
      <c r="V1633" s="94"/>
      <c r="W1633" s="94"/>
      <c r="X1633" s="1430"/>
    </row>
    <row r="1634" ht="15.75" customHeight="1">
      <c r="A1634" s="94"/>
      <c r="B1634" s="1164"/>
      <c r="C1634" s="1164"/>
      <c r="D1634" s="1429"/>
      <c r="E1634" s="1429"/>
      <c r="F1634" s="1429"/>
      <c r="G1634" s="1429"/>
      <c r="H1634" s="1430"/>
      <c r="I1634" s="1430"/>
      <c r="J1634" s="1164"/>
      <c r="K1634" s="94"/>
      <c r="L1634" s="94"/>
      <c r="M1634" s="94"/>
      <c r="N1634" s="94"/>
      <c r="O1634" s="94"/>
      <c r="P1634" s="94"/>
      <c r="Q1634" s="1431"/>
      <c r="R1634" s="1164"/>
      <c r="S1634" s="1164"/>
      <c r="T1634" s="1164"/>
      <c r="U1634" s="94"/>
      <c r="V1634" s="94"/>
      <c r="W1634" s="94"/>
      <c r="X1634" s="1164"/>
    </row>
    <row r="1635" ht="15.75" customHeight="1">
      <c r="A1635" s="94"/>
      <c r="B1635" s="1164"/>
      <c r="C1635" s="1164"/>
      <c r="D1635" s="1429"/>
      <c r="E1635" s="1429"/>
      <c r="F1635" s="1429"/>
      <c r="G1635" s="1429"/>
      <c r="H1635" s="1430"/>
      <c r="I1635" s="94"/>
      <c r="J1635" s="1164"/>
      <c r="K1635" s="94"/>
      <c r="L1635" s="94"/>
      <c r="M1635" s="1430"/>
      <c r="N1635" s="94"/>
      <c r="O1635" s="1430"/>
      <c r="P1635" s="94"/>
      <c r="Q1635" s="1431"/>
      <c r="R1635" s="1164"/>
      <c r="S1635" s="1164"/>
      <c r="T1635" s="1164"/>
      <c r="U1635" s="2174"/>
      <c r="V1635" s="2174"/>
      <c r="W1635" s="2174"/>
      <c r="X1635" s="1164"/>
    </row>
    <row r="1636" ht="15.75" customHeight="1">
      <c r="A1636" s="94"/>
      <c r="B1636" s="1164"/>
      <c r="C1636" s="1164"/>
      <c r="D1636" s="1429"/>
      <c r="E1636" s="1429"/>
      <c r="F1636" s="1429"/>
      <c r="G1636" s="1429"/>
      <c r="H1636" s="1430"/>
      <c r="I1636" s="94"/>
      <c r="J1636" s="1164"/>
      <c r="K1636" s="94"/>
      <c r="L1636" s="94"/>
      <c r="M1636" s="1430"/>
      <c r="N1636" s="94"/>
      <c r="O1636" s="1430"/>
      <c r="P1636" s="94"/>
      <c r="Q1636" s="1431"/>
      <c r="R1636" s="1164"/>
      <c r="S1636" s="1164"/>
      <c r="T1636" s="1164"/>
      <c r="U1636" s="2174"/>
      <c r="V1636" s="2174"/>
      <c r="W1636" s="2174"/>
      <c r="X1636" s="1164"/>
    </row>
    <row r="1637" ht="15.75" customHeight="1">
      <c r="A1637" s="94"/>
      <c r="B1637" s="1164"/>
      <c r="C1637" s="1164"/>
      <c r="D1637" s="1429"/>
      <c r="E1637" s="1429"/>
      <c r="F1637" s="1429"/>
      <c r="G1637" s="1429"/>
      <c r="H1637" s="1430"/>
      <c r="I1637" s="94"/>
      <c r="J1637" s="1164"/>
      <c r="K1637" s="94"/>
      <c r="L1637" s="94"/>
      <c r="M1637" s="1430"/>
      <c r="N1637" s="94"/>
      <c r="O1637" s="1430"/>
      <c r="P1637" s="94"/>
      <c r="Q1637" s="1431"/>
      <c r="R1637" s="1164"/>
      <c r="S1637" s="1164"/>
      <c r="T1637" s="1164"/>
      <c r="U1637" s="2174"/>
      <c r="V1637" s="2174"/>
      <c r="W1637" s="2174"/>
      <c r="X1637" s="1164"/>
    </row>
    <row r="1638" ht="15.75" customHeight="1">
      <c r="A1638" s="94"/>
      <c r="B1638" s="1164"/>
      <c r="C1638" s="1164"/>
      <c r="D1638" s="1429"/>
      <c r="E1638" s="1429"/>
      <c r="F1638" s="1429"/>
      <c r="G1638" s="1429"/>
      <c r="H1638" s="1430"/>
      <c r="I1638" s="94"/>
      <c r="J1638" s="1164"/>
      <c r="K1638" s="94"/>
      <c r="L1638" s="94"/>
      <c r="M1638" s="1430"/>
      <c r="N1638" s="94"/>
      <c r="O1638" s="1430"/>
      <c r="P1638" s="94"/>
      <c r="Q1638" s="1431"/>
      <c r="R1638" s="1164"/>
      <c r="S1638" s="1164"/>
      <c r="T1638" s="1164"/>
      <c r="U1638" s="2174"/>
      <c r="V1638" s="2174"/>
      <c r="W1638" s="2174"/>
      <c r="X1638" s="1164"/>
    </row>
    <row r="1639" ht="15.75" customHeight="1">
      <c r="A1639" s="94"/>
      <c r="B1639" s="1164"/>
      <c r="C1639" s="1164"/>
      <c r="D1639" s="1429"/>
      <c r="E1639" s="1429"/>
      <c r="F1639" s="1429"/>
      <c r="G1639" s="1429"/>
      <c r="H1639" s="1430"/>
      <c r="I1639" s="94"/>
      <c r="J1639" s="1164"/>
      <c r="K1639" s="94"/>
      <c r="L1639" s="94"/>
      <c r="M1639" s="94"/>
      <c r="N1639" s="94"/>
      <c r="O1639" s="94"/>
      <c r="P1639" s="94"/>
      <c r="Q1639" s="1431"/>
      <c r="R1639" s="1164"/>
      <c r="S1639" s="1164"/>
      <c r="T1639" s="1164"/>
      <c r="U1639" s="2174"/>
      <c r="V1639" s="94"/>
      <c r="W1639" s="2174"/>
      <c r="X1639" s="1164"/>
    </row>
    <row r="1640" ht="15.75" customHeight="1">
      <c r="A1640" s="94"/>
      <c r="B1640" s="94"/>
      <c r="C1640" s="1164"/>
      <c r="D1640" s="1429"/>
      <c r="E1640" s="1429"/>
      <c r="F1640" s="1429"/>
      <c r="G1640" s="1429"/>
      <c r="H1640" s="1430"/>
      <c r="I1640" s="94"/>
      <c r="J1640" s="1164"/>
      <c r="K1640" s="94"/>
      <c r="L1640" s="94"/>
      <c r="M1640" s="1430"/>
      <c r="N1640" s="94"/>
      <c r="O1640" s="1430"/>
      <c r="P1640" s="94"/>
      <c r="Q1640" s="1431"/>
      <c r="R1640" s="1164"/>
      <c r="S1640" s="1164"/>
      <c r="T1640" s="1164"/>
      <c r="U1640" s="2174"/>
      <c r="V1640" s="2174"/>
      <c r="W1640" s="2174"/>
      <c r="X1640" s="1164"/>
    </row>
    <row r="1641" ht="15.75" customHeight="1">
      <c r="A1641" s="94"/>
      <c r="B1641" s="1164"/>
      <c r="C1641" s="1164"/>
      <c r="D1641" s="1429"/>
      <c r="E1641" s="1429"/>
      <c r="F1641" s="1429"/>
      <c r="G1641" s="1429"/>
      <c r="H1641" s="1430"/>
      <c r="I1641" s="94"/>
      <c r="J1641" s="1164"/>
      <c r="K1641" s="94"/>
      <c r="L1641" s="94"/>
      <c r="M1641" s="1430"/>
      <c r="N1641" s="94"/>
      <c r="O1641" s="1430"/>
      <c r="P1641" s="94"/>
      <c r="Q1641" s="1431"/>
      <c r="R1641" s="1164"/>
      <c r="S1641" s="1164"/>
      <c r="T1641" s="1164"/>
      <c r="U1641" s="2174"/>
      <c r="V1641" s="2174"/>
      <c r="W1641" s="2174"/>
      <c r="X1641" s="1164"/>
    </row>
    <row r="1642" ht="15.75" customHeight="1">
      <c r="A1642" s="94"/>
      <c r="B1642" s="1164"/>
      <c r="C1642" s="1164"/>
      <c r="D1642" s="1429"/>
      <c r="E1642" s="1429"/>
      <c r="F1642" s="1429"/>
      <c r="G1642" s="1429"/>
      <c r="H1642" s="1430"/>
      <c r="I1642" s="94"/>
      <c r="J1642" s="1164"/>
      <c r="K1642" s="94"/>
      <c r="L1642" s="94"/>
      <c r="M1642" s="1430"/>
      <c r="N1642" s="94"/>
      <c r="O1642" s="1430"/>
      <c r="P1642" s="94"/>
      <c r="Q1642" s="1431"/>
      <c r="R1642" s="1164"/>
      <c r="S1642" s="1164"/>
      <c r="T1642" s="1164"/>
      <c r="U1642" s="2174"/>
      <c r="V1642" s="2174"/>
      <c r="W1642" s="2174"/>
      <c r="X1642" s="1164"/>
    </row>
    <row r="1643" ht="15.75" customHeight="1">
      <c r="A1643" s="94"/>
      <c r="B1643" s="1164"/>
      <c r="C1643" s="1164"/>
      <c r="D1643" s="1429"/>
      <c r="E1643" s="1429"/>
      <c r="F1643" s="1429"/>
      <c r="G1643" s="1429"/>
      <c r="H1643" s="1430"/>
      <c r="I1643" s="94"/>
      <c r="J1643" s="1164"/>
      <c r="K1643" s="94"/>
      <c r="L1643" s="94"/>
      <c r="M1643" s="1430"/>
      <c r="N1643" s="94"/>
      <c r="O1643" s="1430"/>
      <c r="P1643" s="94"/>
      <c r="Q1643" s="1431"/>
      <c r="R1643" s="1164"/>
      <c r="S1643" s="1164"/>
      <c r="T1643" s="1164"/>
      <c r="U1643" s="2174"/>
      <c r="V1643" s="2174"/>
      <c r="W1643" s="2174"/>
      <c r="X1643" s="1164"/>
    </row>
    <row r="1644" ht="15.75" customHeight="1">
      <c r="A1644" s="94"/>
      <c r="B1644" s="94"/>
      <c r="C1644" s="1164"/>
      <c r="D1644" s="1429"/>
      <c r="E1644" s="1429"/>
      <c r="F1644" s="1429"/>
      <c r="G1644" s="1429"/>
      <c r="H1644" s="1430"/>
      <c r="I1644" s="94"/>
      <c r="J1644" s="1164"/>
      <c r="K1644" s="94"/>
      <c r="L1644" s="94"/>
      <c r="M1644" s="1430"/>
      <c r="N1644" s="94"/>
      <c r="O1644" s="1430"/>
      <c r="P1644" s="94"/>
      <c r="Q1644" s="1431"/>
      <c r="R1644" s="1164"/>
      <c r="S1644" s="1164"/>
      <c r="T1644" s="1164"/>
      <c r="U1644" s="2174"/>
      <c r="V1644" s="2174"/>
      <c r="W1644" s="2174"/>
      <c r="X1644" s="1164"/>
    </row>
    <row r="1645" ht="15.75" customHeight="1">
      <c r="A1645" s="94"/>
      <c r="B1645" s="1164"/>
      <c r="C1645" s="1164"/>
      <c r="D1645" s="1429"/>
      <c r="E1645" s="1429"/>
      <c r="F1645" s="1429"/>
      <c r="G1645" s="1429"/>
      <c r="H1645" s="1430"/>
      <c r="I1645" s="94"/>
      <c r="J1645" s="1164"/>
      <c r="K1645" s="94"/>
      <c r="L1645" s="94"/>
      <c r="M1645" s="94"/>
      <c r="N1645" s="94"/>
      <c r="O1645" s="94"/>
      <c r="P1645" s="94"/>
      <c r="Q1645" s="1431"/>
      <c r="R1645" s="1164"/>
      <c r="S1645" s="1164"/>
      <c r="T1645" s="1164"/>
      <c r="U1645" s="2174"/>
      <c r="V1645" s="2174"/>
      <c r="W1645" s="2174"/>
      <c r="X1645" s="1164"/>
    </row>
    <row r="1646" ht="15.75" customHeight="1">
      <c r="A1646" s="94"/>
      <c r="B1646" s="94"/>
      <c r="C1646" s="1164"/>
      <c r="D1646" s="1429"/>
      <c r="E1646" s="1429"/>
      <c r="F1646" s="1429"/>
      <c r="G1646" s="1429"/>
      <c r="H1646" s="1430"/>
      <c r="I1646" s="94"/>
      <c r="J1646" s="1164"/>
      <c r="K1646" s="94"/>
      <c r="L1646" s="94"/>
      <c r="M1646" s="94"/>
      <c r="N1646" s="94"/>
      <c r="O1646" s="94"/>
      <c r="P1646" s="94"/>
      <c r="Q1646" s="1431"/>
      <c r="R1646" s="1164"/>
      <c r="S1646" s="1164"/>
      <c r="T1646" s="1164"/>
      <c r="U1646" s="2174"/>
      <c r="V1646" s="2174"/>
      <c r="W1646" s="2174"/>
      <c r="X1646" s="1164"/>
    </row>
    <row r="1647" ht="15.75" customHeight="1">
      <c r="A1647" s="94"/>
      <c r="B1647" s="1164"/>
      <c r="C1647" s="1164"/>
      <c r="D1647" s="1429"/>
      <c r="E1647" s="1429"/>
      <c r="F1647" s="1429"/>
      <c r="G1647" s="1429"/>
      <c r="H1647" s="1430"/>
      <c r="I1647" s="94"/>
      <c r="J1647" s="1164"/>
      <c r="K1647" s="94"/>
      <c r="L1647" s="94"/>
      <c r="M1647" s="94"/>
      <c r="N1647" s="94"/>
      <c r="O1647" s="94"/>
      <c r="P1647" s="94"/>
      <c r="Q1647" s="1431"/>
      <c r="R1647" s="1164"/>
      <c r="S1647" s="1164"/>
      <c r="T1647" s="1164"/>
      <c r="U1647" s="2174"/>
      <c r="V1647" s="2174"/>
      <c r="W1647" s="2174"/>
      <c r="X1647" s="1164"/>
    </row>
    <row r="1648" ht="15.75" customHeight="1">
      <c r="A1648" s="94"/>
      <c r="B1648" s="94"/>
      <c r="C1648" s="1164"/>
      <c r="D1648" s="1429"/>
      <c r="E1648" s="1429"/>
      <c r="F1648" s="1429"/>
      <c r="G1648" s="1429"/>
      <c r="H1648" s="1430"/>
      <c r="I1648" s="94"/>
      <c r="J1648" s="1164"/>
      <c r="K1648" s="94"/>
      <c r="L1648" s="94"/>
      <c r="M1648" s="1430"/>
      <c r="N1648" s="94"/>
      <c r="O1648" s="1430"/>
      <c r="P1648" s="94"/>
      <c r="Q1648" s="1431"/>
      <c r="R1648" s="1164"/>
      <c r="S1648" s="1164"/>
      <c r="T1648" s="1164"/>
      <c r="U1648" s="2174"/>
      <c r="V1648" s="2174"/>
      <c r="W1648" s="2174"/>
      <c r="X1648" s="1164"/>
    </row>
    <row r="1649" ht="15.75" customHeight="1">
      <c r="A1649" s="94"/>
      <c r="B1649" s="1164"/>
      <c r="C1649" s="1164"/>
      <c r="D1649" s="1429"/>
      <c r="E1649" s="1429"/>
      <c r="F1649" s="1429"/>
      <c r="G1649" s="1429"/>
      <c r="H1649" s="1430"/>
      <c r="I1649" s="94"/>
      <c r="J1649" s="1164"/>
      <c r="K1649" s="94"/>
      <c r="L1649" s="94"/>
      <c r="M1649" s="1430"/>
      <c r="N1649" s="94"/>
      <c r="O1649" s="1430"/>
      <c r="P1649" s="94"/>
      <c r="Q1649" s="1431"/>
      <c r="R1649" s="1164"/>
      <c r="S1649" s="1164"/>
      <c r="T1649" s="1164"/>
      <c r="U1649" s="2174"/>
      <c r="V1649" s="2174"/>
      <c r="W1649" s="2174"/>
      <c r="X1649" s="1164"/>
    </row>
    <row r="1650" ht="15.75" customHeight="1">
      <c r="A1650" s="94"/>
      <c r="B1650" s="94"/>
      <c r="C1650" s="1164"/>
      <c r="D1650" s="1429"/>
      <c r="E1650" s="1429"/>
      <c r="F1650" s="1429"/>
      <c r="G1650" s="1429"/>
      <c r="H1650" s="1430"/>
      <c r="I1650" s="94"/>
      <c r="J1650" s="1164"/>
      <c r="K1650" s="94"/>
      <c r="L1650" s="94"/>
      <c r="M1650" s="1430"/>
      <c r="N1650" s="94"/>
      <c r="O1650" s="1430"/>
      <c r="P1650" s="94"/>
      <c r="Q1650" s="1431"/>
      <c r="R1650" s="1164"/>
      <c r="S1650" s="1164"/>
      <c r="T1650" s="1164"/>
      <c r="U1650" s="2174"/>
      <c r="V1650" s="2174"/>
      <c r="W1650" s="2174"/>
      <c r="X1650" s="1164"/>
    </row>
    <row r="1651" ht="15.75" customHeight="1">
      <c r="A1651" s="94"/>
      <c r="B1651" s="94"/>
      <c r="C1651" s="1164"/>
      <c r="D1651" s="1429"/>
      <c r="E1651" s="1429"/>
      <c r="F1651" s="1429"/>
      <c r="G1651" s="1429"/>
      <c r="H1651" s="1430"/>
      <c r="I1651" s="94"/>
      <c r="J1651" s="1164"/>
      <c r="K1651" s="94"/>
      <c r="L1651" s="94"/>
      <c r="M1651" s="1430"/>
      <c r="N1651" s="94"/>
      <c r="O1651" s="1430"/>
      <c r="P1651" s="94"/>
      <c r="Q1651" s="1431"/>
      <c r="R1651" s="1164"/>
      <c r="S1651" s="1164"/>
      <c r="T1651" s="1164"/>
      <c r="U1651" s="2174"/>
      <c r="V1651" s="2174"/>
      <c r="W1651" s="2174"/>
      <c r="X1651" s="1164"/>
    </row>
    <row r="1652" ht="15.75" customHeight="1">
      <c r="A1652" s="94"/>
      <c r="B1652" s="1164"/>
      <c r="C1652" s="1164"/>
      <c r="D1652" s="1429"/>
      <c r="E1652" s="1429"/>
      <c r="F1652" s="1429"/>
      <c r="G1652" s="1429"/>
      <c r="H1652" s="1430"/>
      <c r="I1652" s="94"/>
      <c r="J1652" s="1164"/>
      <c r="K1652" s="94"/>
      <c r="L1652" s="94"/>
      <c r="M1652" s="1430"/>
      <c r="N1652" s="94"/>
      <c r="O1652" s="1430"/>
      <c r="P1652" s="94"/>
      <c r="Q1652" s="1431"/>
      <c r="R1652" s="1164"/>
      <c r="S1652" s="1164"/>
      <c r="T1652" s="1164"/>
      <c r="U1652" s="2174"/>
      <c r="V1652" s="2174"/>
      <c r="W1652" s="2174"/>
      <c r="X1652" s="1164"/>
    </row>
    <row r="1653" ht="15.75" customHeight="1">
      <c r="A1653" s="94"/>
      <c r="B1653" s="1164"/>
      <c r="C1653" s="1164"/>
      <c r="D1653" s="1429"/>
      <c r="E1653" s="1429"/>
      <c r="F1653" s="1429"/>
      <c r="G1653" s="1429"/>
      <c r="H1653" s="1430"/>
      <c r="I1653" s="94"/>
      <c r="J1653" s="1164"/>
      <c r="K1653" s="94"/>
      <c r="L1653" s="94"/>
      <c r="M1653" s="1430"/>
      <c r="N1653" s="94"/>
      <c r="O1653" s="1430"/>
      <c r="P1653" s="94"/>
      <c r="Q1653" s="1431"/>
      <c r="R1653" s="1164"/>
      <c r="S1653" s="1164"/>
      <c r="T1653" s="1164"/>
      <c r="U1653" s="2174"/>
      <c r="V1653" s="2174"/>
      <c r="W1653" s="2174"/>
      <c r="X1653" s="1164"/>
    </row>
    <row r="1654" ht="15.75" customHeight="1">
      <c r="A1654" s="94"/>
      <c r="B1654" s="94"/>
      <c r="C1654" s="1164"/>
      <c r="D1654" s="1429"/>
      <c r="E1654" s="1429"/>
      <c r="F1654" s="1429"/>
      <c r="G1654" s="1429"/>
      <c r="H1654" s="1430"/>
      <c r="I1654" s="94"/>
      <c r="J1654" s="1164"/>
      <c r="K1654" s="94"/>
      <c r="L1654" s="94"/>
      <c r="M1654" s="1430"/>
      <c r="N1654" s="94"/>
      <c r="O1654" s="1430"/>
      <c r="P1654" s="94"/>
      <c r="Q1654" s="1431"/>
      <c r="R1654" s="1164"/>
      <c r="S1654" s="1164"/>
      <c r="T1654" s="1164"/>
      <c r="U1654" s="2174"/>
      <c r="V1654" s="2174"/>
      <c r="W1654" s="2174"/>
      <c r="X1654" s="1164"/>
    </row>
    <row r="1655" ht="15.75" customHeight="1">
      <c r="A1655" s="94"/>
      <c r="B1655" s="94"/>
      <c r="C1655" s="1164"/>
      <c r="D1655" s="1429"/>
      <c r="E1655" s="1429"/>
      <c r="F1655" s="1429"/>
      <c r="G1655" s="1429"/>
      <c r="H1655" s="1430"/>
      <c r="I1655" s="94"/>
      <c r="J1655" s="1164"/>
      <c r="K1655" s="94"/>
      <c r="L1655" s="94"/>
      <c r="M1655" s="1430"/>
      <c r="N1655" s="94"/>
      <c r="O1655" s="1430"/>
      <c r="P1655" s="94"/>
      <c r="Q1655" s="1431"/>
      <c r="R1655" s="1164"/>
      <c r="S1655" s="1164"/>
      <c r="T1655" s="1164"/>
      <c r="U1655" s="2174"/>
      <c r="V1655" s="2174"/>
      <c r="W1655" s="2174"/>
      <c r="X1655" s="1164"/>
    </row>
    <row r="1656" ht="15.75" customHeight="1">
      <c r="A1656" s="94"/>
      <c r="B1656" s="94"/>
      <c r="C1656" s="1164"/>
      <c r="D1656" s="1429"/>
      <c r="E1656" s="1429"/>
      <c r="F1656" s="1429"/>
      <c r="G1656" s="1429"/>
      <c r="H1656" s="1430"/>
      <c r="I1656" s="94"/>
      <c r="J1656" s="1164"/>
      <c r="K1656" s="94"/>
      <c r="L1656" s="94"/>
      <c r="M1656" s="1430"/>
      <c r="N1656" s="94"/>
      <c r="O1656" s="1430"/>
      <c r="P1656" s="94"/>
      <c r="Q1656" s="1431"/>
      <c r="R1656" s="1164"/>
      <c r="S1656" s="1164"/>
      <c r="T1656" s="1164"/>
      <c r="U1656" s="2174"/>
      <c r="V1656" s="2174"/>
      <c r="W1656" s="2174"/>
      <c r="X1656" s="1164"/>
    </row>
    <row r="1657" ht="15.75" customHeight="1">
      <c r="A1657" s="94"/>
      <c r="B1657" s="94"/>
      <c r="C1657" s="1164"/>
      <c r="D1657" s="1429"/>
      <c r="E1657" s="1429"/>
      <c r="F1657" s="1429"/>
      <c r="G1657" s="1429"/>
      <c r="H1657" s="1430"/>
      <c r="I1657" s="94"/>
      <c r="J1657" s="1164"/>
      <c r="K1657" s="94"/>
      <c r="L1657" s="94"/>
      <c r="M1657" s="1430"/>
      <c r="N1657" s="94"/>
      <c r="O1657" s="1430"/>
      <c r="P1657" s="94"/>
      <c r="Q1657" s="1431"/>
      <c r="R1657" s="1164"/>
      <c r="S1657" s="1164"/>
      <c r="T1657" s="1164"/>
      <c r="U1657" s="2174"/>
      <c r="V1657" s="2174"/>
      <c r="W1657" s="2174"/>
      <c r="X1657" s="1164"/>
    </row>
    <row r="1658" ht="15.75" customHeight="1">
      <c r="A1658" s="94"/>
      <c r="B1658" s="1164"/>
      <c r="C1658" s="1164"/>
      <c r="D1658" s="1429"/>
      <c r="E1658" s="1429"/>
      <c r="F1658" s="1429"/>
      <c r="G1658" s="1429"/>
      <c r="H1658" s="1430"/>
      <c r="I1658" s="94"/>
      <c r="J1658" s="1164"/>
      <c r="K1658" s="94"/>
      <c r="L1658" s="94"/>
      <c r="M1658" s="1430"/>
      <c r="N1658" s="94"/>
      <c r="O1658" s="1430"/>
      <c r="P1658" s="94"/>
      <c r="Q1658" s="1431"/>
      <c r="R1658" s="1164"/>
      <c r="S1658" s="1164"/>
      <c r="T1658" s="1164"/>
      <c r="U1658" s="2174"/>
      <c r="V1658" s="2174"/>
      <c r="W1658" s="2174"/>
      <c r="X1658" s="1164"/>
    </row>
    <row r="1659" ht="15.75" customHeight="1">
      <c r="A1659" s="94"/>
      <c r="B1659" s="94"/>
      <c r="C1659" s="1164"/>
      <c r="D1659" s="1429"/>
      <c r="E1659" s="1429"/>
      <c r="F1659" s="1429"/>
      <c r="G1659" s="1429"/>
      <c r="H1659" s="1430"/>
      <c r="I1659" s="94"/>
      <c r="J1659" s="1164"/>
      <c r="K1659" s="94"/>
      <c r="L1659" s="94"/>
      <c r="M1659" s="1430"/>
      <c r="N1659" s="94"/>
      <c r="O1659" s="1430"/>
      <c r="P1659" s="94"/>
      <c r="Q1659" s="1431"/>
      <c r="R1659" s="1164"/>
      <c r="S1659" s="1164"/>
      <c r="T1659" s="1164"/>
      <c r="U1659" s="2174"/>
      <c r="V1659" s="2174"/>
      <c r="W1659" s="2174"/>
      <c r="X1659" s="1164"/>
    </row>
    <row r="1660" ht="15.75" customHeight="1">
      <c r="A1660" s="94"/>
      <c r="B1660" s="1164"/>
      <c r="C1660" s="1164"/>
      <c r="D1660" s="1429"/>
      <c r="E1660" s="1429"/>
      <c r="F1660" s="1429"/>
      <c r="G1660" s="1429"/>
      <c r="H1660" s="1430"/>
      <c r="I1660" s="94"/>
      <c r="J1660" s="1164"/>
      <c r="K1660" s="94"/>
      <c r="L1660" s="94"/>
      <c r="M1660" s="1430"/>
      <c r="N1660" s="94"/>
      <c r="O1660" s="1430"/>
      <c r="P1660" s="94"/>
      <c r="Q1660" s="1431"/>
      <c r="R1660" s="1164"/>
      <c r="S1660" s="1164"/>
      <c r="T1660" s="1164"/>
      <c r="U1660" s="2174"/>
      <c r="V1660" s="2174"/>
      <c r="W1660" s="2174"/>
      <c r="X1660" s="1164"/>
    </row>
    <row r="1661" ht="15.75" customHeight="1">
      <c r="A1661" s="94"/>
      <c r="B1661" s="94"/>
      <c r="C1661" s="1164"/>
      <c r="D1661" s="1429"/>
      <c r="E1661" s="1429"/>
      <c r="F1661" s="1429"/>
      <c r="G1661" s="1429"/>
      <c r="H1661" s="1430"/>
      <c r="I1661" s="94"/>
      <c r="J1661" s="1164"/>
      <c r="K1661" s="94"/>
      <c r="L1661" s="94"/>
      <c r="M1661" s="1430"/>
      <c r="N1661" s="94"/>
      <c r="O1661" s="1430"/>
      <c r="P1661" s="94"/>
      <c r="Q1661" s="1431"/>
      <c r="R1661" s="1164"/>
      <c r="S1661" s="1164"/>
      <c r="T1661" s="1164"/>
      <c r="U1661" s="2174"/>
      <c r="V1661" s="2174"/>
      <c r="W1661" s="2174"/>
      <c r="X1661" s="1164"/>
    </row>
    <row r="1662" ht="15.75" customHeight="1">
      <c r="A1662" s="94"/>
      <c r="B1662" s="94"/>
      <c r="C1662" s="1164"/>
      <c r="D1662" s="1429"/>
      <c r="E1662" s="1429"/>
      <c r="F1662" s="1429"/>
      <c r="G1662" s="1429"/>
      <c r="H1662" s="1430"/>
      <c r="I1662" s="94"/>
      <c r="J1662" s="1164"/>
      <c r="K1662" s="94"/>
      <c r="L1662" s="94"/>
      <c r="M1662" s="94"/>
      <c r="N1662" s="94"/>
      <c r="O1662" s="94"/>
      <c r="P1662" s="94"/>
      <c r="Q1662" s="1431"/>
      <c r="R1662" s="1164"/>
      <c r="S1662" s="1164"/>
      <c r="T1662" s="1164"/>
      <c r="U1662" s="2174"/>
      <c r="V1662" s="2174"/>
      <c r="W1662" s="2174"/>
      <c r="X1662" s="1164"/>
    </row>
    <row r="1663" ht="15.75" customHeight="1">
      <c r="A1663" s="94"/>
      <c r="B1663" s="1164"/>
      <c r="C1663" s="1164"/>
      <c r="D1663" s="1429"/>
      <c r="E1663" s="1429"/>
      <c r="F1663" s="1429"/>
      <c r="G1663" s="1429"/>
      <c r="H1663" s="1430"/>
      <c r="I1663" s="94"/>
      <c r="J1663" s="1164"/>
      <c r="K1663" s="94"/>
      <c r="L1663" s="94"/>
      <c r="M1663" s="94"/>
      <c r="N1663" s="94"/>
      <c r="O1663" s="94"/>
      <c r="P1663" s="94"/>
      <c r="Q1663" s="1431"/>
      <c r="R1663" s="1164"/>
      <c r="S1663" s="1164"/>
      <c r="T1663" s="1164"/>
      <c r="U1663" s="2174"/>
      <c r="V1663" s="2174"/>
      <c r="W1663" s="2174"/>
      <c r="X1663" s="1164"/>
    </row>
    <row r="1664" ht="15.75" customHeight="1">
      <c r="A1664" s="94"/>
      <c r="B1664" s="94"/>
      <c r="C1664" s="1164"/>
      <c r="D1664" s="1429"/>
      <c r="E1664" s="1429"/>
      <c r="F1664" s="1429"/>
      <c r="G1664" s="1429"/>
      <c r="H1664" s="1430"/>
      <c r="I1664" s="94"/>
      <c r="J1664" s="1164"/>
      <c r="K1664" s="94"/>
      <c r="L1664" s="94"/>
      <c r="M1664" s="1430"/>
      <c r="N1664" s="94"/>
      <c r="O1664" s="1430"/>
      <c r="P1664" s="94"/>
      <c r="Q1664" s="1431"/>
      <c r="R1664" s="1164"/>
      <c r="S1664" s="1164"/>
      <c r="T1664" s="1164"/>
      <c r="U1664" s="2174"/>
      <c r="V1664" s="2174"/>
      <c r="W1664" s="2174"/>
      <c r="X1664" s="1164"/>
    </row>
    <row r="1665" ht="15.75" customHeight="1">
      <c r="A1665" s="94"/>
      <c r="B1665" s="94"/>
      <c r="C1665" s="1164"/>
      <c r="D1665" s="1429"/>
      <c r="E1665" s="1429"/>
      <c r="F1665" s="1429"/>
      <c r="G1665" s="1429"/>
      <c r="H1665" s="1430"/>
      <c r="I1665" s="94"/>
      <c r="J1665" s="1164"/>
      <c r="K1665" s="94"/>
      <c r="L1665" s="94"/>
      <c r="M1665" s="1430"/>
      <c r="N1665" s="94"/>
      <c r="O1665" s="1430"/>
      <c r="P1665" s="94"/>
      <c r="Q1665" s="1431"/>
      <c r="R1665" s="1164"/>
      <c r="S1665" s="1164"/>
      <c r="T1665" s="1164"/>
      <c r="U1665" s="2174"/>
      <c r="V1665" s="2174"/>
      <c r="W1665" s="2174"/>
      <c r="X1665" s="1164"/>
    </row>
    <row r="1666" ht="15.75" customHeight="1">
      <c r="A1666" s="94"/>
      <c r="B1666" s="94"/>
      <c r="C1666" s="1164"/>
      <c r="D1666" s="1429"/>
      <c r="E1666" s="1429"/>
      <c r="F1666" s="1429"/>
      <c r="G1666" s="1429"/>
      <c r="H1666" s="1430"/>
      <c r="I1666" s="94"/>
      <c r="J1666" s="1164"/>
      <c r="K1666" s="94"/>
      <c r="L1666" s="94"/>
      <c r="M1666" s="1430"/>
      <c r="N1666" s="94"/>
      <c r="O1666" s="1430"/>
      <c r="P1666" s="94"/>
      <c r="Q1666" s="1431"/>
      <c r="R1666" s="1164"/>
      <c r="S1666" s="1164"/>
      <c r="T1666" s="1164"/>
      <c r="U1666" s="2174"/>
      <c r="V1666" s="2174"/>
      <c r="W1666" s="2174"/>
      <c r="X1666" s="1164"/>
    </row>
    <row r="1667" ht="15.75" customHeight="1">
      <c r="A1667" s="94"/>
      <c r="B1667" s="1164"/>
      <c r="C1667" s="1164"/>
      <c r="D1667" s="1429"/>
      <c r="E1667" s="1429"/>
      <c r="F1667" s="1429"/>
      <c r="G1667" s="1429"/>
      <c r="H1667" s="1430"/>
      <c r="I1667" s="94"/>
      <c r="J1667" s="1164"/>
      <c r="K1667" s="94"/>
      <c r="L1667" s="94"/>
      <c r="M1667" s="1430"/>
      <c r="N1667" s="94"/>
      <c r="O1667" s="1430"/>
      <c r="P1667" s="94"/>
      <c r="Q1667" s="1431"/>
      <c r="R1667" s="1164"/>
      <c r="S1667" s="1164"/>
      <c r="T1667" s="1164"/>
      <c r="U1667" s="2174"/>
      <c r="V1667" s="2174"/>
      <c r="W1667" s="2174"/>
      <c r="X1667" s="1164"/>
    </row>
    <row r="1668" ht="15.75" customHeight="1">
      <c r="A1668" s="94"/>
      <c r="B1668" s="1164"/>
      <c r="C1668" s="1164"/>
      <c r="D1668" s="1429"/>
      <c r="E1668" s="1429"/>
      <c r="F1668" s="1429"/>
      <c r="G1668" s="1429"/>
      <c r="H1668" s="1430"/>
      <c r="I1668" s="94"/>
      <c r="J1668" s="1164"/>
      <c r="K1668" s="94"/>
      <c r="L1668" s="94"/>
      <c r="M1668" s="94"/>
      <c r="N1668" s="94"/>
      <c r="O1668" s="94"/>
      <c r="P1668" s="94"/>
      <c r="Q1668" s="1431"/>
      <c r="R1668" s="1164"/>
      <c r="S1668" s="1164"/>
      <c r="T1668" s="1164"/>
      <c r="U1668" s="2174"/>
      <c r="V1668" s="2174"/>
      <c r="W1668" s="2174"/>
      <c r="X1668" s="1164"/>
    </row>
    <row r="1669" ht="15.75" customHeight="1">
      <c r="A1669" s="94"/>
      <c r="B1669" s="1164"/>
      <c r="C1669" s="1164"/>
      <c r="D1669" s="1429"/>
      <c r="E1669" s="1429"/>
      <c r="F1669" s="1429"/>
      <c r="G1669" s="1429"/>
      <c r="H1669" s="1430"/>
      <c r="I1669" s="94"/>
      <c r="J1669" s="1164"/>
      <c r="K1669" s="94"/>
      <c r="L1669" s="94"/>
      <c r="M1669" s="94"/>
      <c r="N1669" s="94"/>
      <c r="O1669" s="94"/>
      <c r="P1669" s="94"/>
      <c r="Q1669" s="1431"/>
      <c r="R1669" s="1164"/>
      <c r="S1669" s="1164"/>
      <c r="T1669" s="1164"/>
      <c r="U1669" s="2174"/>
      <c r="V1669" s="2174"/>
      <c r="W1669" s="2174"/>
      <c r="X1669" s="1164"/>
    </row>
    <row r="1670" ht="15.75" customHeight="1">
      <c r="A1670" s="94"/>
      <c r="B1670" s="94"/>
      <c r="C1670" s="1164"/>
      <c r="D1670" s="1429"/>
      <c r="E1670" s="1429"/>
      <c r="F1670" s="1429"/>
      <c r="G1670" s="1429"/>
      <c r="H1670" s="1430"/>
      <c r="I1670" s="94"/>
      <c r="J1670" s="1164"/>
      <c r="K1670" s="94"/>
      <c r="L1670" s="94"/>
      <c r="M1670" s="1430"/>
      <c r="N1670" s="94"/>
      <c r="O1670" s="1430"/>
      <c r="P1670" s="94"/>
      <c r="Q1670" s="1431"/>
      <c r="R1670" s="1164"/>
      <c r="S1670" s="1164"/>
      <c r="T1670" s="1164"/>
      <c r="U1670" s="2174"/>
      <c r="V1670" s="2174"/>
      <c r="W1670" s="2174"/>
      <c r="X1670" s="1164"/>
    </row>
    <row r="1671" ht="15.75" customHeight="1">
      <c r="A1671" s="94"/>
      <c r="B1671" s="94"/>
      <c r="C1671" s="1164"/>
      <c r="D1671" s="1429"/>
      <c r="E1671" s="1429"/>
      <c r="F1671" s="1429"/>
      <c r="G1671" s="1429"/>
      <c r="H1671" s="1430"/>
      <c r="I1671" s="94"/>
      <c r="J1671" s="1164"/>
      <c r="K1671" s="94"/>
      <c r="L1671" s="94"/>
      <c r="M1671" s="1430"/>
      <c r="N1671" s="94"/>
      <c r="O1671" s="1430"/>
      <c r="P1671" s="94"/>
      <c r="Q1671" s="1431"/>
      <c r="R1671" s="1164"/>
      <c r="S1671" s="1164"/>
      <c r="T1671" s="1164"/>
      <c r="U1671" s="2174"/>
      <c r="V1671" s="2174"/>
      <c r="W1671" s="2174"/>
      <c r="X1671" s="1164"/>
    </row>
    <row r="1672" ht="15.75" customHeight="1">
      <c r="A1672" s="94"/>
      <c r="B1672" s="94"/>
      <c r="C1672" s="1164"/>
      <c r="D1672" s="1429"/>
      <c r="E1672" s="1429"/>
      <c r="F1672" s="1429"/>
      <c r="G1672" s="1429"/>
      <c r="H1672" s="1430"/>
      <c r="I1672" s="94"/>
      <c r="J1672" s="1164"/>
      <c r="K1672" s="94"/>
      <c r="L1672" s="94"/>
      <c r="M1672" s="1430"/>
      <c r="N1672" s="94"/>
      <c r="O1672" s="1430"/>
      <c r="P1672" s="94"/>
      <c r="Q1672" s="1431"/>
      <c r="R1672" s="1164"/>
      <c r="S1672" s="1164"/>
      <c r="T1672" s="1164"/>
      <c r="U1672" s="2174"/>
      <c r="V1672" s="2174"/>
      <c r="W1672" s="2174"/>
      <c r="X1672" s="1164"/>
    </row>
    <row r="1673" ht="15.75" customHeight="1">
      <c r="A1673" s="94"/>
      <c r="B1673" s="94"/>
      <c r="C1673" s="1164"/>
      <c r="D1673" s="1429"/>
      <c r="E1673" s="1429"/>
      <c r="F1673" s="1429"/>
      <c r="G1673" s="1429"/>
      <c r="H1673" s="1430"/>
      <c r="I1673" s="94"/>
      <c r="J1673" s="1164"/>
      <c r="K1673" s="94"/>
      <c r="L1673" s="94"/>
      <c r="M1673" s="1430"/>
      <c r="N1673" s="94"/>
      <c r="O1673" s="1430"/>
      <c r="P1673" s="94"/>
      <c r="Q1673" s="1431"/>
      <c r="R1673" s="1164"/>
      <c r="S1673" s="1164"/>
      <c r="T1673" s="1164"/>
      <c r="U1673" s="2174"/>
      <c r="V1673" s="2174"/>
      <c r="W1673" s="2174"/>
      <c r="X1673" s="1164"/>
    </row>
    <row r="1674" ht="15.75" customHeight="1">
      <c r="A1674" s="94"/>
      <c r="B1674" s="1164"/>
      <c r="C1674" s="1164"/>
      <c r="D1674" s="1429"/>
      <c r="E1674" s="1429"/>
      <c r="F1674" s="1429"/>
      <c r="G1674" s="1429"/>
      <c r="H1674" s="1430"/>
      <c r="I1674" s="94"/>
      <c r="J1674" s="1164"/>
      <c r="K1674" s="94"/>
      <c r="L1674" s="94"/>
      <c r="M1674" s="94"/>
      <c r="N1674" s="94"/>
      <c r="O1674" s="94"/>
      <c r="P1674" s="94"/>
      <c r="Q1674" s="1431"/>
      <c r="R1674" s="1164"/>
      <c r="S1674" s="1164"/>
      <c r="T1674" s="1164"/>
      <c r="U1674" s="2174"/>
      <c r="V1674" s="2174"/>
      <c r="W1674" s="2174"/>
      <c r="X1674" s="1164"/>
    </row>
    <row r="1675" ht="15.75" customHeight="1">
      <c r="A1675" s="94"/>
      <c r="B1675" s="94"/>
      <c r="C1675" s="1164"/>
      <c r="D1675" s="1429"/>
      <c r="E1675" s="1429"/>
      <c r="F1675" s="1429"/>
      <c r="G1675" s="1429"/>
      <c r="H1675" s="1430"/>
      <c r="I1675" s="94"/>
      <c r="J1675" s="1164"/>
      <c r="K1675" s="94"/>
      <c r="L1675" s="94"/>
      <c r="M1675" s="94"/>
      <c r="N1675" s="94"/>
      <c r="O1675" s="94"/>
      <c r="P1675" s="94"/>
      <c r="Q1675" s="1431"/>
      <c r="R1675" s="1164"/>
      <c r="S1675" s="1164"/>
      <c r="T1675" s="1164"/>
      <c r="U1675" s="2174"/>
      <c r="V1675" s="2174"/>
      <c r="W1675" s="2174"/>
      <c r="X1675" s="1164"/>
    </row>
    <row r="1676" ht="15.75" customHeight="1">
      <c r="A1676" s="94"/>
      <c r="B1676" s="94"/>
      <c r="C1676" s="1164"/>
      <c r="D1676" s="1429"/>
      <c r="E1676" s="1429"/>
      <c r="F1676" s="1429"/>
      <c r="G1676" s="1429"/>
      <c r="H1676" s="1430"/>
      <c r="I1676" s="94"/>
      <c r="J1676" s="1164"/>
      <c r="K1676" s="94"/>
      <c r="L1676" s="94"/>
      <c r="M1676" s="1430"/>
      <c r="N1676" s="94"/>
      <c r="O1676" s="1430"/>
      <c r="P1676" s="94"/>
      <c r="Q1676" s="1431"/>
      <c r="R1676" s="1164"/>
      <c r="S1676" s="1164"/>
      <c r="T1676" s="1164"/>
      <c r="U1676" s="2174"/>
      <c r="V1676" s="2174"/>
      <c r="W1676" s="2174"/>
      <c r="X1676" s="1164"/>
    </row>
    <row r="1677" ht="15.75" customHeight="1">
      <c r="A1677" s="94"/>
      <c r="B1677" s="1164"/>
      <c r="C1677" s="1164"/>
      <c r="D1677" s="1429"/>
      <c r="E1677" s="1429"/>
      <c r="F1677" s="1429"/>
      <c r="G1677" s="1429"/>
      <c r="H1677" s="1430"/>
      <c r="I1677" s="94"/>
      <c r="J1677" s="1164"/>
      <c r="K1677" s="94"/>
      <c r="L1677" s="94"/>
      <c r="M1677" s="94"/>
      <c r="N1677" s="94"/>
      <c r="O1677" s="94"/>
      <c r="P1677" s="94"/>
      <c r="Q1677" s="1431"/>
      <c r="R1677" s="1164"/>
      <c r="S1677" s="1164"/>
      <c r="T1677" s="1164"/>
      <c r="U1677" s="2174"/>
      <c r="V1677" s="2174"/>
      <c r="W1677" s="2174"/>
      <c r="X1677" s="1164"/>
    </row>
    <row r="1678" ht="15.75" customHeight="1">
      <c r="A1678" s="94"/>
      <c r="B1678" s="94"/>
      <c r="C1678" s="1164"/>
      <c r="D1678" s="1429"/>
      <c r="E1678" s="1429"/>
      <c r="F1678" s="1429"/>
      <c r="G1678" s="1429"/>
      <c r="H1678" s="1430"/>
      <c r="I1678" s="94"/>
      <c r="J1678" s="1164"/>
      <c r="K1678" s="94"/>
      <c r="L1678" s="94"/>
      <c r="M1678" s="1430"/>
      <c r="N1678" s="94"/>
      <c r="O1678" s="1430"/>
      <c r="P1678" s="94"/>
      <c r="Q1678" s="1431"/>
      <c r="R1678" s="1164"/>
      <c r="S1678" s="1164"/>
      <c r="T1678" s="1164"/>
      <c r="U1678" s="2174"/>
      <c r="V1678" s="2174"/>
      <c r="W1678" s="2174"/>
      <c r="X1678" s="1164"/>
    </row>
    <row r="1679" ht="15.75" customHeight="1">
      <c r="A1679" s="94"/>
      <c r="B1679" s="1164"/>
      <c r="C1679" s="1164"/>
      <c r="D1679" s="1429"/>
      <c r="E1679" s="1429"/>
      <c r="F1679" s="1429"/>
      <c r="G1679" s="1429"/>
      <c r="H1679" s="1430"/>
      <c r="I1679" s="94"/>
      <c r="J1679" s="1164"/>
      <c r="K1679" s="94"/>
      <c r="L1679" s="94"/>
      <c r="M1679" s="1430"/>
      <c r="N1679" s="94"/>
      <c r="O1679" s="1430"/>
      <c r="P1679" s="94"/>
      <c r="Q1679" s="1431"/>
      <c r="R1679" s="1164"/>
      <c r="S1679" s="1164"/>
      <c r="T1679" s="1164"/>
      <c r="U1679" s="2174"/>
      <c r="V1679" s="2174"/>
      <c r="W1679" s="2174"/>
      <c r="X1679" s="1164"/>
    </row>
    <row r="1680" ht="15.75" customHeight="1">
      <c r="A1680" s="94"/>
      <c r="B1680" s="94"/>
      <c r="C1680" s="1164"/>
      <c r="D1680" s="1429"/>
      <c r="E1680" s="1429"/>
      <c r="F1680" s="1429"/>
      <c r="G1680" s="1429"/>
      <c r="H1680" s="1430"/>
      <c r="I1680" s="94"/>
      <c r="J1680" s="1164"/>
      <c r="K1680" s="94"/>
      <c r="L1680" s="94"/>
      <c r="M1680" s="1430"/>
      <c r="N1680" s="94"/>
      <c r="O1680" s="1430"/>
      <c r="P1680" s="94"/>
      <c r="Q1680" s="1431"/>
      <c r="R1680" s="1164"/>
      <c r="S1680" s="1164"/>
      <c r="T1680" s="1164"/>
      <c r="U1680" s="2174"/>
      <c r="V1680" s="2174"/>
      <c r="W1680" s="2174"/>
      <c r="X1680" s="1164"/>
    </row>
    <row r="1681" ht="15.75" customHeight="1">
      <c r="A1681" s="94"/>
      <c r="B1681" s="1164"/>
      <c r="C1681" s="1164"/>
      <c r="D1681" s="1429"/>
      <c r="E1681" s="1429"/>
      <c r="F1681" s="1429"/>
      <c r="G1681" s="1429"/>
      <c r="H1681" s="1430"/>
      <c r="I1681" s="94"/>
      <c r="J1681" s="1164"/>
      <c r="K1681" s="94"/>
      <c r="L1681" s="94"/>
      <c r="M1681" s="1430"/>
      <c r="N1681" s="94"/>
      <c r="O1681" s="1430"/>
      <c r="P1681" s="94"/>
      <c r="Q1681" s="1431"/>
      <c r="R1681" s="1164"/>
      <c r="S1681" s="1164"/>
      <c r="T1681" s="1164"/>
      <c r="U1681" s="2174"/>
      <c r="V1681" s="2174"/>
      <c r="W1681" s="2174"/>
      <c r="X1681" s="1164"/>
    </row>
    <row r="1682" ht="15.75" customHeight="1">
      <c r="A1682" s="94"/>
      <c r="B1682" s="1164"/>
      <c r="C1682" s="1164"/>
      <c r="D1682" s="1429"/>
      <c r="E1682" s="1429"/>
      <c r="F1682" s="1429"/>
      <c r="G1682" s="1429"/>
      <c r="H1682" s="1430"/>
      <c r="I1682" s="94"/>
      <c r="J1682" s="1164"/>
      <c r="K1682" s="94"/>
      <c r="L1682" s="94"/>
      <c r="M1682" s="1430"/>
      <c r="N1682" s="94"/>
      <c r="O1682" s="1430"/>
      <c r="P1682" s="94"/>
      <c r="Q1682" s="1431"/>
      <c r="R1682" s="1164"/>
      <c r="S1682" s="1164"/>
      <c r="T1682" s="1164"/>
      <c r="U1682" s="2174"/>
      <c r="V1682" s="2174"/>
      <c r="W1682" s="2174"/>
      <c r="X1682" s="1164"/>
    </row>
    <row r="1683" ht="15.75" customHeight="1">
      <c r="A1683" s="94"/>
      <c r="B1683" s="94"/>
      <c r="C1683" s="1164"/>
      <c r="D1683" s="1429"/>
      <c r="E1683" s="1429"/>
      <c r="F1683" s="1429"/>
      <c r="G1683" s="1429"/>
      <c r="H1683" s="1430"/>
      <c r="I1683" s="94"/>
      <c r="J1683" s="1164"/>
      <c r="K1683" s="94"/>
      <c r="L1683" s="94"/>
      <c r="M1683" s="1430"/>
      <c r="N1683" s="94"/>
      <c r="O1683" s="1430"/>
      <c r="P1683" s="94"/>
      <c r="Q1683" s="1431"/>
      <c r="R1683" s="1164"/>
      <c r="S1683" s="1164"/>
      <c r="T1683" s="1164"/>
      <c r="U1683" s="2174"/>
      <c r="V1683" s="2174"/>
      <c r="W1683" s="2174"/>
      <c r="X1683" s="1164"/>
    </row>
    <row r="1684" ht="15.75" customHeight="1">
      <c r="A1684" s="94"/>
      <c r="B1684" s="1164"/>
      <c r="C1684" s="1164"/>
      <c r="D1684" s="1429"/>
      <c r="E1684" s="1429"/>
      <c r="F1684" s="1429"/>
      <c r="G1684" s="1429"/>
      <c r="H1684" s="1430"/>
      <c r="I1684" s="94"/>
      <c r="J1684" s="1164"/>
      <c r="K1684" s="94"/>
      <c r="L1684" s="94"/>
      <c r="M1684" s="1430"/>
      <c r="N1684" s="94"/>
      <c r="O1684" s="1430"/>
      <c r="P1684" s="94"/>
      <c r="Q1684" s="1431"/>
      <c r="R1684" s="1164"/>
      <c r="S1684" s="1164"/>
      <c r="T1684" s="1164"/>
      <c r="U1684" s="2174"/>
      <c r="V1684" s="2174"/>
      <c r="W1684" s="2174"/>
      <c r="X1684" s="1164"/>
    </row>
    <row r="1685" ht="15.75" customHeight="1">
      <c r="A1685" s="94"/>
      <c r="B1685" s="1164"/>
      <c r="C1685" s="1164"/>
      <c r="D1685" s="1429"/>
      <c r="E1685" s="1429"/>
      <c r="F1685" s="1429"/>
      <c r="G1685" s="1429"/>
      <c r="H1685" s="1430"/>
      <c r="I1685" s="94"/>
      <c r="J1685" s="1164"/>
      <c r="K1685" s="94"/>
      <c r="L1685" s="94"/>
      <c r="M1685" s="1430"/>
      <c r="N1685" s="94"/>
      <c r="O1685" s="1430"/>
      <c r="P1685" s="94"/>
      <c r="Q1685" s="1431"/>
      <c r="R1685" s="1164"/>
      <c r="S1685" s="1164"/>
      <c r="T1685" s="1164"/>
      <c r="U1685" s="2174"/>
      <c r="V1685" s="2174"/>
      <c r="W1685" s="2174"/>
      <c r="X1685" s="1164"/>
    </row>
    <row r="1686" ht="15.75" customHeight="1">
      <c r="A1686" s="94"/>
      <c r="B1686" s="1164"/>
      <c r="C1686" s="1164"/>
      <c r="D1686" s="1429"/>
      <c r="E1686" s="1429"/>
      <c r="F1686" s="1429"/>
      <c r="G1686" s="1429"/>
      <c r="H1686" s="1430"/>
      <c r="I1686" s="94"/>
      <c r="J1686" s="1164"/>
      <c r="K1686" s="94"/>
      <c r="L1686" s="94"/>
      <c r="M1686" s="1430"/>
      <c r="N1686" s="94"/>
      <c r="O1686" s="1430"/>
      <c r="P1686" s="94"/>
      <c r="Q1686" s="1431"/>
      <c r="R1686" s="1164"/>
      <c r="S1686" s="1164"/>
      <c r="T1686" s="1164"/>
      <c r="U1686" s="2174"/>
      <c r="V1686" s="2174"/>
      <c r="W1686" s="2174"/>
      <c r="X1686" s="1164"/>
    </row>
    <row r="1687" ht="15.75" customHeight="1">
      <c r="A1687" s="94"/>
      <c r="B1687" s="94"/>
      <c r="C1687" s="94"/>
      <c r="D1687" s="94"/>
      <c r="E1687" s="94"/>
      <c r="F1687" s="94"/>
      <c r="G1687" s="94"/>
      <c r="H1687" s="1430"/>
      <c r="I1687" s="1430"/>
      <c r="J1687" s="1430"/>
      <c r="K1687" s="1430"/>
      <c r="L1687" s="1430"/>
      <c r="M1687" s="1430"/>
      <c r="N1687" s="1430"/>
      <c r="O1687" s="1430"/>
      <c r="P1687" s="1430"/>
      <c r="Q1687" s="94"/>
      <c r="R1687" s="1430"/>
      <c r="S1687" s="1430"/>
      <c r="T1687" s="1430"/>
      <c r="U1687" s="94"/>
      <c r="V1687" s="94"/>
      <c r="W1687" s="94"/>
      <c r="X1687" s="1430"/>
    </row>
    <row r="1688" ht="15.75" customHeight="1">
      <c r="A1688" s="94"/>
      <c r="B1688" s="94"/>
      <c r="C1688" s="1164"/>
      <c r="D1688" s="1429"/>
      <c r="E1688" s="1429"/>
      <c r="F1688" s="1429"/>
      <c r="G1688" s="1429"/>
      <c r="H1688" s="1430"/>
      <c r="I1688" s="1430"/>
      <c r="J1688" s="94"/>
      <c r="K1688" s="94"/>
      <c r="L1688" s="94"/>
      <c r="M1688" s="94"/>
      <c r="N1688" s="94"/>
      <c r="O1688" s="94"/>
      <c r="P1688" s="94"/>
      <c r="Q1688" s="1431"/>
      <c r="R1688" s="1164"/>
      <c r="S1688" s="1164"/>
      <c r="T1688" s="1164"/>
      <c r="U1688" s="94"/>
      <c r="V1688" s="94"/>
      <c r="W1688" s="94"/>
      <c r="X1688" s="1164"/>
    </row>
    <row r="1689" ht="15.75" customHeight="1">
      <c r="A1689" s="94"/>
      <c r="B1689" s="94"/>
      <c r="C1689" s="1164"/>
      <c r="D1689" s="1429"/>
      <c r="E1689" s="1429"/>
      <c r="F1689" s="1429"/>
      <c r="G1689" s="1429"/>
      <c r="H1689" s="1430"/>
      <c r="I1689" s="1430"/>
      <c r="J1689" s="94"/>
      <c r="K1689" s="94"/>
      <c r="L1689" s="94"/>
      <c r="M1689" s="94"/>
      <c r="N1689" s="94"/>
      <c r="O1689" s="94"/>
      <c r="P1689" s="94"/>
      <c r="Q1689" s="1431"/>
      <c r="R1689" s="1164"/>
      <c r="S1689" s="1164"/>
      <c r="T1689" s="1164"/>
      <c r="U1689" s="2174"/>
      <c r="V1689" s="2174"/>
      <c r="W1689" s="2174"/>
      <c r="X1689" s="1164"/>
    </row>
    <row r="1690" ht="15.75" customHeight="1">
      <c r="A1690" s="94"/>
      <c r="B1690" s="94"/>
      <c r="C1690" s="1164"/>
      <c r="D1690" s="1429"/>
      <c r="E1690" s="1429"/>
      <c r="F1690" s="1429"/>
      <c r="G1690" s="1429"/>
      <c r="H1690" s="1430"/>
      <c r="I1690" s="1430"/>
      <c r="J1690" s="94"/>
      <c r="K1690" s="94"/>
      <c r="L1690" s="94"/>
      <c r="M1690" s="94"/>
      <c r="N1690" s="94"/>
      <c r="O1690" s="94"/>
      <c r="P1690" s="94"/>
      <c r="Q1690" s="1431"/>
      <c r="R1690" s="1164"/>
      <c r="S1690" s="1164"/>
      <c r="T1690" s="1164"/>
      <c r="U1690" s="2174"/>
      <c r="V1690" s="2174"/>
      <c r="W1690" s="2174"/>
      <c r="X1690" s="1164"/>
    </row>
    <row r="1691" ht="15.75" customHeight="1">
      <c r="A1691" s="94"/>
      <c r="B1691" s="94"/>
      <c r="C1691" s="1164"/>
      <c r="D1691" s="1429"/>
      <c r="E1691" s="1429"/>
      <c r="F1691" s="1429"/>
      <c r="G1691" s="1429"/>
      <c r="H1691" s="1430"/>
      <c r="I1691" s="1430"/>
      <c r="J1691" s="94"/>
      <c r="K1691" s="94"/>
      <c r="L1691" s="94"/>
      <c r="M1691" s="94"/>
      <c r="N1691" s="94"/>
      <c r="O1691" s="94"/>
      <c r="P1691" s="94"/>
      <c r="Q1691" s="1431"/>
      <c r="R1691" s="1164"/>
      <c r="S1691" s="1164"/>
      <c r="T1691" s="1164"/>
      <c r="U1691" s="2174"/>
      <c r="V1691" s="2174"/>
      <c r="W1691" s="2174"/>
      <c r="X1691" s="1164"/>
    </row>
    <row r="1692" ht="15.75" customHeight="1">
      <c r="A1692" s="94"/>
      <c r="B1692" s="94"/>
      <c r="C1692" s="1164"/>
      <c r="D1692" s="1429"/>
      <c r="E1692" s="1429"/>
      <c r="F1692" s="1429"/>
      <c r="G1692" s="1429"/>
      <c r="H1692" s="1430"/>
      <c r="I1692" s="94"/>
      <c r="J1692" s="1164"/>
      <c r="K1692" s="94"/>
      <c r="L1692" s="94"/>
      <c r="M1692" s="1430"/>
      <c r="N1692" s="94"/>
      <c r="O1692" s="1430"/>
      <c r="P1692" s="94"/>
      <c r="Q1692" s="1431"/>
      <c r="R1692" s="1164"/>
      <c r="S1692" s="1164"/>
      <c r="T1692" s="1164"/>
      <c r="U1692" s="2174"/>
      <c r="V1692" s="2174"/>
      <c r="W1692" s="2174"/>
      <c r="X1692" s="1164"/>
    </row>
    <row r="1693" ht="15.75" customHeight="1">
      <c r="A1693" s="94"/>
      <c r="B1693" s="94"/>
      <c r="C1693" s="1164"/>
      <c r="D1693" s="1429"/>
      <c r="E1693" s="1429"/>
      <c r="F1693" s="1429"/>
      <c r="G1693" s="1429"/>
      <c r="H1693" s="1430"/>
      <c r="I1693" s="94"/>
      <c r="J1693" s="1164"/>
      <c r="K1693" s="94"/>
      <c r="L1693" s="94"/>
      <c r="M1693" s="1430"/>
      <c r="N1693" s="94"/>
      <c r="O1693" s="1430"/>
      <c r="P1693" s="94"/>
      <c r="Q1693" s="1431"/>
      <c r="R1693" s="1164"/>
      <c r="S1693" s="1164"/>
      <c r="T1693" s="1164"/>
      <c r="U1693" s="2174"/>
      <c r="V1693" s="2174"/>
      <c r="W1693" s="2174"/>
      <c r="X1693" s="1164"/>
    </row>
    <row r="1694" ht="15.75" customHeight="1">
      <c r="A1694" s="94"/>
      <c r="B1694" s="94"/>
      <c r="C1694" s="1164"/>
      <c r="D1694" s="1429"/>
      <c r="E1694" s="1429"/>
      <c r="F1694" s="1429"/>
      <c r="G1694" s="1429"/>
      <c r="H1694" s="1430"/>
      <c r="I1694" s="94"/>
      <c r="J1694" s="1164"/>
      <c r="K1694" s="94"/>
      <c r="L1694" s="94"/>
      <c r="M1694" s="1430"/>
      <c r="N1694" s="94"/>
      <c r="O1694" s="1430"/>
      <c r="P1694" s="94"/>
      <c r="Q1694" s="1431"/>
      <c r="R1694" s="1164"/>
      <c r="S1694" s="1164"/>
      <c r="T1694" s="1164"/>
      <c r="U1694" s="2174"/>
      <c r="V1694" s="2174"/>
      <c r="W1694" s="2174"/>
      <c r="X1694" s="1164"/>
    </row>
    <row r="1695" ht="15.75" customHeight="1">
      <c r="A1695" s="94"/>
      <c r="B1695" s="94"/>
      <c r="C1695" s="1164"/>
      <c r="D1695" s="1429"/>
      <c r="E1695" s="1429"/>
      <c r="F1695" s="1429"/>
      <c r="G1695" s="1429"/>
      <c r="H1695" s="1430"/>
      <c r="I1695" s="94"/>
      <c r="J1695" s="1164"/>
      <c r="K1695" s="94"/>
      <c r="L1695" s="94"/>
      <c r="M1695" s="1430"/>
      <c r="N1695" s="94"/>
      <c r="O1695" s="1430"/>
      <c r="P1695" s="94"/>
      <c r="Q1695" s="1431"/>
      <c r="R1695" s="1164"/>
      <c r="S1695" s="1164"/>
      <c r="T1695" s="1164"/>
      <c r="U1695" s="2174"/>
      <c r="V1695" s="2174"/>
      <c r="W1695" s="2174"/>
      <c r="X1695" s="1164"/>
    </row>
    <row r="1696" ht="15.75" customHeight="1">
      <c r="A1696" s="94"/>
      <c r="B1696" s="94"/>
      <c r="C1696" s="1164"/>
      <c r="D1696" s="1429"/>
      <c r="E1696" s="1429"/>
      <c r="F1696" s="1429"/>
      <c r="G1696" s="1429"/>
      <c r="H1696" s="1430"/>
      <c r="I1696" s="94"/>
      <c r="J1696" s="1164"/>
      <c r="K1696" s="94"/>
      <c r="L1696" s="94"/>
      <c r="M1696" s="1430"/>
      <c r="N1696" s="94"/>
      <c r="O1696" s="1430"/>
      <c r="P1696" s="94"/>
      <c r="Q1696" s="1431"/>
      <c r="R1696" s="1164"/>
      <c r="S1696" s="1164"/>
      <c r="T1696" s="1164"/>
      <c r="U1696" s="2174"/>
      <c r="V1696" s="2174"/>
      <c r="W1696" s="2174"/>
      <c r="X1696" s="1164"/>
    </row>
    <row r="1697" ht="15.75" customHeight="1">
      <c r="A1697" s="94"/>
      <c r="B1697" s="94"/>
      <c r="C1697" s="1164"/>
      <c r="D1697" s="1429"/>
      <c r="E1697" s="1429"/>
      <c r="F1697" s="1429"/>
      <c r="G1697" s="1429"/>
      <c r="H1697" s="1430"/>
      <c r="I1697" s="94"/>
      <c r="J1697" s="1164"/>
      <c r="K1697" s="94"/>
      <c r="L1697" s="94"/>
      <c r="M1697" s="1430"/>
      <c r="N1697" s="94"/>
      <c r="O1697" s="1430"/>
      <c r="P1697" s="94"/>
      <c r="Q1697" s="1431"/>
      <c r="R1697" s="1164"/>
      <c r="S1697" s="1164"/>
      <c r="T1697" s="1164"/>
      <c r="U1697" s="2174"/>
      <c r="V1697" s="2174"/>
      <c r="W1697" s="2174"/>
      <c r="X1697" s="1164"/>
    </row>
    <row r="1698" ht="15.75" customHeight="1">
      <c r="A1698" s="94"/>
      <c r="B1698" s="94"/>
      <c r="C1698" s="1164"/>
      <c r="D1698" s="1429"/>
      <c r="E1698" s="1429"/>
      <c r="F1698" s="1429"/>
      <c r="G1698" s="1429"/>
      <c r="H1698" s="1430"/>
      <c r="I1698" s="94"/>
      <c r="J1698" s="1164"/>
      <c r="K1698" s="94"/>
      <c r="L1698" s="94"/>
      <c r="M1698" s="94"/>
      <c r="N1698" s="94"/>
      <c r="O1698" s="94"/>
      <c r="P1698" s="94"/>
      <c r="Q1698" s="1431"/>
      <c r="R1698" s="1164"/>
      <c r="S1698" s="1164"/>
      <c r="T1698" s="1164"/>
      <c r="U1698" s="2174"/>
      <c r="V1698" s="2174"/>
      <c r="W1698" s="2174"/>
      <c r="X1698" s="1164"/>
    </row>
    <row r="1699" ht="15.75" customHeight="1">
      <c r="A1699" s="94"/>
      <c r="B1699" s="94"/>
      <c r="C1699" s="1164"/>
      <c r="D1699" s="1429"/>
      <c r="E1699" s="1429"/>
      <c r="F1699" s="1429"/>
      <c r="G1699" s="1429"/>
      <c r="H1699" s="1430"/>
      <c r="I1699" s="94"/>
      <c r="J1699" s="94"/>
      <c r="K1699" s="94"/>
      <c r="L1699" s="94"/>
      <c r="M1699" s="1430"/>
      <c r="N1699" s="94"/>
      <c r="O1699" s="1430"/>
      <c r="P1699" s="94"/>
      <c r="Q1699" s="1431"/>
      <c r="R1699" s="94"/>
      <c r="S1699" s="1164"/>
      <c r="T1699" s="1164"/>
      <c r="U1699" s="2174"/>
      <c r="V1699" s="2174"/>
      <c r="W1699" s="2174"/>
      <c r="X1699" s="1164"/>
    </row>
    <row r="1700" ht="15.75" customHeight="1">
      <c r="A1700" s="94"/>
      <c r="B1700" s="94"/>
      <c r="C1700" s="1164"/>
      <c r="D1700" s="1429"/>
      <c r="E1700" s="1429"/>
      <c r="F1700" s="1429"/>
      <c r="G1700" s="1429"/>
      <c r="H1700" s="1430"/>
      <c r="I1700" s="94"/>
      <c r="J1700" s="1164"/>
      <c r="K1700" s="94"/>
      <c r="L1700" s="94"/>
      <c r="M1700" s="1430"/>
      <c r="N1700" s="94"/>
      <c r="O1700" s="1430"/>
      <c r="P1700" s="94"/>
      <c r="Q1700" s="1431"/>
      <c r="R1700" s="1164"/>
      <c r="S1700" s="1164"/>
      <c r="T1700" s="1164"/>
      <c r="U1700" s="2174"/>
      <c r="V1700" s="2174"/>
      <c r="W1700" s="2174"/>
      <c r="X1700" s="1164"/>
    </row>
    <row r="1701" ht="15.75" customHeight="1">
      <c r="A1701" s="94"/>
      <c r="B1701" s="94"/>
      <c r="C1701" s="1164"/>
      <c r="D1701" s="1429"/>
      <c r="E1701" s="1429"/>
      <c r="F1701" s="1429"/>
      <c r="G1701" s="1429"/>
      <c r="H1701" s="1430"/>
      <c r="I1701" s="94"/>
      <c r="J1701" s="1164"/>
      <c r="K1701" s="94"/>
      <c r="L1701" s="94"/>
      <c r="M1701" s="1430"/>
      <c r="N1701" s="94"/>
      <c r="O1701" s="1430"/>
      <c r="P1701" s="94"/>
      <c r="Q1701" s="1431"/>
      <c r="R1701" s="1164"/>
      <c r="S1701" s="1164"/>
      <c r="T1701" s="1164"/>
      <c r="U1701" s="2174"/>
      <c r="V1701" s="2174"/>
      <c r="W1701" s="2174"/>
      <c r="X1701" s="1164"/>
    </row>
    <row r="1702" ht="15.75" customHeight="1">
      <c r="A1702" s="94"/>
      <c r="B1702" s="94"/>
      <c r="C1702" s="1164"/>
      <c r="D1702" s="1429"/>
      <c r="E1702" s="1429"/>
      <c r="F1702" s="1429"/>
      <c r="G1702" s="1429"/>
      <c r="H1702" s="1430"/>
      <c r="I1702" s="94"/>
      <c r="J1702" s="1164"/>
      <c r="K1702" s="94"/>
      <c r="L1702" s="94"/>
      <c r="M1702" s="1430"/>
      <c r="N1702" s="94"/>
      <c r="O1702" s="1430"/>
      <c r="P1702" s="94"/>
      <c r="Q1702" s="1431"/>
      <c r="R1702" s="1164"/>
      <c r="S1702" s="1164"/>
      <c r="T1702" s="1164"/>
      <c r="U1702" s="2174"/>
      <c r="V1702" s="2174"/>
      <c r="W1702" s="2174"/>
      <c r="X1702" s="1164"/>
    </row>
    <row r="1703" ht="15.75" customHeight="1">
      <c r="A1703" s="94"/>
      <c r="B1703" s="94"/>
      <c r="C1703" s="1164"/>
      <c r="D1703" s="1429"/>
      <c r="E1703" s="1429"/>
      <c r="F1703" s="1429"/>
      <c r="G1703" s="1429"/>
      <c r="H1703" s="1430"/>
      <c r="I1703" s="94"/>
      <c r="J1703" s="1164"/>
      <c r="K1703" s="94"/>
      <c r="L1703" s="94"/>
      <c r="M1703" s="1430"/>
      <c r="N1703" s="94"/>
      <c r="O1703" s="1430"/>
      <c r="P1703" s="94"/>
      <c r="Q1703" s="1431"/>
      <c r="R1703" s="1164"/>
      <c r="S1703" s="1164"/>
      <c r="T1703" s="1164"/>
      <c r="U1703" s="2174"/>
      <c r="V1703" s="2174"/>
      <c r="W1703" s="2174"/>
      <c r="X1703" s="1164"/>
    </row>
    <row r="1704" ht="15.75" customHeight="1">
      <c r="A1704" s="94"/>
      <c r="B1704" s="94"/>
      <c r="C1704" s="1164"/>
      <c r="D1704" s="1429"/>
      <c r="E1704" s="1429"/>
      <c r="F1704" s="1429"/>
      <c r="G1704" s="1429"/>
      <c r="H1704" s="1430"/>
      <c r="I1704" s="94"/>
      <c r="J1704" s="1164"/>
      <c r="K1704" s="94"/>
      <c r="L1704" s="94"/>
      <c r="M1704" s="1430"/>
      <c r="N1704" s="94"/>
      <c r="O1704" s="1430"/>
      <c r="P1704" s="94"/>
      <c r="Q1704" s="1431"/>
      <c r="R1704" s="1164"/>
      <c r="S1704" s="1164"/>
      <c r="T1704" s="1164"/>
      <c r="U1704" s="2174"/>
      <c r="V1704" s="2174"/>
      <c r="W1704" s="2174"/>
      <c r="X1704" s="1164"/>
    </row>
    <row r="1705" ht="15.75" customHeight="1">
      <c r="A1705" s="94"/>
      <c r="B1705" s="94"/>
      <c r="C1705" s="1164"/>
      <c r="D1705" s="1429"/>
      <c r="E1705" s="1429"/>
      <c r="F1705" s="1429"/>
      <c r="G1705" s="1429"/>
      <c r="H1705" s="1430"/>
      <c r="I1705" s="94"/>
      <c r="J1705" s="1164"/>
      <c r="K1705" s="94"/>
      <c r="L1705" s="94"/>
      <c r="M1705" s="1430"/>
      <c r="N1705" s="94"/>
      <c r="O1705" s="1430"/>
      <c r="P1705" s="94"/>
      <c r="Q1705" s="1431"/>
      <c r="R1705" s="1164"/>
      <c r="S1705" s="1164"/>
      <c r="T1705" s="1164"/>
      <c r="U1705" s="2174"/>
      <c r="V1705" s="2174"/>
      <c r="W1705" s="2174"/>
      <c r="X1705" s="1164"/>
    </row>
    <row r="1706" ht="15.75" customHeight="1">
      <c r="A1706" s="94"/>
      <c r="B1706" s="94"/>
      <c r="C1706" s="1164"/>
      <c r="D1706" s="1429"/>
      <c r="E1706" s="1429"/>
      <c r="F1706" s="1429"/>
      <c r="G1706" s="1429"/>
      <c r="H1706" s="1430"/>
      <c r="I1706" s="94"/>
      <c r="J1706" s="1164"/>
      <c r="K1706" s="94"/>
      <c r="L1706" s="94"/>
      <c r="M1706" s="1430"/>
      <c r="N1706" s="94"/>
      <c r="O1706" s="1430"/>
      <c r="P1706" s="94"/>
      <c r="Q1706" s="1431"/>
      <c r="R1706" s="1164"/>
      <c r="S1706" s="1164"/>
      <c r="T1706" s="1164"/>
      <c r="U1706" s="2174"/>
      <c r="V1706" s="2174"/>
      <c r="W1706" s="2174"/>
      <c r="X1706" s="1164"/>
    </row>
    <row r="1707" ht="15.75" customHeight="1">
      <c r="A1707" s="94"/>
      <c r="B1707" s="94"/>
      <c r="C1707" s="1164"/>
      <c r="D1707" s="1429"/>
      <c r="E1707" s="1429"/>
      <c r="F1707" s="1429"/>
      <c r="G1707" s="1429"/>
      <c r="H1707" s="1430"/>
      <c r="I1707" s="94"/>
      <c r="J1707" s="1164"/>
      <c r="K1707" s="94"/>
      <c r="L1707" s="94"/>
      <c r="M1707" s="1430"/>
      <c r="N1707" s="94"/>
      <c r="O1707" s="1430"/>
      <c r="P1707" s="94"/>
      <c r="Q1707" s="1431"/>
      <c r="R1707" s="1164"/>
      <c r="S1707" s="1164"/>
      <c r="T1707" s="1164"/>
      <c r="U1707" s="2174"/>
      <c r="V1707" s="2174"/>
      <c r="W1707" s="2174"/>
      <c r="X1707" s="1164"/>
    </row>
    <row r="1708" ht="15.75" customHeight="1">
      <c r="A1708" s="94"/>
      <c r="B1708" s="94"/>
      <c r="C1708" s="1164"/>
      <c r="D1708" s="1429"/>
      <c r="E1708" s="1429"/>
      <c r="F1708" s="1429"/>
      <c r="G1708" s="1429"/>
      <c r="H1708" s="1430"/>
      <c r="I1708" s="94"/>
      <c r="J1708" s="1164"/>
      <c r="K1708" s="94"/>
      <c r="L1708" s="94"/>
      <c r="M1708" s="1430"/>
      <c r="N1708" s="94"/>
      <c r="O1708" s="1430"/>
      <c r="P1708" s="94"/>
      <c r="Q1708" s="1431"/>
      <c r="R1708" s="1164"/>
      <c r="S1708" s="1164"/>
      <c r="T1708" s="1164"/>
      <c r="U1708" s="2174"/>
      <c r="V1708" s="2174"/>
      <c r="W1708" s="2174"/>
      <c r="X1708" s="1164"/>
    </row>
    <row r="1709" ht="15.75" customHeight="1">
      <c r="A1709" s="94"/>
      <c r="B1709" s="94"/>
      <c r="C1709" s="1164"/>
      <c r="D1709" s="1429"/>
      <c r="E1709" s="1429"/>
      <c r="F1709" s="1429"/>
      <c r="G1709" s="1429"/>
      <c r="H1709" s="1430"/>
      <c r="I1709" s="94"/>
      <c r="J1709" s="1164"/>
      <c r="K1709" s="94"/>
      <c r="L1709" s="94"/>
      <c r="M1709" s="1430"/>
      <c r="N1709" s="94"/>
      <c r="O1709" s="1430"/>
      <c r="P1709" s="94"/>
      <c r="Q1709" s="1431"/>
      <c r="R1709" s="1164"/>
      <c r="S1709" s="1164"/>
      <c r="T1709" s="1164"/>
      <c r="U1709" s="2174"/>
      <c r="V1709" s="2174"/>
      <c r="W1709" s="2174"/>
      <c r="X1709" s="1164"/>
    </row>
    <row r="1710" ht="15.75" customHeight="1">
      <c r="A1710" s="94"/>
      <c r="B1710" s="94"/>
      <c r="C1710" s="1164"/>
      <c r="D1710" s="1429"/>
      <c r="E1710" s="1429"/>
      <c r="F1710" s="1429"/>
      <c r="G1710" s="1429"/>
      <c r="H1710" s="1430"/>
      <c r="I1710" s="94"/>
      <c r="J1710" s="1164"/>
      <c r="K1710" s="94"/>
      <c r="L1710" s="94"/>
      <c r="M1710" s="1430"/>
      <c r="N1710" s="94"/>
      <c r="O1710" s="1430"/>
      <c r="P1710" s="94"/>
      <c r="Q1710" s="1431"/>
      <c r="R1710" s="1164"/>
      <c r="S1710" s="1164"/>
      <c r="T1710" s="1164"/>
      <c r="U1710" s="2174"/>
      <c r="V1710" s="2174"/>
      <c r="W1710" s="2174"/>
      <c r="X1710" s="1164"/>
    </row>
    <row r="1711" ht="15.75" customHeight="1">
      <c r="A1711" s="94"/>
      <c r="B1711" s="94"/>
      <c r="C1711" s="1164"/>
      <c r="D1711" s="1429"/>
      <c r="E1711" s="1429"/>
      <c r="F1711" s="1429"/>
      <c r="G1711" s="1429"/>
      <c r="H1711" s="1430"/>
      <c r="I1711" s="94"/>
      <c r="J1711" s="1164"/>
      <c r="K1711" s="94"/>
      <c r="L1711" s="94"/>
      <c r="M1711" s="1430"/>
      <c r="N1711" s="94"/>
      <c r="O1711" s="1430"/>
      <c r="P1711" s="94"/>
      <c r="Q1711" s="1431"/>
      <c r="R1711" s="1164"/>
      <c r="S1711" s="1164"/>
      <c r="T1711" s="1164"/>
      <c r="U1711" s="2174"/>
      <c r="V1711" s="2174"/>
      <c r="W1711" s="2174"/>
      <c r="X1711" s="1164"/>
    </row>
    <row r="1712" ht="15.75" customHeight="1">
      <c r="A1712" s="94"/>
      <c r="B1712" s="94"/>
      <c r="C1712" s="1164"/>
      <c r="D1712" s="1429"/>
      <c r="E1712" s="1429"/>
      <c r="F1712" s="1429"/>
      <c r="G1712" s="1429"/>
      <c r="H1712" s="1430"/>
      <c r="I1712" s="94"/>
      <c r="J1712" s="1164"/>
      <c r="K1712" s="94"/>
      <c r="L1712" s="94"/>
      <c r="M1712" s="1430"/>
      <c r="N1712" s="94"/>
      <c r="O1712" s="1430"/>
      <c r="P1712" s="94"/>
      <c r="Q1712" s="1431"/>
      <c r="R1712" s="1164"/>
      <c r="S1712" s="1164"/>
      <c r="T1712" s="1164"/>
      <c r="U1712" s="2174"/>
      <c r="V1712" s="2174"/>
      <c r="W1712" s="2174"/>
      <c r="X1712" s="1164"/>
    </row>
    <row r="1713" ht="15.75" customHeight="1">
      <c r="A1713" s="94"/>
      <c r="B1713" s="94"/>
      <c r="C1713" s="1164"/>
      <c r="D1713" s="1429"/>
      <c r="E1713" s="1429"/>
      <c r="F1713" s="1429"/>
      <c r="G1713" s="1429"/>
      <c r="H1713" s="1430"/>
      <c r="I1713" s="94"/>
      <c r="J1713" s="1164"/>
      <c r="K1713" s="94"/>
      <c r="L1713" s="94"/>
      <c r="M1713" s="1430"/>
      <c r="N1713" s="94"/>
      <c r="O1713" s="1430"/>
      <c r="P1713" s="94"/>
      <c r="Q1713" s="1431"/>
      <c r="R1713" s="1164"/>
      <c r="S1713" s="1164"/>
      <c r="T1713" s="1164"/>
      <c r="U1713" s="2174"/>
      <c r="V1713" s="2174"/>
      <c r="W1713" s="2174"/>
      <c r="X1713" s="1164"/>
    </row>
    <row r="1714" ht="15.75" customHeight="1">
      <c r="A1714" s="94"/>
      <c r="B1714" s="94"/>
      <c r="C1714" s="1164"/>
      <c r="D1714" s="1429"/>
      <c r="E1714" s="1429"/>
      <c r="F1714" s="1429"/>
      <c r="G1714" s="1429"/>
      <c r="H1714" s="1430"/>
      <c r="I1714" s="94"/>
      <c r="J1714" s="1164"/>
      <c r="K1714" s="94"/>
      <c r="L1714" s="94"/>
      <c r="M1714" s="1430"/>
      <c r="N1714" s="94"/>
      <c r="O1714" s="1430"/>
      <c r="P1714" s="94"/>
      <c r="Q1714" s="1431"/>
      <c r="R1714" s="1164"/>
      <c r="S1714" s="1164"/>
      <c r="T1714" s="1164"/>
      <c r="U1714" s="2174"/>
      <c r="V1714" s="2174"/>
      <c r="W1714" s="2174"/>
      <c r="X1714" s="1164"/>
    </row>
    <row r="1715" ht="15.75" customHeight="1">
      <c r="A1715" s="94"/>
      <c r="B1715" s="94"/>
      <c r="C1715" s="1164"/>
      <c r="D1715" s="1429"/>
      <c r="E1715" s="1429"/>
      <c r="F1715" s="1429"/>
      <c r="G1715" s="1429"/>
      <c r="H1715" s="1430"/>
      <c r="I1715" s="94"/>
      <c r="J1715" s="1164"/>
      <c r="K1715" s="94"/>
      <c r="L1715" s="94"/>
      <c r="M1715" s="1430"/>
      <c r="N1715" s="94"/>
      <c r="O1715" s="1430"/>
      <c r="P1715" s="94"/>
      <c r="Q1715" s="1431"/>
      <c r="R1715" s="1164"/>
      <c r="S1715" s="1164"/>
      <c r="T1715" s="1164"/>
      <c r="U1715" s="2174"/>
      <c r="V1715" s="2174"/>
      <c r="W1715" s="2174"/>
      <c r="X1715" s="1164"/>
    </row>
    <row r="1716" ht="15.75" customHeight="1">
      <c r="A1716" s="94"/>
      <c r="B1716" s="94"/>
      <c r="C1716" s="1164"/>
      <c r="D1716" s="1429"/>
      <c r="E1716" s="1429"/>
      <c r="F1716" s="1429"/>
      <c r="G1716" s="1429"/>
      <c r="H1716" s="1430"/>
      <c r="I1716" s="94"/>
      <c r="J1716" s="1164"/>
      <c r="K1716" s="94"/>
      <c r="L1716" s="94"/>
      <c r="M1716" s="94"/>
      <c r="N1716" s="94"/>
      <c r="O1716" s="94"/>
      <c r="P1716" s="94"/>
      <c r="Q1716" s="1431"/>
      <c r="R1716" s="1164"/>
      <c r="S1716" s="1164"/>
      <c r="T1716" s="1164"/>
      <c r="U1716" s="2174"/>
      <c r="V1716" s="2174"/>
      <c r="W1716" s="2174"/>
      <c r="X1716" s="1164"/>
    </row>
    <row r="1717" ht="15.75" customHeight="1">
      <c r="A1717" s="94"/>
      <c r="B1717" s="94"/>
      <c r="C1717" s="1164"/>
      <c r="D1717" s="1429"/>
      <c r="E1717" s="1429"/>
      <c r="F1717" s="1429"/>
      <c r="G1717" s="1429"/>
      <c r="H1717" s="1430"/>
      <c r="I1717" s="94"/>
      <c r="J1717" s="1164"/>
      <c r="K1717" s="94"/>
      <c r="L1717" s="94"/>
      <c r="M1717" s="1430"/>
      <c r="N1717" s="94"/>
      <c r="O1717" s="1430"/>
      <c r="P1717" s="94"/>
      <c r="Q1717" s="1431"/>
      <c r="R1717" s="1164"/>
      <c r="S1717" s="1164"/>
      <c r="T1717" s="1164"/>
      <c r="U1717" s="2174"/>
      <c r="V1717" s="2174"/>
      <c r="W1717" s="2174"/>
      <c r="X1717" s="1164"/>
    </row>
    <row r="1718" ht="15.75" customHeight="1">
      <c r="A1718" s="94"/>
      <c r="B1718" s="94"/>
      <c r="C1718" s="1164"/>
      <c r="D1718" s="1429"/>
      <c r="E1718" s="1429"/>
      <c r="F1718" s="1429"/>
      <c r="G1718" s="1429"/>
      <c r="H1718" s="1430"/>
      <c r="I1718" s="94"/>
      <c r="J1718" s="1164"/>
      <c r="K1718" s="94"/>
      <c r="L1718" s="94"/>
      <c r="M1718" s="1430"/>
      <c r="N1718" s="94"/>
      <c r="O1718" s="1430"/>
      <c r="P1718" s="94"/>
      <c r="Q1718" s="1431"/>
      <c r="R1718" s="1164"/>
      <c r="S1718" s="1164"/>
      <c r="T1718" s="1164"/>
      <c r="U1718" s="2174"/>
      <c r="V1718" s="2174"/>
      <c r="W1718" s="2174"/>
      <c r="X1718" s="1164"/>
    </row>
    <row r="1719" ht="15.75" customHeight="1">
      <c r="A1719" s="94"/>
      <c r="B1719" s="94"/>
      <c r="C1719" s="1164"/>
      <c r="D1719" s="1429"/>
      <c r="E1719" s="1429"/>
      <c r="F1719" s="1429"/>
      <c r="G1719" s="1429"/>
      <c r="H1719" s="1430"/>
      <c r="I1719" s="94"/>
      <c r="J1719" s="1164"/>
      <c r="K1719" s="94"/>
      <c r="L1719" s="94"/>
      <c r="M1719" s="1430"/>
      <c r="N1719" s="94"/>
      <c r="O1719" s="1430"/>
      <c r="P1719" s="94"/>
      <c r="Q1719" s="1431"/>
      <c r="R1719" s="1164"/>
      <c r="S1719" s="1164"/>
      <c r="T1719" s="1164"/>
      <c r="U1719" s="2174"/>
      <c r="V1719" s="2174"/>
      <c r="W1719" s="2174"/>
      <c r="X1719" s="1164"/>
    </row>
    <row r="1720" ht="15.75" customHeight="1">
      <c r="A1720" s="94"/>
      <c r="B1720" s="94"/>
      <c r="C1720" s="1164"/>
      <c r="D1720" s="1429"/>
      <c r="E1720" s="1429"/>
      <c r="F1720" s="1429"/>
      <c r="G1720" s="1429"/>
      <c r="H1720" s="1430"/>
      <c r="I1720" s="94"/>
      <c r="J1720" s="1164"/>
      <c r="K1720" s="94"/>
      <c r="L1720" s="94"/>
      <c r="M1720" s="1430"/>
      <c r="N1720" s="94"/>
      <c r="O1720" s="1430"/>
      <c r="P1720" s="94"/>
      <c r="Q1720" s="1431"/>
      <c r="R1720" s="1164"/>
      <c r="S1720" s="1164"/>
      <c r="T1720" s="1164"/>
      <c r="U1720" s="2174"/>
      <c r="V1720" s="2174"/>
      <c r="W1720" s="2174"/>
      <c r="X1720" s="1164"/>
    </row>
    <row r="1721" ht="15.75" customHeight="1">
      <c r="A1721" s="94"/>
      <c r="B1721" s="94"/>
      <c r="C1721" s="1164"/>
      <c r="D1721" s="1429"/>
      <c r="E1721" s="1429"/>
      <c r="F1721" s="1429"/>
      <c r="G1721" s="1429"/>
      <c r="H1721" s="1430"/>
      <c r="I1721" s="94"/>
      <c r="J1721" s="1164"/>
      <c r="K1721" s="94"/>
      <c r="L1721" s="94"/>
      <c r="M1721" s="1430"/>
      <c r="N1721" s="94"/>
      <c r="O1721" s="1430"/>
      <c r="P1721" s="94"/>
      <c r="Q1721" s="1431"/>
      <c r="R1721" s="1164"/>
      <c r="S1721" s="1164"/>
      <c r="T1721" s="1164"/>
      <c r="U1721" s="2174"/>
      <c r="V1721" s="2174"/>
      <c r="W1721" s="2174"/>
      <c r="X1721" s="1164"/>
    </row>
    <row r="1722" ht="15.75" customHeight="1">
      <c r="A1722" s="94"/>
      <c r="B1722" s="94"/>
      <c r="C1722" s="1164"/>
      <c r="D1722" s="1429"/>
      <c r="E1722" s="1429"/>
      <c r="F1722" s="1429"/>
      <c r="G1722" s="1429"/>
      <c r="H1722" s="1430"/>
      <c r="I1722" s="94"/>
      <c r="J1722" s="1164"/>
      <c r="K1722" s="94"/>
      <c r="L1722" s="94"/>
      <c r="M1722" s="1430"/>
      <c r="N1722" s="94"/>
      <c r="O1722" s="1430"/>
      <c r="P1722" s="94"/>
      <c r="Q1722" s="1431"/>
      <c r="R1722" s="1164"/>
      <c r="S1722" s="1164"/>
      <c r="T1722" s="1164"/>
      <c r="U1722" s="2174"/>
      <c r="V1722" s="2174"/>
      <c r="W1722" s="2174"/>
      <c r="X1722" s="1164"/>
    </row>
    <row r="1723" ht="15.75" customHeight="1">
      <c r="A1723" s="94"/>
      <c r="B1723" s="94"/>
      <c r="C1723" s="1164"/>
      <c r="D1723" s="1429"/>
      <c r="E1723" s="1429"/>
      <c r="F1723" s="1429"/>
      <c r="G1723" s="1429"/>
      <c r="H1723" s="1430"/>
      <c r="I1723" s="94"/>
      <c r="J1723" s="1164"/>
      <c r="K1723" s="94"/>
      <c r="L1723" s="94"/>
      <c r="M1723" s="1430"/>
      <c r="N1723" s="94"/>
      <c r="O1723" s="1430"/>
      <c r="P1723" s="94"/>
      <c r="Q1723" s="1431"/>
      <c r="R1723" s="1164"/>
      <c r="S1723" s="1164"/>
      <c r="T1723" s="1164"/>
      <c r="U1723" s="2174"/>
      <c r="V1723" s="2174"/>
      <c r="W1723" s="2174"/>
      <c r="X1723" s="1164"/>
    </row>
    <row r="1724" ht="15.75" customHeight="1">
      <c r="A1724" s="94"/>
      <c r="B1724" s="94"/>
      <c r="C1724" s="1164"/>
      <c r="D1724" s="1429"/>
      <c r="E1724" s="1429"/>
      <c r="F1724" s="1429"/>
      <c r="G1724" s="1429"/>
      <c r="H1724" s="1430"/>
      <c r="I1724" s="94"/>
      <c r="J1724" s="1164"/>
      <c r="K1724" s="94"/>
      <c r="L1724" s="94"/>
      <c r="M1724" s="94"/>
      <c r="N1724" s="94"/>
      <c r="O1724" s="94"/>
      <c r="P1724" s="94"/>
      <c r="Q1724" s="1431"/>
      <c r="R1724" s="1164"/>
      <c r="S1724" s="1164"/>
      <c r="T1724" s="1164"/>
      <c r="U1724" s="2174"/>
      <c r="V1724" s="2174"/>
      <c r="W1724" s="2174"/>
      <c r="X1724" s="1164"/>
    </row>
    <row r="1725" ht="15.75" customHeight="1">
      <c r="A1725" s="94"/>
      <c r="B1725" s="94"/>
      <c r="C1725" s="1164"/>
      <c r="D1725" s="1429"/>
      <c r="E1725" s="1429"/>
      <c r="F1725" s="1429"/>
      <c r="G1725" s="1429"/>
      <c r="H1725" s="1430"/>
      <c r="I1725" s="94"/>
      <c r="J1725" s="1164"/>
      <c r="K1725" s="94"/>
      <c r="L1725" s="94"/>
      <c r="M1725" s="1430"/>
      <c r="N1725" s="94"/>
      <c r="O1725" s="1430"/>
      <c r="P1725" s="94"/>
      <c r="Q1725" s="1431"/>
      <c r="R1725" s="1164"/>
      <c r="S1725" s="1164"/>
      <c r="T1725" s="1164"/>
      <c r="U1725" s="2174"/>
      <c r="V1725" s="2174"/>
      <c r="W1725" s="2174"/>
      <c r="X1725" s="1164"/>
    </row>
    <row r="1726" ht="15.75" customHeight="1">
      <c r="A1726" s="94"/>
      <c r="B1726" s="94"/>
      <c r="C1726" s="1164"/>
      <c r="D1726" s="1429"/>
      <c r="E1726" s="1429"/>
      <c r="F1726" s="1429"/>
      <c r="G1726" s="1429"/>
      <c r="H1726" s="1430"/>
      <c r="I1726" s="94"/>
      <c r="J1726" s="1164"/>
      <c r="K1726" s="94"/>
      <c r="L1726" s="94"/>
      <c r="M1726" s="1430"/>
      <c r="N1726" s="94"/>
      <c r="O1726" s="1430"/>
      <c r="P1726" s="94"/>
      <c r="Q1726" s="1431"/>
      <c r="R1726" s="1164"/>
      <c r="S1726" s="1164"/>
      <c r="T1726" s="1164"/>
      <c r="U1726" s="2174"/>
      <c r="V1726" s="2174"/>
      <c r="W1726" s="2174"/>
      <c r="X1726" s="1164"/>
    </row>
    <row r="1727" ht="15.75" customHeight="1">
      <c r="A1727" s="94"/>
      <c r="B1727" s="94"/>
      <c r="C1727" s="1164"/>
      <c r="D1727" s="1429"/>
      <c r="E1727" s="1429"/>
      <c r="F1727" s="1429"/>
      <c r="G1727" s="1429"/>
      <c r="H1727" s="1430"/>
      <c r="I1727" s="94"/>
      <c r="J1727" s="1164"/>
      <c r="K1727" s="94"/>
      <c r="L1727" s="94"/>
      <c r="M1727" s="1430"/>
      <c r="N1727" s="94"/>
      <c r="O1727" s="1430"/>
      <c r="P1727" s="94"/>
      <c r="Q1727" s="1431"/>
      <c r="R1727" s="1164"/>
      <c r="S1727" s="1164"/>
      <c r="T1727" s="1164"/>
      <c r="U1727" s="2174"/>
      <c r="V1727" s="2174"/>
      <c r="W1727" s="2174"/>
      <c r="X1727" s="1164"/>
    </row>
    <row r="1728" ht="15.75" customHeight="1">
      <c r="A1728" s="94"/>
      <c r="B1728" s="94"/>
      <c r="C1728" s="1164"/>
      <c r="D1728" s="1429"/>
      <c r="E1728" s="1429"/>
      <c r="F1728" s="1429"/>
      <c r="G1728" s="1429"/>
      <c r="H1728" s="1430"/>
      <c r="I1728" s="94"/>
      <c r="J1728" s="1164"/>
      <c r="K1728" s="94"/>
      <c r="L1728" s="94"/>
      <c r="M1728" s="1430"/>
      <c r="N1728" s="94"/>
      <c r="O1728" s="1430"/>
      <c r="P1728" s="94"/>
      <c r="Q1728" s="1431"/>
      <c r="R1728" s="1164"/>
      <c r="S1728" s="1164"/>
      <c r="T1728" s="1164"/>
      <c r="U1728" s="2174"/>
      <c r="V1728" s="2174"/>
      <c r="W1728" s="2174"/>
      <c r="X1728" s="1164"/>
    </row>
    <row r="1729" ht="15.75" customHeight="1">
      <c r="A1729" s="94"/>
      <c r="B1729" s="94"/>
      <c r="C1729" s="1164"/>
      <c r="D1729" s="1429"/>
      <c r="E1729" s="1429"/>
      <c r="F1729" s="1429"/>
      <c r="G1729" s="1429"/>
      <c r="H1729" s="1430"/>
      <c r="I1729" s="94"/>
      <c r="J1729" s="1164"/>
      <c r="K1729" s="94"/>
      <c r="L1729" s="94"/>
      <c r="M1729" s="1430"/>
      <c r="N1729" s="94"/>
      <c r="O1729" s="1430"/>
      <c r="P1729" s="94"/>
      <c r="Q1729" s="1431"/>
      <c r="R1729" s="1164"/>
      <c r="S1729" s="1164"/>
      <c r="T1729" s="1164"/>
      <c r="U1729" s="2174"/>
      <c r="V1729" s="2174"/>
      <c r="W1729" s="2174"/>
      <c r="X1729" s="1164"/>
    </row>
    <row r="1730" ht="15.75" customHeight="1">
      <c r="A1730" s="94"/>
      <c r="B1730" s="94"/>
      <c r="C1730" s="1164"/>
      <c r="D1730" s="1429"/>
      <c r="E1730" s="1429"/>
      <c r="F1730" s="1429"/>
      <c r="G1730" s="1429"/>
      <c r="H1730" s="1430"/>
      <c r="I1730" s="94"/>
      <c r="J1730" s="1164"/>
      <c r="K1730" s="94"/>
      <c r="L1730" s="94"/>
      <c r="M1730" s="1430"/>
      <c r="N1730" s="94"/>
      <c r="O1730" s="1430"/>
      <c r="P1730" s="94"/>
      <c r="Q1730" s="1431"/>
      <c r="R1730" s="1164"/>
      <c r="S1730" s="1164"/>
      <c r="T1730" s="1164"/>
      <c r="U1730" s="2174"/>
      <c r="V1730" s="2174"/>
      <c r="W1730" s="2174"/>
      <c r="X1730" s="1164"/>
    </row>
    <row r="1731" ht="15.75" customHeight="1">
      <c r="A1731" s="94"/>
      <c r="B1731" s="94"/>
      <c r="C1731" s="1164"/>
      <c r="D1731" s="1429"/>
      <c r="E1731" s="1429"/>
      <c r="F1731" s="1429"/>
      <c r="G1731" s="1429"/>
      <c r="H1731" s="1430"/>
      <c r="I1731" s="94"/>
      <c r="J1731" s="1164"/>
      <c r="K1731" s="94"/>
      <c r="L1731" s="94"/>
      <c r="M1731" s="1430"/>
      <c r="N1731" s="94"/>
      <c r="O1731" s="1430"/>
      <c r="P1731" s="94"/>
      <c r="Q1731" s="1431"/>
      <c r="R1731" s="1164"/>
      <c r="S1731" s="1164"/>
      <c r="T1731" s="1164"/>
      <c r="U1731" s="2174"/>
      <c r="V1731" s="2174"/>
      <c r="W1731" s="2174"/>
      <c r="X1731" s="1164"/>
    </row>
    <row r="1732" ht="15.75" customHeight="1">
      <c r="A1732" s="94"/>
      <c r="B1732" s="94"/>
      <c r="C1732" s="1164"/>
      <c r="D1732" s="1429"/>
      <c r="E1732" s="1429"/>
      <c r="F1732" s="1429"/>
      <c r="G1732" s="1429"/>
      <c r="H1732" s="1430"/>
      <c r="I1732" s="94"/>
      <c r="J1732" s="1164"/>
      <c r="K1732" s="94"/>
      <c r="L1732" s="94"/>
      <c r="M1732" s="1430"/>
      <c r="N1732" s="94"/>
      <c r="O1732" s="1430"/>
      <c r="P1732" s="94"/>
      <c r="Q1732" s="1431"/>
      <c r="R1732" s="1164"/>
      <c r="S1732" s="1164"/>
      <c r="T1732" s="1164"/>
      <c r="U1732" s="2174"/>
      <c r="V1732" s="2174"/>
      <c r="W1732" s="2174"/>
      <c r="X1732" s="1164"/>
    </row>
    <row r="1733" ht="15.75" customHeight="1">
      <c r="A1733" s="94"/>
      <c r="B1733" s="94"/>
      <c r="C1733" s="1164"/>
      <c r="D1733" s="1429"/>
      <c r="E1733" s="1429"/>
      <c r="F1733" s="1429"/>
      <c r="G1733" s="1429"/>
      <c r="H1733" s="1430"/>
      <c r="I1733" s="94"/>
      <c r="J1733" s="1164"/>
      <c r="K1733" s="94"/>
      <c r="L1733" s="94"/>
      <c r="M1733" s="94"/>
      <c r="N1733" s="94"/>
      <c r="O1733" s="94"/>
      <c r="P1733" s="94"/>
      <c r="Q1733" s="1431"/>
      <c r="R1733" s="1164"/>
      <c r="S1733" s="1164"/>
      <c r="T1733" s="1164"/>
      <c r="U1733" s="2174"/>
      <c r="V1733" s="2174"/>
      <c r="W1733" s="2174"/>
      <c r="X1733" s="1164"/>
    </row>
    <row r="1734" ht="15.75" customHeight="1">
      <c r="A1734" s="94"/>
      <c r="B1734" s="94"/>
      <c r="C1734" s="1164"/>
      <c r="D1734" s="1429"/>
      <c r="E1734" s="1429"/>
      <c r="F1734" s="1429"/>
      <c r="G1734" s="1429"/>
      <c r="H1734" s="1430"/>
      <c r="I1734" s="94"/>
      <c r="J1734" s="1164"/>
      <c r="K1734" s="94"/>
      <c r="L1734" s="94"/>
      <c r="M1734" s="94"/>
      <c r="N1734" s="94"/>
      <c r="O1734" s="94"/>
      <c r="P1734" s="94"/>
      <c r="Q1734" s="1431"/>
      <c r="R1734" s="1164"/>
      <c r="S1734" s="1164"/>
      <c r="T1734" s="1164"/>
      <c r="U1734" s="2174"/>
      <c r="V1734" s="2174"/>
      <c r="W1734" s="2174"/>
      <c r="X1734" s="1164"/>
    </row>
    <row r="1735" ht="15.75" customHeight="1">
      <c r="A1735" s="94"/>
      <c r="B1735" s="94"/>
      <c r="C1735" s="1164"/>
      <c r="D1735" s="1429"/>
      <c r="E1735" s="1429"/>
      <c r="F1735" s="1429"/>
      <c r="G1735" s="1429"/>
      <c r="H1735" s="1430"/>
      <c r="I1735" s="94"/>
      <c r="J1735" s="1164"/>
      <c r="K1735" s="94"/>
      <c r="L1735" s="94"/>
      <c r="M1735" s="1430"/>
      <c r="N1735" s="94"/>
      <c r="O1735" s="1430"/>
      <c r="P1735" s="94"/>
      <c r="Q1735" s="1431"/>
      <c r="R1735" s="1164"/>
      <c r="S1735" s="1164"/>
      <c r="T1735" s="1164"/>
      <c r="U1735" s="2174"/>
      <c r="V1735" s="2174"/>
      <c r="W1735" s="2174"/>
      <c r="X1735" s="1164"/>
    </row>
    <row r="1736" ht="15.75" customHeight="1">
      <c r="A1736" s="94"/>
      <c r="B1736" s="94"/>
      <c r="C1736" s="1164"/>
      <c r="D1736" s="1429"/>
      <c r="E1736" s="1429"/>
      <c r="F1736" s="1429"/>
      <c r="G1736" s="1429"/>
      <c r="H1736" s="1430"/>
      <c r="I1736" s="94"/>
      <c r="J1736" s="1164"/>
      <c r="K1736" s="94"/>
      <c r="L1736" s="94"/>
      <c r="M1736" s="1430"/>
      <c r="N1736" s="94"/>
      <c r="O1736" s="1430"/>
      <c r="P1736" s="94"/>
      <c r="Q1736" s="1431"/>
      <c r="R1736" s="1164"/>
      <c r="S1736" s="1164"/>
      <c r="T1736" s="1164"/>
      <c r="U1736" s="2174"/>
      <c r="V1736" s="2174"/>
      <c r="W1736" s="2174"/>
      <c r="X1736" s="1164"/>
    </row>
    <row r="1737" ht="15.75" customHeight="1">
      <c r="A1737" s="94"/>
      <c r="B1737" s="94"/>
      <c r="C1737" s="1164"/>
      <c r="D1737" s="1429"/>
      <c r="E1737" s="1429"/>
      <c r="F1737" s="1429"/>
      <c r="G1737" s="1429"/>
      <c r="H1737" s="1430"/>
      <c r="I1737" s="94"/>
      <c r="J1737" s="1164"/>
      <c r="K1737" s="94"/>
      <c r="L1737" s="94"/>
      <c r="M1737" s="1430"/>
      <c r="N1737" s="94"/>
      <c r="O1737" s="1430"/>
      <c r="P1737" s="94"/>
      <c r="Q1737" s="1431"/>
      <c r="R1737" s="1164"/>
      <c r="S1737" s="1164"/>
      <c r="T1737" s="1164"/>
      <c r="U1737" s="2174"/>
      <c r="V1737" s="2174"/>
      <c r="W1737" s="2174"/>
      <c r="X1737" s="1164"/>
    </row>
    <row r="1738" ht="15.75" customHeight="1">
      <c r="A1738" s="94"/>
      <c r="B1738" s="94"/>
      <c r="C1738" s="1164"/>
      <c r="D1738" s="1429"/>
      <c r="E1738" s="1429"/>
      <c r="F1738" s="1429"/>
      <c r="G1738" s="1429"/>
      <c r="H1738" s="1430"/>
      <c r="I1738" s="94"/>
      <c r="J1738" s="1164"/>
      <c r="K1738" s="94"/>
      <c r="L1738" s="94"/>
      <c r="M1738" s="1430"/>
      <c r="N1738" s="94"/>
      <c r="O1738" s="1430"/>
      <c r="P1738" s="94"/>
      <c r="Q1738" s="1431"/>
      <c r="R1738" s="1164"/>
      <c r="S1738" s="1164"/>
      <c r="T1738" s="1164"/>
      <c r="U1738" s="2174"/>
      <c r="V1738" s="2174"/>
      <c r="W1738" s="2174"/>
      <c r="X1738" s="1164"/>
    </row>
    <row r="1739" ht="15.75" customHeight="1">
      <c r="A1739" s="94"/>
      <c r="B1739" s="94"/>
      <c r="C1739" s="1164"/>
      <c r="D1739" s="1429"/>
      <c r="E1739" s="1429"/>
      <c r="F1739" s="1429"/>
      <c r="G1739" s="1429"/>
      <c r="H1739" s="1430"/>
      <c r="I1739" s="94"/>
      <c r="J1739" s="1164"/>
      <c r="K1739" s="94"/>
      <c r="L1739" s="94"/>
      <c r="M1739" s="1430"/>
      <c r="N1739" s="94"/>
      <c r="O1739" s="1430"/>
      <c r="P1739" s="94"/>
      <c r="Q1739" s="1431"/>
      <c r="R1739" s="1164"/>
      <c r="S1739" s="1164"/>
      <c r="T1739" s="1164"/>
      <c r="U1739" s="2174"/>
      <c r="V1739" s="2174"/>
      <c r="W1739" s="2174"/>
      <c r="X1739" s="1164"/>
    </row>
    <row r="1740" ht="15.75" customHeight="1">
      <c r="A1740" s="94"/>
      <c r="B1740" s="94"/>
      <c r="C1740" s="1164"/>
      <c r="D1740" s="1429"/>
      <c r="E1740" s="1429"/>
      <c r="F1740" s="1429"/>
      <c r="G1740" s="1429"/>
      <c r="H1740" s="1430"/>
      <c r="I1740" s="94"/>
      <c r="J1740" s="1164"/>
      <c r="K1740" s="94"/>
      <c r="L1740" s="94"/>
      <c r="M1740" s="94"/>
      <c r="N1740" s="94"/>
      <c r="O1740" s="94"/>
      <c r="P1740" s="94"/>
      <c r="Q1740" s="1431"/>
      <c r="R1740" s="1164"/>
      <c r="S1740" s="1164"/>
      <c r="T1740" s="1164"/>
      <c r="U1740" s="2174"/>
      <c r="V1740" s="2174"/>
      <c r="W1740" s="2174"/>
      <c r="X1740" s="1164"/>
    </row>
    <row r="1741" ht="15.75" customHeight="1">
      <c r="A1741" s="94"/>
      <c r="B1741" s="94"/>
      <c r="C1741" s="1164"/>
      <c r="D1741" s="1429"/>
      <c r="E1741" s="1429"/>
      <c r="F1741" s="1429"/>
      <c r="G1741" s="1429"/>
      <c r="H1741" s="1430"/>
      <c r="I1741" s="94"/>
      <c r="J1741" s="1164"/>
      <c r="K1741" s="94"/>
      <c r="L1741" s="94"/>
      <c r="M1741" s="94"/>
      <c r="N1741" s="94"/>
      <c r="O1741" s="94"/>
      <c r="P1741" s="94"/>
      <c r="Q1741" s="1431"/>
      <c r="R1741" s="1164"/>
      <c r="S1741" s="1164"/>
      <c r="T1741" s="1164"/>
      <c r="U1741" s="2174"/>
      <c r="V1741" s="2174"/>
      <c r="W1741" s="2174"/>
      <c r="X1741" s="1164"/>
    </row>
    <row r="1742" ht="15.75" customHeight="1">
      <c r="A1742" s="94"/>
      <c r="B1742" s="94"/>
      <c r="C1742" s="1164"/>
      <c r="D1742" s="1429"/>
      <c r="E1742" s="1429"/>
      <c r="F1742" s="1429"/>
      <c r="G1742" s="1429"/>
      <c r="H1742" s="1430"/>
      <c r="I1742" s="94"/>
      <c r="J1742" s="1164"/>
      <c r="K1742" s="94"/>
      <c r="L1742" s="94"/>
      <c r="M1742" s="1430"/>
      <c r="N1742" s="94"/>
      <c r="O1742" s="1430"/>
      <c r="P1742" s="94"/>
      <c r="Q1742" s="1431"/>
      <c r="R1742" s="1164"/>
      <c r="S1742" s="1164"/>
      <c r="T1742" s="1164"/>
      <c r="U1742" s="2174"/>
      <c r="V1742" s="2174"/>
      <c r="W1742" s="2174"/>
      <c r="X1742" s="1164"/>
    </row>
    <row r="1743" ht="15.75" customHeight="1">
      <c r="A1743" s="94"/>
      <c r="B1743" s="94"/>
      <c r="C1743" s="1164"/>
      <c r="D1743" s="1429"/>
      <c r="E1743" s="1429"/>
      <c r="F1743" s="1429"/>
      <c r="G1743" s="1429"/>
      <c r="H1743" s="1430"/>
      <c r="I1743" s="94"/>
      <c r="J1743" s="1164"/>
      <c r="K1743" s="94"/>
      <c r="L1743" s="94"/>
      <c r="M1743" s="1430"/>
      <c r="N1743" s="94"/>
      <c r="O1743" s="1430"/>
      <c r="P1743" s="94"/>
      <c r="Q1743" s="1431"/>
      <c r="R1743" s="1164"/>
      <c r="S1743" s="1164"/>
      <c r="T1743" s="1164"/>
      <c r="U1743" s="2174"/>
      <c r="V1743" s="2174"/>
      <c r="W1743" s="2174"/>
      <c r="X1743" s="1164"/>
    </row>
    <row r="1744" ht="15.75" customHeight="1">
      <c r="A1744" s="94"/>
      <c r="B1744" s="94"/>
      <c r="C1744" s="94"/>
      <c r="D1744" s="94"/>
      <c r="E1744" s="94"/>
      <c r="F1744" s="94"/>
      <c r="G1744" s="94"/>
      <c r="H1744" s="1430"/>
      <c r="I1744" s="1430"/>
      <c r="J1744" s="1430"/>
      <c r="K1744" s="1430"/>
      <c r="L1744" s="1430"/>
      <c r="M1744" s="1430"/>
      <c r="N1744" s="1430"/>
      <c r="O1744" s="1430"/>
      <c r="P1744" s="1430"/>
      <c r="Q1744" s="1430"/>
      <c r="R1744" s="1430"/>
      <c r="S1744" s="1430"/>
      <c r="T1744" s="1430"/>
      <c r="U1744" s="94"/>
      <c r="V1744" s="94"/>
      <c r="W1744" s="94"/>
      <c r="X1744" s="1430"/>
    </row>
    <row r="1745" ht="15.75" customHeight="1">
      <c r="A1745" s="94"/>
      <c r="B1745" s="1164"/>
      <c r="C1745" s="1164"/>
      <c r="D1745" s="1429"/>
      <c r="E1745" s="1429"/>
      <c r="F1745" s="1429"/>
      <c r="G1745" s="1429"/>
      <c r="H1745" s="1430"/>
      <c r="I1745" s="94"/>
      <c r="J1745" s="1164"/>
      <c r="K1745" s="94"/>
      <c r="L1745" s="94"/>
      <c r="M1745" s="1430"/>
      <c r="N1745" s="94"/>
      <c r="O1745" s="1430"/>
      <c r="P1745" s="94"/>
      <c r="Q1745" s="1431"/>
      <c r="R1745" s="1164"/>
      <c r="S1745" s="1164"/>
      <c r="T1745" s="1164"/>
      <c r="U1745" s="2174"/>
      <c r="V1745" s="2174"/>
      <c r="W1745" s="2174"/>
      <c r="X1745" s="1164"/>
    </row>
    <row r="1746" ht="15.75" customHeight="1">
      <c r="A1746" s="94"/>
      <c r="B1746" s="94"/>
      <c r="C1746" s="1164"/>
      <c r="D1746" s="1429"/>
      <c r="E1746" s="1429"/>
      <c r="F1746" s="1429"/>
      <c r="G1746" s="1429"/>
      <c r="H1746" s="1430"/>
      <c r="I1746" s="94"/>
      <c r="J1746" s="1164"/>
      <c r="K1746" s="94"/>
      <c r="L1746" s="94"/>
      <c r="M1746" s="1430"/>
      <c r="N1746" s="94"/>
      <c r="O1746" s="1430"/>
      <c r="P1746" s="94"/>
      <c r="Q1746" s="1431"/>
      <c r="R1746" s="1164"/>
      <c r="S1746" s="1164"/>
      <c r="T1746" s="1164"/>
      <c r="U1746" s="2174"/>
      <c r="V1746" s="2174"/>
      <c r="W1746" s="2174"/>
      <c r="X1746" s="1164"/>
    </row>
    <row r="1747" ht="15.75" customHeight="1">
      <c r="A1747" s="94"/>
      <c r="B1747" s="1164"/>
      <c r="C1747" s="1164"/>
      <c r="D1747" s="1429"/>
      <c r="E1747" s="1429"/>
      <c r="F1747" s="1429"/>
      <c r="G1747" s="1429"/>
      <c r="H1747" s="1430"/>
      <c r="I1747" s="94"/>
      <c r="J1747" s="1164"/>
      <c r="K1747" s="94"/>
      <c r="L1747" s="94"/>
      <c r="M1747" s="1430"/>
      <c r="N1747" s="94"/>
      <c r="O1747" s="1430"/>
      <c r="P1747" s="94"/>
      <c r="Q1747" s="1431"/>
      <c r="R1747" s="1164"/>
      <c r="S1747" s="1164"/>
      <c r="T1747" s="1164"/>
      <c r="U1747" s="2174"/>
      <c r="V1747" s="2174"/>
      <c r="W1747" s="2174"/>
      <c r="X1747" s="1164"/>
    </row>
    <row r="1748" ht="15.75" customHeight="1">
      <c r="A1748" s="94"/>
      <c r="B1748" s="1164"/>
      <c r="C1748" s="1164"/>
      <c r="D1748" s="1429"/>
      <c r="E1748" s="1429"/>
      <c r="F1748" s="1429"/>
      <c r="G1748" s="1429"/>
      <c r="H1748" s="1430"/>
      <c r="I1748" s="94"/>
      <c r="J1748" s="1164"/>
      <c r="K1748" s="94"/>
      <c r="L1748" s="94"/>
      <c r="M1748" s="94"/>
      <c r="N1748" s="94"/>
      <c r="O1748" s="94"/>
      <c r="P1748" s="94"/>
      <c r="Q1748" s="1431"/>
      <c r="R1748" s="1164"/>
      <c r="S1748" s="1164"/>
      <c r="T1748" s="1164"/>
      <c r="U1748" s="2174"/>
      <c r="V1748" s="94"/>
      <c r="W1748" s="2174"/>
      <c r="X1748" s="1164"/>
    </row>
    <row r="1749" ht="15.75" customHeight="1">
      <c r="A1749" s="94"/>
      <c r="B1749" s="94"/>
      <c r="C1749" s="1164"/>
      <c r="D1749" s="1429"/>
      <c r="E1749" s="1429"/>
      <c r="F1749" s="1429"/>
      <c r="G1749" s="1429"/>
      <c r="H1749" s="1430"/>
      <c r="I1749" s="94"/>
      <c r="J1749" s="1164"/>
      <c r="K1749" s="94"/>
      <c r="L1749" s="94"/>
      <c r="M1749" s="94"/>
      <c r="N1749" s="94"/>
      <c r="O1749" s="94"/>
      <c r="P1749" s="94"/>
      <c r="Q1749" s="1431"/>
      <c r="R1749" s="1164"/>
      <c r="S1749" s="1164"/>
      <c r="T1749" s="1164"/>
      <c r="U1749" s="2174"/>
      <c r="V1749" s="2174"/>
      <c r="W1749" s="2174"/>
      <c r="X1749" s="1164"/>
    </row>
    <row r="1750" ht="15.75" customHeight="1">
      <c r="A1750" s="94"/>
      <c r="B1750" s="94"/>
      <c r="C1750" s="1164"/>
      <c r="D1750" s="1429"/>
      <c r="E1750" s="1429"/>
      <c r="F1750" s="1429"/>
      <c r="G1750" s="1429"/>
      <c r="H1750" s="1430"/>
      <c r="I1750" s="94"/>
      <c r="J1750" s="1164"/>
      <c r="K1750" s="94"/>
      <c r="L1750" s="94"/>
      <c r="M1750" s="1430"/>
      <c r="N1750" s="94"/>
      <c r="O1750" s="1430"/>
      <c r="P1750" s="94"/>
      <c r="Q1750" s="1431"/>
      <c r="R1750" s="1164"/>
      <c r="S1750" s="1164"/>
      <c r="T1750" s="1164"/>
      <c r="U1750" s="2174"/>
      <c r="V1750" s="2174"/>
      <c r="W1750" s="2174"/>
      <c r="X1750" s="1164"/>
    </row>
    <row r="1751" ht="15.75" customHeight="1">
      <c r="A1751" s="94"/>
      <c r="B1751" s="94"/>
      <c r="C1751" s="1164"/>
      <c r="D1751" s="1429"/>
      <c r="E1751" s="1429"/>
      <c r="F1751" s="1429"/>
      <c r="G1751" s="1429"/>
      <c r="H1751" s="1430"/>
      <c r="I1751" s="94"/>
      <c r="J1751" s="1164"/>
      <c r="K1751" s="94"/>
      <c r="L1751" s="94"/>
      <c r="M1751" s="1430"/>
      <c r="N1751" s="94"/>
      <c r="O1751" s="1430"/>
      <c r="P1751" s="94"/>
      <c r="Q1751" s="1431"/>
      <c r="R1751" s="1164"/>
      <c r="S1751" s="1164"/>
      <c r="T1751" s="1164"/>
      <c r="U1751" s="2174"/>
      <c r="V1751" s="2174"/>
      <c r="W1751" s="2174"/>
      <c r="X1751" s="1164"/>
    </row>
    <row r="1752" ht="15.75" customHeight="1">
      <c r="A1752" s="94"/>
      <c r="B1752" s="94"/>
      <c r="C1752" s="1164"/>
      <c r="D1752" s="1429"/>
      <c r="E1752" s="1429"/>
      <c r="F1752" s="1429"/>
      <c r="G1752" s="1429"/>
      <c r="H1752" s="1430"/>
      <c r="I1752" s="94"/>
      <c r="J1752" s="1164"/>
      <c r="K1752" s="94"/>
      <c r="L1752" s="94"/>
      <c r="M1752" s="1430"/>
      <c r="N1752" s="94"/>
      <c r="O1752" s="1430"/>
      <c r="P1752" s="94"/>
      <c r="Q1752" s="1431"/>
      <c r="R1752" s="1164"/>
      <c r="S1752" s="1164"/>
      <c r="T1752" s="1164"/>
      <c r="U1752" s="2174"/>
      <c r="V1752" s="2174"/>
      <c r="W1752" s="2174"/>
      <c r="X1752" s="1164"/>
    </row>
    <row r="1753" ht="15.75" customHeight="1">
      <c r="A1753" s="94"/>
      <c r="B1753" s="1164"/>
      <c r="C1753" s="1164"/>
      <c r="D1753" s="1429"/>
      <c r="E1753" s="1429"/>
      <c r="F1753" s="1429"/>
      <c r="G1753" s="1429"/>
      <c r="H1753" s="1430"/>
      <c r="I1753" s="94"/>
      <c r="J1753" s="1164"/>
      <c r="K1753" s="94"/>
      <c r="L1753" s="94"/>
      <c r="M1753" s="1430"/>
      <c r="N1753" s="94"/>
      <c r="O1753" s="1430"/>
      <c r="P1753" s="94"/>
      <c r="Q1753" s="1431"/>
      <c r="R1753" s="1164"/>
      <c r="S1753" s="1164"/>
      <c r="T1753" s="1164"/>
      <c r="U1753" s="2174"/>
      <c r="V1753" s="2174"/>
      <c r="W1753" s="2174"/>
      <c r="X1753" s="1164"/>
    </row>
    <row r="1754" ht="15.75" customHeight="1">
      <c r="A1754" s="94"/>
      <c r="B1754" s="94"/>
      <c r="C1754" s="1164"/>
      <c r="D1754" s="1429"/>
      <c r="E1754" s="1429"/>
      <c r="F1754" s="1429"/>
      <c r="G1754" s="1429"/>
      <c r="H1754" s="1430"/>
      <c r="I1754" s="94"/>
      <c r="J1754" s="1164"/>
      <c r="K1754" s="94"/>
      <c r="L1754" s="94"/>
      <c r="M1754" s="1430"/>
      <c r="N1754" s="94"/>
      <c r="O1754" s="1430"/>
      <c r="P1754" s="94"/>
      <c r="Q1754" s="1431"/>
      <c r="R1754" s="1164"/>
      <c r="S1754" s="1164"/>
      <c r="T1754" s="1164"/>
      <c r="U1754" s="2174"/>
      <c r="V1754" s="2174"/>
      <c r="W1754" s="2174"/>
      <c r="X1754" s="1164"/>
    </row>
    <row r="1755" ht="15.75" customHeight="1">
      <c r="A1755" s="94"/>
      <c r="B1755" s="94"/>
      <c r="C1755" s="1164"/>
      <c r="D1755" s="1429"/>
      <c r="E1755" s="1429"/>
      <c r="F1755" s="1429"/>
      <c r="G1755" s="1429"/>
      <c r="H1755" s="1430"/>
      <c r="I1755" s="94"/>
      <c r="J1755" s="1164"/>
      <c r="K1755" s="94"/>
      <c r="L1755" s="94"/>
      <c r="M1755" s="1430"/>
      <c r="N1755" s="94"/>
      <c r="O1755" s="1430"/>
      <c r="P1755" s="94"/>
      <c r="Q1755" s="1431"/>
      <c r="R1755" s="1164"/>
      <c r="S1755" s="1164"/>
      <c r="T1755" s="1164"/>
      <c r="U1755" s="2174"/>
      <c r="V1755" s="2174"/>
      <c r="W1755" s="2174"/>
      <c r="X1755" s="1164"/>
    </row>
    <row r="1756" ht="15.75" customHeight="1">
      <c r="A1756" s="94"/>
      <c r="B1756" s="94"/>
      <c r="C1756" s="1164"/>
      <c r="D1756" s="1429"/>
      <c r="E1756" s="1429"/>
      <c r="F1756" s="1429"/>
      <c r="G1756" s="1429"/>
      <c r="H1756" s="1430"/>
      <c r="I1756" s="94"/>
      <c r="J1756" s="1164"/>
      <c r="K1756" s="94"/>
      <c r="L1756" s="94"/>
      <c r="M1756" s="1430"/>
      <c r="N1756" s="94"/>
      <c r="O1756" s="1430"/>
      <c r="P1756" s="94"/>
      <c r="Q1756" s="1431"/>
      <c r="R1756" s="1164"/>
      <c r="S1756" s="1164"/>
      <c r="T1756" s="1164"/>
      <c r="U1756" s="2174"/>
      <c r="V1756" s="2174"/>
      <c r="W1756" s="2174"/>
      <c r="X1756" s="1164"/>
    </row>
    <row r="1757" ht="15.75" customHeight="1">
      <c r="A1757" s="94"/>
      <c r="B1757" s="94"/>
      <c r="C1757" s="1164"/>
      <c r="D1757" s="1429"/>
      <c r="E1757" s="1429"/>
      <c r="F1757" s="1429"/>
      <c r="G1757" s="1429"/>
      <c r="H1757" s="1430"/>
      <c r="I1757" s="94"/>
      <c r="J1757" s="1164"/>
      <c r="K1757" s="94"/>
      <c r="L1757" s="94"/>
      <c r="M1757" s="1430"/>
      <c r="N1757" s="94"/>
      <c r="O1757" s="1430"/>
      <c r="P1757" s="94"/>
      <c r="Q1757" s="1431"/>
      <c r="R1757" s="1164"/>
      <c r="S1757" s="1164"/>
      <c r="T1757" s="1164"/>
      <c r="U1757" s="2174"/>
      <c r="V1757" s="2174"/>
      <c r="W1757" s="2174"/>
      <c r="X1757" s="1164"/>
    </row>
    <row r="1758" ht="15.75" customHeight="1">
      <c r="A1758" s="94"/>
      <c r="B1758" s="94"/>
      <c r="C1758" s="1164"/>
      <c r="D1758" s="1429"/>
      <c r="E1758" s="1429"/>
      <c r="F1758" s="1429"/>
      <c r="G1758" s="1429"/>
      <c r="H1758" s="1430"/>
      <c r="I1758" s="94"/>
      <c r="J1758" s="1164"/>
      <c r="K1758" s="94"/>
      <c r="L1758" s="94"/>
      <c r="M1758" s="1430"/>
      <c r="N1758" s="94"/>
      <c r="O1758" s="1430"/>
      <c r="P1758" s="94"/>
      <c r="Q1758" s="1431"/>
      <c r="R1758" s="1164"/>
      <c r="S1758" s="1164"/>
      <c r="T1758" s="1164"/>
      <c r="U1758" s="2174"/>
      <c r="V1758" s="2174"/>
      <c r="W1758" s="2174"/>
      <c r="X1758" s="1164"/>
    </row>
    <row r="1759" ht="15.75" customHeight="1">
      <c r="A1759" s="94"/>
      <c r="B1759" s="94"/>
      <c r="C1759" s="1164"/>
      <c r="D1759" s="1429"/>
      <c r="E1759" s="1429"/>
      <c r="F1759" s="1429"/>
      <c r="G1759" s="1429"/>
      <c r="H1759" s="1430"/>
      <c r="I1759" s="94"/>
      <c r="J1759" s="1164"/>
      <c r="K1759" s="94"/>
      <c r="L1759" s="94"/>
      <c r="M1759" s="1430"/>
      <c r="N1759" s="94"/>
      <c r="O1759" s="1430"/>
      <c r="P1759" s="94"/>
      <c r="Q1759" s="1431"/>
      <c r="R1759" s="1164"/>
      <c r="S1759" s="1164"/>
      <c r="T1759" s="1164"/>
      <c r="U1759" s="2174"/>
      <c r="V1759" s="2174"/>
      <c r="W1759" s="2174"/>
      <c r="X1759" s="1164"/>
    </row>
    <row r="1760" ht="15.75" customHeight="1">
      <c r="A1760" s="94"/>
      <c r="B1760" s="94"/>
      <c r="C1760" s="1164"/>
      <c r="D1760" s="1429"/>
      <c r="E1760" s="1429"/>
      <c r="F1760" s="1429"/>
      <c r="G1760" s="1429"/>
      <c r="H1760" s="1430"/>
      <c r="I1760" s="94"/>
      <c r="J1760" s="1164"/>
      <c r="K1760" s="94"/>
      <c r="L1760" s="94"/>
      <c r="M1760" s="94"/>
      <c r="N1760" s="94"/>
      <c r="O1760" s="94"/>
      <c r="P1760" s="94"/>
      <c r="Q1760" s="1431"/>
      <c r="R1760" s="1164"/>
      <c r="S1760" s="1164"/>
      <c r="T1760" s="1164"/>
      <c r="U1760" s="2174"/>
      <c r="V1760" s="94"/>
      <c r="W1760" s="2174"/>
      <c r="X1760" s="1164"/>
    </row>
    <row r="1761" ht="15.75" customHeight="1">
      <c r="A1761" s="94"/>
      <c r="B1761" s="94"/>
      <c r="C1761" s="1164"/>
      <c r="D1761" s="1429"/>
      <c r="E1761" s="1429"/>
      <c r="F1761" s="1429"/>
      <c r="G1761" s="1429"/>
      <c r="H1761" s="1430"/>
      <c r="I1761" s="94"/>
      <c r="J1761" s="1164"/>
      <c r="K1761" s="94"/>
      <c r="L1761" s="94"/>
      <c r="M1761" s="1430"/>
      <c r="N1761" s="94"/>
      <c r="O1761" s="1430"/>
      <c r="P1761" s="94"/>
      <c r="Q1761" s="1431"/>
      <c r="R1761" s="1164"/>
      <c r="S1761" s="1164"/>
      <c r="T1761" s="1164"/>
      <c r="U1761" s="2174"/>
      <c r="V1761" s="2174"/>
      <c r="W1761" s="2174"/>
      <c r="X1761" s="1164"/>
    </row>
    <row r="1762" ht="15.75" customHeight="1">
      <c r="A1762" s="94"/>
      <c r="B1762" s="94"/>
      <c r="C1762" s="1164"/>
      <c r="D1762" s="1429"/>
      <c r="E1762" s="1429"/>
      <c r="F1762" s="1429"/>
      <c r="G1762" s="1429"/>
      <c r="H1762" s="1430"/>
      <c r="I1762" s="94"/>
      <c r="J1762" s="1164"/>
      <c r="K1762" s="94"/>
      <c r="L1762" s="94"/>
      <c r="M1762" s="1430"/>
      <c r="N1762" s="94"/>
      <c r="O1762" s="1430"/>
      <c r="P1762" s="94"/>
      <c r="Q1762" s="1431"/>
      <c r="R1762" s="1164"/>
      <c r="S1762" s="1164"/>
      <c r="T1762" s="1164"/>
      <c r="U1762" s="2174"/>
      <c r="V1762" s="2174"/>
      <c r="W1762" s="2174"/>
      <c r="X1762" s="1164"/>
    </row>
    <row r="1763" ht="15.75" customHeight="1">
      <c r="A1763" s="94"/>
      <c r="B1763" s="94"/>
      <c r="C1763" s="1164"/>
      <c r="D1763" s="1429"/>
      <c r="E1763" s="1429"/>
      <c r="F1763" s="1429"/>
      <c r="G1763" s="1429"/>
      <c r="H1763" s="1430"/>
      <c r="I1763" s="94"/>
      <c r="J1763" s="1164"/>
      <c r="K1763" s="94"/>
      <c r="L1763" s="94"/>
      <c r="M1763" s="1430"/>
      <c r="N1763" s="94"/>
      <c r="O1763" s="1430"/>
      <c r="P1763" s="94"/>
      <c r="Q1763" s="1431"/>
      <c r="R1763" s="1164"/>
      <c r="S1763" s="1164"/>
      <c r="T1763" s="1164"/>
      <c r="U1763" s="2174"/>
      <c r="V1763" s="2174"/>
      <c r="W1763" s="2174"/>
      <c r="X1763" s="1164"/>
    </row>
    <row r="1764" ht="15.75" customHeight="1">
      <c r="A1764" s="94"/>
      <c r="B1764" s="94"/>
      <c r="C1764" s="1164"/>
      <c r="D1764" s="1429"/>
      <c r="E1764" s="1429"/>
      <c r="F1764" s="1429"/>
      <c r="G1764" s="1429"/>
      <c r="H1764" s="1430"/>
      <c r="I1764" s="94"/>
      <c r="J1764" s="1164"/>
      <c r="K1764" s="94"/>
      <c r="L1764" s="94"/>
      <c r="M1764" s="94"/>
      <c r="N1764" s="94"/>
      <c r="O1764" s="94"/>
      <c r="P1764" s="94"/>
      <c r="Q1764" s="1431"/>
      <c r="R1764" s="1164"/>
      <c r="S1764" s="1164"/>
      <c r="T1764" s="1164"/>
      <c r="U1764" s="94"/>
      <c r="V1764" s="94"/>
      <c r="W1764" s="94"/>
      <c r="X1764" s="1164"/>
    </row>
    <row r="1765" ht="15.75" customHeight="1">
      <c r="A1765" s="94"/>
      <c r="B1765" s="94"/>
      <c r="C1765" s="1164"/>
      <c r="D1765" s="1429"/>
      <c r="E1765" s="1429"/>
      <c r="F1765" s="1429"/>
      <c r="G1765" s="1429"/>
      <c r="H1765" s="1430"/>
      <c r="I1765" s="94"/>
      <c r="J1765" s="1164"/>
      <c r="K1765" s="94"/>
      <c r="L1765" s="94"/>
      <c r="M1765" s="1430"/>
      <c r="N1765" s="94"/>
      <c r="O1765" s="1430"/>
      <c r="P1765" s="94"/>
      <c r="Q1765" s="1431"/>
      <c r="R1765" s="1164"/>
      <c r="S1765" s="1164"/>
      <c r="T1765" s="1164"/>
      <c r="U1765" s="2174"/>
      <c r="V1765" s="2174"/>
      <c r="W1765" s="2174"/>
      <c r="X1765" s="1164"/>
    </row>
    <row r="1766" ht="15.75" customHeight="1">
      <c r="A1766" s="94"/>
      <c r="B1766" s="94"/>
      <c r="C1766" s="1164"/>
      <c r="D1766" s="1429"/>
      <c r="E1766" s="1429"/>
      <c r="F1766" s="1429"/>
      <c r="G1766" s="1429"/>
      <c r="H1766" s="1430"/>
      <c r="I1766" s="94"/>
      <c r="J1766" s="1164"/>
      <c r="K1766" s="94"/>
      <c r="L1766" s="94"/>
      <c r="M1766" s="1430"/>
      <c r="N1766" s="94"/>
      <c r="O1766" s="1430"/>
      <c r="P1766" s="94"/>
      <c r="Q1766" s="1431"/>
      <c r="R1766" s="1164"/>
      <c r="S1766" s="1164"/>
      <c r="T1766" s="1164"/>
      <c r="U1766" s="2174"/>
      <c r="V1766" s="2174"/>
      <c r="W1766" s="2174"/>
      <c r="X1766" s="1164"/>
    </row>
    <row r="1767" ht="15.75" customHeight="1">
      <c r="A1767" s="94"/>
      <c r="B1767" s="94"/>
      <c r="C1767" s="1164"/>
      <c r="D1767" s="1429"/>
      <c r="E1767" s="1429"/>
      <c r="F1767" s="1429"/>
      <c r="G1767" s="1429"/>
      <c r="H1767" s="1430"/>
      <c r="I1767" s="94"/>
      <c r="J1767" s="1164"/>
      <c r="K1767" s="94"/>
      <c r="L1767" s="94"/>
      <c r="M1767" s="1430"/>
      <c r="N1767" s="94"/>
      <c r="O1767" s="1430"/>
      <c r="P1767" s="94"/>
      <c r="Q1767" s="1431"/>
      <c r="R1767" s="1164"/>
      <c r="S1767" s="1164"/>
      <c r="T1767" s="1164"/>
      <c r="U1767" s="2174"/>
      <c r="V1767" s="2174"/>
      <c r="W1767" s="2174"/>
      <c r="X1767" s="1164"/>
    </row>
    <row r="1768" ht="15.75" customHeight="1">
      <c r="A1768" s="94"/>
      <c r="B1768" s="94"/>
      <c r="C1768" s="1164"/>
      <c r="D1768" s="1429"/>
      <c r="E1768" s="1429"/>
      <c r="F1768" s="1429"/>
      <c r="G1768" s="1429"/>
      <c r="H1768" s="1430"/>
      <c r="I1768" s="94"/>
      <c r="J1768" s="1164"/>
      <c r="K1768" s="94"/>
      <c r="L1768" s="94"/>
      <c r="M1768" s="1430"/>
      <c r="N1768" s="94"/>
      <c r="O1768" s="1430"/>
      <c r="P1768" s="94"/>
      <c r="Q1768" s="1431"/>
      <c r="R1768" s="1164"/>
      <c r="S1768" s="1164"/>
      <c r="T1768" s="1164"/>
      <c r="U1768" s="2174"/>
      <c r="V1768" s="2174"/>
      <c r="W1768" s="2174"/>
      <c r="X1768" s="1164"/>
    </row>
    <row r="1769" ht="15.75" customHeight="1">
      <c r="A1769" s="94"/>
      <c r="B1769" s="94"/>
      <c r="C1769" s="1164"/>
      <c r="D1769" s="1429"/>
      <c r="E1769" s="1429"/>
      <c r="F1769" s="1429"/>
      <c r="G1769" s="1429"/>
      <c r="H1769" s="1430"/>
      <c r="I1769" s="94"/>
      <c r="J1769" s="1164"/>
      <c r="K1769" s="94"/>
      <c r="L1769" s="94"/>
      <c r="M1769" s="1430"/>
      <c r="N1769" s="94"/>
      <c r="O1769" s="1430"/>
      <c r="P1769" s="94"/>
      <c r="Q1769" s="1431"/>
      <c r="R1769" s="1164"/>
      <c r="S1769" s="1164"/>
      <c r="T1769" s="1164"/>
      <c r="U1769" s="2174"/>
      <c r="V1769" s="2174"/>
      <c r="W1769" s="2174"/>
      <c r="X1769" s="1164"/>
    </row>
    <row r="1770" ht="15.75" customHeight="1">
      <c r="A1770" s="94"/>
      <c r="B1770" s="94"/>
      <c r="C1770" s="1164"/>
      <c r="D1770" s="1429"/>
      <c r="E1770" s="1429"/>
      <c r="F1770" s="1429"/>
      <c r="G1770" s="1429"/>
      <c r="H1770" s="1430"/>
      <c r="I1770" s="94"/>
      <c r="J1770" s="1164"/>
      <c r="K1770" s="94"/>
      <c r="L1770" s="94"/>
      <c r="M1770" s="1430"/>
      <c r="N1770" s="94"/>
      <c r="O1770" s="1430"/>
      <c r="P1770" s="94"/>
      <c r="Q1770" s="1431"/>
      <c r="R1770" s="1164"/>
      <c r="S1770" s="1164"/>
      <c r="T1770" s="1164"/>
      <c r="U1770" s="2174"/>
      <c r="V1770" s="2174"/>
      <c r="W1770" s="2174"/>
      <c r="X1770" s="1164"/>
    </row>
    <row r="1771" ht="15.75" customHeight="1">
      <c r="A1771" s="94"/>
      <c r="B1771" s="94"/>
      <c r="C1771" s="1164"/>
      <c r="D1771" s="1429"/>
      <c r="E1771" s="1429"/>
      <c r="F1771" s="1429"/>
      <c r="G1771" s="1429"/>
      <c r="H1771" s="1430"/>
      <c r="I1771" s="94"/>
      <c r="J1771" s="1164"/>
      <c r="K1771" s="94"/>
      <c r="L1771" s="94"/>
      <c r="M1771" s="1430"/>
      <c r="N1771" s="94"/>
      <c r="O1771" s="1430"/>
      <c r="P1771" s="94"/>
      <c r="Q1771" s="1431"/>
      <c r="R1771" s="1164"/>
      <c r="S1771" s="1164"/>
      <c r="T1771" s="1164"/>
      <c r="U1771" s="2174"/>
      <c r="V1771" s="2174"/>
      <c r="W1771" s="2174"/>
      <c r="X1771" s="1164"/>
    </row>
    <row r="1772" ht="15.75" customHeight="1">
      <c r="A1772" s="94"/>
      <c r="B1772" s="94"/>
      <c r="C1772" s="1164"/>
      <c r="D1772" s="1429"/>
      <c r="E1772" s="1429"/>
      <c r="F1772" s="1429"/>
      <c r="G1772" s="1429"/>
      <c r="H1772" s="1430"/>
      <c r="I1772" s="94"/>
      <c r="J1772" s="1164"/>
      <c r="K1772" s="94"/>
      <c r="L1772" s="94"/>
      <c r="M1772" s="94"/>
      <c r="N1772" s="94"/>
      <c r="O1772" s="94"/>
      <c r="P1772" s="94"/>
      <c r="Q1772" s="1431"/>
      <c r="R1772" s="1164"/>
      <c r="S1772" s="1164"/>
      <c r="T1772" s="1164"/>
      <c r="U1772" s="2174"/>
      <c r="V1772" s="2174"/>
      <c r="W1772" s="2174"/>
      <c r="X1772" s="1164"/>
    </row>
    <row r="1773" ht="15.75" customHeight="1">
      <c r="A1773" s="94"/>
      <c r="B1773" s="94"/>
      <c r="C1773" s="1164"/>
      <c r="D1773" s="1429"/>
      <c r="E1773" s="1429"/>
      <c r="F1773" s="1429"/>
      <c r="G1773" s="1429"/>
      <c r="H1773" s="1430"/>
      <c r="I1773" s="94"/>
      <c r="J1773" s="1164"/>
      <c r="K1773" s="94"/>
      <c r="L1773" s="94"/>
      <c r="M1773" s="1430"/>
      <c r="N1773" s="94"/>
      <c r="O1773" s="1430"/>
      <c r="P1773" s="94"/>
      <c r="Q1773" s="1431"/>
      <c r="R1773" s="1164"/>
      <c r="S1773" s="1164"/>
      <c r="T1773" s="1164"/>
      <c r="U1773" s="2174"/>
      <c r="V1773" s="2174"/>
      <c r="W1773" s="2174"/>
      <c r="X1773" s="1164"/>
    </row>
    <row r="1774" ht="15.75" customHeight="1">
      <c r="A1774" s="94"/>
      <c r="B1774" s="94"/>
      <c r="C1774" s="1164"/>
      <c r="D1774" s="1429"/>
      <c r="E1774" s="1429"/>
      <c r="F1774" s="1429"/>
      <c r="G1774" s="1429"/>
      <c r="H1774" s="1430"/>
      <c r="I1774" s="94"/>
      <c r="J1774" s="1164"/>
      <c r="K1774" s="94"/>
      <c r="L1774" s="94"/>
      <c r="M1774" s="1430"/>
      <c r="N1774" s="94"/>
      <c r="O1774" s="1430"/>
      <c r="P1774" s="94"/>
      <c r="Q1774" s="1431"/>
      <c r="R1774" s="1164"/>
      <c r="S1774" s="1164"/>
      <c r="T1774" s="1164"/>
      <c r="U1774" s="2174"/>
      <c r="V1774" s="2174"/>
      <c r="W1774" s="2174"/>
      <c r="X1774" s="1164"/>
    </row>
    <row r="1775" ht="15.75" customHeight="1">
      <c r="A1775" s="94"/>
      <c r="B1775" s="94"/>
      <c r="C1775" s="1164"/>
      <c r="D1775" s="1429"/>
      <c r="E1775" s="1429"/>
      <c r="F1775" s="1429"/>
      <c r="G1775" s="1429"/>
      <c r="H1775" s="1430"/>
      <c r="I1775" s="94"/>
      <c r="J1775" s="1164"/>
      <c r="K1775" s="94"/>
      <c r="L1775" s="94"/>
      <c r="M1775" s="1430"/>
      <c r="N1775" s="94"/>
      <c r="O1775" s="1430"/>
      <c r="P1775" s="94"/>
      <c r="Q1775" s="1431"/>
      <c r="R1775" s="1164"/>
      <c r="S1775" s="1164"/>
      <c r="T1775" s="1164"/>
      <c r="U1775" s="2174"/>
      <c r="V1775" s="2174"/>
      <c r="W1775" s="2174"/>
      <c r="X1775" s="1164"/>
    </row>
    <row r="1776" ht="15.75" customHeight="1">
      <c r="A1776" s="94"/>
      <c r="B1776" s="94"/>
      <c r="C1776" s="1164"/>
      <c r="D1776" s="1429"/>
      <c r="E1776" s="1429"/>
      <c r="F1776" s="1429"/>
      <c r="G1776" s="1429"/>
      <c r="H1776" s="1430"/>
      <c r="I1776" s="94"/>
      <c r="J1776" s="1164"/>
      <c r="K1776" s="94"/>
      <c r="L1776" s="94"/>
      <c r="M1776" s="1430"/>
      <c r="N1776" s="94"/>
      <c r="O1776" s="1430"/>
      <c r="P1776" s="94"/>
      <c r="Q1776" s="1431"/>
      <c r="R1776" s="1164"/>
      <c r="S1776" s="1164"/>
      <c r="T1776" s="1164"/>
      <c r="U1776" s="2174"/>
      <c r="V1776" s="2174"/>
      <c r="W1776" s="2174"/>
      <c r="X1776" s="1164"/>
    </row>
    <row r="1777" ht="15.75" customHeight="1">
      <c r="A1777" s="94"/>
      <c r="B1777" s="94"/>
      <c r="C1777" s="1164"/>
      <c r="D1777" s="1429"/>
      <c r="E1777" s="1429"/>
      <c r="F1777" s="1429"/>
      <c r="G1777" s="1429"/>
      <c r="H1777" s="1430"/>
      <c r="I1777" s="94"/>
      <c r="J1777" s="1164"/>
      <c r="K1777" s="94"/>
      <c r="L1777" s="94"/>
      <c r="M1777" s="1430"/>
      <c r="N1777" s="94"/>
      <c r="O1777" s="1430"/>
      <c r="P1777" s="94"/>
      <c r="Q1777" s="1431"/>
      <c r="R1777" s="1164"/>
      <c r="S1777" s="1164"/>
      <c r="T1777" s="1164"/>
      <c r="U1777" s="2174"/>
      <c r="V1777" s="2174"/>
      <c r="W1777" s="2174"/>
      <c r="X1777" s="1164"/>
    </row>
    <row r="1778" ht="15.75" customHeight="1">
      <c r="A1778" s="94"/>
      <c r="B1778" s="94"/>
      <c r="C1778" s="1164"/>
      <c r="D1778" s="1429"/>
      <c r="E1778" s="1429"/>
      <c r="F1778" s="1429"/>
      <c r="G1778" s="1429"/>
      <c r="H1778" s="1430"/>
      <c r="I1778" s="94"/>
      <c r="J1778" s="1164"/>
      <c r="K1778" s="94"/>
      <c r="L1778" s="94"/>
      <c r="M1778" s="1430"/>
      <c r="N1778" s="94"/>
      <c r="O1778" s="1430"/>
      <c r="P1778" s="94"/>
      <c r="Q1778" s="1431"/>
      <c r="R1778" s="1164"/>
      <c r="S1778" s="1164"/>
      <c r="T1778" s="1164"/>
      <c r="U1778" s="2174"/>
      <c r="V1778" s="2174"/>
      <c r="W1778" s="2174"/>
      <c r="X1778" s="1164"/>
    </row>
    <row r="1779" ht="15.75" customHeight="1">
      <c r="A1779" s="94"/>
      <c r="B1779" s="94"/>
      <c r="C1779" s="1164"/>
      <c r="D1779" s="1429"/>
      <c r="E1779" s="1429"/>
      <c r="F1779" s="1429"/>
      <c r="G1779" s="1429"/>
      <c r="H1779" s="1430"/>
      <c r="I1779" s="94"/>
      <c r="J1779" s="1164"/>
      <c r="K1779" s="94"/>
      <c r="L1779" s="94"/>
      <c r="M1779" s="1430"/>
      <c r="N1779" s="94"/>
      <c r="O1779" s="1430"/>
      <c r="P1779" s="94"/>
      <c r="Q1779" s="1431"/>
      <c r="R1779" s="1164"/>
      <c r="S1779" s="1164"/>
      <c r="T1779" s="1164"/>
      <c r="U1779" s="2174"/>
      <c r="V1779" s="2174"/>
      <c r="W1779" s="2174"/>
      <c r="X1779" s="1164"/>
    </row>
    <row r="1780" ht="15.75" customHeight="1">
      <c r="A1780" s="94"/>
      <c r="B1780" s="94"/>
      <c r="C1780" s="94"/>
      <c r="D1780" s="94"/>
      <c r="E1780" s="94"/>
      <c r="F1780" s="94"/>
      <c r="G1780" s="94"/>
      <c r="H1780" s="1430"/>
      <c r="I1780" s="1430"/>
      <c r="J1780" s="1430"/>
      <c r="K1780" s="1430"/>
      <c r="L1780" s="1430"/>
      <c r="M1780" s="1430"/>
      <c r="N1780" s="1430"/>
      <c r="O1780" s="1430"/>
      <c r="P1780" s="1430"/>
      <c r="Q1780" s="1430"/>
      <c r="R1780" s="1430"/>
      <c r="S1780" s="1430"/>
      <c r="T1780" s="1430"/>
      <c r="U1780" s="94"/>
      <c r="V1780" s="94"/>
      <c r="W1780" s="94"/>
      <c r="X1780" s="1430"/>
    </row>
    <row r="1781" ht="15.75" customHeight="1">
      <c r="A1781" s="94"/>
      <c r="B1781" s="94"/>
      <c r="C1781" s="1164"/>
      <c r="D1781" s="1429"/>
      <c r="E1781" s="1429"/>
      <c r="F1781" s="1429"/>
      <c r="G1781" s="1429"/>
      <c r="H1781" s="1430"/>
      <c r="I1781" s="94"/>
      <c r="J1781" s="1164"/>
      <c r="K1781" s="94"/>
      <c r="L1781" s="94"/>
      <c r="M1781" s="1430"/>
      <c r="N1781" s="94"/>
      <c r="O1781" s="1430"/>
      <c r="P1781" s="94"/>
      <c r="Q1781" s="1431"/>
      <c r="R1781" s="1164"/>
      <c r="S1781" s="1164"/>
      <c r="T1781" s="1164"/>
      <c r="U1781" s="2174"/>
      <c r="V1781" s="2174"/>
      <c r="W1781" s="2174"/>
      <c r="X1781" s="1164"/>
    </row>
    <row r="1782" ht="15.75" customHeight="1">
      <c r="A1782" s="94"/>
      <c r="B1782" s="94"/>
      <c r="C1782" s="1164"/>
      <c r="D1782" s="1429"/>
      <c r="E1782" s="1429"/>
      <c r="F1782" s="1429"/>
      <c r="G1782" s="1429"/>
      <c r="H1782" s="1430"/>
      <c r="I1782" s="94"/>
      <c r="J1782" s="1164"/>
      <c r="K1782" s="94"/>
      <c r="L1782" s="94"/>
      <c r="M1782" s="1430"/>
      <c r="N1782" s="94"/>
      <c r="O1782" s="1430"/>
      <c r="P1782" s="94"/>
      <c r="Q1782" s="1431"/>
      <c r="R1782" s="1164"/>
      <c r="S1782" s="1164"/>
      <c r="T1782" s="1164"/>
      <c r="U1782" s="2174"/>
      <c r="V1782" s="2174"/>
      <c r="W1782" s="2174"/>
      <c r="X1782" s="1164"/>
    </row>
    <row r="1783" ht="15.75" customHeight="1">
      <c r="A1783" s="94"/>
      <c r="B1783" s="94"/>
      <c r="C1783" s="1164"/>
      <c r="D1783" s="1429"/>
      <c r="E1783" s="1429"/>
      <c r="F1783" s="1429"/>
      <c r="G1783" s="1429"/>
      <c r="H1783" s="1430"/>
      <c r="I1783" s="94"/>
      <c r="J1783" s="1164"/>
      <c r="K1783" s="94"/>
      <c r="L1783" s="94"/>
      <c r="M1783" s="1430"/>
      <c r="N1783" s="94"/>
      <c r="O1783" s="1430"/>
      <c r="P1783" s="94"/>
      <c r="Q1783" s="1431"/>
      <c r="R1783" s="1164"/>
      <c r="S1783" s="1164"/>
      <c r="T1783" s="1164"/>
      <c r="U1783" s="2174"/>
      <c r="V1783" s="2174"/>
      <c r="W1783" s="2174"/>
      <c r="X1783" s="1164"/>
    </row>
    <row r="1784" ht="15.75" customHeight="1">
      <c r="A1784" s="94"/>
      <c r="B1784" s="94"/>
      <c r="C1784" s="1164"/>
      <c r="D1784" s="1429"/>
      <c r="E1784" s="1429"/>
      <c r="F1784" s="1429"/>
      <c r="G1784" s="1429"/>
      <c r="H1784" s="1430"/>
      <c r="I1784" s="94"/>
      <c r="J1784" s="1164"/>
      <c r="K1784" s="94"/>
      <c r="L1784" s="94"/>
      <c r="M1784" s="94"/>
      <c r="N1784" s="94"/>
      <c r="O1784" s="94"/>
      <c r="P1784" s="94"/>
      <c r="Q1784" s="1431"/>
      <c r="R1784" s="1164"/>
      <c r="S1784" s="1164"/>
      <c r="T1784" s="1164"/>
      <c r="U1784" s="2174"/>
      <c r="V1784" s="2174"/>
      <c r="W1784" s="2174"/>
      <c r="X1784" s="1164"/>
    </row>
    <row r="1785" ht="15.75" customHeight="1">
      <c r="A1785" s="94"/>
      <c r="B1785" s="94"/>
      <c r="C1785" s="1164"/>
      <c r="D1785" s="1429"/>
      <c r="E1785" s="1429"/>
      <c r="F1785" s="1429"/>
      <c r="G1785" s="1429"/>
      <c r="H1785" s="1430"/>
      <c r="I1785" s="94"/>
      <c r="J1785" s="1164"/>
      <c r="K1785" s="94"/>
      <c r="L1785" s="94"/>
      <c r="M1785" s="1430"/>
      <c r="N1785" s="94"/>
      <c r="O1785" s="1430"/>
      <c r="P1785" s="94"/>
      <c r="Q1785" s="1431"/>
      <c r="R1785" s="1164"/>
      <c r="S1785" s="1164"/>
      <c r="T1785" s="1164"/>
      <c r="U1785" s="94"/>
      <c r="V1785" s="94"/>
      <c r="W1785" s="2174"/>
      <c r="X1785" s="1164"/>
    </row>
    <row r="1786" ht="15.75" customHeight="1">
      <c r="A1786" s="94"/>
      <c r="B1786" s="94"/>
      <c r="C1786" s="1164"/>
      <c r="D1786" s="1429"/>
      <c r="E1786" s="1429"/>
      <c r="F1786" s="1429"/>
      <c r="G1786" s="1429"/>
      <c r="H1786" s="1430"/>
      <c r="I1786" s="94"/>
      <c r="J1786" s="1164"/>
      <c r="K1786" s="94"/>
      <c r="L1786" s="94"/>
      <c r="M1786" s="1430"/>
      <c r="N1786" s="94"/>
      <c r="O1786" s="1430"/>
      <c r="P1786" s="94"/>
      <c r="Q1786" s="1431"/>
      <c r="R1786" s="1164"/>
      <c r="S1786" s="1164"/>
      <c r="T1786" s="1164"/>
      <c r="U1786" s="2174"/>
      <c r="V1786" s="2174"/>
      <c r="W1786" s="2174"/>
      <c r="X1786" s="1164"/>
    </row>
    <row r="1787" ht="15.75" customHeight="1">
      <c r="A1787" s="94"/>
      <c r="B1787" s="94"/>
      <c r="C1787" s="1164"/>
      <c r="D1787" s="1429"/>
      <c r="E1787" s="1429"/>
      <c r="F1787" s="1429"/>
      <c r="G1787" s="1429"/>
      <c r="H1787" s="1430"/>
      <c r="I1787" s="94"/>
      <c r="J1787" s="1164"/>
      <c r="K1787" s="94"/>
      <c r="L1787" s="94"/>
      <c r="M1787" s="1430"/>
      <c r="N1787" s="94"/>
      <c r="O1787" s="1430"/>
      <c r="P1787" s="94"/>
      <c r="Q1787" s="1431"/>
      <c r="R1787" s="1164"/>
      <c r="S1787" s="1164"/>
      <c r="T1787" s="1164"/>
      <c r="U1787" s="2174"/>
      <c r="V1787" s="2174"/>
      <c r="W1787" s="2174"/>
      <c r="X1787" s="1164"/>
    </row>
    <row r="1788" ht="15.75" customHeight="1">
      <c r="A1788" s="94"/>
      <c r="B1788" s="94"/>
      <c r="C1788" s="1164"/>
      <c r="D1788" s="1429"/>
      <c r="E1788" s="1429"/>
      <c r="F1788" s="1429"/>
      <c r="G1788" s="1429"/>
      <c r="H1788" s="1430"/>
      <c r="I1788" s="94"/>
      <c r="J1788" s="1164"/>
      <c r="K1788" s="94"/>
      <c r="L1788" s="94"/>
      <c r="M1788" s="1430"/>
      <c r="N1788" s="94"/>
      <c r="O1788" s="1430"/>
      <c r="P1788" s="94"/>
      <c r="Q1788" s="1431"/>
      <c r="R1788" s="1164"/>
      <c r="S1788" s="1164"/>
      <c r="T1788" s="1164"/>
      <c r="U1788" s="2174"/>
      <c r="V1788" s="2174"/>
      <c r="W1788" s="2174"/>
      <c r="X1788" s="1164"/>
    </row>
    <row r="1789" ht="15.75" customHeight="1">
      <c r="A1789" s="94"/>
      <c r="B1789" s="94"/>
      <c r="C1789" s="1164"/>
      <c r="D1789" s="1429"/>
      <c r="E1789" s="1429"/>
      <c r="F1789" s="1429"/>
      <c r="G1789" s="1429"/>
      <c r="H1789" s="1430"/>
      <c r="I1789" s="94"/>
      <c r="J1789" s="1164"/>
      <c r="K1789" s="94"/>
      <c r="L1789" s="94"/>
      <c r="M1789" s="1430"/>
      <c r="N1789" s="94"/>
      <c r="O1789" s="1430"/>
      <c r="P1789" s="94"/>
      <c r="Q1789" s="1431"/>
      <c r="R1789" s="1164"/>
      <c r="S1789" s="1164"/>
      <c r="T1789" s="1164"/>
      <c r="U1789" s="2174"/>
      <c r="V1789" s="2174"/>
      <c r="W1789" s="2174"/>
      <c r="X1789" s="1164"/>
    </row>
    <row r="1790" ht="15.75" customHeight="1">
      <c r="A1790" s="94"/>
      <c r="B1790" s="94"/>
      <c r="C1790" s="1164"/>
      <c r="D1790" s="1429"/>
      <c r="E1790" s="1429"/>
      <c r="F1790" s="1429"/>
      <c r="G1790" s="1429"/>
      <c r="H1790" s="1430"/>
      <c r="I1790" s="94"/>
      <c r="J1790" s="1164"/>
      <c r="K1790" s="94"/>
      <c r="L1790" s="94"/>
      <c r="M1790" s="1430"/>
      <c r="N1790" s="94"/>
      <c r="O1790" s="1430"/>
      <c r="P1790" s="94"/>
      <c r="Q1790" s="1431"/>
      <c r="R1790" s="1164"/>
      <c r="S1790" s="1164"/>
      <c r="T1790" s="1164"/>
      <c r="U1790" s="2174"/>
      <c r="V1790" s="2174"/>
      <c r="W1790" s="2174"/>
      <c r="X1790" s="1164"/>
    </row>
    <row r="1791" ht="15.75" customHeight="1">
      <c r="A1791" s="94"/>
      <c r="B1791" s="94"/>
      <c r="C1791" s="1164"/>
      <c r="D1791" s="1429"/>
      <c r="E1791" s="1429"/>
      <c r="F1791" s="1429"/>
      <c r="G1791" s="1429"/>
      <c r="H1791" s="1430"/>
      <c r="I1791" s="94"/>
      <c r="J1791" s="1164"/>
      <c r="K1791" s="94"/>
      <c r="L1791" s="94"/>
      <c r="M1791" s="1430"/>
      <c r="N1791" s="94"/>
      <c r="O1791" s="1430"/>
      <c r="P1791" s="94"/>
      <c r="Q1791" s="1431"/>
      <c r="R1791" s="1164"/>
      <c r="S1791" s="1164"/>
      <c r="T1791" s="1164"/>
      <c r="U1791" s="2174"/>
      <c r="V1791" s="2174"/>
      <c r="W1791" s="2174"/>
      <c r="X1791" s="1164"/>
    </row>
    <row r="1792" ht="15.75" customHeight="1">
      <c r="A1792" s="94"/>
      <c r="B1792" s="94"/>
      <c r="C1792" s="1164"/>
      <c r="D1792" s="1429"/>
      <c r="E1792" s="1429"/>
      <c r="F1792" s="1429"/>
      <c r="G1792" s="1429"/>
      <c r="H1792" s="1430"/>
      <c r="I1792" s="94"/>
      <c r="J1792" s="1164"/>
      <c r="K1792" s="94"/>
      <c r="L1792" s="94"/>
      <c r="M1792" s="1430"/>
      <c r="N1792" s="94"/>
      <c r="O1792" s="1430"/>
      <c r="P1792" s="94"/>
      <c r="Q1792" s="1431"/>
      <c r="R1792" s="1164"/>
      <c r="S1792" s="1164"/>
      <c r="T1792" s="1164"/>
      <c r="U1792" s="2174"/>
      <c r="V1792" s="2174"/>
      <c r="W1792" s="2174"/>
      <c r="X1792" s="1164"/>
    </row>
    <row r="1793" ht="15.75" customHeight="1">
      <c r="A1793" s="94"/>
      <c r="B1793" s="94"/>
      <c r="C1793" s="1164"/>
      <c r="D1793" s="1429"/>
      <c r="E1793" s="1429"/>
      <c r="F1793" s="1429"/>
      <c r="G1793" s="1429"/>
      <c r="H1793" s="1430"/>
      <c r="I1793" s="94"/>
      <c r="J1793" s="1164"/>
      <c r="K1793" s="94"/>
      <c r="L1793" s="94"/>
      <c r="M1793" s="94"/>
      <c r="N1793" s="94"/>
      <c r="O1793" s="94"/>
      <c r="P1793" s="94"/>
      <c r="Q1793" s="1431"/>
      <c r="R1793" s="1164"/>
      <c r="S1793" s="1164"/>
      <c r="T1793" s="1164"/>
      <c r="U1793" s="94"/>
      <c r="V1793" s="94"/>
      <c r="W1793" s="2174"/>
      <c r="X1793" s="1164"/>
    </row>
    <row r="1794" ht="15.75" customHeight="1">
      <c r="A1794" s="94"/>
      <c r="B1794" s="94"/>
      <c r="C1794" s="1164"/>
      <c r="D1794" s="1429"/>
      <c r="E1794" s="1429"/>
      <c r="F1794" s="1429"/>
      <c r="G1794" s="1429"/>
      <c r="H1794" s="1430"/>
      <c r="I1794" s="94"/>
      <c r="J1794" s="1164"/>
      <c r="K1794" s="94"/>
      <c r="L1794" s="94"/>
      <c r="M1794" s="1430"/>
      <c r="N1794" s="94"/>
      <c r="O1794" s="1430"/>
      <c r="P1794" s="94"/>
      <c r="Q1794" s="1431"/>
      <c r="R1794" s="1164"/>
      <c r="S1794" s="1164"/>
      <c r="T1794" s="1164"/>
      <c r="U1794" s="2174"/>
      <c r="V1794" s="2174"/>
      <c r="W1794" s="2174"/>
      <c r="X1794" s="1164"/>
    </row>
    <row r="1795" ht="15.75" customHeight="1">
      <c r="A1795" s="94"/>
      <c r="B1795" s="94"/>
      <c r="C1795" s="1164"/>
      <c r="D1795" s="1429"/>
      <c r="E1795" s="1429"/>
      <c r="F1795" s="1429"/>
      <c r="G1795" s="1429"/>
      <c r="H1795" s="1430"/>
      <c r="I1795" s="94"/>
      <c r="J1795" s="1164"/>
      <c r="K1795" s="94"/>
      <c r="L1795" s="94"/>
      <c r="M1795" s="1430"/>
      <c r="N1795" s="94"/>
      <c r="O1795" s="1430"/>
      <c r="P1795" s="94"/>
      <c r="Q1795" s="1431"/>
      <c r="R1795" s="1164"/>
      <c r="S1795" s="1164"/>
      <c r="T1795" s="1164"/>
      <c r="U1795" s="2174"/>
      <c r="V1795" s="2174"/>
      <c r="W1795" s="2174"/>
      <c r="X1795" s="1164"/>
    </row>
    <row r="1796" ht="15.75" customHeight="1">
      <c r="A1796" s="94"/>
      <c r="B1796" s="94"/>
      <c r="C1796" s="1164"/>
      <c r="D1796" s="1429"/>
      <c r="E1796" s="1429"/>
      <c r="F1796" s="1429"/>
      <c r="G1796" s="1429"/>
      <c r="H1796" s="1430"/>
      <c r="I1796" s="94"/>
      <c r="J1796" s="1164"/>
      <c r="K1796" s="94"/>
      <c r="L1796" s="94"/>
      <c r="M1796" s="1430"/>
      <c r="N1796" s="94"/>
      <c r="O1796" s="1430"/>
      <c r="P1796" s="94"/>
      <c r="Q1796" s="1431"/>
      <c r="R1796" s="1164"/>
      <c r="S1796" s="1164"/>
      <c r="T1796" s="1164"/>
      <c r="U1796" s="2174"/>
      <c r="V1796" s="2174"/>
      <c r="W1796" s="2174"/>
      <c r="X1796" s="1164"/>
    </row>
    <row r="1797" ht="15.75" customHeight="1">
      <c r="A1797" s="94"/>
      <c r="B1797" s="94"/>
      <c r="C1797" s="1164"/>
      <c r="D1797" s="1429"/>
      <c r="E1797" s="1429"/>
      <c r="F1797" s="1429"/>
      <c r="G1797" s="1429"/>
      <c r="H1797" s="1430"/>
      <c r="I1797" s="94"/>
      <c r="J1797" s="1164"/>
      <c r="K1797" s="94"/>
      <c r="L1797" s="94"/>
      <c r="M1797" s="1430"/>
      <c r="N1797" s="94"/>
      <c r="O1797" s="1430"/>
      <c r="P1797" s="94"/>
      <c r="Q1797" s="1431"/>
      <c r="R1797" s="1164"/>
      <c r="S1797" s="1164"/>
      <c r="T1797" s="1164"/>
      <c r="U1797" s="2174"/>
      <c r="V1797" s="2174"/>
      <c r="W1797" s="2174"/>
      <c r="X1797" s="1164"/>
    </row>
    <row r="1798" ht="15.75" customHeight="1">
      <c r="A1798" s="94"/>
      <c r="B1798" s="94"/>
      <c r="C1798" s="1164"/>
      <c r="D1798" s="1429"/>
      <c r="E1798" s="1429"/>
      <c r="F1798" s="1429"/>
      <c r="G1798" s="1429"/>
      <c r="H1798" s="1430"/>
      <c r="I1798" s="94"/>
      <c r="J1798" s="1164"/>
      <c r="K1798" s="94"/>
      <c r="L1798" s="94"/>
      <c r="M1798" s="1430"/>
      <c r="N1798" s="94"/>
      <c r="O1798" s="1430"/>
      <c r="P1798" s="94"/>
      <c r="Q1798" s="1431"/>
      <c r="R1798" s="1164"/>
      <c r="S1798" s="1164"/>
      <c r="T1798" s="1164"/>
      <c r="U1798" s="2174"/>
      <c r="V1798" s="2174"/>
      <c r="W1798" s="2174"/>
      <c r="X1798" s="1164"/>
    </row>
    <row r="1799" ht="15.75" customHeight="1">
      <c r="A1799" s="94"/>
      <c r="B1799" s="94"/>
      <c r="C1799" s="1164"/>
      <c r="D1799" s="1429"/>
      <c r="E1799" s="1429"/>
      <c r="F1799" s="1429"/>
      <c r="G1799" s="1429"/>
      <c r="H1799" s="1430"/>
      <c r="I1799" s="94"/>
      <c r="J1799" s="1164"/>
      <c r="K1799" s="94"/>
      <c r="L1799" s="94"/>
      <c r="M1799" s="1430"/>
      <c r="N1799" s="94"/>
      <c r="O1799" s="1430"/>
      <c r="P1799" s="94"/>
      <c r="Q1799" s="1431"/>
      <c r="R1799" s="1164"/>
      <c r="S1799" s="1164"/>
      <c r="T1799" s="1164"/>
      <c r="U1799" s="2174"/>
      <c r="V1799" s="2174"/>
      <c r="W1799" s="2174"/>
      <c r="X1799" s="1164"/>
    </row>
    <row r="1800" ht="15.75" customHeight="1">
      <c r="A1800" s="94"/>
      <c r="B1800" s="94"/>
      <c r="C1800" s="1164"/>
      <c r="D1800" s="1429"/>
      <c r="E1800" s="1429"/>
      <c r="F1800" s="1429"/>
      <c r="G1800" s="1429"/>
      <c r="H1800" s="1430"/>
      <c r="I1800" s="94"/>
      <c r="J1800" s="1164"/>
      <c r="K1800" s="94"/>
      <c r="L1800" s="94"/>
      <c r="M1800" s="1430"/>
      <c r="N1800" s="94"/>
      <c r="O1800" s="1430"/>
      <c r="P1800" s="94"/>
      <c r="Q1800" s="1431"/>
      <c r="R1800" s="1164"/>
      <c r="S1800" s="1164"/>
      <c r="T1800" s="1164"/>
      <c r="U1800" s="2174"/>
      <c r="V1800" s="2174"/>
      <c r="W1800" s="2174"/>
      <c r="X1800" s="1164"/>
    </row>
    <row r="1801" ht="15.75" customHeight="1">
      <c r="A1801" s="94"/>
      <c r="B1801" s="94"/>
      <c r="C1801" s="1164"/>
      <c r="D1801" s="1429"/>
      <c r="E1801" s="1429"/>
      <c r="F1801" s="1429"/>
      <c r="G1801" s="1429"/>
      <c r="H1801" s="1430"/>
      <c r="I1801" s="1430"/>
      <c r="J1801" s="1164"/>
      <c r="K1801" s="94"/>
      <c r="L1801" s="94"/>
      <c r="M1801" s="94"/>
      <c r="N1801" s="94"/>
      <c r="O1801" s="94"/>
      <c r="P1801" s="94"/>
      <c r="Q1801" s="1431"/>
      <c r="R1801" s="1164"/>
      <c r="S1801" s="1164"/>
      <c r="T1801" s="1164"/>
      <c r="U1801" s="2174"/>
      <c r="V1801" s="2174"/>
      <c r="W1801" s="2174"/>
      <c r="X1801" s="1164"/>
    </row>
    <row r="1802" ht="15.75" customHeight="1">
      <c r="A1802" s="94"/>
      <c r="B1802" s="94"/>
      <c r="C1802" s="1164"/>
      <c r="D1802" s="1429"/>
      <c r="E1802" s="1429"/>
      <c r="F1802" s="1429"/>
      <c r="G1802" s="1429"/>
      <c r="H1802" s="1430"/>
      <c r="I1802" s="94"/>
      <c r="J1802" s="1164"/>
      <c r="K1802" s="94"/>
      <c r="L1802" s="94"/>
      <c r="M1802" s="1430"/>
      <c r="N1802" s="94"/>
      <c r="O1802" s="1430"/>
      <c r="P1802" s="94"/>
      <c r="Q1802" s="1431"/>
      <c r="R1802" s="1164"/>
      <c r="S1802" s="1164"/>
      <c r="T1802" s="1164"/>
      <c r="U1802" s="2174"/>
      <c r="V1802" s="2174"/>
      <c r="W1802" s="2174"/>
      <c r="X1802" s="1164"/>
    </row>
    <row r="1803" ht="15.75" customHeight="1">
      <c r="A1803" s="94"/>
      <c r="B1803" s="94"/>
      <c r="C1803" s="1164"/>
      <c r="D1803" s="1429"/>
      <c r="E1803" s="1429"/>
      <c r="F1803" s="1429"/>
      <c r="G1803" s="1429"/>
      <c r="H1803" s="1430"/>
      <c r="I1803" s="94"/>
      <c r="J1803" s="1164"/>
      <c r="K1803" s="94"/>
      <c r="L1803" s="94"/>
      <c r="M1803" s="1430"/>
      <c r="N1803" s="94"/>
      <c r="O1803" s="1430"/>
      <c r="P1803" s="94"/>
      <c r="Q1803" s="1431"/>
      <c r="R1803" s="1164"/>
      <c r="S1803" s="1164"/>
      <c r="T1803" s="1164"/>
      <c r="U1803" s="2174"/>
      <c r="V1803" s="2174"/>
      <c r="W1803" s="2174"/>
      <c r="X1803" s="1164"/>
    </row>
    <row r="1804" ht="15.75" customHeight="1">
      <c r="A1804" s="94"/>
      <c r="B1804" s="94"/>
      <c r="C1804" s="1164"/>
      <c r="D1804" s="1429"/>
      <c r="E1804" s="1429"/>
      <c r="F1804" s="1429"/>
      <c r="G1804" s="1429"/>
      <c r="H1804" s="1430"/>
      <c r="I1804" s="1430"/>
      <c r="J1804" s="94"/>
      <c r="K1804" s="94"/>
      <c r="L1804" s="94"/>
      <c r="M1804" s="1430"/>
      <c r="N1804" s="94"/>
      <c r="O1804" s="1430"/>
      <c r="P1804" s="94"/>
      <c r="Q1804" s="1431"/>
      <c r="R1804" s="1164"/>
      <c r="S1804" s="1164"/>
      <c r="T1804" s="1164"/>
      <c r="U1804" s="2174"/>
      <c r="V1804" s="2174"/>
      <c r="W1804" s="2174"/>
      <c r="X1804" s="1164"/>
    </row>
    <row r="1805" ht="15.75" customHeight="1">
      <c r="A1805" s="94"/>
      <c r="B1805" s="94"/>
      <c r="C1805" s="1164"/>
      <c r="D1805" s="1429"/>
      <c r="E1805" s="1429"/>
      <c r="F1805" s="1429"/>
      <c r="G1805" s="1429"/>
      <c r="H1805" s="1430"/>
      <c r="I1805" s="1430"/>
      <c r="J1805" s="94"/>
      <c r="K1805" s="94"/>
      <c r="L1805" s="94"/>
      <c r="M1805" s="1430"/>
      <c r="N1805" s="94"/>
      <c r="O1805" s="1430"/>
      <c r="P1805" s="94"/>
      <c r="Q1805" s="1431"/>
      <c r="R1805" s="1164"/>
      <c r="S1805" s="1164"/>
      <c r="T1805" s="1164"/>
      <c r="U1805" s="2174"/>
      <c r="V1805" s="2174"/>
      <c r="W1805" s="2174"/>
      <c r="X1805" s="1164"/>
    </row>
    <row r="1806" ht="15.75" customHeight="1">
      <c r="A1806" s="94"/>
      <c r="B1806" s="94"/>
      <c r="C1806" s="1164"/>
      <c r="D1806" s="1429"/>
      <c r="E1806" s="1429"/>
      <c r="F1806" s="1429"/>
      <c r="G1806" s="1429"/>
      <c r="H1806" s="1430"/>
      <c r="I1806" s="1430"/>
      <c r="J1806" s="94"/>
      <c r="K1806" s="94"/>
      <c r="L1806" s="94"/>
      <c r="M1806" s="1430"/>
      <c r="N1806" s="94"/>
      <c r="O1806" s="1430"/>
      <c r="P1806" s="94"/>
      <c r="Q1806" s="1431"/>
      <c r="R1806" s="1164"/>
      <c r="S1806" s="1164"/>
      <c r="T1806" s="1164"/>
      <c r="U1806" s="2174"/>
      <c r="V1806" s="2174"/>
      <c r="W1806" s="2174"/>
      <c r="X1806" s="1164"/>
    </row>
    <row r="1807" ht="15.75" customHeight="1">
      <c r="A1807" s="94"/>
      <c r="B1807" s="94"/>
      <c r="C1807" s="94"/>
      <c r="D1807" s="94"/>
      <c r="E1807" s="94"/>
      <c r="F1807" s="94"/>
      <c r="G1807" s="94"/>
      <c r="H1807" s="1430"/>
      <c r="I1807" s="1430"/>
      <c r="J1807" s="1430"/>
      <c r="K1807" s="1430"/>
      <c r="L1807" s="1430"/>
      <c r="M1807" s="1430"/>
      <c r="N1807" s="1430"/>
      <c r="O1807" s="1430"/>
      <c r="P1807" s="1430"/>
      <c r="Q1807" s="1430"/>
      <c r="R1807" s="1430"/>
      <c r="S1807" s="1430"/>
      <c r="T1807" s="1430"/>
      <c r="U1807" s="94"/>
      <c r="V1807" s="94"/>
      <c r="W1807" s="94"/>
      <c r="X1807" s="1430"/>
    </row>
    <row r="1808" ht="15.75" customHeight="1">
      <c r="A1808" s="94"/>
      <c r="B1808" s="94"/>
      <c r="C1808" s="1164"/>
      <c r="D1808" s="1429"/>
      <c r="E1808" s="1429"/>
      <c r="F1808" s="1429"/>
      <c r="G1808" s="1429"/>
      <c r="H1808" s="1430"/>
      <c r="I1808" s="94"/>
      <c r="J1808" s="1164"/>
      <c r="K1808" s="94"/>
      <c r="L1808" s="94"/>
      <c r="M1808" s="1430"/>
      <c r="N1808" s="94"/>
      <c r="O1808" s="1430"/>
      <c r="P1808" s="94"/>
      <c r="Q1808" s="1431"/>
      <c r="R1808" s="1164"/>
      <c r="S1808" s="1164"/>
      <c r="T1808" s="1164"/>
      <c r="U1808" s="2174"/>
      <c r="V1808" s="2174"/>
      <c r="W1808" s="2174"/>
      <c r="X1808" s="1164"/>
    </row>
    <row r="1809" ht="15.75" customHeight="1">
      <c r="A1809" s="94"/>
      <c r="B1809" s="94"/>
      <c r="C1809" s="1164"/>
      <c r="D1809" s="1429"/>
      <c r="E1809" s="1429"/>
      <c r="F1809" s="1429"/>
      <c r="G1809" s="1429"/>
      <c r="H1809" s="1430"/>
      <c r="I1809" s="94"/>
      <c r="J1809" s="1164"/>
      <c r="K1809" s="94"/>
      <c r="L1809" s="94"/>
      <c r="M1809" s="1430"/>
      <c r="N1809" s="94"/>
      <c r="O1809" s="1430"/>
      <c r="P1809" s="94"/>
      <c r="Q1809" s="1431"/>
      <c r="R1809" s="1164"/>
      <c r="S1809" s="1164"/>
      <c r="T1809" s="1164"/>
      <c r="U1809" s="2174"/>
      <c r="V1809" s="2174"/>
      <c r="W1809" s="2174"/>
      <c r="X1809" s="1164"/>
    </row>
    <row r="1810" ht="15.75" customHeight="1">
      <c r="A1810" s="94"/>
      <c r="B1810" s="1164"/>
      <c r="C1810" s="1164"/>
      <c r="D1810" s="1429"/>
      <c r="E1810" s="1429"/>
      <c r="F1810" s="1429"/>
      <c r="G1810" s="1429"/>
      <c r="H1810" s="1430"/>
      <c r="I1810" s="1430"/>
      <c r="J1810" s="1164"/>
      <c r="K1810" s="94"/>
      <c r="L1810" s="94"/>
      <c r="M1810" s="94"/>
      <c r="N1810" s="94"/>
      <c r="O1810" s="94"/>
      <c r="P1810" s="94"/>
      <c r="Q1810" s="1431"/>
      <c r="R1810" s="1164"/>
      <c r="S1810" s="1164"/>
      <c r="T1810" s="1164"/>
      <c r="U1810" s="94"/>
      <c r="V1810" s="94"/>
      <c r="W1810" s="94"/>
      <c r="X1810" s="1164"/>
    </row>
    <row r="1811" ht="15.75" customHeight="1">
      <c r="A1811" s="94"/>
      <c r="B1811" s="1164"/>
      <c r="C1811" s="1164"/>
      <c r="D1811" s="1429"/>
      <c r="E1811" s="1429"/>
      <c r="F1811" s="1429"/>
      <c r="G1811" s="1429"/>
      <c r="H1811" s="1430"/>
      <c r="I1811" s="94"/>
      <c r="J1811" s="1164"/>
      <c r="K1811" s="94"/>
      <c r="L1811" s="94"/>
      <c r="M1811" s="1430"/>
      <c r="N1811" s="94"/>
      <c r="O1811" s="1430"/>
      <c r="P1811" s="94"/>
      <c r="Q1811" s="1431"/>
      <c r="R1811" s="1164"/>
      <c r="S1811" s="1164"/>
      <c r="T1811" s="1164"/>
      <c r="U1811" s="2174"/>
      <c r="V1811" s="2174"/>
      <c r="W1811" s="2174"/>
      <c r="X1811" s="1164"/>
    </row>
    <row r="1812" ht="15.75" customHeight="1">
      <c r="A1812" s="94"/>
      <c r="B1812" s="94"/>
      <c r="C1812" s="1164"/>
      <c r="D1812" s="1429"/>
      <c r="E1812" s="1429"/>
      <c r="F1812" s="1429"/>
      <c r="G1812" s="1429"/>
      <c r="H1812" s="1430"/>
      <c r="I1812" s="94"/>
      <c r="J1812" s="1164"/>
      <c r="K1812" s="94"/>
      <c r="L1812" s="94"/>
      <c r="M1812" s="1430"/>
      <c r="N1812" s="94"/>
      <c r="O1812" s="1430"/>
      <c r="P1812" s="94"/>
      <c r="Q1812" s="1431"/>
      <c r="R1812" s="1164"/>
      <c r="S1812" s="1164"/>
      <c r="T1812" s="1164"/>
      <c r="U1812" s="2174"/>
      <c r="V1812" s="2174"/>
      <c r="W1812" s="2174"/>
      <c r="X1812" s="1164"/>
    </row>
    <row r="1813" ht="15.75" customHeight="1">
      <c r="A1813" s="94"/>
      <c r="B1813" s="1164"/>
      <c r="C1813" s="1164"/>
      <c r="D1813" s="1429"/>
      <c r="E1813" s="1429"/>
      <c r="F1813" s="1429"/>
      <c r="G1813" s="1429"/>
      <c r="H1813" s="1430"/>
      <c r="I1813" s="94"/>
      <c r="J1813" s="1164"/>
      <c r="K1813" s="94"/>
      <c r="L1813" s="94"/>
      <c r="M1813" s="1430"/>
      <c r="N1813" s="94"/>
      <c r="O1813" s="1430"/>
      <c r="P1813" s="94"/>
      <c r="Q1813" s="1431"/>
      <c r="R1813" s="1164"/>
      <c r="S1813" s="1164"/>
      <c r="T1813" s="1164"/>
      <c r="U1813" s="2174"/>
      <c r="V1813" s="2174"/>
      <c r="W1813" s="2174"/>
      <c r="X1813" s="1164"/>
    </row>
    <row r="1814" ht="15.75" customHeight="1">
      <c r="A1814" s="94"/>
      <c r="B1814" s="1164"/>
      <c r="C1814" s="1164"/>
      <c r="D1814" s="1429"/>
      <c r="E1814" s="1429"/>
      <c r="F1814" s="1429"/>
      <c r="G1814" s="1429"/>
      <c r="H1814" s="1430"/>
      <c r="I1814" s="94"/>
      <c r="J1814" s="1164"/>
      <c r="K1814" s="94"/>
      <c r="L1814" s="94"/>
      <c r="M1814" s="1430"/>
      <c r="N1814" s="94"/>
      <c r="O1814" s="1430"/>
      <c r="P1814" s="94"/>
      <c r="Q1814" s="1431"/>
      <c r="R1814" s="1164"/>
      <c r="S1814" s="1164"/>
      <c r="T1814" s="1164"/>
      <c r="U1814" s="2174"/>
      <c r="V1814" s="2174"/>
      <c r="W1814" s="2174"/>
      <c r="X1814" s="1164"/>
    </row>
    <row r="1815" ht="15.75" customHeight="1">
      <c r="A1815" s="94"/>
      <c r="B1815" s="94"/>
      <c r="C1815" s="1164"/>
      <c r="D1815" s="1429"/>
      <c r="E1815" s="1429"/>
      <c r="F1815" s="1429"/>
      <c r="G1815" s="1429"/>
      <c r="H1815" s="1430"/>
      <c r="I1815" s="94"/>
      <c r="J1815" s="1164"/>
      <c r="K1815" s="94"/>
      <c r="L1815" s="94"/>
      <c r="M1815" s="1430"/>
      <c r="N1815" s="94"/>
      <c r="O1815" s="1430"/>
      <c r="P1815" s="94"/>
      <c r="Q1815" s="1431"/>
      <c r="R1815" s="1164"/>
      <c r="S1815" s="1164"/>
      <c r="T1815" s="1164"/>
      <c r="U1815" s="2174"/>
      <c r="V1815" s="2174"/>
      <c r="W1815" s="2174"/>
      <c r="X1815" s="1164"/>
    </row>
    <row r="1816" ht="15.75" customHeight="1">
      <c r="A1816" s="94"/>
      <c r="B1816" s="94"/>
      <c r="C1816" s="1164"/>
      <c r="D1816" s="1429"/>
      <c r="E1816" s="1429"/>
      <c r="F1816" s="1429"/>
      <c r="G1816" s="1429"/>
      <c r="H1816" s="1430"/>
      <c r="I1816" s="94"/>
      <c r="J1816" s="1164"/>
      <c r="K1816" s="94"/>
      <c r="L1816" s="94"/>
      <c r="M1816" s="1430"/>
      <c r="N1816" s="94"/>
      <c r="O1816" s="1430"/>
      <c r="P1816" s="94"/>
      <c r="Q1816" s="1431"/>
      <c r="R1816" s="1164"/>
      <c r="S1816" s="1164"/>
      <c r="T1816" s="1164"/>
      <c r="U1816" s="2174"/>
      <c r="V1816" s="2174"/>
      <c r="W1816" s="2174"/>
      <c r="X1816" s="1164"/>
    </row>
    <row r="1817" ht="15.75" customHeight="1">
      <c r="A1817" s="94"/>
      <c r="B1817" s="1164"/>
      <c r="C1817" s="1164"/>
      <c r="D1817" s="1429"/>
      <c r="E1817" s="1429"/>
      <c r="F1817" s="1429"/>
      <c r="G1817" s="1429"/>
      <c r="H1817" s="1430"/>
      <c r="I1817" s="94"/>
      <c r="J1817" s="1164"/>
      <c r="K1817" s="94"/>
      <c r="L1817" s="94"/>
      <c r="M1817" s="1430"/>
      <c r="N1817" s="94"/>
      <c r="O1817" s="1430"/>
      <c r="P1817" s="94"/>
      <c r="Q1817" s="1431"/>
      <c r="R1817" s="1164"/>
      <c r="S1817" s="1164"/>
      <c r="T1817" s="1164"/>
      <c r="U1817" s="2174"/>
      <c r="V1817" s="2174"/>
      <c r="W1817" s="2174"/>
      <c r="X1817" s="1164"/>
    </row>
    <row r="1818" ht="15.75" customHeight="1">
      <c r="A1818" s="94"/>
      <c r="B1818" s="94"/>
      <c r="C1818" s="1164"/>
      <c r="D1818" s="1429"/>
      <c r="E1818" s="1429"/>
      <c r="F1818" s="1429"/>
      <c r="G1818" s="1429"/>
      <c r="H1818" s="1430"/>
      <c r="I1818" s="94"/>
      <c r="J1818" s="1164"/>
      <c r="K1818" s="94"/>
      <c r="L1818" s="94"/>
      <c r="M1818" s="1430"/>
      <c r="N1818" s="94"/>
      <c r="O1818" s="1430"/>
      <c r="P1818" s="94"/>
      <c r="Q1818" s="1431"/>
      <c r="R1818" s="1164"/>
      <c r="S1818" s="1164"/>
      <c r="T1818" s="1164"/>
      <c r="U1818" s="2174"/>
      <c r="V1818" s="2174"/>
      <c r="W1818" s="2174"/>
      <c r="X1818" s="1164"/>
    </row>
    <row r="1819" ht="15.75" customHeight="1">
      <c r="A1819" s="94"/>
      <c r="B1819" s="94"/>
      <c r="C1819" s="1164"/>
      <c r="D1819" s="1429"/>
      <c r="E1819" s="1429"/>
      <c r="F1819" s="1429"/>
      <c r="G1819" s="1429"/>
      <c r="H1819" s="1430"/>
      <c r="I1819" s="94"/>
      <c r="J1819" s="1164"/>
      <c r="K1819" s="94"/>
      <c r="L1819" s="94"/>
      <c r="M1819" s="1430"/>
      <c r="N1819" s="94"/>
      <c r="O1819" s="1430"/>
      <c r="P1819" s="94"/>
      <c r="Q1819" s="1431"/>
      <c r="R1819" s="1164"/>
      <c r="S1819" s="1164"/>
      <c r="T1819" s="1164"/>
      <c r="U1819" s="2174"/>
      <c r="V1819" s="2174"/>
      <c r="W1819" s="2174"/>
      <c r="X1819" s="1164"/>
    </row>
    <row r="1820" ht="15.75" customHeight="1">
      <c r="A1820" s="94"/>
      <c r="B1820" s="94"/>
      <c r="C1820" s="1164"/>
      <c r="D1820" s="1429"/>
      <c r="E1820" s="1429"/>
      <c r="F1820" s="1429"/>
      <c r="G1820" s="1429"/>
      <c r="H1820" s="1430"/>
      <c r="I1820" s="94"/>
      <c r="J1820" s="1164"/>
      <c r="K1820" s="94"/>
      <c r="L1820" s="94"/>
      <c r="M1820" s="1430"/>
      <c r="N1820" s="94"/>
      <c r="O1820" s="1430"/>
      <c r="P1820" s="94"/>
      <c r="Q1820" s="1431"/>
      <c r="R1820" s="1164"/>
      <c r="S1820" s="1164"/>
      <c r="T1820" s="1164"/>
      <c r="U1820" s="2174"/>
      <c r="V1820" s="2174"/>
      <c r="W1820" s="2174"/>
      <c r="X1820" s="1164"/>
    </row>
    <row r="1821" ht="15.75" customHeight="1">
      <c r="A1821" s="94"/>
      <c r="B1821" s="94"/>
      <c r="C1821" s="1164"/>
      <c r="D1821" s="1429"/>
      <c r="E1821" s="1429"/>
      <c r="F1821" s="1429"/>
      <c r="G1821" s="1429"/>
      <c r="H1821" s="1430"/>
      <c r="I1821" s="94"/>
      <c r="J1821" s="1164"/>
      <c r="K1821" s="94"/>
      <c r="L1821" s="94"/>
      <c r="M1821" s="1430"/>
      <c r="N1821" s="94"/>
      <c r="O1821" s="1430"/>
      <c r="P1821" s="94"/>
      <c r="Q1821" s="1431"/>
      <c r="R1821" s="1164"/>
      <c r="S1821" s="1164"/>
      <c r="T1821" s="1164"/>
      <c r="U1821" s="2174"/>
      <c r="V1821" s="2174"/>
      <c r="W1821" s="2174"/>
      <c r="X1821" s="1164"/>
    </row>
    <row r="1822" ht="15.75" customHeight="1">
      <c r="A1822" s="94"/>
      <c r="B1822" s="94"/>
      <c r="C1822" s="1164"/>
      <c r="D1822" s="1429"/>
      <c r="E1822" s="1429"/>
      <c r="F1822" s="1429"/>
      <c r="G1822" s="1429"/>
      <c r="H1822" s="1430"/>
      <c r="I1822" s="94"/>
      <c r="J1822" s="1164"/>
      <c r="K1822" s="94"/>
      <c r="L1822" s="94"/>
      <c r="M1822" s="1430"/>
      <c r="N1822" s="94"/>
      <c r="O1822" s="1430"/>
      <c r="P1822" s="94"/>
      <c r="Q1822" s="1431"/>
      <c r="R1822" s="1164"/>
      <c r="S1822" s="1164"/>
      <c r="T1822" s="1164"/>
      <c r="U1822" s="2174"/>
      <c r="V1822" s="2174"/>
      <c r="W1822" s="2174"/>
      <c r="X1822" s="1164"/>
    </row>
    <row r="1823" ht="15.75" customHeight="1">
      <c r="A1823" s="94"/>
      <c r="B1823" s="1164"/>
      <c r="C1823" s="1164"/>
      <c r="D1823" s="1429"/>
      <c r="E1823" s="1429"/>
      <c r="F1823" s="1429"/>
      <c r="G1823" s="1429"/>
      <c r="H1823" s="1430"/>
      <c r="I1823" s="94"/>
      <c r="J1823" s="1164"/>
      <c r="K1823" s="94"/>
      <c r="L1823" s="94"/>
      <c r="M1823" s="1430"/>
      <c r="N1823" s="94"/>
      <c r="O1823" s="1430"/>
      <c r="P1823" s="94"/>
      <c r="Q1823" s="1431"/>
      <c r="R1823" s="1164"/>
      <c r="S1823" s="1164"/>
      <c r="T1823" s="1164"/>
      <c r="U1823" s="2174"/>
      <c r="V1823" s="2174"/>
      <c r="W1823" s="2174"/>
      <c r="X1823" s="1164"/>
    </row>
    <row r="1824" ht="15.75" customHeight="1">
      <c r="A1824" s="94"/>
      <c r="B1824" s="94"/>
      <c r="C1824" s="1164"/>
      <c r="D1824" s="1429"/>
      <c r="E1824" s="1429"/>
      <c r="F1824" s="1429"/>
      <c r="G1824" s="1429"/>
      <c r="H1824" s="1430"/>
      <c r="I1824" s="94"/>
      <c r="J1824" s="1164"/>
      <c r="K1824" s="94"/>
      <c r="L1824" s="94"/>
      <c r="M1824" s="1430"/>
      <c r="N1824" s="94"/>
      <c r="O1824" s="1430"/>
      <c r="P1824" s="94"/>
      <c r="Q1824" s="1431"/>
      <c r="R1824" s="1164"/>
      <c r="S1824" s="1164"/>
      <c r="T1824" s="1164"/>
      <c r="U1824" s="2174"/>
      <c r="V1824" s="2174"/>
      <c r="W1824" s="2174"/>
      <c r="X1824" s="1164"/>
    </row>
    <row r="1825" ht="15.75" customHeight="1">
      <c r="A1825" s="94"/>
      <c r="B1825" s="1164"/>
      <c r="C1825" s="1164"/>
      <c r="D1825" s="1429"/>
      <c r="E1825" s="1429"/>
      <c r="F1825" s="1429"/>
      <c r="G1825" s="1429"/>
      <c r="H1825" s="1430"/>
      <c r="I1825" s="94"/>
      <c r="J1825" s="1164"/>
      <c r="K1825" s="94"/>
      <c r="L1825" s="94"/>
      <c r="M1825" s="1430"/>
      <c r="N1825" s="94"/>
      <c r="O1825" s="1430"/>
      <c r="P1825" s="94"/>
      <c r="Q1825" s="1431"/>
      <c r="R1825" s="1164"/>
      <c r="S1825" s="1164"/>
      <c r="T1825" s="1164"/>
      <c r="U1825" s="2174"/>
      <c r="V1825" s="2174"/>
      <c r="W1825" s="2174"/>
      <c r="X1825" s="1164"/>
    </row>
    <row r="1826" ht="15.75" customHeight="1">
      <c r="A1826" s="94"/>
      <c r="B1826" s="94"/>
      <c r="C1826" s="1164"/>
      <c r="D1826" s="1429"/>
      <c r="E1826" s="1429"/>
      <c r="F1826" s="1429"/>
      <c r="G1826" s="1429"/>
      <c r="H1826" s="1430"/>
      <c r="I1826" s="94"/>
      <c r="J1826" s="1164"/>
      <c r="K1826" s="94"/>
      <c r="L1826" s="94"/>
      <c r="M1826" s="1430"/>
      <c r="N1826" s="94"/>
      <c r="O1826" s="1430"/>
      <c r="P1826" s="94"/>
      <c r="Q1826" s="1431"/>
      <c r="R1826" s="1164"/>
      <c r="S1826" s="1164"/>
      <c r="T1826" s="1164"/>
      <c r="U1826" s="2174"/>
      <c r="V1826" s="2174"/>
      <c r="W1826" s="2174"/>
      <c r="X1826" s="1164"/>
    </row>
    <row r="1827" ht="15.75" customHeight="1">
      <c r="A1827" s="94"/>
      <c r="B1827" s="94"/>
      <c r="C1827" s="1164"/>
      <c r="D1827" s="1429"/>
      <c r="E1827" s="1429"/>
      <c r="F1827" s="1429"/>
      <c r="G1827" s="1429"/>
      <c r="H1827" s="1430"/>
      <c r="I1827" s="94"/>
      <c r="J1827" s="1164"/>
      <c r="K1827" s="94"/>
      <c r="L1827" s="94"/>
      <c r="M1827" s="1430"/>
      <c r="N1827" s="94"/>
      <c r="O1827" s="1430"/>
      <c r="P1827" s="94"/>
      <c r="Q1827" s="1431"/>
      <c r="R1827" s="1164"/>
      <c r="S1827" s="1164"/>
      <c r="T1827" s="1164"/>
      <c r="U1827" s="2174"/>
      <c r="V1827" s="2174"/>
      <c r="W1827" s="2174"/>
      <c r="X1827" s="1164"/>
    </row>
    <row r="1828" ht="15.75" customHeight="1">
      <c r="A1828" s="94"/>
      <c r="B1828" s="94"/>
      <c r="C1828" s="1164"/>
      <c r="D1828" s="1429"/>
      <c r="E1828" s="1429"/>
      <c r="F1828" s="1429"/>
      <c r="G1828" s="1429"/>
      <c r="H1828" s="1430"/>
      <c r="I1828" s="94"/>
      <c r="J1828" s="1164"/>
      <c r="K1828" s="94"/>
      <c r="L1828" s="94"/>
      <c r="M1828" s="1430"/>
      <c r="N1828" s="94"/>
      <c r="O1828" s="1430"/>
      <c r="P1828" s="94"/>
      <c r="Q1828" s="1431"/>
      <c r="R1828" s="1164"/>
      <c r="S1828" s="1164"/>
      <c r="T1828" s="1164"/>
      <c r="U1828" s="2174"/>
      <c r="V1828" s="2174"/>
      <c r="W1828" s="2174"/>
      <c r="X1828" s="1164"/>
    </row>
    <row r="1829" ht="15.75" customHeight="1">
      <c r="A1829" s="94"/>
      <c r="B1829" s="94"/>
      <c r="C1829" s="1164"/>
      <c r="D1829" s="1429"/>
      <c r="E1829" s="1429"/>
      <c r="F1829" s="1429"/>
      <c r="G1829" s="1429"/>
      <c r="H1829" s="1430"/>
      <c r="I1829" s="94"/>
      <c r="J1829" s="1164"/>
      <c r="K1829" s="94"/>
      <c r="L1829" s="94"/>
      <c r="M1829" s="1430"/>
      <c r="N1829" s="94"/>
      <c r="O1829" s="1430"/>
      <c r="P1829" s="94"/>
      <c r="Q1829" s="1431"/>
      <c r="R1829" s="1164"/>
      <c r="S1829" s="1164"/>
      <c r="T1829" s="1164"/>
      <c r="U1829" s="2174"/>
      <c r="V1829" s="2174"/>
      <c r="W1829" s="2174"/>
      <c r="X1829" s="1164"/>
    </row>
    <row r="1830" ht="15.75" customHeight="1">
      <c r="A1830" s="94"/>
      <c r="B1830" s="94"/>
      <c r="C1830" s="94"/>
      <c r="D1830" s="94"/>
      <c r="E1830" s="94"/>
      <c r="F1830" s="94"/>
      <c r="G1830" s="94"/>
      <c r="H1830" s="1430"/>
      <c r="I1830" s="1430"/>
      <c r="J1830" s="1430"/>
      <c r="K1830" s="1430"/>
      <c r="L1830" s="1430"/>
      <c r="M1830" s="1430"/>
      <c r="N1830" s="1430"/>
      <c r="O1830" s="1430"/>
      <c r="P1830" s="1430"/>
      <c r="Q1830" s="1430"/>
      <c r="R1830" s="1430"/>
      <c r="S1830" s="1430"/>
      <c r="T1830" s="1430"/>
      <c r="U1830" s="94"/>
      <c r="V1830" s="94"/>
      <c r="W1830" s="94"/>
      <c r="X1830" s="1430"/>
    </row>
    <row r="1831" ht="15.75" customHeight="1">
      <c r="A1831" s="94"/>
      <c r="B1831" s="94"/>
      <c r="C1831" s="1164"/>
      <c r="D1831" s="1429"/>
      <c r="E1831" s="1429"/>
      <c r="F1831" s="1429"/>
      <c r="G1831" s="1429"/>
      <c r="H1831" s="1430"/>
      <c r="I1831" s="94"/>
      <c r="J1831" s="1164"/>
      <c r="K1831" s="94"/>
      <c r="L1831" s="94"/>
      <c r="M1831" s="94"/>
      <c r="N1831" s="94"/>
      <c r="O1831" s="94"/>
      <c r="P1831" s="94"/>
      <c r="Q1831" s="1431"/>
      <c r="R1831" s="1164"/>
      <c r="S1831" s="1164"/>
      <c r="T1831" s="1164"/>
      <c r="U1831" s="2174"/>
      <c r="V1831" s="2174"/>
      <c r="W1831" s="2174"/>
      <c r="X1831" s="1164"/>
    </row>
    <row r="1832" ht="15.75" customHeight="1">
      <c r="A1832" s="94"/>
      <c r="B1832" s="94"/>
      <c r="C1832" s="1164"/>
      <c r="D1832" s="1429"/>
      <c r="E1832" s="1429"/>
      <c r="F1832" s="1429"/>
      <c r="G1832" s="1429"/>
      <c r="H1832" s="1430"/>
      <c r="I1832" s="94"/>
      <c r="J1832" s="1432"/>
      <c r="K1832" s="94"/>
      <c r="L1832" s="94"/>
      <c r="M1832" s="1430"/>
      <c r="N1832" s="94"/>
      <c r="O1832" s="1430"/>
      <c r="P1832" s="94"/>
      <c r="Q1832" s="1431"/>
      <c r="R1832" s="1164"/>
      <c r="S1832" s="1164"/>
      <c r="T1832" s="1164"/>
      <c r="U1832" s="2174"/>
      <c r="V1832" s="2174"/>
      <c r="W1832" s="2174"/>
      <c r="X1832" s="1164"/>
    </row>
    <row r="1833" ht="15.75" customHeight="1">
      <c r="A1833" s="94"/>
      <c r="B1833" s="1164"/>
      <c r="C1833" s="1164"/>
      <c r="D1833" s="1429"/>
      <c r="E1833" s="1429"/>
      <c r="F1833" s="1429"/>
      <c r="G1833" s="1429"/>
      <c r="H1833" s="1430"/>
      <c r="I1833" s="1430"/>
      <c r="J1833" s="94"/>
      <c r="K1833" s="94"/>
      <c r="L1833" s="94"/>
      <c r="M1833" s="94"/>
      <c r="N1833" s="94"/>
      <c r="O1833" s="94"/>
      <c r="P1833" s="94"/>
      <c r="Q1833" s="1431"/>
      <c r="R1833" s="1164"/>
      <c r="S1833" s="1164"/>
      <c r="T1833" s="1164"/>
      <c r="U1833" s="2174"/>
      <c r="V1833" s="2174"/>
      <c r="W1833" s="2174"/>
      <c r="X1833" s="1164"/>
    </row>
    <row r="1834" ht="15.75" customHeight="1">
      <c r="A1834" s="94"/>
      <c r="B1834" s="94"/>
      <c r="C1834" s="1164"/>
      <c r="D1834" s="1429"/>
      <c r="E1834" s="1429"/>
      <c r="F1834" s="1429"/>
      <c r="G1834" s="1429"/>
      <c r="H1834" s="1430"/>
      <c r="I1834" s="94"/>
      <c r="J1834" s="1432"/>
      <c r="K1834" s="94"/>
      <c r="L1834" s="94"/>
      <c r="M1834" s="1430"/>
      <c r="N1834" s="94"/>
      <c r="O1834" s="1430"/>
      <c r="P1834" s="94"/>
      <c r="Q1834" s="1431"/>
      <c r="R1834" s="1164"/>
      <c r="S1834" s="1164"/>
      <c r="T1834" s="1164"/>
      <c r="U1834" s="2174"/>
      <c r="V1834" s="2174"/>
      <c r="W1834" s="2174"/>
      <c r="X1834" s="1164"/>
    </row>
    <row r="1835" ht="15.75" customHeight="1">
      <c r="A1835" s="94"/>
      <c r="B1835" s="94"/>
      <c r="C1835" s="1164"/>
      <c r="D1835" s="1429"/>
      <c r="E1835" s="1429"/>
      <c r="F1835" s="1429"/>
      <c r="G1835" s="1429"/>
      <c r="H1835" s="1430"/>
      <c r="I1835" s="94"/>
      <c r="J1835" s="1432"/>
      <c r="K1835" s="94"/>
      <c r="L1835" s="94"/>
      <c r="M1835" s="1430"/>
      <c r="N1835" s="94"/>
      <c r="O1835" s="1430"/>
      <c r="P1835" s="94"/>
      <c r="Q1835" s="1431"/>
      <c r="R1835" s="1164"/>
      <c r="S1835" s="1164"/>
      <c r="T1835" s="1164"/>
      <c r="U1835" s="2174"/>
      <c r="V1835" s="2174"/>
      <c r="W1835" s="2174"/>
      <c r="X1835" s="1164"/>
    </row>
    <row r="1836" ht="15.75" customHeight="1">
      <c r="A1836" s="94"/>
      <c r="B1836" s="94"/>
      <c r="C1836" s="1164"/>
      <c r="D1836" s="1429"/>
      <c r="E1836" s="1429"/>
      <c r="F1836" s="1429"/>
      <c r="G1836" s="1429"/>
      <c r="H1836" s="1430"/>
      <c r="I1836" s="94"/>
      <c r="J1836" s="1432"/>
      <c r="K1836" s="94"/>
      <c r="L1836" s="94"/>
      <c r="M1836" s="1430"/>
      <c r="N1836" s="94"/>
      <c r="O1836" s="1430"/>
      <c r="P1836" s="94"/>
      <c r="Q1836" s="1431"/>
      <c r="R1836" s="1164"/>
      <c r="S1836" s="1164"/>
      <c r="T1836" s="1164"/>
      <c r="U1836" s="2174"/>
      <c r="V1836" s="2174"/>
      <c r="W1836" s="2174"/>
      <c r="X1836" s="1164"/>
    </row>
    <row r="1837" ht="15.75" customHeight="1">
      <c r="A1837" s="94"/>
      <c r="B1837" s="1164"/>
      <c r="C1837" s="1164"/>
      <c r="D1837" s="1429"/>
      <c r="E1837" s="1429"/>
      <c r="F1837" s="1429"/>
      <c r="G1837" s="1429"/>
      <c r="H1837" s="1430"/>
      <c r="I1837" s="94"/>
      <c r="J1837" s="1432"/>
      <c r="K1837" s="94"/>
      <c r="L1837" s="94"/>
      <c r="M1837" s="1430"/>
      <c r="N1837" s="94"/>
      <c r="O1837" s="1430"/>
      <c r="P1837" s="94"/>
      <c r="Q1837" s="1431"/>
      <c r="R1837" s="1164"/>
      <c r="S1837" s="1164"/>
      <c r="T1837" s="1164"/>
      <c r="U1837" s="2174"/>
      <c r="V1837" s="2174"/>
      <c r="W1837" s="2174"/>
      <c r="X1837" s="1164"/>
    </row>
    <row r="1838" ht="15.75" customHeight="1">
      <c r="A1838" s="94"/>
      <c r="B1838" s="94"/>
      <c r="C1838" s="1164"/>
      <c r="D1838" s="1429"/>
      <c r="E1838" s="1429"/>
      <c r="F1838" s="1429"/>
      <c r="G1838" s="1429"/>
      <c r="H1838" s="1430"/>
      <c r="I1838" s="94"/>
      <c r="J1838" s="1432"/>
      <c r="K1838" s="94"/>
      <c r="L1838" s="94"/>
      <c r="M1838" s="1430"/>
      <c r="N1838" s="94"/>
      <c r="O1838" s="1430"/>
      <c r="P1838" s="94"/>
      <c r="Q1838" s="1431"/>
      <c r="R1838" s="1164"/>
      <c r="S1838" s="1164"/>
      <c r="T1838" s="1164"/>
      <c r="U1838" s="2174"/>
      <c r="V1838" s="2174"/>
      <c r="W1838" s="2174"/>
      <c r="X1838" s="1164"/>
    </row>
    <row r="1839" ht="15.75" customHeight="1">
      <c r="A1839" s="94"/>
      <c r="B1839" s="94"/>
      <c r="C1839" s="1164"/>
      <c r="D1839" s="1429"/>
      <c r="E1839" s="1429"/>
      <c r="F1839" s="1429"/>
      <c r="G1839" s="1429"/>
      <c r="H1839" s="1430"/>
      <c r="I1839" s="94"/>
      <c r="J1839" s="1432"/>
      <c r="K1839" s="94"/>
      <c r="L1839" s="94"/>
      <c r="M1839" s="1430"/>
      <c r="N1839" s="94"/>
      <c r="O1839" s="1430"/>
      <c r="P1839" s="94"/>
      <c r="Q1839" s="1431"/>
      <c r="R1839" s="1164"/>
      <c r="S1839" s="1164"/>
      <c r="T1839" s="1164"/>
      <c r="U1839" s="2174"/>
      <c r="V1839" s="2174"/>
      <c r="W1839" s="2174"/>
      <c r="X1839" s="1164"/>
    </row>
    <row r="1840" ht="15.75" customHeight="1">
      <c r="A1840" s="94"/>
      <c r="B1840" s="94"/>
      <c r="C1840" s="1164"/>
      <c r="D1840" s="1429"/>
      <c r="E1840" s="1429"/>
      <c r="F1840" s="1429"/>
      <c r="G1840" s="1429"/>
      <c r="H1840" s="1430"/>
      <c r="I1840" s="94"/>
      <c r="J1840" s="1432"/>
      <c r="K1840" s="94"/>
      <c r="L1840" s="94"/>
      <c r="M1840" s="1430"/>
      <c r="N1840" s="94"/>
      <c r="O1840" s="1430"/>
      <c r="P1840" s="94"/>
      <c r="Q1840" s="1431"/>
      <c r="R1840" s="1164"/>
      <c r="S1840" s="1164"/>
      <c r="T1840" s="1164"/>
      <c r="U1840" s="2174"/>
      <c r="V1840" s="2174"/>
      <c r="W1840" s="2174"/>
      <c r="X1840" s="1164"/>
    </row>
    <row r="1841" ht="15.75" customHeight="1">
      <c r="A1841" s="94"/>
      <c r="B1841" s="1164"/>
      <c r="C1841" s="1164"/>
      <c r="D1841" s="1429"/>
      <c r="E1841" s="1429"/>
      <c r="F1841" s="1429"/>
      <c r="G1841" s="1429"/>
      <c r="H1841" s="1430"/>
      <c r="I1841" s="94"/>
      <c r="J1841" s="1432"/>
      <c r="K1841" s="94"/>
      <c r="L1841" s="94"/>
      <c r="M1841" s="1430"/>
      <c r="N1841" s="94"/>
      <c r="O1841" s="1430"/>
      <c r="P1841" s="94"/>
      <c r="Q1841" s="1431"/>
      <c r="R1841" s="1164"/>
      <c r="S1841" s="1164"/>
      <c r="T1841" s="1164"/>
      <c r="U1841" s="2174"/>
      <c r="V1841" s="2174"/>
      <c r="W1841" s="2174"/>
      <c r="X1841" s="1164"/>
    </row>
    <row r="1842" ht="15.75" customHeight="1">
      <c r="A1842" s="94"/>
      <c r="B1842" s="94"/>
      <c r="C1842" s="1164"/>
      <c r="D1842" s="1429"/>
      <c r="E1842" s="1429"/>
      <c r="F1842" s="1429"/>
      <c r="G1842" s="1429"/>
      <c r="H1842" s="1430"/>
      <c r="I1842" s="94"/>
      <c r="J1842" s="1432"/>
      <c r="K1842" s="94"/>
      <c r="L1842" s="94"/>
      <c r="M1842" s="1430"/>
      <c r="N1842" s="94"/>
      <c r="O1842" s="1430"/>
      <c r="P1842" s="94"/>
      <c r="Q1842" s="1431"/>
      <c r="R1842" s="1164"/>
      <c r="S1842" s="1164"/>
      <c r="T1842" s="1164"/>
      <c r="U1842" s="2174"/>
      <c r="V1842" s="2174"/>
      <c r="W1842" s="2174"/>
      <c r="X1842" s="1164"/>
    </row>
    <row r="1843" ht="15.75" customHeight="1">
      <c r="A1843" s="94"/>
      <c r="B1843" s="94"/>
      <c r="C1843" s="1164"/>
      <c r="D1843" s="1429"/>
      <c r="E1843" s="1429"/>
      <c r="F1843" s="1429"/>
      <c r="G1843" s="1429"/>
      <c r="H1843" s="1430"/>
      <c r="I1843" s="1430"/>
      <c r="J1843" s="94"/>
      <c r="K1843" s="94"/>
      <c r="L1843" s="94"/>
      <c r="M1843" s="94"/>
      <c r="N1843" s="94"/>
      <c r="O1843" s="94"/>
      <c r="P1843" s="94"/>
      <c r="Q1843" s="1431"/>
      <c r="R1843" s="1164"/>
      <c r="S1843" s="1164"/>
      <c r="T1843" s="1164"/>
      <c r="U1843" s="2174"/>
      <c r="V1843" s="2174"/>
      <c r="W1843" s="2174"/>
      <c r="X1843" s="1164"/>
    </row>
    <row r="1844" ht="15.75" customHeight="1">
      <c r="A1844" s="94"/>
      <c r="B1844" s="94"/>
      <c r="C1844" s="94"/>
      <c r="D1844" s="94"/>
      <c r="E1844" s="94"/>
      <c r="F1844" s="94"/>
      <c r="G1844" s="94"/>
      <c r="H1844" s="1430"/>
      <c r="I1844" s="1430"/>
      <c r="J1844" s="1430"/>
      <c r="K1844" s="1430"/>
      <c r="L1844" s="1430"/>
      <c r="M1844" s="1430"/>
      <c r="N1844" s="1430"/>
      <c r="O1844" s="1430"/>
      <c r="P1844" s="1430"/>
      <c r="Q1844" s="1430"/>
      <c r="R1844" s="1430"/>
      <c r="S1844" s="1430"/>
      <c r="T1844" s="1430"/>
      <c r="U1844" s="94"/>
      <c r="V1844" s="94"/>
      <c r="W1844" s="94"/>
      <c r="X1844" s="1430"/>
    </row>
    <row r="1845" ht="15.75" customHeight="1">
      <c r="A1845" s="94"/>
      <c r="B1845" s="94"/>
      <c r="C1845" s="1164"/>
      <c r="D1845" s="1429"/>
      <c r="E1845" s="1429"/>
      <c r="F1845" s="1429"/>
      <c r="G1845" s="1429"/>
      <c r="H1845" s="1430"/>
      <c r="I1845" s="1430"/>
      <c r="J1845" s="94"/>
      <c r="K1845" s="94"/>
      <c r="L1845" s="94"/>
      <c r="M1845" s="94"/>
      <c r="N1845" s="94"/>
      <c r="O1845" s="94"/>
      <c r="P1845" s="94"/>
      <c r="Q1845" s="1431"/>
      <c r="R1845" s="1164"/>
      <c r="S1845" s="1164"/>
      <c r="T1845" s="1164"/>
      <c r="U1845" s="94"/>
      <c r="V1845" s="94"/>
      <c r="W1845" s="94"/>
      <c r="X1845" s="1164"/>
    </row>
    <row r="1846" ht="15.75" customHeight="1">
      <c r="A1846" s="94"/>
      <c r="B1846" s="94"/>
      <c r="C1846" s="1164"/>
      <c r="D1846" s="1429"/>
      <c r="E1846" s="1429"/>
      <c r="F1846" s="1429"/>
      <c r="G1846" s="1429"/>
      <c r="H1846" s="1430"/>
      <c r="I1846" s="94"/>
      <c r="J1846" s="1164"/>
      <c r="K1846" s="94"/>
      <c r="L1846" s="94"/>
      <c r="M1846" s="1430"/>
      <c r="N1846" s="94"/>
      <c r="O1846" s="1430"/>
      <c r="P1846" s="94"/>
      <c r="Q1846" s="1431"/>
      <c r="R1846" s="1164"/>
      <c r="S1846" s="1164"/>
      <c r="T1846" s="1164"/>
      <c r="U1846" s="2174"/>
      <c r="V1846" s="2174"/>
      <c r="W1846" s="2174"/>
      <c r="X1846" s="1164"/>
    </row>
    <row r="1847" ht="15.75" customHeight="1">
      <c r="A1847" s="94"/>
      <c r="B1847" s="94"/>
      <c r="C1847" s="1164"/>
      <c r="D1847" s="1429"/>
      <c r="E1847" s="1429"/>
      <c r="F1847" s="1429"/>
      <c r="G1847" s="1429"/>
      <c r="H1847" s="1430"/>
      <c r="I1847" s="94"/>
      <c r="J1847" s="1164"/>
      <c r="K1847" s="94"/>
      <c r="L1847" s="94"/>
      <c r="M1847" s="1430"/>
      <c r="N1847" s="94"/>
      <c r="O1847" s="1430"/>
      <c r="P1847" s="94"/>
      <c r="Q1847" s="1431"/>
      <c r="R1847" s="1164"/>
      <c r="S1847" s="1164"/>
      <c r="T1847" s="1164"/>
      <c r="U1847" s="2174"/>
      <c r="V1847" s="2174"/>
      <c r="W1847" s="2174"/>
      <c r="X1847" s="1164"/>
    </row>
    <row r="1848" ht="15.75" customHeight="1">
      <c r="A1848" s="94"/>
      <c r="B1848" s="94"/>
      <c r="C1848" s="1164"/>
      <c r="D1848" s="1429"/>
      <c r="E1848" s="1429"/>
      <c r="F1848" s="1429"/>
      <c r="G1848" s="1429"/>
      <c r="H1848" s="1430"/>
      <c r="I1848" s="94"/>
      <c r="J1848" s="1164"/>
      <c r="K1848" s="94"/>
      <c r="L1848" s="94"/>
      <c r="M1848" s="94"/>
      <c r="N1848" s="94"/>
      <c r="O1848" s="94"/>
      <c r="P1848" s="94"/>
      <c r="Q1848" s="1431"/>
      <c r="R1848" s="1164"/>
      <c r="S1848" s="1164"/>
      <c r="T1848" s="1164"/>
      <c r="U1848" s="2174"/>
      <c r="V1848" s="2174"/>
      <c r="W1848" s="2174"/>
      <c r="X1848" s="1164"/>
    </row>
    <row r="1849" ht="15.75" customHeight="1">
      <c r="A1849" s="94"/>
      <c r="B1849" s="94"/>
      <c r="C1849" s="1164"/>
      <c r="D1849" s="1429"/>
      <c r="E1849" s="1429"/>
      <c r="F1849" s="1429"/>
      <c r="G1849" s="1429"/>
      <c r="H1849" s="1430"/>
      <c r="I1849" s="94"/>
      <c r="J1849" s="1164"/>
      <c r="K1849" s="94"/>
      <c r="L1849" s="94"/>
      <c r="M1849" s="94"/>
      <c r="N1849" s="94"/>
      <c r="O1849" s="94"/>
      <c r="P1849" s="94"/>
      <c r="Q1849" s="1431"/>
      <c r="R1849" s="1164"/>
      <c r="S1849" s="1164"/>
      <c r="T1849" s="1164"/>
      <c r="U1849" s="2174"/>
      <c r="V1849" s="2174"/>
      <c r="W1849" s="2174"/>
      <c r="X1849" s="1164"/>
    </row>
    <row r="1850" ht="15.75" customHeight="1">
      <c r="A1850" s="94"/>
      <c r="B1850" s="94"/>
      <c r="C1850" s="1164"/>
      <c r="D1850" s="1429"/>
      <c r="E1850" s="1429"/>
      <c r="F1850" s="1429"/>
      <c r="G1850" s="1429"/>
      <c r="H1850" s="1430"/>
      <c r="I1850" s="94"/>
      <c r="J1850" s="1164"/>
      <c r="K1850" s="94"/>
      <c r="L1850" s="94"/>
      <c r="M1850" s="1430"/>
      <c r="N1850" s="94"/>
      <c r="O1850" s="1430"/>
      <c r="P1850" s="94"/>
      <c r="Q1850" s="1431"/>
      <c r="R1850" s="1164"/>
      <c r="S1850" s="1164"/>
      <c r="T1850" s="1164"/>
      <c r="U1850" s="2174"/>
      <c r="V1850" s="2174"/>
      <c r="W1850" s="2174"/>
      <c r="X1850" s="1164"/>
    </row>
    <row r="1851" ht="15.75" customHeight="1">
      <c r="A1851" s="94"/>
      <c r="B1851" s="94"/>
      <c r="C1851" s="1164"/>
      <c r="D1851" s="1429"/>
      <c r="E1851" s="1429"/>
      <c r="F1851" s="1429"/>
      <c r="G1851" s="1429"/>
      <c r="H1851" s="1430"/>
      <c r="I1851" s="94"/>
      <c r="J1851" s="1164"/>
      <c r="K1851" s="94"/>
      <c r="L1851" s="94"/>
      <c r="M1851" s="1430"/>
      <c r="N1851" s="94"/>
      <c r="O1851" s="1430"/>
      <c r="P1851" s="94"/>
      <c r="Q1851" s="1431"/>
      <c r="R1851" s="1164"/>
      <c r="S1851" s="1164"/>
      <c r="T1851" s="1164"/>
      <c r="U1851" s="2174"/>
      <c r="V1851" s="2174"/>
      <c r="W1851" s="2174"/>
      <c r="X1851" s="1164"/>
    </row>
    <row r="1852" ht="15.75" customHeight="1">
      <c r="A1852" s="94"/>
      <c r="B1852" s="94"/>
      <c r="C1852" s="1164"/>
      <c r="D1852" s="1429"/>
      <c r="E1852" s="1429"/>
      <c r="F1852" s="1429"/>
      <c r="G1852" s="1429"/>
      <c r="H1852" s="1430"/>
      <c r="I1852" s="94"/>
      <c r="J1852" s="1164"/>
      <c r="K1852" s="94"/>
      <c r="L1852" s="94"/>
      <c r="M1852" s="94"/>
      <c r="N1852" s="94"/>
      <c r="O1852" s="94"/>
      <c r="P1852" s="94"/>
      <c r="Q1852" s="1431"/>
      <c r="R1852" s="1164"/>
      <c r="S1852" s="1164"/>
      <c r="T1852" s="94"/>
      <c r="U1852" s="94"/>
      <c r="V1852" s="94"/>
      <c r="W1852" s="94"/>
      <c r="X1852" s="94"/>
    </row>
    <row r="1853" ht="15.75" customHeight="1">
      <c r="A1853" s="94"/>
      <c r="B1853" s="94"/>
      <c r="C1853" s="1164"/>
      <c r="D1853" s="1429"/>
      <c r="E1853" s="1429"/>
      <c r="F1853" s="1429"/>
      <c r="G1853" s="1429"/>
      <c r="H1853" s="1430"/>
      <c r="I1853" s="94"/>
      <c r="J1853" s="1164"/>
      <c r="K1853" s="94"/>
      <c r="L1853" s="94"/>
      <c r="M1853" s="1430"/>
      <c r="N1853" s="94"/>
      <c r="O1853" s="1430"/>
      <c r="P1853" s="94"/>
      <c r="Q1853" s="1431"/>
      <c r="R1853" s="1164"/>
      <c r="S1853" s="1164"/>
      <c r="T1853" s="1164"/>
      <c r="U1853" s="2174"/>
      <c r="V1853" s="2174"/>
      <c r="W1853" s="2174"/>
      <c r="X1853" s="1164"/>
    </row>
    <row r="1854" ht="15.75" customHeight="1">
      <c r="A1854" s="94"/>
      <c r="B1854" s="94"/>
      <c r="C1854" s="1164"/>
      <c r="D1854" s="1429"/>
      <c r="E1854" s="1429"/>
      <c r="F1854" s="1429"/>
      <c r="G1854" s="1429"/>
      <c r="H1854" s="1430"/>
      <c r="I1854" s="94"/>
      <c r="J1854" s="1164"/>
      <c r="K1854" s="94"/>
      <c r="L1854" s="94"/>
      <c r="M1854" s="1430"/>
      <c r="N1854" s="94"/>
      <c r="O1854" s="1430"/>
      <c r="P1854" s="94"/>
      <c r="Q1854" s="1431"/>
      <c r="R1854" s="1164"/>
      <c r="S1854" s="1164"/>
      <c r="T1854" s="1164"/>
      <c r="U1854" s="2174"/>
      <c r="V1854" s="2174"/>
      <c r="W1854" s="2174"/>
      <c r="X1854" s="1164"/>
    </row>
    <row r="1855" ht="15.75" customHeight="1">
      <c r="A1855" s="94"/>
      <c r="B1855" s="94"/>
      <c r="C1855" s="1164"/>
      <c r="D1855" s="1429"/>
      <c r="E1855" s="1429"/>
      <c r="F1855" s="1429"/>
      <c r="G1855" s="1429"/>
      <c r="H1855" s="1430"/>
      <c r="I1855" s="94"/>
      <c r="J1855" s="1164"/>
      <c r="K1855" s="94"/>
      <c r="L1855" s="94"/>
      <c r="M1855" s="1430"/>
      <c r="N1855" s="94"/>
      <c r="O1855" s="1430"/>
      <c r="P1855" s="94"/>
      <c r="Q1855" s="1431"/>
      <c r="R1855" s="1164"/>
      <c r="S1855" s="1164"/>
      <c r="T1855" s="1164"/>
      <c r="U1855" s="2174"/>
      <c r="V1855" s="2174"/>
      <c r="W1855" s="2174"/>
      <c r="X1855" s="1164"/>
    </row>
    <row r="1856" ht="15.75" customHeight="1">
      <c r="A1856" s="94"/>
      <c r="B1856" s="94"/>
      <c r="C1856" s="1164"/>
      <c r="D1856" s="1429"/>
      <c r="E1856" s="1429"/>
      <c r="F1856" s="1429"/>
      <c r="G1856" s="1429"/>
      <c r="H1856" s="1430"/>
      <c r="I1856" s="94"/>
      <c r="J1856" s="1164"/>
      <c r="K1856" s="94"/>
      <c r="L1856" s="94"/>
      <c r="M1856" s="1430"/>
      <c r="N1856" s="94"/>
      <c r="O1856" s="1430"/>
      <c r="P1856" s="94"/>
      <c r="Q1856" s="1431"/>
      <c r="R1856" s="1164"/>
      <c r="S1856" s="1164"/>
      <c r="T1856" s="1164"/>
      <c r="U1856" s="2174"/>
      <c r="V1856" s="2174"/>
      <c r="W1856" s="2174"/>
      <c r="X1856" s="1164"/>
    </row>
    <row r="1857" ht="15.75" customHeight="1">
      <c r="A1857" s="94"/>
      <c r="B1857" s="94"/>
      <c r="C1857" s="1164"/>
      <c r="D1857" s="1429"/>
      <c r="E1857" s="1429"/>
      <c r="F1857" s="1429"/>
      <c r="G1857" s="1429"/>
      <c r="H1857" s="1430"/>
      <c r="I1857" s="94"/>
      <c r="J1857" s="1164"/>
      <c r="K1857" s="94"/>
      <c r="L1857" s="94"/>
      <c r="M1857" s="1430"/>
      <c r="N1857" s="94"/>
      <c r="O1857" s="1430"/>
      <c r="P1857" s="94"/>
      <c r="Q1857" s="1431"/>
      <c r="R1857" s="1164"/>
      <c r="S1857" s="1164"/>
      <c r="T1857" s="1164"/>
      <c r="U1857" s="2174"/>
      <c r="V1857" s="2174"/>
      <c r="W1857" s="2174"/>
      <c r="X1857" s="1164"/>
    </row>
    <row r="1858" ht="15.75" customHeight="1">
      <c r="A1858" s="94"/>
      <c r="B1858" s="94"/>
      <c r="C1858" s="1164"/>
      <c r="D1858" s="1429"/>
      <c r="E1858" s="1429"/>
      <c r="F1858" s="1429"/>
      <c r="G1858" s="1429"/>
      <c r="H1858" s="1430"/>
      <c r="I1858" s="94"/>
      <c r="J1858" s="1164"/>
      <c r="K1858" s="94"/>
      <c r="L1858" s="94"/>
      <c r="M1858" s="1430"/>
      <c r="N1858" s="94"/>
      <c r="O1858" s="1430"/>
      <c r="P1858" s="94"/>
      <c r="Q1858" s="1431"/>
      <c r="R1858" s="1164"/>
      <c r="S1858" s="1164"/>
      <c r="T1858" s="1164"/>
      <c r="U1858" s="2174"/>
      <c r="V1858" s="2174"/>
      <c r="W1858" s="2174"/>
      <c r="X1858" s="1164"/>
    </row>
    <row r="1859" ht="15.75" customHeight="1">
      <c r="A1859" s="94"/>
      <c r="B1859" s="94"/>
      <c r="C1859" s="1164"/>
      <c r="D1859" s="1429"/>
      <c r="E1859" s="1429"/>
      <c r="F1859" s="1429"/>
      <c r="G1859" s="1429"/>
      <c r="H1859" s="1430"/>
      <c r="I1859" s="94"/>
      <c r="J1859" s="1164"/>
      <c r="K1859" s="94"/>
      <c r="L1859" s="94"/>
      <c r="M1859" s="94"/>
      <c r="N1859" s="94"/>
      <c r="O1859" s="94"/>
      <c r="P1859" s="94"/>
      <c r="Q1859" s="1431"/>
      <c r="R1859" s="1164"/>
      <c r="S1859" s="1164"/>
      <c r="T1859" s="1164"/>
      <c r="U1859" s="2174"/>
      <c r="V1859" s="2174"/>
      <c r="W1859" s="2174"/>
      <c r="X1859" s="1164"/>
    </row>
    <row r="1860" ht="15.75" customHeight="1">
      <c r="A1860" s="94"/>
      <c r="B1860" s="94"/>
      <c r="C1860" s="1164"/>
      <c r="D1860" s="1429"/>
      <c r="E1860" s="1429"/>
      <c r="F1860" s="1429"/>
      <c r="G1860" s="1429"/>
      <c r="H1860" s="1430"/>
      <c r="I1860" s="94"/>
      <c r="J1860" s="1164"/>
      <c r="K1860" s="94"/>
      <c r="L1860" s="94"/>
      <c r="M1860" s="1430"/>
      <c r="N1860" s="94"/>
      <c r="O1860" s="1430"/>
      <c r="P1860" s="94"/>
      <c r="Q1860" s="1431"/>
      <c r="R1860" s="1164"/>
      <c r="S1860" s="1164"/>
      <c r="T1860" s="1164"/>
      <c r="U1860" s="2174"/>
      <c r="V1860" s="2174"/>
      <c r="W1860" s="2174"/>
      <c r="X1860" s="1164"/>
    </row>
    <row r="1861" ht="15.75" customHeight="1">
      <c r="A1861" s="94"/>
      <c r="B1861" s="94"/>
      <c r="C1861" s="1164"/>
      <c r="D1861" s="1429"/>
      <c r="E1861" s="1429"/>
      <c r="F1861" s="1429"/>
      <c r="G1861" s="1429"/>
      <c r="H1861" s="1430"/>
      <c r="I1861" s="94"/>
      <c r="J1861" s="1164"/>
      <c r="K1861" s="94"/>
      <c r="L1861" s="94"/>
      <c r="M1861" s="1430"/>
      <c r="N1861" s="94"/>
      <c r="O1861" s="1430"/>
      <c r="P1861" s="94"/>
      <c r="Q1861" s="1431"/>
      <c r="R1861" s="1164"/>
      <c r="S1861" s="1164"/>
      <c r="T1861" s="1164"/>
      <c r="U1861" s="2174"/>
      <c r="V1861" s="2174"/>
      <c r="W1861" s="2174"/>
      <c r="X1861" s="1164"/>
    </row>
    <row r="1862" ht="15.75" customHeight="1">
      <c r="A1862" s="94"/>
      <c r="B1862" s="94"/>
      <c r="C1862" s="1164"/>
      <c r="D1862" s="1429"/>
      <c r="E1862" s="1429"/>
      <c r="F1862" s="1429"/>
      <c r="G1862" s="1429"/>
      <c r="H1862" s="1430"/>
      <c r="I1862" s="94"/>
      <c r="J1862" s="1164"/>
      <c r="K1862" s="94"/>
      <c r="L1862" s="94"/>
      <c r="M1862" s="1430"/>
      <c r="N1862" s="94"/>
      <c r="O1862" s="1430"/>
      <c r="P1862" s="94"/>
      <c r="Q1862" s="1431"/>
      <c r="R1862" s="1164"/>
      <c r="S1862" s="1164"/>
      <c r="T1862" s="1164"/>
      <c r="U1862" s="2174"/>
      <c r="V1862" s="2174"/>
      <c r="W1862" s="2174"/>
      <c r="X1862" s="1164"/>
    </row>
    <row r="1863" ht="15.75" customHeight="1">
      <c r="A1863" s="94"/>
      <c r="B1863" s="94"/>
      <c r="C1863" s="1164"/>
      <c r="D1863" s="1429"/>
      <c r="E1863" s="1429"/>
      <c r="F1863" s="1429"/>
      <c r="G1863" s="1429"/>
      <c r="H1863" s="1430"/>
      <c r="I1863" s="94"/>
      <c r="J1863" s="1164"/>
      <c r="K1863" s="94"/>
      <c r="L1863" s="94"/>
      <c r="M1863" s="1430"/>
      <c r="N1863" s="94"/>
      <c r="O1863" s="1430"/>
      <c r="P1863" s="94"/>
      <c r="Q1863" s="1431"/>
      <c r="R1863" s="1164"/>
      <c r="S1863" s="1164"/>
      <c r="T1863" s="1164"/>
      <c r="U1863" s="2174"/>
      <c r="V1863" s="2174"/>
      <c r="W1863" s="2174"/>
      <c r="X1863" s="1164"/>
    </row>
    <row r="1864" ht="15.75" customHeight="1">
      <c r="A1864" s="94"/>
      <c r="B1864" s="94"/>
      <c r="C1864" s="1164"/>
      <c r="D1864" s="1429"/>
      <c r="E1864" s="1429"/>
      <c r="F1864" s="1429"/>
      <c r="G1864" s="1429"/>
      <c r="H1864" s="1430"/>
      <c r="I1864" s="94"/>
      <c r="J1864" s="1164"/>
      <c r="K1864" s="94"/>
      <c r="L1864" s="94"/>
      <c r="M1864" s="1430"/>
      <c r="N1864" s="94"/>
      <c r="O1864" s="1430"/>
      <c r="P1864" s="94"/>
      <c r="Q1864" s="1431"/>
      <c r="R1864" s="1164"/>
      <c r="S1864" s="1164"/>
      <c r="T1864" s="1164"/>
      <c r="U1864" s="2174"/>
      <c r="V1864" s="2174"/>
      <c r="W1864" s="2174"/>
      <c r="X1864" s="1164"/>
    </row>
    <row r="1865" ht="15.75" customHeight="1">
      <c r="A1865" s="94"/>
      <c r="B1865" s="94"/>
      <c r="C1865" s="1164"/>
      <c r="D1865" s="1429"/>
      <c r="E1865" s="1429"/>
      <c r="F1865" s="1429"/>
      <c r="G1865" s="1429"/>
      <c r="H1865" s="1430"/>
      <c r="I1865" s="94"/>
      <c r="J1865" s="1164"/>
      <c r="K1865" s="94"/>
      <c r="L1865" s="94"/>
      <c r="M1865" s="1430"/>
      <c r="N1865" s="94"/>
      <c r="O1865" s="1430"/>
      <c r="P1865" s="94"/>
      <c r="Q1865" s="1431"/>
      <c r="R1865" s="1164"/>
      <c r="S1865" s="1164"/>
      <c r="T1865" s="1164"/>
      <c r="U1865" s="2174"/>
      <c r="V1865" s="2174"/>
      <c r="W1865" s="2174"/>
      <c r="X1865" s="1164"/>
    </row>
    <row r="1866" ht="15.75" customHeight="1">
      <c r="A1866" s="94"/>
      <c r="B1866" s="94"/>
      <c r="C1866" s="1164"/>
      <c r="D1866" s="1429"/>
      <c r="E1866" s="1429"/>
      <c r="F1866" s="1429"/>
      <c r="G1866" s="1429"/>
      <c r="H1866" s="1430"/>
      <c r="I1866" s="94"/>
      <c r="J1866" s="1164"/>
      <c r="K1866" s="94"/>
      <c r="L1866" s="94"/>
      <c r="M1866" s="1430"/>
      <c r="N1866" s="94"/>
      <c r="O1866" s="1430"/>
      <c r="P1866" s="94"/>
      <c r="Q1866" s="1431"/>
      <c r="R1866" s="1164"/>
      <c r="S1866" s="1164"/>
      <c r="T1866" s="1164"/>
      <c r="U1866" s="2174"/>
      <c r="V1866" s="2174"/>
      <c r="W1866" s="2174"/>
      <c r="X1866" s="1164"/>
    </row>
    <row r="1867" ht="15.75" customHeight="1">
      <c r="A1867" s="94"/>
      <c r="B1867" s="94"/>
      <c r="C1867" s="1164"/>
      <c r="D1867" s="1429"/>
      <c r="E1867" s="1429"/>
      <c r="F1867" s="1429"/>
      <c r="G1867" s="1429"/>
      <c r="H1867" s="1430"/>
      <c r="I1867" s="94"/>
      <c r="J1867" s="1164"/>
      <c r="K1867" s="94"/>
      <c r="L1867" s="94"/>
      <c r="M1867" s="94"/>
      <c r="N1867" s="94"/>
      <c r="O1867" s="94"/>
      <c r="P1867" s="94"/>
      <c r="Q1867" s="1431"/>
      <c r="R1867" s="1164"/>
      <c r="S1867" s="1164"/>
      <c r="T1867" s="1164"/>
      <c r="U1867" s="2174"/>
      <c r="V1867" s="2174"/>
      <c r="W1867" s="2174"/>
      <c r="X1867" s="1164"/>
    </row>
    <row r="1868" ht="15.75" customHeight="1">
      <c r="A1868" s="94"/>
      <c r="B1868" s="94"/>
      <c r="C1868" s="94"/>
      <c r="D1868" s="94"/>
      <c r="E1868" s="94"/>
      <c r="F1868" s="94"/>
      <c r="G1868" s="94"/>
      <c r="H1868" s="1430"/>
      <c r="I1868" s="1430"/>
      <c r="J1868" s="1430"/>
      <c r="K1868" s="1430"/>
      <c r="L1868" s="1430"/>
      <c r="M1868" s="1430"/>
      <c r="N1868" s="1430"/>
      <c r="O1868" s="1430"/>
      <c r="P1868" s="1430"/>
      <c r="Q1868" s="1430"/>
      <c r="R1868" s="1430"/>
      <c r="S1868" s="94"/>
      <c r="T1868" s="1430"/>
      <c r="U1868" s="94"/>
      <c r="V1868" s="94"/>
      <c r="W1868" s="94"/>
      <c r="X1868" s="1430"/>
    </row>
    <row r="1869" ht="15.75" customHeight="1">
      <c r="A1869" s="94"/>
      <c r="B1869" s="94"/>
      <c r="C1869" s="1164"/>
      <c r="D1869" s="1429"/>
      <c r="E1869" s="1429"/>
      <c r="F1869" s="1429"/>
      <c r="G1869" s="1429"/>
      <c r="H1869" s="1430"/>
      <c r="I1869" s="1430"/>
      <c r="J1869" s="94"/>
      <c r="K1869" s="94"/>
      <c r="L1869" s="94"/>
      <c r="M1869" s="94"/>
      <c r="N1869" s="94"/>
      <c r="O1869" s="94"/>
      <c r="P1869" s="94"/>
      <c r="Q1869" s="1431"/>
      <c r="R1869" s="1164"/>
      <c r="S1869" s="1164"/>
      <c r="T1869" s="1164"/>
      <c r="U1869" s="94"/>
      <c r="V1869" s="94"/>
      <c r="W1869" s="94"/>
      <c r="X1869" s="1164"/>
    </row>
    <row r="1870" ht="15.75" customHeight="1">
      <c r="A1870" s="94"/>
      <c r="B1870" s="94"/>
      <c r="C1870" s="1164"/>
      <c r="D1870" s="1429"/>
      <c r="E1870" s="1429"/>
      <c r="F1870" s="1429"/>
      <c r="G1870" s="1429"/>
      <c r="H1870" s="1430"/>
      <c r="I1870" s="94"/>
      <c r="J1870" s="1164"/>
      <c r="K1870" s="94"/>
      <c r="L1870" s="94"/>
      <c r="M1870" s="1430"/>
      <c r="N1870" s="94"/>
      <c r="O1870" s="1430"/>
      <c r="P1870" s="94"/>
      <c r="Q1870" s="1431"/>
      <c r="R1870" s="1164"/>
      <c r="S1870" s="1164"/>
      <c r="T1870" s="1164"/>
      <c r="U1870" s="2174"/>
      <c r="V1870" s="2174"/>
      <c r="W1870" s="2174"/>
      <c r="X1870" s="1164"/>
    </row>
    <row r="1871" ht="15.75" customHeight="1">
      <c r="A1871" s="94"/>
      <c r="B1871" s="1164"/>
      <c r="C1871" s="1164"/>
      <c r="D1871" s="1429"/>
      <c r="E1871" s="1429"/>
      <c r="F1871" s="1429"/>
      <c r="G1871" s="1429"/>
      <c r="H1871" s="1430"/>
      <c r="I1871" s="94"/>
      <c r="J1871" s="1164"/>
      <c r="K1871" s="94"/>
      <c r="L1871" s="94"/>
      <c r="M1871" s="1430"/>
      <c r="N1871" s="94"/>
      <c r="O1871" s="1430"/>
      <c r="P1871" s="94"/>
      <c r="Q1871" s="1431"/>
      <c r="R1871" s="1164"/>
      <c r="S1871" s="1164"/>
      <c r="T1871" s="1164"/>
      <c r="U1871" s="2174"/>
      <c r="V1871" s="2174"/>
      <c r="W1871" s="2174"/>
      <c r="X1871" s="1164"/>
    </row>
    <row r="1872" ht="15.75" customHeight="1">
      <c r="A1872" s="94"/>
      <c r="B1872" s="94"/>
      <c r="C1872" s="1164"/>
      <c r="D1872" s="1429"/>
      <c r="E1872" s="1429"/>
      <c r="F1872" s="1429"/>
      <c r="G1872" s="1429"/>
      <c r="H1872" s="1430"/>
      <c r="I1872" s="94"/>
      <c r="J1872" s="1164"/>
      <c r="K1872" s="94"/>
      <c r="L1872" s="94"/>
      <c r="M1872" s="1430"/>
      <c r="N1872" s="94"/>
      <c r="O1872" s="1430"/>
      <c r="P1872" s="94"/>
      <c r="Q1872" s="1431"/>
      <c r="R1872" s="1164"/>
      <c r="S1872" s="1164"/>
      <c r="T1872" s="1164"/>
      <c r="U1872" s="2174"/>
      <c r="V1872" s="2174"/>
      <c r="W1872" s="2174"/>
      <c r="X1872" s="1164"/>
    </row>
    <row r="1873" ht="15.75" customHeight="1">
      <c r="A1873" s="94"/>
      <c r="B1873" s="94"/>
      <c r="C1873" s="1164"/>
      <c r="D1873" s="1429"/>
      <c r="E1873" s="1429"/>
      <c r="F1873" s="1429"/>
      <c r="G1873" s="1429"/>
      <c r="H1873" s="1430"/>
      <c r="I1873" s="1430"/>
      <c r="J1873" s="1164"/>
      <c r="K1873" s="94"/>
      <c r="L1873" s="94"/>
      <c r="M1873" s="1430"/>
      <c r="N1873" s="94"/>
      <c r="O1873" s="1430"/>
      <c r="P1873" s="94"/>
      <c r="Q1873" s="1431"/>
      <c r="R1873" s="1164"/>
      <c r="S1873" s="1164"/>
      <c r="T1873" s="1164"/>
      <c r="U1873" s="2174"/>
      <c r="V1873" s="2174"/>
      <c r="W1873" s="2174"/>
      <c r="X1873" s="1164"/>
    </row>
    <row r="1874" ht="15.75" customHeight="1">
      <c r="A1874" s="94"/>
      <c r="B1874" s="94"/>
      <c r="C1874" s="1164"/>
      <c r="D1874" s="1429"/>
      <c r="E1874" s="1429"/>
      <c r="F1874" s="1429"/>
      <c r="G1874" s="1429"/>
      <c r="H1874" s="1430"/>
      <c r="I1874" s="94"/>
      <c r="J1874" s="1164"/>
      <c r="K1874" s="94"/>
      <c r="L1874" s="94"/>
      <c r="M1874" s="1430"/>
      <c r="N1874" s="94"/>
      <c r="O1874" s="1430"/>
      <c r="P1874" s="94"/>
      <c r="Q1874" s="1431"/>
      <c r="R1874" s="1164"/>
      <c r="S1874" s="1164"/>
      <c r="T1874" s="1164"/>
      <c r="U1874" s="2174"/>
      <c r="V1874" s="2174"/>
      <c r="W1874" s="2174"/>
      <c r="X1874" s="1164"/>
    </row>
    <row r="1875" ht="15.75" customHeight="1">
      <c r="A1875" s="94"/>
      <c r="B1875" s="1164"/>
      <c r="C1875" s="1164"/>
      <c r="D1875" s="1429"/>
      <c r="E1875" s="1429"/>
      <c r="F1875" s="1429"/>
      <c r="G1875" s="1429"/>
      <c r="H1875" s="1430"/>
      <c r="I1875" s="94"/>
      <c r="J1875" s="1164"/>
      <c r="K1875" s="94"/>
      <c r="L1875" s="94"/>
      <c r="M1875" s="1430"/>
      <c r="N1875" s="94"/>
      <c r="O1875" s="1430"/>
      <c r="P1875" s="94"/>
      <c r="Q1875" s="1431"/>
      <c r="R1875" s="1164"/>
      <c r="S1875" s="1164"/>
      <c r="T1875" s="1164"/>
      <c r="U1875" s="2174"/>
      <c r="V1875" s="2174"/>
      <c r="W1875" s="2174"/>
      <c r="X1875" s="1164"/>
    </row>
    <row r="1876" ht="15.75" customHeight="1">
      <c r="A1876" s="94"/>
      <c r="B1876" s="1164"/>
      <c r="C1876" s="1164"/>
      <c r="D1876" s="1429"/>
      <c r="E1876" s="1429"/>
      <c r="F1876" s="1429"/>
      <c r="G1876" s="1429"/>
      <c r="H1876" s="1430"/>
      <c r="I1876" s="94"/>
      <c r="J1876" s="1164"/>
      <c r="K1876" s="94"/>
      <c r="L1876" s="94"/>
      <c r="M1876" s="1430"/>
      <c r="N1876" s="94"/>
      <c r="O1876" s="1430"/>
      <c r="P1876" s="94"/>
      <c r="Q1876" s="1431"/>
      <c r="R1876" s="1164"/>
      <c r="S1876" s="1164"/>
      <c r="T1876" s="1164"/>
      <c r="U1876" s="2174"/>
      <c r="V1876" s="2174"/>
      <c r="W1876" s="2174"/>
      <c r="X1876" s="1164"/>
    </row>
    <row r="1877" ht="15.75" customHeight="1">
      <c r="A1877" s="94"/>
      <c r="B1877" s="94"/>
      <c r="C1877" s="1164"/>
      <c r="D1877" s="1429"/>
      <c r="E1877" s="1429"/>
      <c r="F1877" s="1429"/>
      <c r="G1877" s="1429"/>
      <c r="H1877" s="1430"/>
      <c r="I1877" s="94"/>
      <c r="J1877" s="1164"/>
      <c r="K1877" s="94"/>
      <c r="L1877" s="94"/>
      <c r="M1877" s="1430"/>
      <c r="N1877" s="94"/>
      <c r="O1877" s="1430"/>
      <c r="P1877" s="94"/>
      <c r="Q1877" s="1431"/>
      <c r="R1877" s="1164"/>
      <c r="S1877" s="1164"/>
      <c r="T1877" s="1164"/>
      <c r="U1877" s="2174"/>
      <c r="V1877" s="2174"/>
      <c r="W1877" s="2174"/>
      <c r="X1877" s="1164"/>
    </row>
    <row r="1878" ht="15.75" customHeight="1">
      <c r="A1878" s="94"/>
      <c r="B1878" s="1164"/>
      <c r="C1878" s="1164"/>
      <c r="D1878" s="1429"/>
      <c r="E1878" s="1429"/>
      <c r="F1878" s="1429"/>
      <c r="G1878" s="1429"/>
      <c r="H1878" s="1430"/>
      <c r="I1878" s="94"/>
      <c r="J1878" s="1164"/>
      <c r="K1878" s="94"/>
      <c r="L1878" s="94"/>
      <c r="M1878" s="1430"/>
      <c r="N1878" s="94"/>
      <c r="O1878" s="1430"/>
      <c r="P1878" s="94"/>
      <c r="Q1878" s="1431"/>
      <c r="R1878" s="1164"/>
      <c r="S1878" s="1164"/>
      <c r="T1878" s="1164"/>
      <c r="U1878" s="2174"/>
      <c r="V1878" s="2174"/>
      <c r="W1878" s="2174"/>
      <c r="X1878" s="1164"/>
    </row>
    <row r="1879" ht="15.75" customHeight="1">
      <c r="A1879" s="94"/>
      <c r="B1879" s="94"/>
      <c r="C1879" s="1164"/>
      <c r="D1879" s="1429"/>
      <c r="E1879" s="1429"/>
      <c r="F1879" s="1429"/>
      <c r="G1879" s="1429"/>
      <c r="H1879" s="1430"/>
      <c r="I1879" s="94"/>
      <c r="J1879" s="1164"/>
      <c r="K1879" s="94"/>
      <c r="L1879" s="94"/>
      <c r="M1879" s="1430"/>
      <c r="N1879" s="94"/>
      <c r="O1879" s="1430"/>
      <c r="P1879" s="94"/>
      <c r="Q1879" s="1431"/>
      <c r="R1879" s="1164"/>
      <c r="S1879" s="1164"/>
      <c r="T1879" s="1164"/>
      <c r="U1879" s="2174"/>
      <c r="V1879" s="2174"/>
      <c r="W1879" s="2174"/>
      <c r="X1879" s="1164"/>
    </row>
    <row r="1880" ht="15.75" customHeight="1">
      <c r="A1880" s="94"/>
      <c r="B1880" s="1164"/>
      <c r="C1880" s="1164"/>
      <c r="D1880" s="1429"/>
      <c r="E1880" s="1429"/>
      <c r="F1880" s="1429"/>
      <c r="G1880" s="1429"/>
      <c r="H1880" s="1430"/>
      <c r="I1880" s="94"/>
      <c r="J1880" s="1164"/>
      <c r="K1880" s="94"/>
      <c r="L1880" s="94"/>
      <c r="M1880" s="1430"/>
      <c r="N1880" s="94"/>
      <c r="O1880" s="1430"/>
      <c r="P1880" s="94"/>
      <c r="Q1880" s="1431"/>
      <c r="R1880" s="1164"/>
      <c r="S1880" s="1164"/>
      <c r="T1880" s="1164"/>
      <c r="U1880" s="2174"/>
      <c r="V1880" s="2174"/>
      <c r="W1880" s="2174"/>
      <c r="X1880" s="1164"/>
    </row>
    <row r="1881" ht="15.75" customHeight="1">
      <c r="A1881" s="94"/>
      <c r="B1881" s="94"/>
      <c r="C1881" s="1164"/>
      <c r="D1881" s="1429"/>
      <c r="E1881" s="1429"/>
      <c r="F1881" s="1429"/>
      <c r="G1881" s="1429"/>
      <c r="H1881" s="1430"/>
      <c r="I1881" s="94"/>
      <c r="J1881" s="1164"/>
      <c r="K1881" s="94"/>
      <c r="L1881" s="94"/>
      <c r="M1881" s="1430"/>
      <c r="N1881" s="94"/>
      <c r="O1881" s="1430"/>
      <c r="P1881" s="94"/>
      <c r="Q1881" s="1431"/>
      <c r="R1881" s="1164"/>
      <c r="S1881" s="1164"/>
      <c r="T1881" s="1164"/>
      <c r="U1881" s="2174"/>
      <c r="V1881" s="2174"/>
      <c r="W1881" s="2174"/>
      <c r="X1881" s="1164"/>
    </row>
    <row r="1882" ht="15.75" customHeight="1">
      <c r="A1882" s="94"/>
      <c r="B1882" s="1164"/>
      <c r="C1882" s="1164"/>
      <c r="D1882" s="1429"/>
      <c r="E1882" s="1429"/>
      <c r="F1882" s="1429"/>
      <c r="G1882" s="1429"/>
      <c r="H1882" s="1430"/>
      <c r="I1882" s="94"/>
      <c r="J1882" s="1164"/>
      <c r="K1882" s="94"/>
      <c r="L1882" s="94"/>
      <c r="M1882" s="1430"/>
      <c r="N1882" s="94"/>
      <c r="O1882" s="1430"/>
      <c r="P1882" s="94"/>
      <c r="Q1882" s="1431"/>
      <c r="R1882" s="1164"/>
      <c r="S1882" s="1164"/>
      <c r="T1882" s="1164"/>
      <c r="U1882" s="2174"/>
      <c r="V1882" s="2174"/>
      <c r="W1882" s="2174"/>
      <c r="X1882" s="1164"/>
    </row>
    <row r="1883" ht="15.75" customHeight="1">
      <c r="A1883" s="94"/>
      <c r="B1883" s="94"/>
      <c r="C1883" s="1164"/>
      <c r="D1883" s="1429"/>
      <c r="E1883" s="1429"/>
      <c r="F1883" s="1429"/>
      <c r="G1883" s="1429"/>
      <c r="H1883" s="1430"/>
      <c r="I1883" s="94"/>
      <c r="J1883" s="1164"/>
      <c r="K1883" s="94"/>
      <c r="L1883" s="94"/>
      <c r="M1883" s="1430"/>
      <c r="N1883" s="94"/>
      <c r="O1883" s="1430"/>
      <c r="P1883" s="94"/>
      <c r="Q1883" s="1431"/>
      <c r="R1883" s="1164"/>
      <c r="S1883" s="1164"/>
      <c r="T1883" s="1164"/>
      <c r="U1883" s="2174"/>
      <c r="V1883" s="2174"/>
      <c r="W1883" s="2174"/>
      <c r="X1883" s="1164"/>
    </row>
    <row r="1884" ht="15.75" customHeight="1">
      <c r="A1884" s="94"/>
      <c r="B1884" s="94"/>
      <c r="C1884" s="94"/>
      <c r="D1884" s="94"/>
      <c r="E1884" s="94"/>
      <c r="F1884" s="94"/>
      <c r="G1884" s="94"/>
      <c r="H1884" s="1430"/>
      <c r="I1884" s="1430"/>
      <c r="J1884" s="1430"/>
      <c r="K1884" s="1430"/>
      <c r="L1884" s="1430"/>
      <c r="M1884" s="1430"/>
      <c r="N1884" s="1430"/>
      <c r="O1884" s="1430"/>
      <c r="P1884" s="1430"/>
      <c r="Q1884" s="1430"/>
      <c r="R1884" s="1430"/>
      <c r="S1884" s="94"/>
      <c r="T1884" s="1430"/>
      <c r="U1884" s="94"/>
      <c r="V1884" s="94"/>
      <c r="W1884" s="94"/>
      <c r="X1884" s="1430"/>
    </row>
    <row r="1885" ht="15.75" customHeight="1">
      <c r="A1885" s="94"/>
      <c r="B1885" s="94"/>
      <c r="C1885" s="1164"/>
      <c r="D1885" s="1429"/>
      <c r="E1885" s="1429"/>
      <c r="F1885" s="1429"/>
      <c r="G1885" s="1429"/>
      <c r="H1885" s="1430"/>
      <c r="I1885" s="1430"/>
      <c r="J1885" s="94"/>
      <c r="K1885" s="94"/>
      <c r="L1885" s="94"/>
      <c r="M1885" s="94"/>
      <c r="N1885" s="94"/>
      <c r="O1885" s="94"/>
      <c r="P1885" s="94"/>
      <c r="Q1885" s="1431"/>
      <c r="R1885" s="1164"/>
      <c r="S1885" s="1164"/>
      <c r="T1885" s="1164"/>
      <c r="U1885" s="94"/>
      <c r="V1885" s="94"/>
      <c r="W1885" s="94"/>
      <c r="X1885" s="1164"/>
    </row>
    <row r="1886" ht="15.75" customHeight="1">
      <c r="A1886" s="94"/>
      <c r="B1886" s="94"/>
      <c r="C1886" s="1164"/>
      <c r="D1886" s="1429"/>
      <c r="E1886" s="1429"/>
      <c r="F1886" s="1429"/>
      <c r="G1886" s="1429"/>
      <c r="H1886" s="1430"/>
      <c r="I1886" s="1430"/>
      <c r="J1886" s="94"/>
      <c r="K1886" s="94"/>
      <c r="L1886" s="94"/>
      <c r="M1886" s="1430"/>
      <c r="N1886" s="94"/>
      <c r="O1886" s="1430"/>
      <c r="P1886" s="94"/>
      <c r="Q1886" s="1431"/>
      <c r="R1886" s="1164"/>
      <c r="S1886" s="1164"/>
      <c r="T1886" s="1164"/>
      <c r="U1886" s="2174"/>
      <c r="V1886" s="2174"/>
      <c r="W1886" s="2174"/>
      <c r="X1886" s="1164"/>
    </row>
    <row r="1887" ht="15.75" customHeight="1">
      <c r="A1887" s="94"/>
      <c r="B1887" s="94"/>
      <c r="C1887" s="1164"/>
      <c r="D1887" s="1429"/>
      <c r="E1887" s="1429"/>
      <c r="F1887" s="1429"/>
      <c r="G1887" s="1429"/>
      <c r="H1887" s="1430"/>
      <c r="I1887" s="94"/>
      <c r="J1887" s="1164"/>
      <c r="K1887" s="94"/>
      <c r="L1887" s="94"/>
      <c r="M1887" s="1430"/>
      <c r="N1887" s="94"/>
      <c r="O1887" s="1430"/>
      <c r="P1887" s="94"/>
      <c r="Q1887" s="1431"/>
      <c r="R1887" s="1164"/>
      <c r="S1887" s="1164"/>
      <c r="T1887" s="1164"/>
      <c r="U1887" s="2174"/>
      <c r="V1887" s="2174"/>
      <c r="W1887" s="2174"/>
      <c r="X1887" s="1164"/>
    </row>
    <row r="1888" ht="15.75" customHeight="1">
      <c r="A1888" s="94"/>
      <c r="B1888" s="94"/>
      <c r="C1888" s="1164"/>
      <c r="D1888" s="1429"/>
      <c r="E1888" s="1429"/>
      <c r="F1888" s="1429"/>
      <c r="G1888" s="1429"/>
      <c r="H1888" s="1430"/>
      <c r="I1888" s="94"/>
      <c r="J1888" s="1164"/>
      <c r="K1888" s="94"/>
      <c r="L1888" s="94"/>
      <c r="M1888" s="1430"/>
      <c r="N1888" s="94"/>
      <c r="O1888" s="1430"/>
      <c r="P1888" s="94"/>
      <c r="Q1888" s="1431"/>
      <c r="R1888" s="1164"/>
      <c r="S1888" s="1164"/>
      <c r="T1888" s="1164"/>
      <c r="U1888" s="2174"/>
      <c r="V1888" s="2174"/>
      <c r="W1888" s="2174"/>
      <c r="X1888" s="1164"/>
    </row>
    <row r="1889" ht="15.75" customHeight="1">
      <c r="A1889" s="94"/>
      <c r="B1889" s="94"/>
      <c r="C1889" s="1164"/>
      <c r="D1889" s="1429"/>
      <c r="E1889" s="1429"/>
      <c r="F1889" s="1429"/>
      <c r="G1889" s="1429"/>
      <c r="H1889" s="1430"/>
      <c r="I1889" s="94"/>
      <c r="J1889" s="1164"/>
      <c r="K1889" s="94"/>
      <c r="L1889" s="94"/>
      <c r="M1889" s="94"/>
      <c r="N1889" s="94"/>
      <c r="O1889" s="94"/>
      <c r="P1889" s="94"/>
      <c r="Q1889" s="1431"/>
      <c r="R1889" s="1164"/>
      <c r="S1889" s="1164"/>
      <c r="T1889" s="1164"/>
      <c r="U1889" s="2174"/>
      <c r="V1889" s="2174"/>
      <c r="W1889" s="2174"/>
      <c r="X1889" s="1164"/>
    </row>
    <row r="1890" ht="15.75" customHeight="1">
      <c r="A1890" s="94"/>
      <c r="B1890" s="94"/>
      <c r="C1890" s="1164"/>
      <c r="D1890" s="1429"/>
      <c r="E1890" s="1429"/>
      <c r="F1890" s="1429"/>
      <c r="G1890" s="1429"/>
      <c r="H1890" s="1430"/>
      <c r="I1890" s="94"/>
      <c r="J1890" s="1164"/>
      <c r="K1890" s="94"/>
      <c r="L1890" s="94"/>
      <c r="M1890" s="1430"/>
      <c r="N1890" s="94"/>
      <c r="O1890" s="1430"/>
      <c r="P1890" s="94"/>
      <c r="Q1890" s="1431"/>
      <c r="R1890" s="1164"/>
      <c r="S1890" s="1164"/>
      <c r="T1890" s="1164"/>
      <c r="U1890" s="2174"/>
      <c r="V1890" s="2174"/>
      <c r="W1890" s="2174"/>
      <c r="X1890" s="1164"/>
    </row>
    <row r="1891" ht="15.75" customHeight="1">
      <c r="A1891" s="94"/>
      <c r="B1891" s="1164"/>
      <c r="C1891" s="1164"/>
      <c r="D1891" s="1429"/>
      <c r="E1891" s="1429"/>
      <c r="F1891" s="1429"/>
      <c r="G1891" s="1429"/>
      <c r="H1891" s="1430"/>
      <c r="I1891" s="94"/>
      <c r="J1891" s="1164"/>
      <c r="K1891" s="94"/>
      <c r="L1891" s="94"/>
      <c r="M1891" s="1430"/>
      <c r="N1891" s="94"/>
      <c r="O1891" s="1430"/>
      <c r="P1891" s="94"/>
      <c r="Q1891" s="1431"/>
      <c r="R1891" s="1164"/>
      <c r="S1891" s="1164"/>
      <c r="T1891" s="1164"/>
      <c r="U1891" s="2174"/>
      <c r="V1891" s="2174"/>
      <c r="W1891" s="2174"/>
      <c r="X1891" s="1164"/>
    </row>
    <row r="1892" ht="15.75" customHeight="1">
      <c r="A1892" s="94"/>
      <c r="B1892" s="94"/>
      <c r="C1892" s="1164"/>
      <c r="D1892" s="1429"/>
      <c r="E1892" s="1429"/>
      <c r="F1892" s="1429"/>
      <c r="G1892" s="1429"/>
      <c r="H1892" s="1430"/>
      <c r="I1892" s="94"/>
      <c r="J1892" s="1164"/>
      <c r="K1892" s="94"/>
      <c r="L1892" s="94"/>
      <c r="M1892" s="1430"/>
      <c r="N1892" s="94"/>
      <c r="O1892" s="1430"/>
      <c r="P1892" s="94"/>
      <c r="Q1892" s="1431"/>
      <c r="R1892" s="1164"/>
      <c r="S1892" s="1164"/>
      <c r="T1892" s="1164"/>
      <c r="U1892" s="2174"/>
      <c r="V1892" s="2174"/>
      <c r="W1892" s="2174"/>
      <c r="X1892" s="1164"/>
    </row>
    <row r="1893" ht="15.75" customHeight="1">
      <c r="A1893" s="94"/>
      <c r="B1893" s="94"/>
      <c r="C1893" s="1164"/>
      <c r="D1893" s="1429"/>
      <c r="E1893" s="1429"/>
      <c r="F1893" s="1429"/>
      <c r="G1893" s="1429"/>
      <c r="H1893" s="1430"/>
      <c r="I1893" s="94"/>
      <c r="J1893" s="1164"/>
      <c r="K1893" s="94"/>
      <c r="L1893" s="94"/>
      <c r="M1893" s="94"/>
      <c r="N1893" s="94"/>
      <c r="O1893" s="94"/>
      <c r="P1893" s="94"/>
      <c r="Q1893" s="1431"/>
      <c r="R1893" s="1164"/>
      <c r="S1893" s="1164"/>
      <c r="T1893" s="1164"/>
      <c r="U1893" s="2174"/>
      <c r="V1893" s="2174"/>
      <c r="W1893" s="2174"/>
      <c r="X1893" s="1164"/>
    </row>
    <row r="1894" ht="15.75" customHeight="1">
      <c r="A1894" s="94"/>
      <c r="B1894" s="94"/>
      <c r="C1894" s="1164"/>
      <c r="D1894" s="1429"/>
      <c r="E1894" s="1429"/>
      <c r="F1894" s="1429"/>
      <c r="G1894" s="1429"/>
      <c r="H1894" s="1430"/>
      <c r="I1894" s="94"/>
      <c r="J1894" s="1164"/>
      <c r="K1894" s="94"/>
      <c r="L1894" s="94"/>
      <c r="M1894" s="1430"/>
      <c r="N1894" s="94"/>
      <c r="O1894" s="1430"/>
      <c r="P1894" s="94"/>
      <c r="Q1894" s="1431"/>
      <c r="R1894" s="1164"/>
      <c r="S1894" s="1164"/>
      <c r="T1894" s="1164"/>
      <c r="U1894" s="2174"/>
      <c r="V1894" s="2174"/>
      <c r="W1894" s="2174"/>
      <c r="X1894" s="1164"/>
    </row>
    <row r="1895" ht="15.75" customHeight="1">
      <c r="A1895" s="94"/>
      <c r="B1895" s="94"/>
      <c r="C1895" s="1164"/>
      <c r="D1895" s="1429"/>
      <c r="E1895" s="1429"/>
      <c r="F1895" s="1429"/>
      <c r="G1895" s="1429"/>
      <c r="H1895" s="1430"/>
      <c r="I1895" s="94"/>
      <c r="J1895" s="1164"/>
      <c r="K1895" s="94"/>
      <c r="L1895" s="94"/>
      <c r="M1895" s="1430"/>
      <c r="N1895" s="94"/>
      <c r="O1895" s="1430"/>
      <c r="P1895" s="94"/>
      <c r="Q1895" s="1431"/>
      <c r="R1895" s="1164"/>
      <c r="S1895" s="1164"/>
      <c r="T1895" s="1164"/>
      <c r="U1895" s="2174"/>
      <c r="V1895" s="2174"/>
      <c r="W1895" s="2174"/>
      <c r="X1895" s="1164"/>
    </row>
    <row r="1896" ht="15.75" customHeight="1">
      <c r="A1896" s="94"/>
      <c r="B1896" s="94"/>
      <c r="C1896" s="1164"/>
      <c r="D1896" s="1429"/>
      <c r="E1896" s="1429"/>
      <c r="F1896" s="1429"/>
      <c r="G1896" s="1429"/>
      <c r="H1896" s="1430"/>
      <c r="I1896" s="94"/>
      <c r="J1896" s="1164"/>
      <c r="K1896" s="94"/>
      <c r="L1896" s="94"/>
      <c r="M1896" s="1430"/>
      <c r="N1896" s="94"/>
      <c r="O1896" s="1430"/>
      <c r="P1896" s="94"/>
      <c r="Q1896" s="1431"/>
      <c r="R1896" s="1164"/>
      <c r="S1896" s="1164"/>
      <c r="T1896" s="1164"/>
      <c r="U1896" s="2174"/>
      <c r="V1896" s="2174"/>
      <c r="W1896" s="2174"/>
      <c r="X1896" s="1164"/>
    </row>
    <row r="1897" ht="15.75" customHeight="1">
      <c r="A1897" s="94"/>
      <c r="B1897" s="1164"/>
      <c r="C1897" s="1164"/>
      <c r="D1897" s="1429"/>
      <c r="E1897" s="1429"/>
      <c r="F1897" s="1429"/>
      <c r="G1897" s="1429"/>
      <c r="H1897" s="1430"/>
      <c r="I1897" s="94"/>
      <c r="J1897" s="1164"/>
      <c r="K1897" s="94"/>
      <c r="L1897" s="94"/>
      <c r="M1897" s="1430"/>
      <c r="N1897" s="94"/>
      <c r="O1897" s="1430"/>
      <c r="P1897" s="94"/>
      <c r="Q1897" s="1431"/>
      <c r="R1897" s="1164"/>
      <c r="S1897" s="1164"/>
      <c r="T1897" s="1164"/>
      <c r="U1897" s="2174"/>
      <c r="V1897" s="2174"/>
      <c r="W1897" s="2174"/>
      <c r="X1897" s="1164"/>
    </row>
    <row r="1898" ht="15.75" customHeight="1">
      <c r="A1898" s="94"/>
      <c r="B1898" s="94"/>
      <c r="C1898" s="1164"/>
      <c r="D1898" s="1429"/>
      <c r="E1898" s="1429"/>
      <c r="F1898" s="1429"/>
      <c r="G1898" s="1429"/>
      <c r="H1898" s="1430"/>
      <c r="I1898" s="94"/>
      <c r="J1898" s="1164"/>
      <c r="K1898" s="94"/>
      <c r="L1898" s="94"/>
      <c r="M1898" s="1430"/>
      <c r="N1898" s="94"/>
      <c r="O1898" s="1430"/>
      <c r="P1898" s="94"/>
      <c r="Q1898" s="1431"/>
      <c r="R1898" s="1164"/>
      <c r="S1898" s="1164"/>
      <c r="T1898" s="1164"/>
      <c r="U1898" s="2174"/>
      <c r="V1898" s="2174"/>
      <c r="W1898" s="2174"/>
      <c r="X1898" s="1164"/>
    </row>
    <row r="1899" ht="15.75" customHeight="1">
      <c r="A1899" s="94"/>
      <c r="B1899" s="94"/>
      <c r="C1899" s="1164"/>
      <c r="D1899" s="1429"/>
      <c r="E1899" s="1429"/>
      <c r="F1899" s="1429"/>
      <c r="G1899" s="1429"/>
      <c r="H1899" s="1430"/>
      <c r="I1899" s="94"/>
      <c r="J1899" s="1164"/>
      <c r="K1899" s="94"/>
      <c r="L1899" s="94"/>
      <c r="M1899" s="1430"/>
      <c r="N1899" s="94"/>
      <c r="O1899" s="1430"/>
      <c r="P1899" s="94"/>
      <c r="Q1899" s="1431"/>
      <c r="R1899" s="1164"/>
      <c r="S1899" s="1164"/>
      <c r="T1899" s="1164"/>
      <c r="U1899" s="2174"/>
      <c r="V1899" s="2174"/>
      <c r="W1899" s="2174"/>
      <c r="X1899" s="1164"/>
    </row>
    <row r="1900" ht="15.75" customHeight="1">
      <c r="A1900" s="94"/>
      <c r="B1900" s="94"/>
      <c r="C1900" s="1164"/>
      <c r="D1900" s="1429"/>
      <c r="E1900" s="1429"/>
      <c r="F1900" s="1429"/>
      <c r="G1900" s="1429"/>
      <c r="H1900" s="1430"/>
      <c r="I1900" s="94"/>
      <c r="J1900" s="1164"/>
      <c r="K1900" s="94"/>
      <c r="L1900" s="94"/>
      <c r="M1900" s="1430"/>
      <c r="N1900" s="94"/>
      <c r="O1900" s="1430"/>
      <c r="P1900" s="94"/>
      <c r="Q1900" s="1431"/>
      <c r="R1900" s="1164"/>
      <c r="S1900" s="1164"/>
      <c r="T1900" s="1164"/>
      <c r="U1900" s="2174"/>
      <c r="V1900" s="2174"/>
      <c r="W1900" s="2174"/>
      <c r="X1900" s="1164"/>
    </row>
    <row r="1901" ht="15.75" customHeight="1">
      <c r="A1901" s="94"/>
      <c r="B1901" s="94"/>
      <c r="C1901" s="1164"/>
      <c r="D1901" s="1429"/>
      <c r="E1901" s="1429"/>
      <c r="F1901" s="1429"/>
      <c r="G1901" s="1429"/>
      <c r="H1901" s="1430"/>
      <c r="I1901" s="94"/>
      <c r="J1901" s="1164"/>
      <c r="K1901" s="94"/>
      <c r="L1901" s="94"/>
      <c r="M1901" s="1430"/>
      <c r="N1901" s="94"/>
      <c r="O1901" s="1430"/>
      <c r="P1901" s="94"/>
      <c r="Q1901" s="1431"/>
      <c r="R1901" s="1164"/>
      <c r="S1901" s="1164"/>
      <c r="T1901" s="1164"/>
      <c r="U1901" s="2174"/>
      <c r="V1901" s="2174"/>
      <c r="W1901" s="2174"/>
      <c r="X1901" s="1164"/>
    </row>
    <row r="1902" ht="15.75" customHeight="1">
      <c r="A1902" s="94"/>
      <c r="B1902" s="94"/>
      <c r="C1902" s="94"/>
      <c r="D1902" s="94"/>
      <c r="E1902" s="94"/>
      <c r="F1902" s="94"/>
      <c r="G1902" s="94"/>
      <c r="H1902" s="1430"/>
      <c r="I1902" s="1430"/>
      <c r="J1902" s="1430"/>
      <c r="K1902" s="1430"/>
      <c r="L1902" s="1430"/>
      <c r="M1902" s="1430"/>
      <c r="N1902" s="1430"/>
      <c r="O1902" s="1430"/>
      <c r="P1902" s="1430"/>
      <c r="Q1902" s="1430"/>
      <c r="R1902" s="1430"/>
      <c r="S1902" s="94"/>
      <c r="T1902" s="1430"/>
      <c r="U1902" s="94"/>
      <c r="V1902" s="94"/>
      <c r="W1902" s="94"/>
      <c r="X1902" s="1430"/>
    </row>
    <row r="1903" ht="15.75" customHeight="1">
      <c r="A1903" s="94"/>
      <c r="B1903" s="1164"/>
      <c r="C1903" s="1164"/>
      <c r="D1903" s="1429"/>
      <c r="E1903" s="1429"/>
      <c r="F1903" s="1429"/>
      <c r="G1903" s="1429"/>
      <c r="H1903" s="1430"/>
      <c r="I1903" s="94"/>
      <c r="J1903" s="1164"/>
      <c r="K1903" s="94"/>
      <c r="L1903" s="94"/>
      <c r="M1903" s="1430"/>
      <c r="N1903" s="94"/>
      <c r="O1903" s="1430"/>
      <c r="P1903" s="94"/>
      <c r="Q1903" s="1431"/>
      <c r="R1903" s="1164"/>
      <c r="S1903" s="1164"/>
      <c r="T1903" s="1164"/>
      <c r="U1903" s="2174"/>
      <c r="V1903" s="2174"/>
      <c r="W1903" s="2174"/>
      <c r="X1903" s="1164"/>
    </row>
    <row r="1904" ht="15.75" customHeight="1">
      <c r="A1904" s="94"/>
      <c r="B1904" s="94"/>
      <c r="C1904" s="1164"/>
      <c r="D1904" s="1429"/>
      <c r="E1904" s="1429"/>
      <c r="F1904" s="1429"/>
      <c r="G1904" s="1429"/>
      <c r="H1904" s="1430"/>
      <c r="I1904" s="94"/>
      <c r="J1904" s="1164"/>
      <c r="K1904" s="94"/>
      <c r="L1904" s="94"/>
      <c r="M1904" s="1430"/>
      <c r="N1904" s="94"/>
      <c r="O1904" s="1430"/>
      <c r="P1904" s="94"/>
      <c r="Q1904" s="1431"/>
      <c r="R1904" s="1164"/>
      <c r="S1904" s="1164"/>
      <c r="T1904" s="1164"/>
      <c r="U1904" s="2174"/>
      <c r="V1904" s="2174"/>
      <c r="W1904" s="2174"/>
      <c r="X1904" s="1164"/>
    </row>
    <row r="1905" ht="15.75" customHeight="1">
      <c r="A1905" s="94"/>
      <c r="B1905" s="94"/>
      <c r="C1905" s="1164"/>
      <c r="D1905" s="1429"/>
      <c r="E1905" s="1429"/>
      <c r="F1905" s="1429"/>
      <c r="G1905" s="1429"/>
      <c r="H1905" s="1430"/>
      <c r="I1905" s="94"/>
      <c r="J1905" s="1164"/>
      <c r="K1905" s="94"/>
      <c r="L1905" s="94"/>
      <c r="M1905" s="1430"/>
      <c r="N1905" s="94"/>
      <c r="O1905" s="1430"/>
      <c r="P1905" s="94"/>
      <c r="Q1905" s="1431"/>
      <c r="R1905" s="1164"/>
      <c r="S1905" s="1164"/>
      <c r="T1905" s="1164"/>
      <c r="U1905" s="2174"/>
      <c r="V1905" s="2174"/>
      <c r="W1905" s="2174"/>
      <c r="X1905" s="1164"/>
    </row>
    <row r="1906" ht="15.75" customHeight="1">
      <c r="A1906" s="94"/>
      <c r="B1906" s="94"/>
      <c r="C1906" s="1164"/>
      <c r="D1906" s="1429"/>
      <c r="E1906" s="1429"/>
      <c r="F1906" s="1429"/>
      <c r="G1906" s="1429"/>
      <c r="H1906" s="1430"/>
      <c r="I1906" s="94"/>
      <c r="J1906" s="1164"/>
      <c r="K1906" s="94"/>
      <c r="L1906" s="94"/>
      <c r="M1906" s="1430"/>
      <c r="N1906" s="94"/>
      <c r="O1906" s="1430"/>
      <c r="P1906" s="94"/>
      <c r="Q1906" s="1431"/>
      <c r="R1906" s="1164"/>
      <c r="S1906" s="1164"/>
      <c r="T1906" s="1164"/>
      <c r="U1906" s="2174"/>
      <c r="V1906" s="2174"/>
      <c r="W1906" s="2174"/>
      <c r="X1906" s="1164"/>
    </row>
    <row r="1907" ht="15.75" customHeight="1">
      <c r="A1907" s="94"/>
      <c r="B1907" s="94"/>
      <c r="C1907" s="1164"/>
      <c r="D1907" s="1429"/>
      <c r="E1907" s="1429"/>
      <c r="F1907" s="1429"/>
      <c r="G1907" s="1429"/>
      <c r="H1907" s="1430"/>
      <c r="I1907" s="94"/>
      <c r="J1907" s="1164"/>
      <c r="K1907" s="94"/>
      <c r="L1907" s="94"/>
      <c r="M1907" s="1430"/>
      <c r="N1907" s="94"/>
      <c r="O1907" s="1430"/>
      <c r="P1907" s="94"/>
      <c r="Q1907" s="1431"/>
      <c r="R1907" s="1164"/>
      <c r="S1907" s="1164"/>
      <c r="T1907" s="1164"/>
      <c r="U1907" s="2174"/>
      <c r="V1907" s="2174"/>
      <c r="W1907" s="2174"/>
      <c r="X1907" s="1164"/>
    </row>
    <row r="1908" ht="15.75" customHeight="1">
      <c r="A1908" s="94"/>
      <c r="B1908" s="94"/>
      <c r="C1908" s="1164"/>
      <c r="D1908" s="1429"/>
      <c r="E1908" s="1429"/>
      <c r="F1908" s="1429"/>
      <c r="G1908" s="1429"/>
      <c r="H1908" s="1430"/>
      <c r="I1908" s="94"/>
      <c r="J1908" s="1164"/>
      <c r="K1908" s="94"/>
      <c r="L1908" s="94"/>
      <c r="M1908" s="1430"/>
      <c r="N1908" s="94"/>
      <c r="O1908" s="1430"/>
      <c r="P1908" s="94"/>
      <c r="Q1908" s="1431"/>
      <c r="R1908" s="1164"/>
      <c r="S1908" s="1164"/>
      <c r="T1908" s="1164"/>
      <c r="U1908" s="2174"/>
      <c r="V1908" s="2174"/>
      <c r="W1908" s="2174"/>
      <c r="X1908" s="1164"/>
    </row>
    <row r="1909" ht="15.75" customHeight="1">
      <c r="A1909" s="94"/>
      <c r="B1909" s="94"/>
      <c r="C1909" s="1164"/>
      <c r="D1909" s="1429"/>
      <c r="E1909" s="1429"/>
      <c r="F1909" s="1429"/>
      <c r="G1909" s="1429"/>
      <c r="H1909" s="1430"/>
      <c r="I1909" s="94"/>
      <c r="J1909" s="1164"/>
      <c r="K1909" s="94"/>
      <c r="L1909" s="94"/>
      <c r="M1909" s="1430"/>
      <c r="N1909" s="94"/>
      <c r="O1909" s="1430"/>
      <c r="P1909" s="94"/>
      <c r="Q1909" s="1431"/>
      <c r="R1909" s="1164"/>
      <c r="S1909" s="1164"/>
      <c r="T1909" s="1164"/>
      <c r="U1909" s="2174"/>
      <c r="V1909" s="2174"/>
      <c r="W1909" s="2174"/>
      <c r="X1909" s="1164"/>
    </row>
    <row r="1910" ht="15.75" customHeight="1">
      <c r="A1910" s="94"/>
      <c r="B1910" s="1164"/>
      <c r="C1910" s="1164"/>
      <c r="D1910" s="1429"/>
      <c r="E1910" s="1429"/>
      <c r="F1910" s="1429"/>
      <c r="G1910" s="1429"/>
      <c r="H1910" s="1430"/>
      <c r="I1910" s="94"/>
      <c r="J1910" s="1164"/>
      <c r="K1910" s="94"/>
      <c r="L1910" s="94"/>
      <c r="M1910" s="1430"/>
      <c r="N1910" s="94"/>
      <c r="O1910" s="1430"/>
      <c r="P1910" s="94"/>
      <c r="Q1910" s="1431"/>
      <c r="R1910" s="1164"/>
      <c r="S1910" s="1164"/>
      <c r="T1910" s="1164"/>
      <c r="U1910" s="2174"/>
      <c r="V1910" s="2174"/>
      <c r="W1910" s="2174"/>
      <c r="X1910" s="1164"/>
    </row>
    <row r="1911" ht="15.75" customHeight="1">
      <c r="A1911" s="94"/>
      <c r="B1911" s="1164"/>
      <c r="C1911" s="1164"/>
      <c r="D1911" s="1429"/>
      <c r="E1911" s="1429"/>
      <c r="F1911" s="1429"/>
      <c r="G1911" s="1429"/>
      <c r="H1911" s="1430"/>
      <c r="I1911" s="94"/>
      <c r="J1911" s="1164"/>
      <c r="K1911" s="94"/>
      <c r="L1911" s="94"/>
      <c r="M1911" s="1430"/>
      <c r="N1911" s="94"/>
      <c r="O1911" s="1430"/>
      <c r="P1911" s="94"/>
      <c r="Q1911" s="1431"/>
      <c r="R1911" s="1164"/>
      <c r="S1911" s="1164"/>
      <c r="T1911" s="1164"/>
      <c r="U1911" s="2174"/>
      <c r="V1911" s="2174"/>
      <c r="W1911" s="2174"/>
      <c r="X1911" s="1164"/>
    </row>
    <row r="1912" ht="15.75" customHeight="1">
      <c r="A1912" s="94"/>
      <c r="B1912" s="94"/>
      <c r="C1912" s="1164"/>
      <c r="D1912" s="1429"/>
      <c r="E1912" s="1429"/>
      <c r="F1912" s="1429"/>
      <c r="G1912" s="1429"/>
      <c r="H1912" s="1430"/>
      <c r="I1912" s="94"/>
      <c r="J1912" s="1164"/>
      <c r="K1912" s="94"/>
      <c r="L1912" s="94"/>
      <c r="M1912" s="1430"/>
      <c r="N1912" s="94"/>
      <c r="O1912" s="1430"/>
      <c r="P1912" s="94"/>
      <c r="Q1912" s="1431"/>
      <c r="R1912" s="1164"/>
      <c r="S1912" s="1164"/>
      <c r="T1912" s="1164"/>
      <c r="U1912" s="2174"/>
      <c r="V1912" s="2174"/>
      <c r="W1912" s="2174"/>
      <c r="X1912" s="1164"/>
    </row>
    <row r="1913" ht="15.75" customHeight="1">
      <c r="A1913" s="94"/>
      <c r="B1913" s="94"/>
      <c r="C1913" s="1164"/>
      <c r="D1913" s="1429"/>
      <c r="E1913" s="1429"/>
      <c r="F1913" s="1429"/>
      <c r="G1913" s="1429"/>
      <c r="H1913" s="1430"/>
      <c r="I1913" s="94"/>
      <c r="J1913" s="1164"/>
      <c r="K1913" s="94"/>
      <c r="L1913" s="94"/>
      <c r="M1913" s="1430"/>
      <c r="N1913" s="94"/>
      <c r="O1913" s="1430"/>
      <c r="P1913" s="94"/>
      <c r="Q1913" s="1431"/>
      <c r="R1913" s="1164"/>
      <c r="S1913" s="1164"/>
      <c r="T1913" s="1164"/>
      <c r="U1913" s="2174"/>
      <c r="V1913" s="2174"/>
      <c r="W1913" s="2174"/>
      <c r="X1913" s="1164"/>
    </row>
    <row r="1914" ht="15.75" customHeight="1">
      <c r="A1914" s="94"/>
      <c r="B1914" s="94"/>
      <c r="C1914" s="94"/>
      <c r="D1914" s="94"/>
      <c r="E1914" s="94"/>
      <c r="F1914" s="94"/>
      <c r="G1914" s="94"/>
      <c r="H1914" s="1430"/>
      <c r="I1914" s="1430"/>
      <c r="J1914" s="1430"/>
      <c r="K1914" s="1430"/>
      <c r="L1914" s="1430"/>
      <c r="M1914" s="1430"/>
      <c r="N1914" s="1430"/>
      <c r="O1914" s="1430"/>
      <c r="P1914" s="1430"/>
      <c r="Q1914" s="1430"/>
      <c r="R1914" s="1430"/>
      <c r="S1914" s="94"/>
      <c r="T1914" s="1430"/>
      <c r="U1914" s="94"/>
      <c r="V1914" s="94"/>
      <c r="W1914" s="94"/>
      <c r="X1914" s="1430"/>
    </row>
    <row r="1915" ht="15.75" customHeight="1">
      <c r="A1915" s="94"/>
      <c r="B1915" s="1164"/>
      <c r="C1915" s="1164"/>
      <c r="D1915" s="1429"/>
      <c r="E1915" s="1429"/>
      <c r="F1915" s="1429"/>
      <c r="G1915" s="1429"/>
      <c r="H1915" s="1430"/>
      <c r="I1915" s="94"/>
      <c r="J1915" s="1164"/>
      <c r="K1915" s="94"/>
      <c r="L1915" s="94"/>
      <c r="M1915" s="94"/>
      <c r="N1915" s="94"/>
      <c r="O1915" s="94"/>
      <c r="P1915" s="94"/>
      <c r="Q1915" s="1431"/>
      <c r="R1915" s="1164"/>
      <c r="S1915" s="1164"/>
      <c r="T1915" s="1164"/>
      <c r="U1915" s="94"/>
      <c r="V1915" s="94"/>
      <c r="W1915" s="94"/>
      <c r="X1915" s="1164"/>
    </row>
    <row r="1916" ht="15.75" customHeight="1">
      <c r="A1916" s="94"/>
      <c r="B1916" s="94"/>
      <c r="C1916" s="1164"/>
      <c r="D1916" s="1429"/>
      <c r="E1916" s="1429"/>
      <c r="F1916" s="1429"/>
      <c r="G1916" s="1429"/>
      <c r="H1916" s="1430"/>
      <c r="I1916" s="94"/>
      <c r="J1916" s="1164"/>
      <c r="K1916" s="94"/>
      <c r="L1916" s="94"/>
      <c r="M1916" s="1430"/>
      <c r="N1916" s="94"/>
      <c r="O1916" s="1430"/>
      <c r="P1916" s="94"/>
      <c r="Q1916" s="1431"/>
      <c r="R1916" s="1164"/>
      <c r="S1916" s="1164"/>
      <c r="T1916" s="1164"/>
      <c r="U1916" s="2174"/>
      <c r="V1916" s="2174"/>
      <c r="W1916" s="2174"/>
      <c r="X1916" s="1164"/>
    </row>
    <row r="1917" ht="15.75" customHeight="1">
      <c r="A1917" s="94"/>
      <c r="B1917" s="1164"/>
      <c r="C1917" s="1164"/>
      <c r="D1917" s="1429"/>
      <c r="E1917" s="1429"/>
      <c r="F1917" s="1429"/>
      <c r="G1917" s="1429"/>
      <c r="H1917" s="1430"/>
      <c r="I1917" s="94"/>
      <c r="J1917" s="1164"/>
      <c r="K1917" s="94"/>
      <c r="L1917" s="94"/>
      <c r="M1917" s="94"/>
      <c r="N1917" s="94"/>
      <c r="O1917" s="94"/>
      <c r="P1917" s="94"/>
      <c r="Q1917" s="1431"/>
      <c r="R1917" s="1164"/>
      <c r="S1917" s="1164"/>
      <c r="T1917" s="1164"/>
      <c r="U1917" s="94"/>
      <c r="V1917" s="94"/>
      <c r="W1917" s="94"/>
      <c r="X1917" s="1164"/>
    </row>
    <row r="1918" ht="15.75" customHeight="1">
      <c r="A1918" s="94"/>
      <c r="B1918" s="94"/>
      <c r="C1918" s="1164"/>
      <c r="D1918" s="1429"/>
      <c r="E1918" s="1429"/>
      <c r="F1918" s="1429"/>
      <c r="G1918" s="1429"/>
      <c r="H1918" s="1430"/>
      <c r="I1918" s="94"/>
      <c r="J1918" s="1164"/>
      <c r="K1918" s="94"/>
      <c r="L1918" s="94"/>
      <c r="M1918" s="1430"/>
      <c r="N1918" s="94"/>
      <c r="O1918" s="1430"/>
      <c r="P1918" s="94"/>
      <c r="Q1918" s="1431"/>
      <c r="R1918" s="1164"/>
      <c r="S1918" s="1164"/>
      <c r="T1918" s="1164"/>
      <c r="U1918" s="2174"/>
      <c r="V1918" s="2174"/>
      <c r="W1918" s="2174"/>
      <c r="X1918" s="1164"/>
    </row>
    <row r="1919" ht="15.75" customHeight="1">
      <c r="A1919" s="94"/>
      <c r="B1919" s="94"/>
      <c r="C1919" s="1164"/>
      <c r="D1919" s="1429"/>
      <c r="E1919" s="1429"/>
      <c r="F1919" s="1429"/>
      <c r="G1919" s="1429"/>
      <c r="H1919" s="1430"/>
      <c r="I1919" s="94"/>
      <c r="J1919" s="1164"/>
      <c r="K1919" s="94"/>
      <c r="L1919" s="94"/>
      <c r="M1919" s="1430"/>
      <c r="N1919" s="94"/>
      <c r="O1919" s="1430"/>
      <c r="P1919" s="94"/>
      <c r="Q1919" s="1431"/>
      <c r="R1919" s="1164"/>
      <c r="S1919" s="1164"/>
      <c r="T1919" s="1164"/>
      <c r="U1919" s="2174"/>
      <c r="V1919" s="2174"/>
      <c r="W1919" s="2174"/>
      <c r="X1919" s="1164"/>
    </row>
    <row r="1920" ht="15.75" customHeight="1">
      <c r="A1920" s="94"/>
      <c r="B1920" s="94"/>
      <c r="C1920" s="1164"/>
      <c r="D1920" s="1429"/>
      <c r="E1920" s="1429"/>
      <c r="F1920" s="1429"/>
      <c r="G1920" s="1429"/>
      <c r="H1920" s="1430"/>
      <c r="I1920" s="94"/>
      <c r="J1920" s="1164"/>
      <c r="K1920" s="94"/>
      <c r="L1920" s="94"/>
      <c r="M1920" s="1430"/>
      <c r="N1920" s="94"/>
      <c r="O1920" s="1430"/>
      <c r="P1920" s="94"/>
      <c r="Q1920" s="1431"/>
      <c r="R1920" s="1164"/>
      <c r="S1920" s="1164"/>
      <c r="T1920" s="1164"/>
      <c r="U1920" s="2174"/>
      <c r="V1920" s="2174"/>
      <c r="W1920" s="2174"/>
      <c r="X1920" s="1164"/>
    </row>
    <row r="1921" ht="15.75" customHeight="1">
      <c r="A1921" s="94"/>
      <c r="B1921" s="94"/>
      <c r="C1921" s="1164"/>
      <c r="D1921" s="1429"/>
      <c r="E1921" s="1429"/>
      <c r="F1921" s="1429"/>
      <c r="G1921" s="1429"/>
      <c r="H1921" s="1430"/>
      <c r="I1921" s="94"/>
      <c r="J1921" s="1164"/>
      <c r="K1921" s="94"/>
      <c r="L1921" s="94"/>
      <c r="M1921" s="1430"/>
      <c r="N1921" s="94"/>
      <c r="O1921" s="1430"/>
      <c r="P1921" s="94"/>
      <c r="Q1921" s="1431"/>
      <c r="R1921" s="1164"/>
      <c r="S1921" s="1164"/>
      <c r="T1921" s="1164"/>
      <c r="U1921" s="2174"/>
      <c r="V1921" s="2174"/>
      <c r="W1921" s="2174"/>
      <c r="X1921" s="1164"/>
    </row>
    <row r="1922" ht="15.75" customHeight="1">
      <c r="A1922" s="94"/>
      <c r="B1922" s="94"/>
      <c r="C1922" s="1164"/>
      <c r="D1922" s="1429"/>
      <c r="E1922" s="1429"/>
      <c r="F1922" s="1429"/>
      <c r="G1922" s="1429"/>
      <c r="H1922" s="1430"/>
      <c r="I1922" s="94"/>
      <c r="J1922" s="1164"/>
      <c r="K1922" s="94"/>
      <c r="L1922" s="94"/>
      <c r="M1922" s="1430"/>
      <c r="N1922" s="94"/>
      <c r="O1922" s="1430"/>
      <c r="P1922" s="94"/>
      <c r="Q1922" s="1431"/>
      <c r="R1922" s="1164"/>
      <c r="S1922" s="1164"/>
      <c r="T1922" s="1164"/>
      <c r="U1922" s="2174"/>
      <c r="V1922" s="2174"/>
      <c r="W1922" s="2174"/>
      <c r="X1922" s="1164"/>
    </row>
    <row r="1923" ht="15.75" customHeight="1">
      <c r="A1923" s="94"/>
      <c r="B1923" s="94"/>
      <c r="C1923" s="1164"/>
      <c r="D1923" s="1429"/>
      <c r="E1923" s="1429"/>
      <c r="F1923" s="1429"/>
      <c r="G1923" s="1429"/>
      <c r="H1923" s="1430"/>
      <c r="I1923" s="94"/>
      <c r="J1923" s="1164"/>
      <c r="K1923" s="94"/>
      <c r="L1923" s="94"/>
      <c r="M1923" s="1430"/>
      <c r="N1923" s="94"/>
      <c r="O1923" s="1430"/>
      <c r="P1923" s="94"/>
      <c r="Q1923" s="1431"/>
      <c r="R1923" s="1164"/>
      <c r="S1923" s="1164"/>
      <c r="T1923" s="1164"/>
      <c r="U1923" s="2174"/>
      <c r="V1923" s="2174"/>
      <c r="W1923" s="2174"/>
      <c r="X1923" s="1164"/>
    </row>
    <row r="1924" ht="15.75" customHeight="1">
      <c r="A1924" s="94"/>
      <c r="B1924" s="94"/>
      <c r="C1924" s="1164"/>
      <c r="D1924" s="1429"/>
      <c r="E1924" s="1429"/>
      <c r="F1924" s="1429"/>
      <c r="G1924" s="1429"/>
      <c r="H1924" s="1430"/>
      <c r="I1924" s="94"/>
      <c r="J1924" s="1164"/>
      <c r="K1924" s="94"/>
      <c r="L1924" s="94"/>
      <c r="M1924" s="1430"/>
      <c r="N1924" s="94"/>
      <c r="O1924" s="1430"/>
      <c r="P1924" s="94"/>
      <c r="Q1924" s="1431"/>
      <c r="R1924" s="1164"/>
      <c r="S1924" s="1164"/>
      <c r="T1924" s="1164"/>
      <c r="U1924" s="2174"/>
      <c r="V1924" s="2174"/>
      <c r="W1924" s="2174"/>
      <c r="X1924" s="1164"/>
    </row>
    <row r="1925" ht="15.75" customHeight="1">
      <c r="A1925" s="94"/>
      <c r="B1925" s="1164"/>
      <c r="C1925" s="1164"/>
      <c r="D1925" s="1429"/>
      <c r="E1925" s="1429"/>
      <c r="F1925" s="1429"/>
      <c r="G1925" s="1429"/>
      <c r="H1925" s="1430"/>
      <c r="I1925" s="94"/>
      <c r="J1925" s="1164"/>
      <c r="K1925" s="94"/>
      <c r="L1925" s="94"/>
      <c r="M1925" s="1430"/>
      <c r="N1925" s="94"/>
      <c r="O1925" s="1430"/>
      <c r="P1925" s="94"/>
      <c r="Q1925" s="1431"/>
      <c r="R1925" s="1164"/>
      <c r="S1925" s="1164"/>
      <c r="T1925" s="1164"/>
      <c r="U1925" s="2174"/>
      <c r="V1925" s="2174"/>
      <c r="W1925" s="2174"/>
      <c r="X1925" s="1164"/>
    </row>
    <row r="1926" ht="15.75" customHeight="1">
      <c r="A1926" s="94"/>
      <c r="B1926" s="94"/>
      <c r="C1926" s="1164"/>
      <c r="D1926" s="1429"/>
      <c r="E1926" s="1429"/>
      <c r="F1926" s="1429"/>
      <c r="G1926" s="1429"/>
      <c r="H1926" s="1430"/>
      <c r="I1926" s="94"/>
      <c r="J1926" s="1164"/>
      <c r="K1926" s="94"/>
      <c r="L1926" s="94"/>
      <c r="M1926" s="1430"/>
      <c r="N1926" s="94"/>
      <c r="O1926" s="1430"/>
      <c r="P1926" s="94"/>
      <c r="Q1926" s="1431"/>
      <c r="R1926" s="1164"/>
      <c r="S1926" s="1164"/>
      <c r="T1926" s="1164"/>
      <c r="U1926" s="2174"/>
      <c r="V1926" s="2174"/>
      <c r="W1926" s="2174"/>
      <c r="X1926" s="1164"/>
    </row>
    <row r="1927" ht="15.75" customHeight="1">
      <c r="A1927" s="94"/>
      <c r="B1927" s="94"/>
      <c r="C1927" s="1164"/>
      <c r="D1927" s="1429"/>
      <c r="E1927" s="1429"/>
      <c r="F1927" s="1429"/>
      <c r="G1927" s="1429"/>
      <c r="H1927" s="1430"/>
      <c r="I1927" s="94"/>
      <c r="J1927" s="1164"/>
      <c r="K1927" s="94"/>
      <c r="L1927" s="94"/>
      <c r="M1927" s="94"/>
      <c r="N1927" s="94"/>
      <c r="O1927" s="94"/>
      <c r="P1927" s="94"/>
      <c r="Q1927" s="1431"/>
      <c r="R1927" s="1164"/>
      <c r="S1927" s="1164"/>
      <c r="T1927" s="1164"/>
      <c r="U1927" s="94"/>
      <c r="V1927" s="94"/>
      <c r="W1927" s="94"/>
      <c r="X1927" s="1164"/>
    </row>
    <row r="1928" ht="15.75" customHeight="1">
      <c r="A1928" s="94"/>
      <c r="B1928" s="94"/>
      <c r="C1928" s="1164"/>
      <c r="D1928" s="1429"/>
      <c r="E1928" s="1429"/>
      <c r="F1928" s="1429"/>
      <c r="G1928" s="1429"/>
      <c r="H1928" s="1430"/>
      <c r="I1928" s="94"/>
      <c r="J1928" s="1164"/>
      <c r="K1928" s="94"/>
      <c r="L1928" s="94"/>
      <c r="M1928" s="1430"/>
      <c r="N1928" s="94"/>
      <c r="O1928" s="1430"/>
      <c r="P1928" s="94"/>
      <c r="Q1928" s="1431"/>
      <c r="R1928" s="1164"/>
      <c r="S1928" s="1164"/>
      <c r="T1928" s="1164"/>
      <c r="U1928" s="2174"/>
      <c r="V1928" s="2174"/>
      <c r="W1928" s="2174"/>
      <c r="X1928" s="1164"/>
    </row>
    <row r="1929" ht="15.75" customHeight="1">
      <c r="A1929" s="94"/>
      <c r="B1929" s="94"/>
      <c r="C1929" s="1164"/>
      <c r="D1929" s="1429"/>
      <c r="E1929" s="1429"/>
      <c r="F1929" s="1429"/>
      <c r="G1929" s="1429"/>
      <c r="H1929" s="1430"/>
      <c r="I1929" s="94"/>
      <c r="J1929" s="1164"/>
      <c r="K1929" s="94"/>
      <c r="L1929" s="94"/>
      <c r="M1929" s="1430"/>
      <c r="N1929" s="94"/>
      <c r="O1929" s="1430"/>
      <c r="P1929" s="94"/>
      <c r="Q1929" s="1431"/>
      <c r="R1929" s="1164"/>
      <c r="S1929" s="1164"/>
      <c r="T1929" s="1164"/>
      <c r="U1929" s="2174"/>
      <c r="V1929" s="2174"/>
      <c r="W1929" s="2174"/>
      <c r="X1929" s="1164"/>
    </row>
    <row r="1930" ht="15.75" customHeight="1">
      <c r="A1930" s="94"/>
      <c r="B1930" s="94"/>
      <c r="C1930" s="1164"/>
      <c r="D1930" s="1429"/>
      <c r="E1930" s="1429"/>
      <c r="F1930" s="1429"/>
      <c r="G1930" s="1429"/>
      <c r="H1930" s="1430"/>
      <c r="I1930" s="1430"/>
      <c r="J1930" s="94"/>
      <c r="K1930" s="94"/>
      <c r="L1930" s="94"/>
      <c r="M1930" s="94"/>
      <c r="N1930" s="94"/>
      <c r="O1930" s="94"/>
      <c r="P1930" s="94"/>
      <c r="Q1930" s="1431"/>
      <c r="R1930" s="1164"/>
      <c r="S1930" s="1164"/>
      <c r="T1930" s="1164"/>
      <c r="U1930" s="2174"/>
      <c r="V1930" s="2174"/>
      <c r="W1930" s="2174"/>
      <c r="X1930" s="1164"/>
    </row>
    <row r="1931" ht="15.75" customHeight="1">
      <c r="A1931" s="94"/>
      <c r="B1931" s="94"/>
      <c r="C1931" s="1164"/>
      <c r="D1931" s="1429"/>
      <c r="E1931" s="1429"/>
      <c r="F1931" s="1429"/>
      <c r="G1931" s="1429"/>
      <c r="H1931" s="1430"/>
      <c r="I1931" s="1430"/>
      <c r="J1931" s="94"/>
      <c r="K1931" s="94"/>
      <c r="L1931" s="94"/>
      <c r="M1931" s="94"/>
      <c r="N1931" s="94"/>
      <c r="O1931" s="94"/>
      <c r="P1931" s="94"/>
      <c r="Q1931" s="1431"/>
      <c r="R1931" s="1164"/>
      <c r="S1931" s="1164"/>
      <c r="T1931" s="1164"/>
      <c r="U1931" s="2174"/>
      <c r="V1931" s="2174"/>
      <c r="W1931" s="2174"/>
      <c r="X1931" s="1164"/>
    </row>
    <row r="1932" ht="15.75" customHeight="1">
      <c r="A1932" s="94"/>
      <c r="B1932" s="94"/>
      <c r="C1932" s="94"/>
      <c r="D1932" s="94"/>
      <c r="E1932" s="94"/>
      <c r="F1932" s="94"/>
      <c r="G1932" s="94"/>
      <c r="H1932" s="1430"/>
      <c r="I1932" s="1430"/>
      <c r="J1932" s="1430"/>
      <c r="K1932" s="1430"/>
      <c r="L1932" s="1430"/>
      <c r="M1932" s="1430"/>
      <c r="N1932" s="1430"/>
      <c r="O1932" s="1430"/>
      <c r="P1932" s="1430"/>
      <c r="Q1932" s="1430"/>
      <c r="R1932" s="1430"/>
      <c r="S1932" s="94"/>
      <c r="T1932" s="1430"/>
      <c r="U1932" s="94"/>
      <c r="V1932" s="94"/>
      <c r="W1932" s="94"/>
      <c r="X1932" s="1430"/>
    </row>
    <row r="1933" ht="15.75" customHeight="1">
      <c r="A1933" s="94"/>
      <c r="B1933" s="94"/>
      <c r="C1933" s="1164"/>
      <c r="D1933" s="1429"/>
      <c r="E1933" s="1429"/>
      <c r="F1933" s="1429"/>
      <c r="G1933" s="1429"/>
      <c r="H1933" s="1430"/>
      <c r="I1933" s="94"/>
      <c r="J1933" s="1164"/>
      <c r="K1933" s="94"/>
      <c r="L1933" s="94"/>
      <c r="M1933" s="1430"/>
      <c r="N1933" s="94"/>
      <c r="O1933" s="1430"/>
      <c r="P1933" s="94"/>
      <c r="Q1933" s="1431"/>
      <c r="R1933" s="1164"/>
      <c r="S1933" s="1164"/>
      <c r="T1933" s="1164"/>
      <c r="U1933" s="2174"/>
      <c r="V1933" s="2174"/>
      <c r="W1933" s="2174"/>
      <c r="X1933" s="1164"/>
    </row>
    <row r="1934" ht="15.75" customHeight="1">
      <c r="A1934" s="94"/>
      <c r="B1934" s="94"/>
      <c r="C1934" s="1164"/>
      <c r="D1934" s="1429"/>
      <c r="E1934" s="1429"/>
      <c r="F1934" s="1429"/>
      <c r="G1934" s="1429"/>
      <c r="H1934" s="1430"/>
      <c r="I1934" s="94"/>
      <c r="J1934" s="1164"/>
      <c r="K1934" s="94"/>
      <c r="L1934" s="94"/>
      <c r="M1934" s="1430"/>
      <c r="N1934" s="94"/>
      <c r="O1934" s="1430"/>
      <c r="P1934" s="94"/>
      <c r="Q1934" s="1431"/>
      <c r="R1934" s="1164"/>
      <c r="S1934" s="1164"/>
      <c r="T1934" s="1164"/>
      <c r="U1934" s="2174"/>
      <c r="V1934" s="2174"/>
      <c r="W1934" s="2174"/>
      <c r="X1934" s="1164"/>
    </row>
    <row r="1935" ht="15.75" customHeight="1">
      <c r="A1935" s="94"/>
      <c r="B1935" s="94"/>
      <c r="C1935" s="1164"/>
      <c r="D1935" s="1429"/>
      <c r="E1935" s="1429"/>
      <c r="F1935" s="1429"/>
      <c r="G1935" s="1429"/>
      <c r="H1935" s="1430"/>
      <c r="I1935" s="94"/>
      <c r="J1935" s="1164"/>
      <c r="K1935" s="94"/>
      <c r="L1935" s="94"/>
      <c r="M1935" s="1430"/>
      <c r="N1935" s="94"/>
      <c r="O1935" s="1430"/>
      <c r="P1935" s="94"/>
      <c r="Q1935" s="1431"/>
      <c r="R1935" s="1164"/>
      <c r="S1935" s="1164"/>
      <c r="T1935" s="1164"/>
      <c r="U1935" s="2174"/>
      <c r="V1935" s="2174"/>
      <c r="W1935" s="2174"/>
      <c r="X1935" s="1164"/>
    </row>
    <row r="1936" ht="15.75" customHeight="1">
      <c r="A1936" s="94"/>
      <c r="B1936" s="94"/>
      <c r="C1936" s="1164"/>
      <c r="D1936" s="1429"/>
      <c r="E1936" s="1429"/>
      <c r="F1936" s="1429"/>
      <c r="G1936" s="1429"/>
      <c r="H1936" s="1430"/>
      <c r="I1936" s="94"/>
      <c r="J1936" s="1164"/>
      <c r="K1936" s="94"/>
      <c r="L1936" s="94"/>
      <c r="M1936" s="94"/>
      <c r="N1936" s="94"/>
      <c r="O1936" s="94"/>
      <c r="P1936" s="94"/>
      <c r="Q1936" s="1431"/>
      <c r="R1936" s="1164"/>
      <c r="S1936" s="1164"/>
      <c r="T1936" s="1164"/>
      <c r="U1936" s="94"/>
      <c r="V1936" s="94"/>
      <c r="W1936" s="94"/>
      <c r="X1936" s="1164"/>
    </row>
    <row r="1937" ht="15.75" customHeight="1">
      <c r="A1937" s="94"/>
      <c r="B1937" s="94"/>
      <c r="C1937" s="1164"/>
      <c r="D1937" s="1429"/>
      <c r="E1937" s="1429"/>
      <c r="F1937" s="1429"/>
      <c r="G1937" s="1429"/>
      <c r="H1937" s="1430"/>
      <c r="I1937" s="94"/>
      <c r="J1937" s="1164"/>
      <c r="K1937" s="94"/>
      <c r="L1937" s="94"/>
      <c r="M1937" s="1430"/>
      <c r="N1937" s="94"/>
      <c r="O1937" s="1430"/>
      <c r="P1937" s="94"/>
      <c r="Q1937" s="1431"/>
      <c r="R1937" s="1164"/>
      <c r="S1937" s="1164"/>
      <c r="T1937" s="1164"/>
      <c r="U1937" s="2174"/>
      <c r="V1937" s="2174"/>
      <c r="W1937" s="2174"/>
      <c r="X1937" s="1164"/>
    </row>
    <row r="1938" ht="15.75" customHeight="1">
      <c r="A1938" s="94"/>
      <c r="B1938" s="94"/>
      <c r="C1938" s="1164"/>
      <c r="D1938" s="1429"/>
      <c r="E1938" s="1429"/>
      <c r="F1938" s="1429"/>
      <c r="G1938" s="1429"/>
      <c r="H1938" s="1430"/>
      <c r="I1938" s="94"/>
      <c r="J1938" s="1164"/>
      <c r="K1938" s="94"/>
      <c r="L1938" s="94"/>
      <c r="M1938" s="1430"/>
      <c r="N1938" s="94"/>
      <c r="O1938" s="1430"/>
      <c r="P1938" s="94"/>
      <c r="Q1938" s="1431"/>
      <c r="R1938" s="1164"/>
      <c r="S1938" s="1164"/>
      <c r="T1938" s="1164"/>
      <c r="U1938" s="2174"/>
      <c r="V1938" s="2174"/>
      <c r="W1938" s="2174"/>
      <c r="X1938" s="1164"/>
    </row>
    <row r="1939" ht="15.75" customHeight="1">
      <c r="A1939" s="94"/>
      <c r="B1939" s="94"/>
      <c r="C1939" s="1164"/>
      <c r="D1939" s="1429"/>
      <c r="E1939" s="1429"/>
      <c r="F1939" s="1429"/>
      <c r="G1939" s="1429"/>
      <c r="H1939" s="1430"/>
      <c r="I1939" s="94"/>
      <c r="J1939" s="1164"/>
      <c r="K1939" s="94"/>
      <c r="L1939" s="94"/>
      <c r="M1939" s="94"/>
      <c r="N1939" s="94"/>
      <c r="O1939" s="94"/>
      <c r="P1939" s="94"/>
      <c r="Q1939" s="1431"/>
      <c r="R1939" s="1164"/>
      <c r="S1939" s="1164"/>
      <c r="T1939" s="1164"/>
      <c r="U1939" s="94"/>
      <c r="V1939" s="94"/>
      <c r="W1939" s="94"/>
      <c r="X1939" s="1164"/>
    </row>
    <row r="1940" ht="15.75" customHeight="1">
      <c r="A1940" s="94"/>
      <c r="B1940" s="94"/>
      <c r="C1940" s="1164"/>
      <c r="D1940" s="1429"/>
      <c r="E1940" s="1429"/>
      <c r="F1940" s="1429"/>
      <c r="G1940" s="1429"/>
      <c r="H1940" s="1430"/>
      <c r="I1940" s="94"/>
      <c r="J1940" s="1164"/>
      <c r="K1940" s="94"/>
      <c r="L1940" s="94"/>
      <c r="M1940" s="1430"/>
      <c r="N1940" s="94"/>
      <c r="O1940" s="1430"/>
      <c r="P1940" s="94"/>
      <c r="Q1940" s="1431"/>
      <c r="R1940" s="1164"/>
      <c r="S1940" s="1164"/>
      <c r="T1940" s="1164"/>
      <c r="U1940" s="2174"/>
      <c r="V1940" s="2174"/>
      <c r="W1940" s="2174"/>
      <c r="X1940" s="1164"/>
    </row>
    <row r="1941" ht="15.75" customHeight="1">
      <c r="A1941" s="94"/>
      <c r="B1941" s="94"/>
      <c r="C1941" s="1164"/>
      <c r="D1941" s="1429"/>
      <c r="E1941" s="1429"/>
      <c r="F1941" s="1429"/>
      <c r="G1941" s="1429"/>
      <c r="H1941" s="1430"/>
      <c r="I1941" s="94"/>
      <c r="J1941" s="1164"/>
      <c r="K1941" s="94"/>
      <c r="L1941" s="94"/>
      <c r="M1941" s="1430"/>
      <c r="N1941" s="94"/>
      <c r="O1941" s="1430"/>
      <c r="P1941" s="94"/>
      <c r="Q1941" s="1431"/>
      <c r="R1941" s="1164"/>
      <c r="S1941" s="1164"/>
      <c r="T1941" s="1164"/>
      <c r="U1941" s="2174"/>
      <c r="V1941" s="2174"/>
      <c r="W1941" s="2174"/>
      <c r="X1941" s="1164"/>
    </row>
    <row r="1942" ht="15.75" customHeight="1">
      <c r="A1942" s="94"/>
      <c r="B1942" s="94"/>
      <c r="C1942" s="1164"/>
      <c r="D1942" s="1429"/>
      <c r="E1942" s="1429"/>
      <c r="F1942" s="1429"/>
      <c r="G1942" s="1429"/>
      <c r="H1942" s="1430"/>
      <c r="I1942" s="94"/>
      <c r="J1942" s="1164"/>
      <c r="K1942" s="94"/>
      <c r="L1942" s="94"/>
      <c r="M1942" s="1430"/>
      <c r="N1942" s="94"/>
      <c r="O1942" s="1430"/>
      <c r="P1942" s="94"/>
      <c r="Q1942" s="1431"/>
      <c r="R1942" s="1164"/>
      <c r="S1942" s="1164"/>
      <c r="T1942" s="1164"/>
      <c r="U1942" s="2174"/>
      <c r="V1942" s="2174"/>
      <c r="W1942" s="2174"/>
      <c r="X1942" s="1164"/>
    </row>
    <row r="1943" ht="15.75" customHeight="1">
      <c r="A1943" s="94"/>
      <c r="B1943" s="1164"/>
      <c r="C1943" s="1164"/>
      <c r="D1943" s="1429"/>
      <c r="E1943" s="1429"/>
      <c r="F1943" s="1429"/>
      <c r="G1943" s="1429"/>
      <c r="H1943" s="1430"/>
      <c r="I1943" s="94"/>
      <c r="J1943" s="1164"/>
      <c r="K1943" s="94"/>
      <c r="L1943" s="94"/>
      <c r="M1943" s="1430"/>
      <c r="N1943" s="94"/>
      <c r="O1943" s="1430"/>
      <c r="P1943" s="94"/>
      <c r="Q1943" s="1431"/>
      <c r="R1943" s="1164"/>
      <c r="S1943" s="1164"/>
      <c r="T1943" s="1164"/>
      <c r="U1943" s="2174"/>
      <c r="V1943" s="2174"/>
      <c r="W1943" s="2174"/>
      <c r="X1943" s="1164"/>
    </row>
    <row r="1944" ht="15.75" customHeight="1">
      <c r="A1944" s="94"/>
      <c r="B1944" s="94"/>
      <c r="C1944" s="1164"/>
      <c r="D1944" s="1429"/>
      <c r="E1944" s="1429"/>
      <c r="F1944" s="1429"/>
      <c r="G1944" s="1429"/>
      <c r="H1944" s="1430"/>
      <c r="I1944" s="94"/>
      <c r="J1944" s="1164"/>
      <c r="K1944" s="94"/>
      <c r="L1944" s="94"/>
      <c r="M1944" s="1430"/>
      <c r="N1944" s="94"/>
      <c r="O1944" s="1430"/>
      <c r="P1944" s="94"/>
      <c r="Q1944" s="1431"/>
      <c r="R1944" s="1164"/>
      <c r="S1944" s="1164"/>
      <c r="T1944" s="1164"/>
      <c r="U1944" s="2174"/>
      <c r="V1944" s="2174"/>
      <c r="W1944" s="2174"/>
      <c r="X1944" s="1164"/>
    </row>
    <row r="1945" ht="15.75" customHeight="1">
      <c r="A1945" s="94"/>
      <c r="B1945" s="94"/>
      <c r="C1945" s="1164"/>
      <c r="D1945" s="1429"/>
      <c r="E1945" s="1429"/>
      <c r="F1945" s="1429"/>
      <c r="G1945" s="1429"/>
      <c r="H1945" s="1430"/>
      <c r="I1945" s="94"/>
      <c r="J1945" s="1164"/>
      <c r="K1945" s="94"/>
      <c r="L1945" s="94"/>
      <c r="M1945" s="1430"/>
      <c r="N1945" s="94"/>
      <c r="O1945" s="1430"/>
      <c r="P1945" s="94"/>
      <c r="Q1945" s="1431"/>
      <c r="R1945" s="1164"/>
      <c r="S1945" s="1164"/>
      <c r="T1945" s="1164"/>
      <c r="U1945" s="2174"/>
      <c r="V1945" s="2174"/>
      <c r="W1945" s="2174"/>
      <c r="X1945" s="1164"/>
    </row>
    <row r="1946" ht="15.75" customHeight="1">
      <c r="A1946" s="94"/>
      <c r="B1946" s="94"/>
      <c r="C1946" s="1164"/>
      <c r="D1946" s="1429"/>
      <c r="E1946" s="1429"/>
      <c r="F1946" s="1429"/>
      <c r="G1946" s="1429"/>
      <c r="H1946" s="1430"/>
      <c r="I1946" s="94"/>
      <c r="J1946" s="1164"/>
      <c r="K1946" s="94"/>
      <c r="L1946" s="94"/>
      <c r="M1946" s="1430"/>
      <c r="N1946" s="94"/>
      <c r="O1946" s="1430"/>
      <c r="P1946" s="94"/>
      <c r="Q1946" s="1431"/>
      <c r="R1946" s="1164"/>
      <c r="S1946" s="1164"/>
      <c r="T1946" s="1164"/>
      <c r="U1946" s="2174"/>
      <c r="V1946" s="2174"/>
      <c r="W1946" s="2174"/>
      <c r="X1946" s="1164"/>
    </row>
    <row r="1947" ht="15.75" customHeight="1">
      <c r="A1947" s="94"/>
      <c r="B1947" s="94"/>
      <c r="C1947" s="1164"/>
      <c r="D1947" s="1429"/>
      <c r="E1947" s="1429"/>
      <c r="F1947" s="1429"/>
      <c r="G1947" s="1429"/>
      <c r="H1947" s="1430"/>
      <c r="I1947" s="94"/>
      <c r="J1947" s="1164"/>
      <c r="K1947" s="94"/>
      <c r="L1947" s="94"/>
      <c r="M1947" s="1430"/>
      <c r="N1947" s="94"/>
      <c r="O1947" s="1430"/>
      <c r="P1947" s="94"/>
      <c r="Q1947" s="1431"/>
      <c r="R1947" s="1164"/>
      <c r="S1947" s="1164"/>
      <c r="T1947" s="1164"/>
      <c r="U1947" s="2174"/>
      <c r="V1947" s="2174"/>
      <c r="W1947" s="2174"/>
      <c r="X1947" s="1164"/>
    </row>
    <row r="1948" ht="15.75" customHeight="1">
      <c r="A1948" s="94"/>
      <c r="B1948" s="94"/>
      <c r="C1948" s="1164"/>
      <c r="D1948" s="1429"/>
      <c r="E1948" s="1429"/>
      <c r="F1948" s="1429"/>
      <c r="G1948" s="1429"/>
      <c r="H1948" s="1430"/>
      <c r="I1948" s="94"/>
      <c r="J1948" s="1164"/>
      <c r="K1948" s="94"/>
      <c r="L1948" s="94"/>
      <c r="M1948" s="1430"/>
      <c r="N1948" s="94"/>
      <c r="O1948" s="1430"/>
      <c r="P1948" s="94"/>
      <c r="Q1948" s="1431"/>
      <c r="R1948" s="1164"/>
      <c r="S1948" s="1164"/>
      <c r="T1948" s="1164"/>
      <c r="U1948" s="2174"/>
      <c r="V1948" s="2174"/>
      <c r="W1948" s="2174"/>
      <c r="X1948" s="1164"/>
    </row>
    <row r="1949" ht="15.75" customHeight="1">
      <c r="A1949" s="94"/>
      <c r="B1949" s="94"/>
      <c r="C1949" s="94"/>
      <c r="D1949" s="94"/>
      <c r="E1949" s="94"/>
      <c r="F1949" s="94"/>
      <c r="G1949" s="94"/>
      <c r="H1949" s="1430"/>
      <c r="I1949" s="1430"/>
      <c r="J1949" s="1430"/>
      <c r="K1949" s="1430"/>
      <c r="L1949" s="1430"/>
      <c r="M1949" s="1430"/>
      <c r="N1949" s="1430"/>
      <c r="O1949" s="1430"/>
      <c r="P1949" s="1430"/>
      <c r="Q1949" s="1430"/>
      <c r="R1949" s="1430"/>
      <c r="S1949" s="94"/>
      <c r="T1949" s="1430"/>
      <c r="U1949" s="94"/>
      <c r="V1949" s="94"/>
      <c r="W1949" s="94"/>
      <c r="X1949" s="1430"/>
    </row>
    <row r="1950" ht="15.75" customHeight="1">
      <c r="A1950" s="94"/>
      <c r="B1950" s="94"/>
      <c r="C1950" s="1164"/>
      <c r="D1950" s="1429"/>
      <c r="E1950" s="1429"/>
      <c r="F1950" s="1429"/>
      <c r="G1950" s="1429"/>
      <c r="H1950" s="1430"/>
      <c r="I1950" s="1430"/>
      <c r="J1950" s="94"/>
      <c r="K1950" s="94"/>
      <c r="L1950" s="94"/>
      <c r="M1950" s="94"/>
      <c r="N1950" s="94"/>
      <c r="O1950" s="94"/>
      <c r="P1950" s="94"/>
      <c r="Q1950" s="1431"/>
      <c r="R1950" s="1164"/>
      <c r="S1950" s="1164"/>
      <c r="T1950" s="1164"/>
      <c r="U1950" s="94"/>
      <c r="V1950" s="94"/>
      <c r="W1950" s="94"/>
      <c r="X1950" s="1164"/>
    </row>
    <row r="1951" ht="15.75" customHeight="1">
      <c r="A1951" s="94"/>
      <c r="B1951" s="94"/>
      <c r="C1951" s="1164"/>
      <c r="D1951" s="1429"/>
      <c r="E1951" s="1429"/>
      <c r="F1951" s="1429"/>
      <c r="G1951" s="1429"/>
      <c r="H1951" s="1430"/>
      <c r="I1951" s="1430"/>
      <c r="J1951" s="1164"/>
      <c r="K1951" s="94"/>
      <c r="L1951" s="94"/>
      <c r="M1951" s="94"/>
      <c r="N1951" s="94"/>
      <c r="O1951" s="94"/>
      <c r="P1951" s="94"/>
      <c r="Q1951" s="1431"/>
      <c r="R1951" s="1164"/>
      <c r="S1951" s="1164"/>
      <c r="T1951" s="1164"/>
      <c r="U1951" s="94"/>
      <c r="V1951" s="94"/>
      <c r="W1951" s="94"/>
      <c r="X1951" s="1164"/>
    </row>
    <row r="1952" ht="15.75" customHeight="1">
      <c r="A1952" s="94"/>
      <c r="B1952" s="94"/>
      <c r="C1952" s="1164"/>
      <c r="D1952" s="1429"/>
      <c r="E1952" s="1429"/>
      <c r="F1952" s="1429"/>
      <c r="G1952" s="1429"/>
      <c r="H1952" s="1430"/>
      <c r="I1952" s="1430"/>
      <c r="J1952" s="94"/>
      <c r="K1952" s="94"/>
      <c r="L1952" s="94"/>
      <c r="M1952" s="94"/>
      <c r="N1952" s="94"/>
      <c r="O1952" s="94"/>
      <c r="P1952" s="94"/>
      <c r="Q1952" s="1431"/>
      <c r="R1952" s="1164"/>
      <c r="S1952" s="1164"/>
      <c r="T1952" s="1164"/>
      <c r="U1952" s="94"/>
      <c r="V1952" s="94"/>
      <c r="W1952" s="94"/>
      <c r="X1952" s="1164"/>
    </row>
    <row r="1953" ht="15.75" customHeight="1">
      <c r="A1953" s="94"/>
      <c r="B1953" s="1164"/>
      <c r="C1953" s="1164"/>
      <c r="D1953" s="1429"/>
      <c r="E1953" s="1429"/>
      <c r="F1953" s="1429"/>
      <c r="G1953" s="1429"/>
      <c r="H1953" s="1430"/>
      <c r="I1953" s="94"/>
      <c r="J1953" s="1164"/>
      <c r="K1953" s="94"/>
      <c r="L1953" s="94"/>
      <c r="M1953" s="1430"/>
      <c r="N1953" s="94"/>
      <c r="O1953" s="1430"/>
      <c r="P1953" s="94"/>
      <c r="Q1953" s="1431"/>
      <c r="R1953" s="1164"/>
      <c r="S1953" s="1164"/>
      <c r="T1953" s="1164"/>
      <c r="U1953" s="2174"/>
      <c r="V1953" s="2174"/>
      <c r="W1953" s="2174"/>
      <c r="X1953" s="1164"/>
    </row>
    <row r="1954" ht="15.75" customHeight="1">
      <c r="A1954" s="94"/>
      <c r="B1954" s="94"/>
      <c r="C1954" s="1164"/>
      <c r="D1954" s="1429"/>
      <c r="E1954" s="1429"/>
      <c r="F1954" s="1429"/>
      <c r="G1954" s="1429"/>
      <c r="H1954" s="1430"/>
      <c r="I1954" s="94"/>
      <c r="J1954" s="94"/>
      <c r="K1954" s="94"/>
      <c r="L1954" s="94"/>
      <c r="M1954" s="94"/>
      <c r="N1954" s="94"/>
      <c r="O1954" s="94"/>
      <c r="P1954" s="94"/>
      <c r="Q1954" s="1431"/>
      <c r="R1954" s="1164"/>
      <c r="S1954" s="1164"/>
      <c r="T1954" s="1164"/>
      <c r="U1954" s="2174"/>
      <c r="V1954" s="2174"/>
      <c r="W1954" s="2174"/>
      <c r="X1954" s="1164"/>
    </row>
    <row r="1955" ht="15.75" customHeight="1">
      <c r="A1955" s="94"/>
      <c r="B1955" s="94"/>
      <c r="C1955" s="1164"/>
      <c r="D1955" s="1429"/>
      <c r="E1955" s="1429"/>
      <c r="F1955" s="1429"/>
      <c r="G1955" s="1429"/>
      <c r="H1955" s="1430"/>
      <c r="I1955" s="94"/>
      <c r="J1955" s="1164"/>
      <c r="K1955" s="94"/>
      <c r="L1955" s="94"/>
      <c r="M1955" s="94"/>
      <c r="N1955" s="94"/>
      <c r="O1955" s="94"/>
      <c r="P1955" s="94"/>
      <c r="Q1955" s="1431"/>
      <c r="R1955" s="1164"/>
      <c r="S1955" s="1164"/>
      <c r="T1955" s="1164"/>
      <c r="U1955" s="2174"/>
      <c r="V1955" s="2174"/>
      <c r="W1955" s="2174"/>
      <c r="X1955" s="1164"/>
    </row>
    <row r="1956" ht="15.75" customHeight="1">
      <c r="A1956" s="94"/>
      <c r="B1956" s="1164"/>
      <c r="C1956" s="1164"/>
      <c r="D1956" s="1429"/>
      <c r="E1956" s="1429"/>
      <c r="F1956" s="1429"/>
      <c r="G1956" s="1429"/>
      <c r="H1956" s="1430"/>
      <c r="I1956" s="94"/>
      <c r="J1956" s="1164"/>
      <c r="K1956" s="94"/>
      <c r="L1956" s="94"/>
      <c r="M1956" s="1430"/>
      <c r="N1956" s="94"/>
      <c r="O1956" s="1430"/>
      <c r="P1956" s="94"/>
      <c r="Q1956" s="1431"/>
      <c r="R1956" s="1164"/>
      <c r="S1956" s="1164"/>
      <c r="T1956" s="1164"/>
      <c r="U1956" s="2174"/>
      <c r="V1956" s="2174"/>
      <c r="W1956" s="2174"/>
      <c r="X1956" s="1164"/>
    </row>
    <row r="1957" ht="15.75" customHeight="1">
      <c r="A1957" s="94"/>
      <c r="B1957" s="94"/>
      <c r="C1957" s="1164"/>
      <c r="D1957" s="1429"/>
      <c r="E1957" s="1429"/>
      <c r="F1957" s="1429"/>
      <c r="G1957" s="1429"/>
      <c r="H1957" s="1430"/>
      <c r="I1957" s="94"/>
      <c r="J1957" s="1164"/>
      <c r="K1957" s="94"/>
      <c r="L1957" s="94"/>
      <c r="M1957" s="1430"/>
      <c r="N1957" s="94"/>
      <c r="O1957" s="1430"/>
      <c r="P1957" s="94"/>
      <c r="Q1957" s="1431"/>
      <c r="R1957" s="1164"/>
      <c r="S1957" s="1164"/>
      <c r="T1957" s="1164"/>
      <c r="U1957" s="2174"/>
      <c r="V1957" s="2174"/>
      <c r="W1957" s="2174"/>
      <c r="X1957" s="1164"/>
    </row>
    <row r="1958" ht="15.75" customHeight="1">
      <c r="A1958" s="94"/>
      <c r="B1958" s="94"/>
      <c r="C1958" s="1164"/>
      <c r="D1958" s="1429"/>
      <c r="E1958" s="1429"/>
      <c r="F1958" s="1429"/>
      <c r="G1958" s="1429"/>
      <c r="H1958" s="1430"/>
      <c r="I1958" s="94"/>
      <c r="J1958" s="1164"/>
      <c r="K1958" s="94"/>
      <c r="L1958" s="94"/>
      <c r="M1958" s="1430"/>
      <c r="N1958" s="94"/>
      <c r="O1958" s="1430"/>
      <c r="P1958" s="94"/>
      <c r="Q1958" s="1431"/>
      <c r="R1958" s="1164"/>
      <c r="S1958" s="1164"/>
      <c r="T1958" s="1164"/>
      <c r="U1958" s="2174"/>
      <c r="V1958" s="2174"/>
      <c r="W1958" s="2174"/>
      <c r="X1958" s="1164"/>
    </row>
    <row r="1959" ht="15.75" customHeight="1">
      <c r="A1959" s="94"/>
      <c r="B1959" s="94"/>
      <c r="C1959" s="1164"/>
      <c r="D1959" s="1429"/>
      <c r="E1959" s="1429"/>
      <c r="F1959" s="1429"/>
      <c r="G1959" s="1429"/>
      <c r="H1959" s="1430"/>
      <c r="I1959" s="1430"/>
      <c r="J1959" s="94"/>
      <c r="K1959" s="94"/>
      <c r="L1959" s="94"/>
      <c r="M1959" s="94"/>
      <c r="N1959" s="94"/>
      <c r="O1959" s="94"/>
      <c r="P1959" s="94"/>
      <c r="Q1959" s="1431"/>
      <c r="R1959" s="1164"/>
      <c r="S1959" s="1164"/>
      <c r="T1959" s="1164"/>
      <c r="U1959" s="94"/>
      <c r="V1959" s="94"/>
      <c r="W1959" s="94"/>
      <c r="X1959" s="1164"/>
    </row>
    <row r="1960" ht="15.75" customHeight="1">
      <c r="A1960" s="94"/>
      <c r="B1960" s="94"/>
      <c r="C1960" s="1164"/>
      <c r="D1960" s="1429"/>
      <c r="E1960" s="1429"/>
      <c r="F1960" s="1429"/>
      <c r="G1960" s="1429"/>
      <c r="H1960" s="1430"/>
      <c r="I1960" s="94"/>
      <c r="J1960" s="1164"/>
      <c r="K1960" s="94"/>
      <c r="L1960" s="94"/>
      <c r="M1960" s="1430"/>
      <c r="N1960" s="94"/>
      <c r="O1960" s="1430"/>
      <c r="P1960" s="94"/>
      <c r="Q1960" s="1431"/>
      <c r="R1960" s="1164"/>
      <c r="S1960" s="1164"/>
      <c r="T1960" s="1164"/>
      <c r="U1960" s="2174"/>
      <c r="V1960" s="2174"/>
      <c r="W1960" s="2174"/>
      <c r="X1960" s="1164"/>
    </row>
    <row r="1961" ht="15.75" customHeight="1">
      <c r="A1961" s="94"/>
      <c r="B1961" s="1164"/>
      <c r="C1961" s="1164"/>
      <c r="D1961" s="1429"/>
      <c r="E1961" s="1429"/>
      <c r="F1961" s="1429"/>
      <c r="G1961" s="1429"/>
      <c r="H1961" s="1430"/>
      <c r="I1961" s="94"/>
      <c r="J1961" s="1164"/>
      <c r="K1961" s="94"/>
      <c r="L1961" s="94"/>
      <c r="M1961" s="1430"/>
      <c r="N1961" s="94"/>
      <c r="O1961" s="1430"/>
      <c r="P1961" s="94"/>
      <c r="Q1961" s="1431"/>
      <c r="R1961" s="1164"/>
      <c r="S1961" s="1164"/>
      <c r="T1961" s="1164"/>
      <c r="U1961" s="2174"/>
      <c r="V1961" s="2174"/>
      <c r="W1961" s="2174"/>
      <c r="X1961" s="1164"/>
    </row>
    <row r="1962" ht="15.75" customHeight="1">
      <c r="A1962" s="94"/>
      <c r="B1962" s="1164"/>
      <c r="C1962" s="1164"/>
      <c r="D1962" s="1429"/>
      <c r="E1962" s="1429"/>
      <c r="F1962" s="1429"/>
      <c r="G1962" s="1429"/>
      <c r="H1962" s="1430"/>
      <c r="I1962" s="94"/>
      <c r="J1962" s="1164"/>
      <c r="K1962" s="94"/>
      <c r="L1962" s="94"/>
      <c r="M1962" s="1430"/>
      <c r="N1962" s="94"/>
      <c r="O1962" s="1430"/>
      <c r="P1962" s="94"/>
      <c r="Q1962" s="1431"/>
      <c r="R1962" s="1164"/>
      <c r="S1962" s="1164"/>
      <c r="T1962" s="1164"/>
      <c r="U1962" s="2174"/>
      <c r="V1962" s="2174"/>
      <c r="W1962" s="2174"/>
      <c r="X1962" s="1164"/>
    </row>
    <row r="1963" ht="15.75" customHeight="1">
      <c r="A1963" s="94"/>
      <c r="B1963" s="94"/>
      <c r="C1963" s="94"/>
      <c r="D1963" s="94"/>
      <c r="E1963" s="94"/>
      <c r="F1963" s="94"/>
      <c r="G1963" s="94"/>
      <c r="H1963" s="1430"/>
      <c r="I1963" s="1430"/>
      <c r="J1963" s="1430"/>
      <c r="K1963" s="1430"/>
      <c r="L1963" s="1430"/>
      <c r="M1963" s="1430"/>
      <c r="N1963" s="1430"/>
      <c r="O1963" s="1430"/>
      <c r="P1963" s="1430"/>
      <c r="Q1963" s="1430"/>
      <c r="R1963" s="1430"/>
      <c r="S1963" s="94"/>
      <c r="T1963" s="1430"/>
      <c r="U1963" s="94"/>
      <c r="V1963" s="94"/>
      <c r="W1963" s="94"/>
      <c r="X1963" s="1430"/>
    </row>
    <row r="1964" ht="15.75" customHeight="1">
      <c r="A1964" s="94"/>
      <c r="B1964" s="94"/>
      <c r="C1964" s="1164"/>
      <c r="D1964" s="1429"/>
      <c r="E1964" s="1429"/>
      <c r="F1964" s="1429"/>
      <c r="G1964" s="1429"/>
      <c r="H1964" s="1430"/>
      <c r="I1964" s="94"/>
      <c r="J1964" s="1164"/>
      <c r="K1964" s="94"/>
      <c r="L1964" s="94"/>
      <c r="M1964" s="1430"/>
      <c r="N1964" s="94"/>
      <c r="O1964" s="1430"/>
      <c r="P1964" s="94"/>
      <c r="Q1964" s="1431"/>
      <c r="R1964" s="1164"/>
      <c r="S1964" s="1164"/>
      <c r="T1964" s="1164"/>
      <c r="U1964" s="2174"/>
      <c r="V1964" s="2174"/>
      <c r="W1964" s="2174"/>
      <c r="X1964" s="1164"/>
    </row>
    <row r="1965" ht="15.75" customHeight="1">
      <c r="A1965" s="94"/>
      <c r="B1965" s="94"/>
      <c r="C1965" s="1164"/>
      <c r="D1965" s="1429"/>
      <c r="E1965" s="1429"/>
      <c r="F1965" s="1429"/>
      <c r="G1965" s="1429"/>
      <c r="H1965" s="1430"/>
      <c r="I1965" s="94"/>
      <c r="J1965" s="1164"/>
      <c r="K1965" s="94"/>
      <c r="L1965" s="94"/>
      <c r="M1965" s="1430"/>
      <c r="N1965" s="94"/>
      <c r="O1965" s="1430"/>
      <c r="P1965" s="94"/>
      <c r="Q1965" s="1431"/>
      <c r="R1965" s="1164"/>
      <c r="S1965" s="1164"/>
      <c r="T1965" s="1164"/>
      <c r="U1965" s="2174"/>
      <c r="V1965" s="2174"/>
      <c r="W1965" s="2174"/>
      <c r="X1965" s="1164"/>
    </row>
    <row r="1966" ht="15.75" customHeight="1">
      <c r="A1966" s="94"/>
      <c r="B1966" s="94"/>
      <c r="C1966" s="1164"/>
      <c r="D1966" s="1429"/>
      <c r="E1966" s="1429"/>
      <c r="F1966" s="1429"/>
      <c r="G1966" s="1429"/>
      <c r="H1966" s="1430"/>
      <c r="I1966" s="94"/>
      <c r="J1966" s="1164"/>
      <c r="K1966" s="94"/>
      <c r="L1966" s="94"/>
      <c r="M1966" s="1430"/>
      <c r="N1966" s="94"/>
      <c r="O1966" s="1430"/>
      <c r="P1966" s="94"/>
      <c r="Q1966" s="1431"/>
      <c r="R1966" s="1164"/>
      <c r="S1966" s="1164"/>
      <c r="T1966" s="1164"/>
      <c r="U1966" s="2174"/>
      <c r="V1966" s="2174"/>
      <c r="W1966" s="2174"/>
      <c r="X1966" s="1164"/>
    </row>
    <row r="1967" ht="15.75" customHeight="1">
      <c r="A1967" s="94"/>
      <c r="B1967" s="94"/>
      <c r="C1967" s="1164"/>
      <c r="D1967" s="1429"/>
      <c r="E1967" s="1429"/>
      <c r="F1967" s="1429"/>
      <c r="G1967" s="1429"/>
      <c r="H1967" s="1430"/>
      <c r="I1967" s="94"/>
      <c r="J1967" s="1164"/>
      <c r="K1967" s="94"/>
      <c r="L1967" s="94"/>
      <c r="M1967" s="1430"/>
      <c r="N1967" s="94"/>
      <c r="O1967" s="1430"/>
      <c r="P1967" s="94"/>
      <c r="Q1967" s="1431"/>
      <c r="R1967" s="1164"/>
      <c r="S1967" s="1164"/>
      <c r="T1967" s="1164"/>
      <c r="U1967" s="2174"/>
      <c r="V1967" s="2174"/>
      <c r="W1967" s="2174"/>
      <c r="X1967" s="1164"/>
    </row>
    <row r="1968" ht="15.75" customHeight="1">
      <c r="A1968" s="94"/>
      <c r="B1968" s="94"/>
      <c r="C1968" s="1164"/>
      <c r="D1968" s="1429"/>
      <c r="E1968" s="1429"/>
      <c r="F1968" s="1429"/>
      <c r="G1968" s="1429"/>
      <c r="H1968" s="1430"/>
      <c r="I1968" s="94"/>
      <c r="J1968" s="1164"/>
      <c r="K1968" s="94"/>
      <c r="L1968" s="94"/>
      <c r="M1968" s="1430"/>
      <c r="N1968" s="94"/>
      <c r="O1968" s="1430"/>
      <c r="P1968" s="94"/>
      <c r="Q1968" s="1431"/>
      <c r="R1968" s="1164"/>
      <c r="S1968" s="1164"/>
      <c r="T1968" s="1164"/>
      <c r="U1968" s="2174"/>
      <c r="V1968" s="2174"/>
      <c r="W1968" s="2174"/>
      <c r="X1968" s="1164"/>
    </row>
    <row r="1969" ht="15.75" customHeight="1">
      <c r="A1969" s="94"/>
      <c r="B1969" s="94"/>
      <c r="C1969" s="1164"/>
      <c r="D1969" s="1429"/>
      <c r="E1969" s="1429"/>
      <c r="F1969" s="1429"/>
      <c r="G1969" s="1429"/>
      <c r="H1969" s="1430"/>
      <c r="I1969" s="94"/>
      <c r="J1969" s="1164"/>
      <c r="K1969" s="94"/>
      <c r="L1969" s="94"/>
      <c r="M1969" s="1430"/>
      <c r="N1969" s="94"/>
      <c r="O1969" s="1430"/>
      <c r="P1969" s="94"/>
      <c r="Q1969" s="1431"/>
      <c r="R1969" s="1164"/>
      <c r="S1969" s="1164"/>
      <c r="T1969" s="1164"/>
      <c r="U1969" s="2174"/>
      <c r="V1969" s="2174"/>
      <c r="W1969" s="2174"/>
      <c r="X1969" s="1164"/>
    </row>
    <row r="1970" ht="15.75" customHeight="1">
      <c r="A1970" s="94"/>
      <c r="B1970" s="94"/>
      <c r="C1970" s="1164"/>
      <c r="D1970" s="1429"/>
      <c r="E1970" s="1429"/>
      <c r="F1970" s="1429"/>
      <c r="G1970" s="1429"/>
      <c r="H1970" s="1430"/>
      <c r="I1970" s="94"/>
      <c r="J1970" s="1164"/>
      <c r="K1970" s="94"/>
      <c r="L1970" s="94"/>
      <c r="M1970" s="1430"/>
      <c r="N1970" s="94"/>
      <c r="O1970" s="1430"/>
      <c r="P1970" s="94"/>
      <c r="Q1970" s="1431"/>
      <c r="R1970" s="1164"/>
      <c r="S1970" s="1164"/>
      <c r="T1970" s="1164"/>
      <c r="U1970" s="2174"/>
      <c r="V1970" s="2174"/>
      <c r="W1970" s="2174"/>
      <c r="X1970" s="1164"/>
    </row>
    <row r="1971" ht="15.75" customHeight="1">
      <c r="A1971" s="94"/>
      <c r="B1971" s="94"/>
      <c r="C1971" s="1164"/>
      <c r="D1971" s="1429"/>
      <c r="E1971" s="1429"/>
      <c r="F1971" s="1429"/>
      <c r="G1971" s="1429"/>
      <c r="H1971" s="1430"/>
      <c r="I1971" s="94"/>
      <c r="J1971" s="1164"/>
      <c r="K1971" s="94"/>
      <c r="L1971" s="94"/>
      <c r="M1971" s="1430"/>
      <c r="N1971" s="94"/>
      <c r="O1971" s="1430"/>
      <c r="P1971" s="94"/>
      <c r="Q1971" s="1431"/>
      <c r="R1971" s="1164"/>
      <c r="S1971" s="1164"/>
      <c r="T1971" s="1164"/>
      <c r="U1971" s="2174"/>
      <c r="V1971" s="2174"/>
      <c r="W1971" s="2174"/>
      <c r="X1971" s="1164"/>
    </row>
    <row r="1972" ht="15.75" customHeight="1">
      <c r="A1972" s="94"/>
      <c r="B1972" s="94"/>
      <c r="C1972" s="1164"/>
      <c r="D1972" s="1429"/>
      <c r="E1972" s="1429"/>
      <c r="F1972" s="1429"/>
      <c r="G1972" s="1429"/>
      <c r="H1972" s="1430"/>
      <c r="I1972" s="94"/>
      <c r="J1972" s="1164"/>
      <c r="K1972" s="94"/>
      <c r="L1972" s="94"/>
      <c r="M1972" s="1430"/>
      <c r="N1972" s="94"/>
      <c r="O1972" s="1430"/>
      <c r="P1972" s="94"/>
      <c r="Q1972" s="1431"/>
      <c r="R1972" s="1164"/>
      <c r="S1972" s="1164"/>
      <c r="T1972" s="1164"/>
      <c r="U1972" s="2174"/>
      <c r="V1972" s="2174"/>
      <c r="W1972" s="2174"/>
      <c r="X1972" s="1164"/>
    </row>
    <row r="1973" ht="15.75" customHeight="1">
      <c r="A1973" s="94"/>
      <c r="B1973" s="94"/>
      <c r="C1973" s="1164"/>
      <c r="D1973" s="1429"/>
      <c r="E1973" s="1429"/>
      <c r="F1973" s="1429"/>
      <c r="G1973" s="1429"/>
      <c r="H1973" s="1430"/>
      <c r="I1973" s="94"/>
      <c r="J1973" s="1164"/>
      <c r="K1973" s="94"/>
      <c r="L1973" s="94"/>
      <c r="M1973" s="1430"/>
      <c r="N1973" s="94"/>
      <c r="O1973" s="1430"/>
      <c r="P1973" s="94"/>
      <c r="Q1973" s="1431"/>
      <c r="R1973" s="1164"/>
      <c r="S1973" s="1164"/>
      <c r="T1973" s="1164"/>
      <c r="U1973" s="2174"/>
      <c r="V1973" s="2174"/>
      <c r="W1973" s="2174"/>
      <c r="X1973" s="1164"/>
    </row>
    <row r="1974" ht="15.75" customHeight="1">
      <c r="A1974" s="94"/>
      <c r="B1974" s="94"/>
      <c r="C1974" s="1164"/>
      <c r="D1974" s="1429"/>
      <c r="E1974" s="1429"/>
      <c r="F1974" s="1429"/>
      <c r="G1974" s="1429"/>
      <c r="H1974" s="1430"/>
      <c r="I1974" s="94"/>
      <c r="J1974" s="1164"/>
      <c r="K1974" s="94"/>
      <c r="L1974" s="94"/>
      <c r="M1974" s="1430"/>
      <c r="N1974" s="94"/>
      <c r="O1974" s="1430"/>
      <c r="P1974" s="94"/>
      <c r="Q1974" s="1431"/>
      <c r="R1974" s="1164"/>
      <c r="S1974" s="1164"/>
      <c r="T1974" s="1164"/>
      <c r="U1974" s="2174"/>
      <c r="V1974" s="2174"/>
      <c r="W1974" s="2174"/>
      <c r="X1974" s="1164"/>
    </row>
    <row r="1975" ht="15.75" customHeight="1">
      <c r="A1975" s="94"/>
      <c r="B1975" s="94"/>
      <c r="C1975" s="1164"/>
      <c r="D1975" s="1429"/>
      <c r="E1975" s="1429"/>
      <c r="F1975" s="1429"/>
      <c r="G1975" s="1429"/>
      <c r="H1975" s="1430"/>
      <c r="I1975" s="94"/>
      <c r="J1975" s="1164"/>
      <c r="K1975" s="94"/>
      <c r="L1975" s="94"/>
      <c r="M1975" s="1430"/>
      <c r="N1975" s="94"/>
      <c r="O1975" s="1430"/>
      <c r="P1975" s="94"/>
      <c r="Q1975" s="1431"/>
      <c r="R1975" s="1164"/>
      <c r="S1975" s="1164"/>
      <c r="T1975" s="1164"/>
      <c r="U1975" s="2174"/>
      <c r="V1975" s="2174"/>
      <c r="W1975" s="2174"/>
      <c r="X1975" s="1164"/>
    </row>
    <row r="1976" ht="15.75" customHeight="1">
      <c r="A1976" s="94"/>
      <c r="B1976" s="94"/>
      <c r="C1976" s="1164"/>
      <c r="D1976" s="1429"/>
      <c r="E1976" s="1429"/>
      <c r="F1976" s="1429"/>
      <c r="G1976" s="1429"/>
      <c r="H1976" s="1430"/>
      <c r="I1976" s="94"/>
      <c r="J1976" s="1164"/>
      <c r="K1976" s="94"/>
      <c r="L1976" s="94"/>
      <c r="M1976" s="1430"/>
      <c r="N1976" s="94"/>
      <c r="O1976" s="1430"/>
      <c r="P1976" s="94"/>
      <c r="Q1976" s="1431"/>
      <c r="R1976" s="1164"/>
      <c r="S1976" s="1164"/>
      <c r="T1976" s="1164"/>
      <c r="U1976" s="2174"/>
      <c r="V1976" s="2174"/>
      <c r="W1976" s="2174"/>
      <c r="X1976" s="1164"/>
    </row>
    <row r="1977" ht="15.75" customHeight="1">
      <c r="A1977" s="94"/>
      <c r="B1977" s="94"/>
      <c r="C1977" s="1164"/>
      <c r="D1977" s="1429"/>
      <c r="E1977" s="1429"/>
      <c r="F1977" s="1429"/>
      <c r="G1977" s="1429"/>
      <c r="H1977" s="1430"/>
      <c r="I1977" s="94"/>
      <c r="J1977" s="1164"/>
      <c r="K1977" s="94"/>
      <c r="L1977" s="94"/>
      <c r="M1977" s="1430"/>
      <c r="N1977" s="94"/>
      <c r="O1977" s="1430"/>
      <c r="P1977" s="94"/>
      <c r="Q1977" s="1431"/>
      <c r="R1977" s="1164"/>
      <c r="S1977" s="1164"/>
      <c r="T1977" s="1164"/>
      <c r="U1977" s="2174"/>
      <c r="V1977" s="2174"/>
      <c r="W1977" s="2174"/>
      <c r="X1977" s="1164"/>
    </row>
    <row r="1978" ht="15.75" customHeight="1">
      <c r="A1978" s="94"/>
      <c r="B1978" s="94"/>
      <c r="C1978" s="1164"/>
      <c r="D1978" s="1429"/>
      <c r="E1978" s="1429"/>
      <c r="F1978" s="1429"/>
      <c r="G1978" s="1429"/>
      <c r="H1978" s="1430"/>
      <c r="I1978" s="94"/>
      <c r="J1978" s="1164"/>
      <c r="K1978" s="94"/>
      <c r="L1978" s="94"/>
      <c r="M1978" s="1430"/>
      <c r="N1978" s="94"/>
      <c r="O1978" s="1430"/>
      <c r="P1978" s="94"/>
      <c r="Q1978" s="1431"/>
      <c r="R1978" s="1164"/>
      <c r="S1978" s="1164"/>
      <c r="T1978" s="1164"/>
      <c r="U1978" s="2174"/>
      <c r="V1978" s="2174"/>
      <c r="W1978" s="2174"/>
      <c r="X1978" s="1164"/>
    </row>
    <row r="1979" ht="15.75" customHeight="1">
      <c r="A1979" s="94"/>
      <c r="B1979" s="94"/>
      <c r="C1979" s="1164"/>
      <c r="D1979" s="1429"/>
      <c r="E1979" s="1429"/>
      <c r="F1979" s="1429"/>
      <c r="G1979" s="1429"/>
      <c r="H1979" s="1430"/>
      <c r="I1979" s="94"/>
      <c r="J1979" s="1164"/>
      <c r="K1979" s="94"/>
      <c r="L1979" s="94"/>
      <c r="M1979" s="1430"/>
      <c r="N1979" s="94"/>
      <c r="O1979" s="1430"/>
      <c r="P1979" s="94"/>
      <c r="Q1979" s="1431"/>
      <c r="R1979" s="1164"/>
      <c r="S1979" s="1164"/>
      <c r="T1979" s="1164"/>
      <c r="U1979" s="2174"/>
      <c r="V1979" s="2174"/>
      <c r="W1979" s="2174"/>
      <c r="X1979" s="1164"/>
    </row>
    <row r="1980" ht="15.75" customHeight="1">
      <c r="A1980" s="94"/>
      <c r="B1980" s="94"/>
      <c r="C1980" s="1164"/>
      <c r="D1980" s="1429"/>
      <c r="E1980" s="1429"/>
      <c r="F1980" s="1429"/>
      <c r="G1980" s="1429"/>
      <c r="H1980" s="1430"/>
      <c r="I1980" s="94"/>
      <c r="J1980" s="1164"/>
      <c r="K1980" s="94"/>
      <c r="L1980" s="94"/>
      <c r="M1980" s="1430"/>
      <c r="N1980" s="94"/>
      <c r="O1980" s="1430"/>
      <c r="P1980" s="94"/>
      <c r="Q1980" s="1431"/>
      <c r="R1980" s="1164"/>
      <c r="S1980" s="1164"/>
      <c r="T1980" s="1164"/>
      <c r="U1980" s="2174"/>
      <c r="V1980" s="2174"/>
      <c r="W1980" s="2174"/>
      <c r="X1980" s="1164"/>
    </row>
    <row r="1981" ht="15.75" customHeight="1">
      <c r="A1981" s="94"/>
      <c r="B1981" s="94"/>
      <c r="C1981" s="1164"/>
      <c r="D1981" s="1429"/>
      <c r="E1981" s="1429"/>
      <c r="F1981" s="1429"/>
      <c r="G1981" s="1429"/>
      <c r="H1981" s="1430"/>
      <c r="I1981" s="94"/>
      <c r="J1981" s="1164"/>
      <c r="K1981" s="94"/>
      <c r="L1981" s="94"/>
      <c r="M1981" s="1430"/>
      <c r="N1981" s="94"/>
      <c r="O1981" s="1430"/>
      <c r="P1981" s="94"/>
      <c r="Q1981" s="1431"/>
      <c r="R1981" s="1164"/>
      <c r="S1981" s="1164"/>
      <c r="T1981" s="1164"/>
      <c r="U1981" s="2174"/>
      <c r="V1981" s="2174"/>
      <c r="W1981" s="2174"/>
      <c r="X1981" s="1164"/>
    </row>
    <row r="1982" ht="15.75" customHeight="1">
      <c r="A1982" s="94"/>
      <c r="B1982" s="94"/>
      <c r="C1982" s="1164"/>
      <c r="D1982" s="1429"/>
      <c r="E1982" s="1429"/>
      <c r="F1982" s="1429"/>
      <c r="G1982" s="1429"/>
      <c r="H1982" s="1430"/>
      <c r="I1982" s="94"/>
      <c r="J1982" s="1164"/>
      <c r="K1982" s="94"/>
      <c r="L1982" s="94"/>
      <c r="M1982" s="94"/>
      <c r="N1982" s="94"/>
      <c r="O1982" s="1430"/>
      <c r="P1982" s="94"/>
      <c r="Q1982" s="1431"/>
      <c r="R1982" s="1164"/>
      <c r="S1982" s="1164"/>
      <c r="T1982" s="1164"/>
      <c r="U1982" s="2174"/>
      <c r="V1982" s="2174"/>
      <c r="W1982" s="2174"/>
      <c r="X1982" s="1164"/>
    </row>
    <row r="1983" ht="15.75" customHeight="1">
      <c r="A1983" s="94"/>
      <c r="B1983" s="94"/>
      <c r="C1983" s="1164"/>
      <c r="D1983" s="1429"/>
      <c r="E1983" s="1429"/>
      <c r="F1983" s="1429"/>
      <c r="G1983" s="1429"/>
      <c r="H1983" s="1430"/>
      <c r="I1983" s="94"/>
      <c r="J1983" s="1164"/>
      <c r="K1983" s="94"/>
      <c r="L1983" s="94"/>
      <c r="M1983" s="1430"/>
      <c r="N1983" s="94"/>
      <c r="O1983" s="1430"/>
      <c r="P1983" s="94"/>
      <c r="Q1983" s="1431"/>
      <c r="R1983" s="1164"/>
      <c r="S1983" s="1164"/>
      <c r="T1983" s="1164"/>
      <c r="U1983" s="2174"/>
      <c r="V1983" s="2174"/>
      <c r="W1983" s="2174"/>
      <c r="X1983" s="1164"/>
    </row>
    <row r="1984" ht="15.75" customHeight="1">
      <c r="A1984" s="94"/>
      <c r="B1984" s="94"/>
      <c r="C1984" s="1164"/>
      <c r="D1984" s="1429"/>
      <c r="E1984" s="1429"/>
      <c r="F1984" s="1429"/>
      <c r="G1984" s="1429"/>
      <c r="H1984" s="1430"/>
      <c r="I1984" s="94"/>
      <c r="J1984" s="1164"/>
      <c r="K1984" s="94"/>
      <c r="L1984" s="94"/>
      <c r="M1984" s="1430"/>
      <c r="N1984" s="94"/>
      <c r="O1984" s="1430"/>
      <c r="P1984" s="94"/>
      <c r="Q1984" s="1431"/>
      <c r="R1984" s="1164"/>
      <c r="S1984" s="1164"/>
      <c r="T1984" s="1164"/>
      <c r="U1984" s="2174"/>
      <c r="V1984" s="2174"/>
      <c r="W1984" s="2174"/>
      <c r="X1984" s="1164"/>
    </row>
    <row r="1985" ht="15.75" customHeight="1">
      <c r="A1985" s="94"/>
      <c r="B1985" s="94"/>
      <c r="C1985" s="94"/>
      <c r="D1985" s="94"/>
      <c r="E1985" s="94"/>
      <c r="F1985" s="94"/>
      <c r="G1985" s="94"/>
      <c r="H1985" s="1430"/>
      <c r="I1985" s="1430"/>
      <c r="J1985" s="1430"/>
      <c r="K1985" s="1430"/>
      <c r="L1985" s="1430"/>
      <c r="M1985" s="1430"/>
      <c r="N1985" s="1430"/>
      <c r="O1985" s="1430"/>
      <c r="P1985" s="1430"/>
      <c r="Q1985" s="1430"/>
      <c r="R1985" s="1430"/>
      <c r="S1985" s="94"/>
      <c r="T1985" s="1430"/>
      <c r="U1985" s="94"/>
      <c r="V1985" s="94"/>
      <c r="W1985" s="94"/>
      <c r="X1985" s="1430"/>
    </row>
    <row r="1986" ht="15.75" customHeight="1">
      <c r="A1986" s="94"/>
      <c r="B1986" s="94"/>
      <c r="C1986" s="1164"/>
      <c r="D1986" s="1429"/>
      <c r="E1986" s="1429"/>
      <c r="F1986" s="1429"/>
      <c r="G1986" s="1429"/>
      <c r="H1986" s="1430"/>
      <c r="I1986" s="1430"/>
      <c r="J1986" s="94"/>
      <c r="K1986" s="94"/>
      <c r="L1986" s="94"/>
      <c r="M1986" s="94"/>
      <c r="N1986" s="94"/>
      <c r="O1986" s="94"/>
      <c r="P1986" s="94"/>
      <c r="Q1986" s="1431"/>
      <c r="R1986" s="1164"/>
      <c r="S1986" s="1164"/>
      <c r="T1986" s="1164"/>
      <c r="U1986" s="94"/>
      <c r="V1986" s="94"/>
      <c r="W1986" s="94"/>
      <c r="X1986" s="1164"/>
    </row>
    <row r="1987" ht="15.75" customHeight="1">
      <c r="A1987" s="94"/>
      <c r="B1987" s="94"/>
      <c r="C1987" s="1164"/>
      <c r="D1987" s="1429"/>
      <c r="E1987" s="1429"/>
      <c r="F1987" s="1429"/>
      <c r="G1987" s="1429"/>
      <c r="H1987" s="1430"/>
      <c r="I1987" s="1430"/>
      <c r="J1987" s="94"/>
      <c r="K1987" s="94"/>
      <c r="L1987" s="94"/>
      <c r="M1987" s="94"/>
      <c r="N1987" s="94"/>
      <c r="O1987" s="94"/>
      <c r="P1987" s="94"/>
      <c r="Q1987" s="1431"/>
      <c r="R1987" s="1164"/>
      <c r="S1987" s="1164"/>
      <c r="T1987" s="1164"/>
      <c r="U1987" s="94"/>
      <c r="V1987" s="94"/>
      <c r="W1987" s="94"/>
      <c r="X1987" s="1164"/>
    </row>
    <row r="1988" ht="15.75" customHeight="1">
      <c r="A1988" s="94"/>
      <c r="B1988" s="1164"/>
      <c r="C1988" s="1164"/>
      <c r="D1988" s="1429"/>
      <c r="E1988" s="1429"/>
      <c r="F1988" s="1429"/>
      <c r="G1988" s="1429"/>
      <c r="H1988" s="1430"/>
      <c r="I1988" s="94"/>
      <c r="J1988" s="1164"/>
      <c r="K1988" s="94"/>
      <c r="L1988" s="94"/>
      <c r="M1988" s="1430"/>
      <c r="N1988" s="94"/>
      <c r="O1988" s="1430"/>
      <c r="P1988" s="94"/>
      <c r="Q1988" s="1431"/>
      <c r="R1988" s="1164"/>
      <c r="S1988" s="1164"/>
      <c r="T1988" s="1164"/>
      <c r="U1988" s="2174"/>
      <c r="V1988" s="2174"/>
      <c r="W1988" s="2174"/>
      <c r="X1988" s="1164"/>
    </row>
    <row r="1989" ht="15.75" customHeight="1">
      <c r="A1989" s="94"/>
      <c r="B1989" s="94"/>
      <c r="C1989" s="1164"/>
      <c r="D1989" s="1429"/>
      <c r="E1989" s="1429"/>
      <c r="F1989" s="1429"/>
      <c r="G1989" s="1429"/>
      <c r="H1989" s="1430"/>
      <c r="I1989" s="94"/>
      <c r="J1989" s="1164"/>
      <c r="K1989" s="94"/>
      <c r="L1989" s="94"/>
      <c r="M1989" s="94"/>
      <c r="N1989" s="94"/>
      <c r="O1989" s="94"/>
      <c r="P1989" s="94"/>
      <c r="Q1989" s="1431"/>
      <c r="R1989" s="1164"/>
      <c r="S1989" s="1164"/>
      <c r="T1989" s="1164"/>
      <c r="U1989" s="94"/>
      <c r="V1989" s="94"/>
      <c r="W1989" s="94"/>
      <c r="X1989" s="1164"/>
    </row>
    <row r="1990" ht="15.75" customHeight="1">
      <c r="A1990" s="94"/>
      <c r="B1990" s="1164"/>
      <c r="C1990" s="1164"/>
      <c r="D1990" s="1429"/>
      <c r="E1990" s="1429"/>
      <c r="F1990" s="1429"/>
      <c r="G1990" s="1429"/>
      <c r="H1990" s="1430"/>
      <c r="I1990" s="94"/>
      <c r="J1990" s="1164"/>
      <c r="K1990" s="94"/>
      <c r="L1990" s="94"/>
      <c r="M1990" s="94"/>
      <c r="N1990" s="94"/>
      <c r="O1990" s="94"/>
      <c r="P1990" s="94"/>
      <c r="Q1990" s="1431"/>
      <c r="R1990" s="1164"/>
      <c r="S1990" s="1164"/>
      <c r="T1990" s="1164"/>
      <c r="U1990" s="2174"/>
      <c r="V1990" s="94"/>
      <c r="W1990" s="2174"/>
      <c r="X1990" s="1164"/>
    </row>
    <row r="1991" ht="15.75" customHeight="1">
      <c r="A1991" s="94"/>
      <c r="B1991" s="94"/>
      <c r="C1991" s="1164"/>
      <c r="D1991" s="1429"/>
      <c r="E1991" s="1429"/>
      <c r="F1991" s="1429"/>
      <c r="G1991" s="1429"/>
      <c r="H1991" s="1430"/>
      <c r="I1991" s="94"/>
      <c r="J1991" s="1164"/>
      <c r="K1991" s="94"/>
      <c r="L1991" s="94"/>
      <c r="M1991" s="1430"/>
      <c r="N1991" s="94"/>
      <c r="O1991" s="1430"/>
      <c r="P1991" s="94"/>
      <c r="Q1991" s="1431"/>
      <c r="R1991" s="1164"/>
      <c r="S1991" s="1164"/>
      <c r="T1991" s="1164"/>
      <c r="U1991" s="2174"/>
      <c r="V1991" s="2174"/>
      <c r="W1991" s="2174"/>
      <c r="X1991" s="1164"/>
    </row>
    <row r="1992" ht="15.75" customHeight="1">
      <c r="A1992" s="94"/>
      <c r="B1992" s="94"/>
      <c r="C1992" s="1164"/>
      <c r="D1992" s="1429"/>
      <c r="E1992" s="1429"/>
      <c r="F1992" s="1429"/>
      <c r="G1992" s="1429"/>
      <c r="H1992" s="1430"/>
      <c r="I1992" s="94"/>
      <c r="J1992" s="1164"/>
      <c r="K1992" s="94"/>
      <c r="L1992" s="94"/>
      <c r="M1992" s="1430"/>
      <c r="N1992" s="94"/>
      <c r="O1992" s="1430"/>
      <c r="P1992" s="94"/>
      <c r="Q1992" s="1431"/>
      <c r="R1992" s="1164"/>
      <c r="S1992" s="1164"/>
      <c r="T1992" s="1164"/>
      <c r="U1992" s="2174"/>
      <c r="V1992" s="2174"/>
      <c r="W1992" s="2174"/>
      <c r="X1992" s="1164"/>
    </row>
    <row r="1993" ht="15.75" customHeight="1">
      <c r="A1993" s="94"/>
      <c r="B1993" s="94"/>
      <c r="C1993" s="1164"/>
      <c r="D1993" s="1429"/>
      <c r="E1993" s="1429"/>
      <c r="F1993" s="1429"/>
      <c r="G1993" s="1429"/>
      <c r="H1993" s="1430"/>
      <c r="I1993" s="94"/>
      <c r="J1993" s="1164"/>
      <c r="K1993" s="94"/>
      <c r="L1993" s="94"/>
      <c r="M1993" s="1430"/>
      <c r="N1993" s="94"/>
      <c r="O1993" s="1430"/>
      <c r="P1993" s="94"/>
      <c r="Q1993" s="1431"/>
      <c r="R1993" s="1164"/>
      <c r="S1993" s="1164"/>
      <c r="T1993" s="1164"/>
      <c r="U1993" s="2174"/>
      <c r="V1993" s="2174"/>
      <c r="W1993" s="2174"/>
      <c r="X1993" s="1164"/>
    </row>
    <row r="1994" ht="15.75" customHeight="1">
      <c r="A1994" s="94"/>
      <c r="B1994" s="1164"/>
      <c r="C1994" s="1164"/>
      <c r="D1994" s="1429"/>
      <c r="E1994" s="1429"/>
      <c r="F1994" s="1429"/>
      <c r="G1994" s="1429"/>
      <c r="H1994" s="1430"/>
      <c r="I1994" s="94"/>
      <c r="J1994" s="1164"/>
      <c r="K1994" s="94"/>
      <c r="L1994" s="94"/>
      <c r="M1994" s="1430"/>
      <c r="N1994" s="94"/>
      <c r="O1994" s="1430"/>
      <c r="P1994" s="94"/>
      <c r="Q1994" s="1431"/>
      <c r="R1994" s="1164"/>
      <c r="S1994" s="1164"/>
      <c r="T1994" s="1164"/>
      <c r="U1994" s="2174"/>
      <c r="V1994" s="2174"/>
      <c r="W1994" s="2174"/>
      <c r="X1994" s="1164"/>
    </row>
    <row r="1995" ht="15.75" customHeight="1">
      <c r="A1995" s="94"/>
      <c r="B1995" s="1164"/>
      <c r="C1995" s="1164"/>
      <c r="D1995" s="1429"/>
      <c r="E1995" s="1429"/>
      <c r="F1995" s="1429"/>
      <c r="G1995" s="1429"/>
      <c r="H1995" s="1430"/>
      <c r="I1995" s="94"/>
      <c r="J1995" s="1164"/>
      <c r="K1995" s="94"/>
      <c r="L1995" s="94"/>
      <c r="M1995" s="1430"/>
      <c r="N1995" s="94"/>
      <c r="O1995" s="1430"/>
      <c r="P1995" s="94"/>
      <c r="Q1995" s="1431"/>
      <c r="R1995" s="1164"/>
      <c r="S1995" s="1164"/>
      <c r="T1995" s="1164"/>
      <c r="U1995" s="2174"/>
      <c r="V1995" s="2174"/>
      <c r="W1995" s="2174"/>
      <c r="X1995" s="1164"/>
    </row>
    <row r="1996" ht="15.75" customHeight="1">
      <c r="A1996" s="94"/>
      <c r="B1996" s="94"/>
      <c r="C1996" s="1164"/>
      <c r="D1996" s="1429"/>
      <c r="E1996" s="1429"/>
      <c r="F1996" s="1429"/>
      <c r="G1996" s="1429"/>
      <c r="H1996" s="1430"/>
      <c r="I1996" s="94"/>
      <c r="J1996" s="1164"/>
      <c r="K1996" s="94"/>
      <c r="L1996" s="94"/>
      <c r="M1996" s="1430"/>
      <c r="N1996" s="94"/>
      <c r="O1996" s="1430"/>
      <c r="P1996" s="94"/>
      <c r="Q1996" s="1431"/>
      <c r="R1996" s="1164"/>
      <c r="S1996" s="1164"/>
      <c r="T1996" s="1164"/>
      <c r="U1996" s="2174"/>
      <c r="V1996" s="2174"/>
      <c r="W1996" s="2174"/>
      <c r="X1996" s="1164"/>
    </row>
    <row r="1997" ht="15.75" customHeight="1">
      <c r="A1997" s="94"/>
      <c r="B1997" s="94"/>
      <c r="C1997" s="1164"/>
      <c r="D1997" s="1429"/>
      <c r="E1997" s="1429"/>
      <c r="F1997" s="1429"/>
      <c r="G1997" s="1429"/>
      <c r="H1997" s="1430"/>
      <c r="I1997" s="94"/>
      <c r="J1997" s="1164"/>
      <c r="K1997" s="94"/>
      <c r="L1997" s="94"/>
      <c r="M1997" s="1430"/>
      <c r="N1997" s="94"/>
      <c r="O1997" s="1430"/>
      <c r="P1997" s="94"/>
      <c r="Q1997" s="1431"/>
      <c r="R1997" s="1164"/>
      <c r="S1997" s="1164"/>
      <c r="T1997" s="1164"/>
      <c r="U1997" s="2174"/>
      <c r="V1997" s="2174"/>
      <c r="W1997" s="2174"/>
      <c r="X1997" s="1164"/>
    </row>
    <row r="1998" ht="15.75" customHeight="1">
      <c r="A1998" s="94"/>
      <c r="B1998" s="94"/>
      <c r="C1998" s="1164"/>
      <c r="D1998" s="1429"/>
      <c r="E1998" s="1429"/>
      <c r="F1998" s="1429"/>
      <c r="G1998" s="1429"/>
      <c r="H1998" s="1430"/>
      <c r="I1998" s="94"/>
      <c r="J1998" s="1164"/>
      <c r="K1998" s="94"/>
      <c r="L1998" s="94"/>
      <c r="M1998" s="1430"/>
      <c r="N1998" s="94"/>
      <c r="O1998" s="1430"/>
      <c r="P1998" s="94"/>
      <c r="Q1998" s="1431"/>
      <c r="R1998" s="1164"/>
      <c r="S1998" s="1164"/>
      <c r="T1998" s="1164"/>
      <c r="U1998" s="2174"/>
      <c r="V1998" s="2174"/>
      <c r="W1998" s="2174"/>
      <c r="X1998" s="1164"/>
    </row>
    <row r="1999" ht="15.75" customHeight="1">
      <c r="A1999" s="94"/>
      <c r="B1999" s="94"/>
      <c r="C1999" s="1164"/>
      <c r="D1999" s="1429"/>
      <c r="E1999" s="1429"/>
      <c r="F1999" s="1429"/>
      <c r="G1999" s="1429"/>
      <c r="H1999" s="1430"/>
      <c r="I1999" s="94"/>
      <c r="J1999" s="1164"/>
      <c r="K1999" s="94"/>
      <c r="L1999" s="94"/>
      <c r="M1999" s="1430"/>
      <c r="N1999" s="94"/>
      <c r="O1999" s="1430"/>
      <c r="P1999" s="94"/>
      <c r="Q1999" s="1431"/>
      <c r="R1999" s="1164"/>
      <c r="S1999" s="1164"/>
      <c r="T1999" s="1164"/>
      <c r="U1999" s="2174"/>
      <c r="V1999" s="2174"/>
      <c r="W1999" s="2174"/>
      <c r="X1999" s="1164"/>
    </row>
    <row r="2000" ht="15.75" customHeight="1">
      <c r="A2000" s="94"/>
      <c r="B2000" s="1164"/>
      <c r="C2000" s="1164"/>
      <c r="D2000" s="1429"/>
      <c r="E2000" s="1429"/>
      <c r="F2000" s="1429"/>
      <c r="G2000" s="1429"/>
      <c r="H2000" s="1430"/>
      <c r="I2000" s="94"/>
      <c r="J2000" s="1164"/>
      <c r="K2000" s="94"/>
      <c r="L2000" s="94"/>
      <c r="M2000" s="1430"/>
      <c r="N2000" s="94"/>
      <c r="O2000" s="1430"/>
      <c r="P2000" s="94"/>
      <c r="Q2000" s="1431"/>
      <c r="R2000" s="1164"/>
      <c r="S2000" s="1164"/>
      <c r="T2000" s="1164"/>
      <c r="U2000" s="2174"/>
      <c r="V2000" s="2174"/>
      <c r="W2000" s="2174"/>
      <c r="X2000" s="1164"/>
    </row>
    <row r="2001" ht="15.75" customHeight="1">
      <c r="A2001" s="94"/>
      <c r="B2001" s="1164"/>
      <c r="C2001" s="1164"/>
      <c r="D2001" s="1429"/>
      <c r="E2001" s="1429"/>
      <c r="F2001" s="1429"/>
      <c r="G2001" s="1429"/>
      <c r="H2001" s="1430"/>
      <c r="I2001" s="94"/>
      <c r="J2001" s="1164"/>
      <c r="K2001" s="94"/>
      <c r="L2001" s="94"/>
      <c r="M2001" s="94"/>
      <c r="N2001" s="94"/>
      <c r="O2001" s="94"/>
      <c r="P2001" s="94"/>
      <c r="Q2001" s="1431"/>
      <c r="R2001" s="1164"/>
      <c r="S2001" s="1164"/>
      <c r="T2001" s="1164"/>
      <c r="U2001" s="94"/>
      <c r="V2001" s="94"/>
      <c r="W2001" s="94"/>
      <c r="X2001" s="1164"/>
    </row>
    <row r="2002" ht="15.75" customHeight="1">
      <c r="A2002" s="94"/>
      <c r="B2002" s="1164"/>
      <c r="C2002" s="1164"/>
      <c r="D2002" s="1429"/>
      <c r="E2002" s="1429"/>
      <c r="F2002" s="1429"/>
      <c r="G2002" s="1429"/>
      <c r="H2002" s="1430"/>
      <c r="I2002" s="94"/>
      <c r="J2002" s="1164"/>
      <c r="K2002" s="94"/>
      <c r="L2002" s="94"/>
      <c r="M2002" s="1430"/>
      <c r="N2002" s="94"/>
      <c r="O2002" s="1430"/>
      <c r="P2002" s="94"/>
      <c r="Q2002" s="1431"/>
      <c r="R2002" s="1164"/>
      <c r="S2002" s="1164"/>
      <c r="T2002" s="1164"/>
      <c r="U2002" s="2174"/>
      <c r="V2002" s="2174"/>
      <c r="W2002" s="2174"/>
      <c r="X2002" s="1164"/>
    </row>
    <row r="2003" ht="15.75" customHeight="1">
      <c r="A2003" s="94"/>
      <c r="B2003" s="94"/>
      <c r="C2003" s="1164"/>
      <c r="D2003" s="1429"/>
      <c r="E2003" s="1429"/>
      <c r="F2003" s="1429"/>
      <c r="G2003" s="1429"/>
      <c r="H2003" s="1430"/>
      <c r="I2003" s="94"/>
      <c r="J2003" s="1164"/>
      <c r="K2003" s="94"/>
      <c r="L2003" s="94"/>
      <c r="M2003" s="1430"/>
      <c r="N2003" s="94"/>
      <c r="O2003" s="1430"/>
      <c r="P2003" s="94"/>
      <c r="Q2003" s="1431"/>
      <c r="R2003" s="1164"/>
      <c r="S2003" s="1164"/>
      <c r="T2003" s="1164"/>
      <c r="U2003" s="2174"/>
      <c r="V2003" s="2174"/>
      <c r="W2003" s="2174"/>
      <c r="X2003" s="1164"/>
    </row>
    <row r="2004" ht="15.75" customHeight="1">
      <c r="A2004" s="94"/>
      <c r="B2004" s="1164"/>
      <c r="C2004" s="1164"/>
      <c r="D2004" s="1429"/>
      <c r="E2004" s="1429"/>
      <c r="F2004" s="1429"/>
      <c r="G2004" s="1429"/>
      <c r="H2004" s="1430"/>
      <c r="I2004" s="94"/>
      <c r="J2004" s="1164"/>
      <c r="K2004" s="94"/>
      <c r="L2004" s="94"/>
      <c r="M2004" s="1430"/>
      <c r="N2004" s="94"/>
      <c r="O2004" s="1430"/>
      <c r="P2004" s="94"/>
      <c r="Q2004" s="1431"/>
      <c r="R2004" s="1164"/>
      <c r="S2004" s="1164"/>
      <c r="T2004" s="1164"/>
      <c r="U2004" s="2174"/>
      <c r="V2004" s="2174"/>
      <c r="W2004" s="2174"/>
      <c r="X2004" s="1164"/>
    </row>
    <row r="2005" ht="15.75" customHeight="1">
      <c r="A2005" s="94"/>
      <c r="B2005" s="1164"/>
      <c r="C2005" s="1164"/>
      <c r="D2005" s="1429"/>
      <c r="E2005" s="1429"/>
      <c r="F2005" s="1429"/>
      <c r="G2005" s="1429"/>
      <c r="H2005" s="1430"/>
      <c r="I2005" s="94"/>
      <c r="J2005" s="1164"/>
      <c r="K2005" s="94"/>
      <c r="L2005" s="94"/>
      <c r="M2005" s="1430"/>
      <c r="N2005" s="94"/>
      <c r="O2005" s="1430"/>
      <c r="P2005" s="94"/>
      <c r="Q2005" s="1431"/>
      <c r="R2005" s="1164"/>
      <c r="S2005" s="1164"/>
      <c r="T2005" s="1164"/>
      <c r="U2005" s="2174"/>
      <c r="V2005" s="2174"/>
      <c r="W2005" s="2174"/>
      <c r="X2005" s="1164"/>
    </row>
    <row r="2006" ht="15.75" customHeight="1">
      <c r="A2006" s="94"/>
      <c r="B2006" s="1164"/>
      <c r="C2006" s="1164"/>
      <c r="D2006" s="1429"/>
      <c r="E2006" s="1429"/>
      <c r="F2006" s="1429"/>
      <c r="G2006" s="1429"/>
      <c r="H2006" s="1430"/>
      <c r="I2006" s="94"/>
      <c r="J2006" s="1164"/>
      <c r="K2006" s="94"/>
      <c r="L2006" s="94"/>
      <c r="M2006" s="1430"/>
      <c r="N2006" s="94"/>
      <c r="O2006" s="1430"/>
      <c r="P2006" s="94"/>
      <c r="Q2006" s="1431"/>
      <c r="R2006" s="1164"/>
      <c r="S2006" s="1164"/>
      <c r="T2006" s="1164"/>
      <c r="U2006" s="2174"/>
      <c r="V2006" s="2174"/>
      <c r="W2006" s="2174"/>
      <c r="X2006" s="1164"/>
    </row>
    <row r="2007" ht="15.75" customHeight="1">
      <c r="A2007" s="94"/>
      <c r="B2007" s="94"/>
      <c r="C2007" s="1164"/>
      <c r="D2007" s="1429"/>
      <c r="E2007" s="1429"/>
      <c r="F2007" s="1429"/>
      <c r="G2007" s="1429"/>
      <c r="H2007" s="1430"/>
      <c r="I2007" s="94"/>
      <c r="J2007" s="1164"/>
      <c r="K2007" s="94"/>
      <c r="L2007" s="94"/>
      <c r="M2007" s="1430"/>
      <c r="N2007" s="94"/>
      <c r="O2007" s="1430"/>
      <c r="P2007" s="94"/>
      <c r="Q2007" s="1431"/>
      <c r="R2007" s="1164"/>
      <c r="S2007" s="1164"/>
      <c r="T2007" s="1164"/>
      <c r="U2007" s="2174"/>
      <c r="V2007" s="2174"/>
      <c r="W2007" s="2174"/>
      <c r="X2007" s="1164"/>
    </row>
    <row r="2008" ht="15.75" customHeight="1">
      <c r="A2008" s="94"/>
      <c r="B2008" s="94"/>
      <c r="C2008" s="1164"/>
      <c r="D2008" s="1429"/>
      <c r="E2008" s="1429"/>
      <c r="F2008" s="1429"/>
      <c r="G2008" s="1429"/>
      <c r="H2008" s="1430"/>
      <c r="I2008" s="94"/>
      <c r="J2008" s="1164"/>
      <c r="K2008" s="94"/>
      <c r="L2008" s="94"/>
      <c r="M2008" s="1430"/>
      <c r="N2008" s="94"/>
      <c r="O2008" s="1430"/>
      <c r="P2008" s="94"/>
      <c r="Q2008" s="1431"/>
      <c r="R2008" s="1164"/>
      <c r="S2008" s="1164"/>
      <c r="T2008" s="1164"/>
      <c r="U2008" s="2174"/>
      <c r="V2008" s="2174"/>
      <c r="W2008" s="2174"/>
      <c r="X2008" s="1164"/>
    </row>
    <row r="2009" ht="15.75" customHeight="1">
      <c r="A2009" s="94"/>
      <c r="B2009" s="94"/>
      <c r="C2009" s="1164"/>
      <c r="D2009" s="1429"/>
      <c r="E2009" s="1429"/>
      <c r="F2009" s="1429"/>
      <c r="G2009" s="1429"/>
      <c r="H2009" s="1430"/>
      <c r="I2009" s="94"/>
      <c r="J2009" s="1164"/>
      <c r="K2009" s="94"/>
      <c r="L2009" s="94"/>
      <c r="M2009" s="1430"/>
      <c r="N2009" s="94"/>
      <c r="O2009" s="1430"/>
      <c r="P2009" s="94"/>
      <c r="Q2009" s="1431"/>
      <c r="R2009" s="1164"/>
      <c r="S2009" s="1164"/>
      <c r="T2009" s="1164"/>
      <c r="U2009" s="2174"/>
      <c r="V2009" s="2174"/>
      <c r="W2009" s="2174"/>
      <c r="X2009" s="1164"/>
    </row>
    <row r="2010" ht="15.75" customHeight="1">
      <c r="A2010" s="94"/>
      <c r="B2010" s="1164"/>
      <c r="C2010" s="1164"/>
      <c r="D2010" s="1429"/>
      <c r="E2010" s="1429"/>
      <c r="F2010" s="1429"/>
      <c r="G2010" s="1429"/>
      <c r="H2010" s="1430"/>
      <c r="I2010" s="94"/>
      <c r="J2010" s="1164"/>
      <c r="K2010" s="94"/>
      <c r="L2010" s="94"/>
      <c r="M2010" s="1430"/>
      <c r="N2010" s="94"/>
      <c r="O2010" s="1430"/>
      <c r="P2010" s="94"/>
      <c r="Q2010" s="1431"/>
      <c r="R2010" s="1164"/>
      <c r="S2010" s="1164"/>
      <c r="T2010" s="1164"/>
      <c r="U2010" s="2174"/>
      <c r="V2010" s="2174"/>
      <c r="W2010" s="2174"/>
      <c r="X2010" s="1164"/>
    </row>
    <row r="2011" ht="15.75" customHeight="1">
      <c r="A2011" s="94"/>
      <c r="B2011" s="94"/>
      <c r="C2011" s="1164"/>
      <c r="D2011" s="1429"/>
      <c r="E2011" s="1429"/>
      <c r="F2011" s="1429"/>
      <c r="G2011" s="1429"/>
      <c r="H2011" s="1430"/>
      <c r="I2011" s="94"/>
      <c r="J2011" s="1164"/>
      <c r="K2011" s="94"/>
      <c r="L2011" s="94"/>
      <c r="M2011" s="1430"/>
      <c r="N2011" s="94"/>
      <c r="O2011" s="1430"/>
      <c r="P2011" s="94"/>
      <c r="Q2011" s="1431"/>
      <c r="R2011" s="1164"/>
      <c r="S2011" s="1164"/>
      <c r="T2011" s="1164"/>
      <c r="U2011" s="2174"/>
      <c r="V2011" s="2174"/>
      <c r="W2011" s="2174"/>
      <c r="X2011" s="1164"/>
    </row>
    <row r="2012" ht="15.75" customHeight="1">
      <c r="A2012" s="94"/>
      <c r="B2012" s="94"/>
      <c r="C2012" s="1164"/>
      <c r="D2012" s="1429"/>
      <c r="E2012" s="1429"/>
      <c r="F2012" s="1429"/>
      <c r="G2012" s="1429"/>
      <c r="H2012" s="1430"/>
      <c r="I2012" s="94"/>
      <c r="J2012" s="1164"/>
      <c r="K2012" s="94"/>
      <c r="L2012" s="94"/>
      <c r="M2012" s="94"/>
      <c r="N2012" s="94"/>
      <c r="O2012" s="94"/>
      <c r="P2012" s="94"/>
      <c r="Q2012" s="1431"/>
      <c r="R2012" s="1164"/>
      <c r="S2012" s="1164"/>
      <c r="T2012" s="1164"/>
      <c r="U2012" s="2174"/>
      <c r="V2012" s="2174"/>
      <c r="W2012" s="2174"/>
      <c r="X2012" s="1164"/>
    </row>
    <row r="2013" ht="15.75" customHeight="1">
      <c r="A2013" s="94"/>
      <c r="B2013" s="94"/>
      <c r="C2013" s="1164"/>
      <c r="D2013" s="1429"/>
      <c r="E2013" s="1429"/>
      <c r="F2013" s="1429"/>
      <c r="G2013" s="1429"/>
      <c r="H2013" s="1430"/>
      <c r="I2013" s="94"/>
      <c r="J2013" s="1164"/>
      <c r="K2013" s="94"/>
      <c r="L2013" s="94"/>
      <c r="M2013" s="1430"/>
      <c r="N2013" s="94"/>
      <c r="O2013" s="1430"/>
      <c r="P2013" s="94"/>
      <c r="Q2013" s="1431"/>
      <c r="R2013" s="1164"/>
      <c r="S2013" s="1164"/>
      <c r="T2013" s="1164"/>
      <c r="U2013" s="2174"/>
      <c r="V2013" s="2174"/>
      <c r="W2013" s="2174"/>
      <c r="X2013" s="1164"/>
    </row>
    <row r="2014" ht="15.75" customHeight="1">
      <c r="A2014" s="94"/>
      <c r="B2014" s="94"/>
      <c r="C2014" s="1164"/>
      <c r="D2014" s="1429"/>
      <c r="E2014" s="1429"/>
      <c r="F2014" s="1429"/>
      <c r="G2014" s="1429"/>
      <c r="H2014" s="1430"/>
      <c r="I2014" s="94"/>
      <c r="J2014" s="1164"/>
      <c r="K2014" s="94"/>
      <c r="L2014" s="94"/>
      <c r="M2014" s="94"/>
      <c r="N2014" s="94"/>
      <c r="O2014" s="94"/>
      <c r="P2014" s="94"/>
      <c r="Q2014" s="1431"/>
      <c r="R2014" s="1164"/>
      <c r="S2014" s="1164"/>
      <c r="T2014" s="1164"/>
      <c r="U2014" s="94"/>
      <c r="V2014" s="94"/>
      <c r="W2014" s="94"/>
      <c r="X2014" s="1164"/>
    </row>
    <row r="2015" ht="15.75" customHeight="1">
      <c r="A2015" s="94"/>
      <c r="B2015" s="94"/>
      <c r="C2015" s="1164"/>
      <c r="D2015" s="1429"/>
      <c r="E2015" s="1429"/>
      <c r="F2015" s="1429"/>
      <c r="G2015" s="1429"/>
      <c r="H2015" s="1430"/>
      <c r="I2015" s="94"/>
      <c r="J2015" s="1164"/>
      <c r="K2015" s="94"/>
      <c r="L2015" s="94"/>
      <c r="M2015" s="1430"/>
      <c r="N2015" s="94"/>
      <c r="O2015" s="1430"/>
      <c r="P2015" s="94"/>
      <c r="Q2015" s="1431"/>
      <c r="R2015" s="1164"/>
      <c r="S2015" s="1164"/>
      <c r="T2015" s="1164"/>
      <c r="U2015" s="2174"/>
      <c r="V2015" s="2174"/>
      <c r="W2015" s="2174"/>
      <c r="X2015" s="1164"/>
    </row>
    <row r="2016" ht="15.75" customHeight="1">
      <c r="A2016" s="94"/>
      <c r="B2016" s="94"/>
      <c r="C2016" s="1164"/>
      <c r="D2016" s="1429"/>
      <c r="E2016" s="1429"/>
      <c r="F2016" s="1429"/>
      <c r="G2016" s="1429"/>
      <c r="H2016" s="1430"/>
      <c r="I2016" s="94"/>
      <c r="J2016" s="1164"/>
      <c r="K2016" s="94"/>
      <c r="L2016" s="94"/>
      <c r="M2016" s="94"/>
      <c r="N2016" s="94"/>
      <c r="O2016" s="94"/>
      <c r="P2016" s="94"/>
      <c r="Q2016" s="1431"/>
      <c r="R2016" s="1164"/>
      <c r="S2016" s="1164"/>
      <c r="T2016" s="1164"/>
      <c r="U2016" s="94"/>
      <c r="V2016" s="94"/>
      <c r="W2016" s="94"/>
      <c r="X2016" s="1164"/>
    </row>
    <row r="2017" ht="15.75" customHeight="1">
      <c r="A2017" s="94"/>
      <c r="B2017" s="1164"/>
      <c r="C2017" s="1164"/>
      <c r="D2017" s="1429"/>
      <c r="E2017" s="1429"/>
      <c r="F2017" s="1429"/>
      <c r="G2017" s="1429"/>
      <c r="H2017" s="1430"/>
      <c r="I2017" s="94"/>
      <c r="J2017" s="1164"/>
      <c r="K2017" s="94"/>
      <c r="L2017" s="94"/>
      <c r="M2017" s="1430"/>
      <c r="N2017" s="94"/>
      <c r="O2017" s="1430"/>
      <c r="P2017" s="94"/>
      <c r="Q2017" s="1431"/>
      <c r="R2017" s="1164"/>
      <c r="S2017" s="1164"/>
      <c r="T2017" s="1164"/>
      <c r="U2017" s="2174"/>
      <c r="V2017" s="2174"/>
      <c r="W2017" s="2174"/>
      <c r="X2017" s="1164"/>
    </row>
    <row r="2018" ht="15.75" customHeight="1">
      <c r="A2018" s="94"/>
      <c r="B2018" s="94"/>
      <c r="C2018" s="1164"/>
      <c r="D2018" s="1429"/>
      <c r="E2018" s="1429"/>
      <c r="F2018" s="1429"/>
      <c r="G2018" s="1429"/>
      <c r="H2018" s="1430"/>
      <c r="I2018" s="94"/>
      <c r="J2018" s="1164"/>
      <c r="K2018" s="94"/>
      <c r="L2018" s="94"/>
      <c r="M2018" s="1430"/>
      <c r="N2018" s="94"/>
      <c r="O2018" s="1430"/>
      <c r="P2018" s="94"/>
      <c r="Q2018" s="1431"/>
      <c r="R2018" s="1164"/>
      <c r="S2018" s="1164"/>
      <c r="T2018" s="1164"/>
      <c r="U2018" s="2174"/>
      <c r="V2018" s="2174"/>
      <c r="W2018" s="2174"/>
      <c r="X2018" s="1164"/>
    </row>
    <row r="2019" ht="15.75" customHeight="1">
      <c r="A2019" s="94"/>
      <c r="B2019" s="1164"/>
      <c r="C2019" s="1164"/>
      <c r="D2019" s="1429"/>
      <c r="E2019" s="1429"/>
      <c r="F2019" s="1429"/>
      <c r="G2019" s="1429"/>
      <c r="H2019" s="1430"/>
      <c r="I2019" s="94"/>
      <c r="J2019" s="1164"/>
      <c r="K2019" s="94"/>
      <c r="L2019" s="94"/>
      <c r="M2019" s="1430"/>
      <c r="N2019" s="94"/>
      <c r="O2019" s="1430"/>
      <c r="P2019" s="94"/>
      <c r="Q2019" s="1431"/>
      <c r="R2019" s="1164"/>
      <c r="S2019" s="1164"/>
      <c r="T2019" s="1164"/>
      <c r="U2019" s="2174"/>
      <c r="V2019" s="2174"/>
      <c r="W2019" s="2174"/>
      <c r="X2019" s="1164"/>
    </row>
    <row r="2020" ht="15.75" customHeight="1">
      <c r="A2020" s="94"/>
      <c r="B2020" s="94"/>
      <c r="C2020" s="1164"/>
      <c r="D2020" s="1429"/>
      <c r="E2020" s="1429"/>
      <c r="F2020" s="1429"/>
      <c r="G2020" s="1429"/>
      <c r="H2020" s="1430"/>
      <c r="I2020" s="94"/>
      <c r="J2020" s="1164"/>
      <c r="K2020" s="94"/>
      <c r="L2020" s="94"/>
      <c r="M2020" s="1430"/>
      <c r="N2020" s="94"/>
      <c r="O2020" s="1430"/>
      <c r="P2020" s="94"/>
      <c r="Q2020" s="1431"/>
      <c r="R2020" s="1164"/>
      <c r="S2020" s="1164"/>
      <c r="T2020" s="1164"/>
      <c r="U2020" s="2174"/>
      <c r="V2020" s="2174"/>
      <c r="W2020" s="2174"/>
      <c r="X2020" s="1164"/>
    </row>
    <row r="2021" ht="15.75" customHeight="1">
      <c r="A2021" s="94"/>
      <c r="B2021" s="1164"/>
      <c r="C2021" s="1164"/>
      <c r="D2021" s="1429"/>
      <c r="E2021" s="1429"/>
      <c r="F2021" s="1429"/>
      <c r="G2021" s="1429"/>
      <c r="H2021" s="1430"/>
      <c r="I2021" s="94"/>
      <c r="J2021" s="1164"/>
      <c r="K2021" s="94"/>
      <c r="L2021" s="94"/>
      <c r="M2021" s="1430"/>
      <c r="N2021" s="94"/>
      <c r="O2021" s="1430"/>
      <c r="P2021" s="94"/>
      <c r="Q2021" s="1431"/>
      <c r="R2021" s="1164"/>
      <c r="S2021" s="1164"/>
      <c r="T2021" s="1164"/>
      <c r="U2021" s="2174"/>
      <c r="V2021" s="2174"/>
      <c r="W2021" s="2174"/>
      <c r="X2021" s="1164"/>
    </row>
    <row r="2022" ht="15.75" customHeight="1">
      <c r="A2022" s="94"/>
      <c r="B2022" s="1164"/>
      <c r="C2022" s="1164"/>
      <c r="D2022" s="1429"/>
      <c r="E2022" s="1429"/>
      <c r="F2022" s="1429"/>
      <c r="G2022" s="1429"/>
      <c r="H2022" s="1430"/>
      <c r="I2022" s="94"/>
      <c r="J2022" s="1164"/>
      <c r="K2022" s="94"/>
      <c r="L2022" s="94"/>
      <c r="M2022" s="1430"/>
      <c r="N2022" s="94"/>
      <c r="O2022" s="1430"/>
      <c r="P2022" s="94"/>
      <c r="Q2022" s="1431"/>
      <c r="R2022" s="1164"/>
      <c r="S2022" s="1164"/>
      <c r="T2022" s="1164"/>
      <c r="U2022" s="2174"/>
      <c r="V2022" s="2174"/>
      <c r="W2022" s="2174"/>
      <c r="X2022" s="1164"/>
    </row>
    <row r="2023" ht="15.75" customHeight="1">
      <c r="A2023" s="94"/>
      <c r="B2023" s="1164"/>
      <c r="C2023" s="1164"/>
      <c r="D2023" s="1429"/>
      <c r="E2023" s="1429"/>
      <c r="F2023" s="1429"/>
      <c r="G2023" s="1429"/>
      <c r="H2023" s="1430"/>
      <c r="I2023" s="94"/>
      <c r="J2023" s="1164"/>
      <c r="K2023" s="94"/>
      <c r="L2023" s="94"/>
      <c r="M2023" s="1430"/>
      <c r="N2023" s="94"/>
      <c r="O2023" s="1430"/>
      <c r="P2023" s="94"/>
      <c r="Q2023" s="1431"/>
      <c r="R2023" s="1164"/>
      <c r="S2023" s="1164"/>
      <c r="T2023" s="1164"/>
      <c r="U2023" s="2174"/>
      <c r="V2023" s="2174"/>
      <c r="W2023" s="2174"/>
      <c r="X2023" s="1164"/>
    </row>
    <row r="2024" ht="15.75" customHeight="1">
      <c r="A2024" s="94"/>
      <c r="B2024" s="94"/>
      <c r="C2024" s="1164"/>
      <c r="D2024" s="1429"/>
      <c r="E2024" s="1429"/>
      <c r="F2024" s="1429"/>
      <c r="G2024" s="1429"/>
      <c r="H2024" s="1430"/>
      <c r="I2024" s="94"/>
      <c r="J2024" s="1164"/>
      <c r="K2024" s="94"/>
      <c r="L2024" s="94"/>
      <c r="M2024" s="1430"/>
      <c r="N2024" s="94"/>
      <c r="O2024" s="1430"/>
      <c r="P2024" s="94"/>
      <c r="Q2024" s="1431"/>
      <c r="R2024" s="1164"/>
      <c r="S2024" s="1164"/>
      <c r="T2024" s="1164"/>
      <c r="U2024" s="2174"/>
      <c r="V2024" s="2174"/>
      <c r="W2024" s="2174"/>
      <c r="X2024" s="1164"/>
    </row>
    <row r="2025" ht="15.75" customHeight="1">
      <c r="A2025" s="94"/>
      <c r="B2025" s="94"/>
      <c r="C2025" s="1164"/>
      <c r="D2025" s="1429"/>
      <c r="E2025" s="1429"/>
      <c r="F2025" s="1429"/>
      <c r="G2025" s="1429"/>
      <c r="H2025" s="1430"/>
      <c r="I2025" s="94"/>
      <c r="J2025" s="1164"/>
      <c r="K2025" s="94"/>
      <c r="L2025" s="94"/>
      <c r="M2025" s="94"/>
      <c r="N2025" s="94"/>
      <c r="O2025" s="94"/>
      <c r="P2025" s="94"/>
      <c r="Q2025" s="1431"/>
      <c r="R2025" s="1164"/>
      <c r="S2025" s="1164"/>
      <c r="T2025" s="1164"/>
      <c r="U2025" s="94"/>
      <c r="V2025" s="94"/>
      <c r="W2025" s="94"/>
      <c r="X2025" s="1164"/>
    </row>
    <row r="2026" ht="15.75" customHeight="1">
      <c r="A2026" s="94"/>
      <c r="B2026" s="94"/>
      <c r="C2026" s="94"/>
      <c r="D2026" s="94"/>
      <c r="E2026" s="94"/>
      <c r="F2026" s="94"/>
      <c r="G2026" s="94"/>
      <c r="H2026" s="1430"/>
      <c r="I2026" s="1430"/>
      <c r="J2026" s="1430"/>
      <c r="K2026" s="1430"/>
      <c r="L2026" s="1430"/>
      <c r="M2026" s="1430"/>
      <c r="N2026" s="1430"/>
      <c r="O2026" s="1430"/>
      <c r="P2026" s="1430"/>
      <c r="Q2026" s="1430"/>
      <c r="R2026" s="1430"/>
      <c r="S2026" s="94"/>
      <c r="T2026" s="1430"/>
      <c r="U2026" s="94"/>
      <c r="V2026" s="94"/>
      <c r="W2026" s="94"/>
      <c r="X2026" s="1430"/>
    </row>
    <row r="2027" ht="15.75" customHeight="1">
      <c r="A2027" s="94"/>
      <c r="B2027" s="94"/>
      <c r="C2027" s="94"/>
      <c r="D2027" s="94"/>
      <c r="E2027" s="94"/>
      <c r="F2027" s="94"/>
      <c r="G2027" s="94"/>
      <c r="H2027" s="94"/>
      <c r="I2027" s="94"/>
      <c r="J2027" s="94"/>
      <c r="K2027" s="94"/>
      <c r="L2027" s="94"/>
      <c r="M2027" s="94"/>
      <c r="N2027" s="94"/>
      <c r="O2027" s="94"/>
      <c r="P2027" s="94"/>
      <c r="Q2027" s="94"/>
      <c r="R2027" s="94"/>
      <c r="S2027" s="94"/>
      <c r="T2027" s="94"/>
      <c r="U2027" s="94"/>
      <c r="V2027" s="94"/>
      <c r="W2027" s="94"/>
      <c r="X2027" s="94"/>
    </row>
    <row r="2028" ht="15.75" customHeight="1">
      <c r="A2028" s="94"/>
      <c r="B2028" s="94"/>
      <c r="C2028" s="94"/>
      <c r="D2028" s="94"/>
      <c r="E2028" s="94"/>
      <c r="F2028" s="94"/>
      <c r="G2028" s="94"/>
      <c r="H2028" s="94"/>
      <c r="I2028" s="94"/>
      <c r="J2028" s="94"/>
      <c r="K2028" s="94"/>
      <c r="L2028" s="94"/>
      <c r="M2028" s="94"/>
      <c r="N2028" s="94"/>
      <c r="O2028" s="94"/>
      <c r="P2028" s="94"/>
      <c r="Q2028" s="94"/>
      <c r="R2028" s="94"/>
      <c r="S2028" s="94"/>
      <c r="T2028" s="94"/>
      <c r="U2028" s="94"/>
      <c r="V2028" s="94"/>
      <c r="W2028" s="94"/>
      <c r="X2028" s="94"/>
    </row>
    <row r="2029" ht="15.75" customHeight="1">
      <c r="A2029" s="94"/>
      <c r="B2029" s="94"/>
      <c r="C2029" s="94"/>
      <c r="D2029" s="94"/>
      <c r="E2029" s="94"/>
      <c r="F2029" s="94"/>
      <c r="G2029" s="94"/>
      <c r="H2029" s="94"/>
      <c r="I2029" s="94"/>
      <c r="J2029" s="94"/>
      <c r="K2029" s="94"/>
      <c r="L2029" s="94"/>
      <c r="M2029" s="94"/>
      <c r="N2029" s="94"/>
      <c r="O2029" s="94"/>
      <c r="P2029" s="94"/>
      <c r="Q2029" s="94"/>
      <c r="R2029" s="94"/>
      <c r="S2029" s="94"/>
      <c r="T2029" s="94"/>
      <c r="U2029" s="94"/>
      <c r="V2029" s="94"/>
      <c r="W2029" s="94"/>
      <c r="X2029" s="94"/>
    </row>
    <row r="2030" ht="15.75" customHeight="1">
      <c r="A2030" s="94"/>
      <c r="B2030" s="94"/>
      <c r="C2030" s="94"/>
      <c r="D2030" s="94"/>
      <c r="E2030" s="94"/>
      <c r="F2030" s="94"/>
      <c r="G2030" s="94"/>
      <c r="H2030" s="94"/>
      <c r="I2030" s="94"/>
      <c r="J2030" s="94"/>
      <c r="K2030" s="94"/>
      <c r="L2030" s="94"/>
      <c r="M2030" s="94"/>
      <c r="N2030" s="94"/>
      <c r="O2030" s="94"/>
      <c r="P2030" s="94"/>
      <c r="Q2030" s="94"/>
      <c r="R2030" s="94"/>
      <c r="S2030" s="94"/>
      <c r="T2030" s="94"/>
      <c r="U2030" s="94"/>
      <c r="V2030" s="94"/>
      <c r="W2030" s="94"/>
      <c r="X2030" s="94"/>
    </row>
    <row r="2031" ht="15.75" customHeight="1">
      <c r="A2031" s="94"/>
      <c r="B2031" s="94"/>
      <c r="C2031" s="94"/>
      <c r="D2031" s="94"/>
      <c r="E2031" s="94"/>
      <c r="F2031" s="94"/>
      <c r="G2031" s="94"/>
      <c r="H2031" s="94"/>
      <c r="I2031" s="94"/>
      <c r="J2031" s="94"/>
      <c r="K2031" s="94"/>
      <c r="L2031" s="94"/>
      <c r="M2031" s="94"/>
      <c r="N2031" s="94"/>
      <c r="O2031" s="94"/>
      <c r="P2031" s="94"/>
      <c r="Q2031" s="94"/>
      <c r="R2031" s="94"/>
      <c r="S2031" s="94"/>
      <c r="T2031" s="94"/>
      <c r="U2031" s="94"/>
      <c r="V2031" s="94"/>
      <c r="W2031" s="94"/>
      <c r="X2031" s="94"/>
    </row>
    <row r="2032" ht="15.75" customHeight="1">
      <c r="A2032" s="94"/>
      <c r="B2032" s="94"/>
      <c r="C2032" s="94"/>
      <c r="D2032" s="94"/>
      <c r="E2032" s="94"/>
      <c r="F2032" s="94"/>
      <c r="G2032" s="94"/>
      <c r="H2032" s="94"/>
      <c r="I2032" s="94"/>
      <c r="J2032" s="94"/>
      <c r="K2032" s="94"/>
      <c r="L2032" s="94"/>
      <c r="M2032" s="94"/>
      <c r="N2032" s="94"/>
      <c r="O2032" s="94"/>
      <c r="P2032" s="94"/>
      <c r="Q2032" s="94"/>
      <c r="R2032" s="94"/>
      <c r="S2032" s="94"/>
      <c r="T2032" s="94"/>
      <c r="U2032" s="94"/>
      <c r="V2032" s="94"/>
      <c r="W2032" s="94"/>
      <c r="X2032" s="94"/>
    </row>
    <row r="2033" ht="15.75" customHeight="1">
      <c r="A2033" s="94"/>
      <c r="B2033" s="94"/>
      <c r="C2033" s="94"/>
      <c r="D2033" s="94"/>
      <c r="E2033" s="94"/>
      <c r="F2033" s="94"/>
      <c r="G2033" s="94"/>
      <c r="H2033" s="94"/>
      <c r="I2033" s="94"/>
      <c r="J2033" s="94"/>
      <c r="K2033" s="94"/>
      <c r="L2033" s="94"/>
      <c r="M2033" s="94"/>
      <c r="N2033" s="94"/>
      <c r="O2033" s="94"/>
      <c r="P2033" s="94"/>
      <c r="Q2033" s="94"/>
      <c r="R2033" s="94"/>
      <c r="S2033" s="94"/>
      <c r="T2033" s="94"/>
      <c r="U2033" s="94"/>
      <c r="V2033" s="94"/>
      <c r="W2033" s="94"/>
      <c r="X2033" s="94"/>
    </row>
    <row r="2034" ht="15.75" customHeight="1">
      <c r="A2034" s="94"/>
      <c r="B2034" s="94"/>
      <c r="C2034" s="94"/>
      <c r="D2034" s="94"/>
      <c r="E2034" s="94"/>
      <c r="F2034" s="94"/>
      <c r="G2034" s="94"/>
      <c r="H2034" s="94"/>
      <c r="I2034" s="94"/>
      <c r="J2034" s="94"/>
      <c r="K2034" s="94"/>
      <c r="L2034" s="94"/>
      <c r="M2034" s="94"/>
      <c r="N2034" s="94"/>
      <c r="O2034" s="94"/>
      <c r="P2034" s="94"/>
      <c r="Q2034" s="94"/>
      <c r="R2034" s="94"/>
      <c r="S2034" s="94"/>
      <c r="T2034" s="94"/>
      <c r="U2034" s="94"/>
      <c r="V2034" s="94"/>
      <c r="W2034" s="94"/>
      <c r="X2034" s="94"/>
    </row>
    <row r="2035" ht="15.75" customHeight="1">
      <c r="A2035" s="94"/>
      <c r="B2035" s="94"/>
      <c r="C2035" s="94"/>
      <c r="D2035" s="94"/>
      <c r="E2035" s="94"/>
      <c r="F2035" s="94"/>
      <c r="G2035" s="94"/>
      <c r="H2035" s="94"/>
      <c r="I2035" s="94"/>
      <c r="J2035" s="94"/>
      <c r="K2035" s="94"/>
      <c r="L2035" s="94"/>
      <c r="M2035" s="94"/>
      <c r="N2035" s="94"/>
      <c r="O2035" s="94"/>
      <c r="P2035" s="94"/>
      <c r="Q2035" s="94"/>
      <c r="R2035" s="94"/>
      <c r="S2035" s="94"/>
      <c r="T2035" s="94"/>
      <c r="U2035" s="94"/>
      <c r="V2035" s="94"/>
      <c r="W2035" s="94"/>
      <c r="X2035" s="94"/>
    </row>
    <row r="2036" ht="15.75" customHeight="1">
      <c r="A2036" s="94"/>
      <c r="B2036" s="94"/>
      <c r="C2036" s="94"/>
      <c r="D2036" s="94"/>
      <c r="E2036" s="94"/>
      <c r="F2036" s="94"/>
      <c r="G2036" s="94"/>
      <c r="H2036" s="94"/>
      <c r="I2036" s="94"/>
      <c r="J2036" s="94"/>
      <c r="K2036" s="94"/>
      <c r="L2036" s="94"/>
      <c r="M2036" s="94"/>
      <c r="N2036" s="94"/>
      <c r="O2036" s="94"/>
      <c r="P2036" s="94"/>
      <c r="Q2036" s="94"/>
      <c r="R2036" s="94"/>
      <c r="S2036" s="94"/>
      <c r="T2036" s="94"/>
      <c r="U2036" s="94"/>
      <c r="V2036" s="94"/>
      <c r="W2036" s="94"/>
      <c r="X2036" s="94"/>
    </row>
    <row r="2037" ht="15.75" customHeight="1">
      <c r="A2037" s="94"/>
      <c r="B2037" s="94"/>
      <c r="C2037" s="94"/>
      <c r="D2037" s="94"/>
      <c r="E2037" s="94"/>
      <c r="F2037" s="94"/>
      <c r="G2037" s="94"/>
      <c r="H2037" s="94"/>
      <c r="I2037" s="94"/>
      <c r="J2037" s="94"/>
      <c r="K2037" s="94"/>
      <c r="L2037" s="94"/>
      <c r="M2037" s="94"/>
      <c r="N2037" s="94"/>
      <c r="O2037" s="94"/>
      <c r="P2037" s="94"/>
      <c r="Q2037" s="94"/>
      <c r="R2037" s="94"/>
      <c r="S2037" s="94"/>
      <c r="T2037" s="94"/>
      <c r="U2037" s="94"/>
      <c r="V2037" s="94"/>
      <c r="W2037" s="94"/>
      <c r="X2037" s="94"/>
    </row>
    <row r="2038" ht="15.75" customHeight="1">
      <c r="A2038" s="94"/>
      <c r="B2038" s="94"/>
      <c r="C2038" s="94"/>
      <c r="D2038" s="94"/>
      <c r="E2038" s="94"/>
      <c r="F2038" s="94"/>
      <c r="G2038" s="94"/>
      <c r="H2038" s="94"/>
      <c r="I2038" s="94"/>
      <c r="J2038" s="94"/>
      <c r="K2038" s="94"/>
      <c r="L2038" s="94"/>
      <c r="M2038" s="94"/>
      <c r="N2038" s="94"/>
      <c r="O2038" s="94"/>
      <c r="P2038" s="94"/>
      <c r="Q2038" s="94"/>
      <c r="R2038" s="94"/>
      <c r="S2038" s="94"/>
      <c r="T2038" s="94"/>
      <c r="U2038" s="94"/>
      <c r="V2038" s="94"/>
      <c r="W2038" s="94"/>
      <c r="X2038" s="94"/>
    </row>
    <row r="2039" ht="15.75" customHeight="1">
      <c r="A2039" s="94"/>
      <c r="B2039" s="94"/>
      <c r="C2039" s="94"/>
      <c r="D2039" s="94"/>
      <c r="E2039" s="94"/>
      <c r="F2039" s="94"/>
      <c r="G2039" s="94"/>
      <c r="H2039" s="94"/>
      <c r="I2039" s="94"/>
      <c r="J2039" s="94"/>
      <c r="K2039" s="94"/>
      <c r="L2039" s="94"/>
      <c r="M2039" s="94"/>
      <c r="N2039" s="94"/>
      <c r="O2039" s="94"/>
      <c r="P2039" s="94"/>
      <c r="Q2039" s="94"/>
      <c r="R2039" s="94"/>
      <c r="S2039" s="94"/>
      <c r="T2039" s="94"/>
      <c r="U2039" s="94"/>
      <c r="V2039" s="94"/>
      <c r="W2039" s="94"/>
      <c r="X2039" s="94"/>
    </row>
    <row r="2040" ht="15.75" customHeight="1">
      <c r="A2040" s="94"/>
      <c r="B2040" s="94"/>
      <c r="C2040" s="94"/>
      <c r="D2040" s="94"/>
      <c r="E2040" s="94"/>
      <c r="F2040" s="94"/>
      <c r="G2040" s="94"/>
      <c r="H2040" s="94"/>
      <c r="I2040" s="94"/>
      <c r="J2040" s="94"/>
      <c r="K2040" s="94"/>
      <c r="L2040" s="94"/>
      <c r="M2040" s="94"/>
      <c r="N2040" s="94"/>
      <c r="O2040" s="94"/>
      <c r="P2040" s="94"/>
      <c r="Q2040" s="94"/>
      <c r="R2040" s="94"/>
      <c r="S2040" s="94"/>
      <c r="T2040" s="94"/>
      <c r="U2040" s="94"/>
      <c r="V2040" s="94"/>
      <c r="W2040" s="94"/>
      <c r="X2040" s="94"/>
    </row>
    <row r="2041" ht="15.75" customHeight="1">
      <c r="A2041" s="94"/>
      <c r="B2041" s="94"/>
      <c r="C2041" s="94"/>
      <c r="D2041" s="94"/>
      <c r="E2041" s="94"/>
      <c r="F2041" s="94"/>
      <c r="G2041" s="94"/>
      <c r="H2041" s="94"/>
      <c r="I2041" s="94"/>
      <c r="J2041" s="94"/>
      <c r="K2041" s="94"/>
      <c r="L2041" s="94"/>
      <c r="M2041" s="94"/>
      <c r="N2041" s="94"/>
      <c r="O2041" s="94"/>
      <c r="P2041" s="94"/>
      <c r="Q2041" s="94"/>
      <c r="R2041" s="94"/>
      <c r="S2041" s="94"/>
      <c r="T2041" s="94"/>
      <c r="U2041" s="94"/>
      <c r="V2041" s="94"/>
      <c r="W2041" s="94"/>
      <c r="X2041" s="94"/>
    </row>
    <row r="2042" ht="15.75" customHeight="1">
      <c r="A2042" s="94"/>
      <c r="B2042" s="94"/>
      <c r="C2042" s="94"/>
      <c r="D2042" s="94"/>
      <c r="E2042" s="94"/>
      <c r="F2042" s="94"/>
      <c r="G2042" s="94"/>
      <c r="H2042" s="94"/>
      <c r="I2042" s="94"/>
      <c r="J2042" s="94"/>
      <c r="K2042" s="94"/>
      <c r="L2042" s="94"/>
      <c r="M2042" s="94"/>
      <c r="N2042" s="94"/>
      <c r="O2042" s="94"/>
      <c r="P2042" s="94"/>
      <c r="Q2042" s="94"/>
      <c r="R2042" s="94"/>
      <c r="S2042" s="94"/>
      <c r="T2042" s="94"/>
      <c r="U2042" s="94"/>
      <c r="V2042" s="94"/>
      <c r="W2042" s="94"/>
      <c r="X2042" s="94"/>
    </row>
    <row r="2043" ht="15.75" customHeight="1">
      <c r="A2043" s="94"/>
      <c r="B2043" s="94"/>
      <c r="C2043" s="94"/>
      <c r="D2043" s="94"/>
      <c r="E2043" s="94"/>
      <c r="F2043" s="94"/>
      <c r="G2043" s="94"/>
      <c r="H2043" s="94"/>
      <c r="I2043" s="94"/>
      <c r="J2043" s="94"/>
      <c r="K2043" s="94"/>
      <c r="L2043" s="94"/>
      <c r="M2043" s="94"/>
      <c r="N2043" s="94"/>
      <c r="O2043" s="94"/>
      <c r="P2043" s="94"/>
      <c r="Q2043" s="94"/>
      <c r="R2043" s="94"/>
      <c r="S2043" s="94"/>
      <c r="T2043" s="94"/>
      <c r="U2043" s="94"/>
      <c r="V2043" s="94"/>
      <c r="W2043" s="94"/>
      <c r="X2043" s="94"/>
    </row>
    <row r="2044" ht="15.75" customHeight="1">
      <c r="A2044" s="94"/>
      <c r="B2044" s="94"/>
      <c r="C2044" s="94"/>
      <c r="D2044" s="94"/>
      <c r="E2044" s="94"/>
      <c r="F2044" s="94"/>
      <c r="G2044" s="94"/>
      <c r="H2044" s="94"/>
      <c r="I2044" s="94"/>
      <c r="J2044" s="94"/>
      <c r="K2044" s="94"/>
      <c r="L2044" s="94"/>
      <c r="M2044" s="94"/>
      <c r="N2044" s="94"/>
      <c r="O2044" s="94"/>
      <c r="P2044" s="94"/>
      <c r="Q2044" s="94"/>
      <c r="R2044" s="94"/>
      <c r="S2044" s="94"/>
      <c r="T2044" s="94"/>
      <c r="U2044" s="94"/>
      <c r="V2044" s="94"/>
      <c r="W2044" s="94"/>
      <c r="X2044" s="94"/>
    </row>
    <row r="2045" ht="15.75" customHeight="1">
      <c r="A2045" s="94"/>
      <c r="B2045" s="94"/>
      <c r="C2045" s="94"/>
      <c r="D2045" s="94"/>
      <c r="E2045" s="94"/>
      <c r="F2045" s="94"/>
      <c r="G2045" s="94"/>
      <c r="H2045" s="94"/>
      <c r="I2045" s="94"/>
      <c r="J2045" s="94"/>
      <c r="K2045" s="94"/>
      <c r="L2045" s="94"/>
      <c r="M2045" s="94"/>
      <c r="N2045" s="94"/>
      <c r="O2045" s="94"/>
      <c r="P2045" s="94"/>
      <c r="Q2045" s="94"/>
      <c r="R2045" s="94"/>
      <c r="S2045" s="94"/>
      <c r="T2045" s="94"/>
      <c r="U2045" s="94"/>
      <c r="V2045" s="94"/>
      <c r="W2045" s="94"/>
      <c r="X2045" s="94"/>
    </row>
    <row r="2046" ht="15.75" customHeight="1">
      <c r="A2046" s="94"/>
      <c r="B2046" s="94"/>
      <c r="C2046" s="94"/>
      <c r="D2046" s="94"/>
      <c r="E2046" s="94"/>
      <c r="F2046" s="94"/>
      <c r="G2046" s="94"/>
      <c r="H2046" s="94"/>
      <c r="I2046" s="94"/>
      <c r="J2046" s="94"/>
      <c r="K2046" s="94"/>
      <c r="L2046" s="94"/>
      <c r="M2046" s="94"/>
      <c r="N2046" s="94"/>
      <c r="O2046" s="94"/>
      <c r="P2046" s="94"/>
      <c r="Q2046" s="94"/>
      <c r="R2046" s="94"/>
      <c r="S2046" s="94"/>
      <c r="T2046" s="94"/>
      <c r="U2046" s="94"/>
      <c r="V2046" s="94"/>
      <c r="W2046" s="94"/>
      <c r="X2046" s="94"/>
    </row>
    <row r="2047" ht="15.75" customHeight="1">
      <c r="A2047" s="94"/>
      <c r="B2047" s="94"/>
      <c r="C2047" s="94"/>
      <c r="D2047" s="94"/>
      <c r="E2047" s="94"/>
      <c r="F2047" s="94"/>
      <c r="G2047" s="94"/>
      <c r="H2047" s="94"/>
      <c r="I2047" s="94"/>
      <c r="J2047" s="94"/>
      <c r="K2047" s="94"/>
      <c r="L2047" s="94"/>
      <c r="M2047" s="94"/>
      <c r="N2047" s="94"/>
      <c r="O2047" s="94"/>
      <c r="P2047" s="94"/>
      <c r="Q2047" s="94"/>
      <c r="R2047" s="94"/>
      <c r="S2047" s="94"/>
      <c r="T2047" s="94"/>
      <c r="U2047" s="94"/>
      <c r="V2047" s="94"/>
      <c r="W2047" s="94"/>
      <c r="X2047" s="94"/>
    </row>
    <row r="2048" ht="15.75" customHeight="1">
      <c r="A2048" s="94"/>
      <c r="B2048" s="94"/>
      <c r="C2048" s="94"/>
      <c r="D2048" s="94"/>
      <c r="E2048" s="94"/>
      <c r="F2048" s="94"/>
      <c r="G2048" s="94"/>
      <c r="H2048" s="94"/>
      <c r="I2048" s="94"/>
      <c r="J2048" s="94"/>
      <c r="K2048" s="94"/>
      <c r="L2048" s="94"/>
      <c r="M2048" s="94"/>
      <c r="N2048" s="94"/>
      <c r="O2048" s="94"/>
      <c r="P2048" s="94"/>
      <c r="Q2048" s="94"/>
      <c r="R2048" s="94"/>
      <c r="S2048" s="94"/>
      <c r="T2048" s="94"/>
      <c r="U2048" s="94"/>
      <c r="V2048" s="94"/>
      <c r="W2048" s="94"/>
      <c r="X2048" s="94"/>
    </row>
    <row r="2049" ht="15.75" customHeight="1">
      <c r="A2049" s="94"/>
      <c r="B2049" s="94"/>
      <c r="C2049" s="94"/>
      <c r="D2049" s="94"/>
      <c r="E2049" s="94"/>
      <c r="F2049" s="94"/>
      <c r="G2049" s="94"/>
      <c r="H2049" s="94"/>
      <c r="I2049" s="94"/>
      <c r="J2049" s="94"/>
      <c r="K2049" s="94"/>
      <c r="L2049" s="94"/>
      <c r="M2049" s="94"/>
      <c r="N2049" s="94"/>
      <c r="O2049" s="94"/>
      <c r="P2049" s="94"/>
      <c r="Q2049" s="94"/>
      <c r="R2049" s="94"/>
      <c r="S2049" s="94"/>
      <c r="T2049" s="94"/>
      <c r="U2049" s="94"/>
      <c r="V2049" s="94"/>
      <c r="W2049" s="94"/>
      <c r="X2049" s="94"/>
    </row>
    <row r="2050" ht="15.75" customHeight="1">
      <c r="A2050" s="94"/>
      <c r="B2050" s="94"/>
      <c r="C2050" s="94"/>
      <c r="D2050" s="94"/>
      <c r="E2050" s="94"/>
      <c r="F2050" s="94"/>
      <c r="G2050" s="94"/>
      <c r="H2050" s="94"/>
      <c r="I2050" s="94"/>
      <c r="J2050" s="94"/>
      <c r="K2050" s="94"/>
      <c r="L2050" s="94"/>
      <c r="M2050" s="94"/>
      <c r="N2050" s="94"/>
      <c r="O2050" s="94"/>
      <c r="P2050" s="94"/>
      <c r="Q2050" s="94"/>
      <c r="R2050" s="94"/>
      <c r="S2050" s="94"/>
      <c r="T2050" s="94"/>
      <c r="U2050" s="94"/>
      <c r="V2050" s="94"/>
      <c r="W2050" s="94"/>
      <c r="X2050" s="94"/>
    </row>
    <row r="2051" ht="15.75" customHeight="1">
      <c r="A2051" s="94"/>
      <c r="B2051" s="94"/>
      <c r="C2051" s="94"/>
      <c r="D2051" s="94"/>
      <c r="E2051" s="94"/>
      <c r="F2051" s="94"/>
      <c r="G2051" s="94"/>
      <c r="H2051" s="94"/>
      <c r="I2051" s="94"/>
      <c r="J2051" s="94"/>
      <c r="K2051" s="94"/>
      <c r="L2051" s="94"/>
      <c r="M2051" s="94"/>
      <c r="N2051" s="94"/>
      <c r="O2051" s="94"/>
      <c r="P2051" s="94"/>
      <c r="Q2051" s="94"/>
      <c r="R2051" s="94"/>
      <c r="S2051" s="94"/>
      <c r="T2051" s="94"/>
      <c r="U2051" s="94"/>
      <c r="V2051" s="94"/>
      <c r="W2051" s="94"/>
      <c r="X2051" s="94"/>
    </row>
    <row r="2052" ht="15.75" customHeight="1">
      <c r="A2052" s="94"/>
      <c r="B2052" s="94"/>
      <c r="C2052" s="94"/>
      <c r="D2052" s="94"/>
      <c r="E2052" s="94"/>
      <c r="F2052" s="94"/>
      <c r="G2052" s="94"/>
      <c r="H2052" s="94"/>
      <c r="I2052" s="94"/>
      <c r="J2052" s="94"/>
      <c r="K2052" s="94"/>
      <c r="L2052" s="94"/>
      <c r="M2052" s="94"/>
      <c r="N2052" s="94"/>
      <c r="O2052" s="94"/>
      <c r="P2052" s="94"/>
      <c r="Q2052" s="94"/>
      <c r="R2052" s="94"/>
      <c r="S2052" s="94"/>
      <c r="T2052" s="94"/>
      <c r="U2052" s="94"/>
      <c r="V2052" s="94"/>
      <c r="W2052" s="94"/>
      <c r="X2052" s="94"/>
    </row>
    <row r="2053" ht="15.75" customHeight="1">
      <c r="A2053" s="94"/>
      <c r="B2053" s="94"/>
      <c r="C2053" s="94"/>
      <c r="D2053" s="94"/>
      <c r="E2053" s="94"/>
      <c r="F2053" s="94"/>
      <c r="G2053" s="94"/>
      <c r="H2053" s="94"/>
      <c r="I2053" s="94"/>
      <c r="J2053" s="94"/>
      <c r="K2053" s="94"/>
      <c r="L2053" s="94"/>
      <c r="M2053" s="94"/>
      <c r="N2053" s="94"/>
      <c r="O2053" s="94"/>
      <c r="P2053" s="94"/>
      <c r="Q2053" s="94"/>
      <c r="R2053" s="94"/>
      <c r="S2053" s="94"/>
      <c r="T2053" s="94"/>
      <c r="U2053" s="94"/>
      <c r="V2053" s="94"/>
      <c r="W2053" s="94"/>
      <c r="X2053" s="94"/>
    </row>
    <row r="2054" ht="15.75" customHeight="1">
      <c r="A2054" s="94"/>
      <c r="B2054" s="94"/>
      <c r="C2054" s="94"/>
      <c r="D2054" s="94"/>
      <c r="E2054" s="94"/>
      <c r="F2054" s="94"/>
      <c r="G2054" s="94"/>
      <c r="H2054" s="94"/>
      <c r="I2054" s="94"/>
      <c r="J2054" s="94"/>
      <c r="K2054" s="94"/>
      <c r="L2054" s="94"/>
      <c r="M2054" s="94"/>
      <c r="N2054" s="94"/>
      <c r="O2054" s="94"/>
      <c r="P2054" s="94"/>
      <c r="Q2054" s="94"/>
      <c r="R2054" s="94"/>
      <c r="S2054" s="94"/>
      <c r="T2054" s="94"/>
      <c r="U2054" s="94"/>
      <c r="V2054" s="94"/>
      <c r="W2054" s="94"/>
      <c r="X2054" s="94"/>
    </row>
    <row r="2055" ht="15.75" customHeight="1">
      <c r="A2055" s="94"/>
      <c r="B2055" s="94"/>
      <c r="C2055" s="94"/>
      <c r="D2055" s="94"/>
      <c r="E2055" s="94"/>
      <c r="F2055" s="94"/>
      <c r="G2055" s="94"/>
      <c r="H2055" s="94"/>
      <c r="I2055" s="94"/>
      <c r="J2055" s="94"/>
      <c r="K2055" s="94"/>
      <c r="L2055" s="94"/>
      <c r="M2055" s="94"/>
      <c r="N2055" s="94"/>
      <c r="O2055" s="94"/>
      <c r="P2055" s="94"/>
      <c r="Q2055" s="94"/>
      <c r="R2055" s="94"/>
      <c r="S2055" s="94"/>
      <c r="T2055" s="94"/>
      <c r="U2055" s="94"/>
      <c r="V2055" s="94"/>
      <c r="W2055" s="94"/>
      <c r="X2055" s="94"/>
    </row>
    <row r="2056" ht="15.75" customHeight="1">
      <c r="A2056" s="94"/>
      <c r="B2056" s="94"/>
      <c r="C2056" s="94"/>
      <c r="D2056" s="94"/>
      <c r="E2056" s="94"/>
      <c r="F2056" s="94"/>
      <c r="G2056" s="94"/>
      <c r="H2056" s="94"/>
      <c r="I2056" s="94"/>
      <c r="J2056" s="94"/>
      <c r="K2056" s="94"/>
      <c r="L2056" s="94"/>
      <c r="M2056" s="94"/>
      <c r="N2056" s="94"/>
      <c r="O2056" s="94"/>
      <c r="P2056" s="94"/>
      <c r="Q2056" s="94"/>
      <c r="R2056" s="94"/>
      <c r="S2056" s="94"/>
      <c r="T2056" s="94"/>
      <c r="U2056" s="94"/>
      <c r="V2056" s="94"/>
      <c r="W2056" s="94"/>
      <c r="X2056" s="94"/>
    </row>
    <row r="2057" ht="15.75" customHeight="1">
      <c r="A2057" s="94"/>
      <c r="B2057" s="94"/>
      <c r="C2057" s="94"/>
      <c r="D2057" s="94"/>
      <c r="E2057" s="94"/>
      <c r="F2057" s="94"/>
      <c r="G2057" s="94"/>
      <c r="H2057" s="94"/>
      <c r="I2057" s="94"/>
      <c r="J2057" s="94"/>
      <c r="K2057" s="94"/>
      <c r="L2057" s="94"/>
      <c r="M2057" s="94"/>
      <c r="N2057" s="94"/>
      <c r="O2057" s="94"/>
      <c r="P2057" s="94"/>
      <c r="Q2057" s="94"/>
      <c r="R2057" s="94"/>
      <c r="S2057" s="94"/>
      <c r="T2057" s="94"/>
      <c r="U2057" s="94"/>
      <c r="V2057" s="94"/>
      <c r="W2057" s="94"/>
      <c r="X2057" s="94"/>
    </row>
    <row r="2058" ht="15.75" customHeight="1">
      <c r="A2058" s="94"/>
      <c r="B2058" s="94"/>
      <c r="C2058" s="94"/>
      <c r="D2058" s="94"/>
      <c r="E2058" s="94"/>
      <c r="F2058" s="94"/>
      <c r="G2058" s="94"/>
      <c r="H2058" s="94"/>
      <c r="I2058" s="94"/>
      <c r="J2058" s="94"/>
      <c r="K2058" s="94"/>
      <c r="L2058" s="94"/>
      <c r="M2058" s="94"/>
      <c r="N2058" s="94"/>
      <c r="O2058" s="94"/>
      <c r="P2058" s="94"/>
      <c r="Q2058" s="94"/>
      <c r="R2058" s="94"/>
      <c r="S2058" s="94"/>
      <c r="T2058" s="94"/>
      <c r="U2058" s="94"/>
      <c r="V2058" s="94"/>
      <c r="W2058" s="94"/>
      <c r="X2058" s="94"/>
    </row>
    <row r="2059" ht="15.75" customHeight="1">
      <c r="A2059" s="94"/>
      <c r="B2059" s="94"/>
      <c r="C2059" s="94"/>
      <c r="D2059" s="94"/>
      <c r="E2059" s="94"/>
      <c r="F2059" s="94"/>
      <c r="G2059" s="94"/>
      <c r="H2059" s="94"/>
      <c r="I2059" s="94"/>
      <c r="J2059" s="94"/>
      <c r="K2059" s="94"/>
      <c r="L2059" s="94"/>
      <c r="M2059" s="94"/>
      <c r="N2059" s="94"/>
      <c r="O2059" s="94"/>
      <c r="P2059" s="94"/>
      <c r="Q2059" s="94"/>
      <c r="R2059" s="94"/>
      <c r="S2059" s="94"/>
      <c r="T2059" s="94"/>
      <c r="U2059" s="94"/>
      <c r="V2059" s="94"/>
      <c r="W2059" s="94"/>
      <c r="X2059" s="94"/>
    </row>
    <row r="2060" ht="15.75" customHeight="1">
      <c r="A2060" s="94"/>
      <c r="B2060" s="94"/>
      <c r="C2060" s="94"/>
      <c r="D2060" s="94"/>
      <c r="E2060" s="94"/>
      <c r="F2060" s="94"/>
      <c r="G2060" s="94"/>
      <c r="H2060" s="94"/>
      <c r="I2060" s="94"/>
      <c r="J2060" s="94"/>
      <c r="K2060" s="94"/>
      <c r="L2060" s="94"/>
      <c r="M2060" s="94"/>
      <c r="N2060" s="94"/>
      <c r="O2060" s="94"/>
      <c r="P2060" s="94"/>
      <c r="Q2060" s="94"/>
      <c r="R2060" s="94"/>
      <c r="S2060" s="94"/>
      <c r="T2060" s="94"/>
      <c r="U2060" s="94"/>
      <c r="V2060" s="94"/>
      <c r="W2060" s="94"/>
      <c r="X2060" s="94"/>
    </row>
    <row r="2061" ht="15.75" customHeight="1">
      <c r="A2061" s="94"/>
      <c r="B2061" s="94"/>
      <c r="C2061" s="94"/>
      <c r="D2061" s="94"/>
      <c r="E2061" s="94"/>
      <c r="F2061" s="94"/>
      <c r="G2061" s="94"/>
      <c r="H2061" s="94"/>
      <c r="I2061" s="94"/>
      <c r="J2061" s="94"/>
      <c r="K2061" s="94"/>
      <c r="L2061" s="94"/>
      <c r="M2061" s="94"/>
      <c r="N2061" s="94"/>
      <c r="O2061" s="94"/>
      <c r="P2061" s="94"/>
      <c r="Q2061" s="94"/>
      <c r="R2061" s="94"/>
      <c r="S2061" s="94"/>
      <c r="T2061" s="94"/>
      <c r="U2061" s="94"/>
      <c r="V2061" s="94"/>
      <c r="W2061" s="94"/>
      <c r="X2061" s="94"/>
    </row>
    <row r="2062" ht="15.75" customHeight="1">
      <c r="A2062" s="94"/>
      <c r="B2062" s="94"/>
      <c r="C2062" s="94"/>
      <c r="D2062" s="94"/>
      <c r="E2062" s="94"/>
      <c r="F2062" s="94"/>
      <c r="G2062" s="94"/>
      <c r="H2062" s="94"/>
      <c r="I2062" s="94"/>
      <c r="J2062" s="94"/>
      <c r="K2062" s="94"/>
      <c r="L2062" s="94"/>
      <c r="M2062" s="94"/>
      <c r="N2062" s="94"/>
      <c r="O2062" s="94"/>
      <c r="P2062" s="94"/>
      <c r="Q2062" s="94"/>
      <c r="R2062" s="94"/>
      <c r="S2062" s="94"/>
      <c r="T2062" s="94"/>
      <c r="U2062" s="94"/>
      <c r="V2062" s="94"/>
      <c r="W2062" s="94"/>
      <c r="X2062" s="94"/>
    </row>
    <row r="2063" ht="15.75" customHeight="1">
      <c r="A2063" s="94"/>
      <c r="B2063" s="94"/>
      <c r="C2063" s="94"/>
      <c r="D2063" s="94"/>
      <c r="E2063" s="94"/>
      <c r="F2063" s="94"/>
      <c r="G2063" s="94"/>
      <c r="H2063" s="94"/>
      <c r="I2063" s="94"/>
      <c r="J2063" s="94"/>
      <c r="K2063" s="94"/>
      <c r="L2063" s="94"/>
      <c r="M2063" s="94"/>
      <c r="N2063" s="94"/>
      <c r="O2063" s="94"/>
      <c r="P2063" s="94"/>
      <c r="Q2063" s="94"/>
      <c r="R2063" s="94"/>
      <c r="S2063" s="94"/>
      <c r="T2063" s="94"/>
      <c r="U2063" s="94"/>
      <c r="V2063" s="94"/>
      <c r="W2063" s="94"/>
      <c r="X2063" s="94"/>
    </row>
    <row r="2064" ht="15.75" customHeight="1">
      <c r="A2064" s="94"/>
      <c r="B2064" s="94"/>
      <c r="C2064" s="94"/>
      <c r="D2064" s="94"/>
      <c r="E2064" s="94"/>
      <c r="F2064" s="94"/>
      <c r="G2064" s="94"/>
      <c r="H2064" s="94"/>
      <c r="I2064" s="94"/>
      <c r="J2064" s="94"/>
      <c r="K2064" s="94"/>
      <c r="L2064" s="94"/>
      <c r="M2064" s="94"/>
      <c r="N2064" s="94"/>
      <c r="O2064" s="94"/>
      <c r="P2064" s="94"/>
      <c r="Q2064" s="94"/>
      <c r="R2064" s="94"/>
      <c r="S2064" s="94"/>
      <c r="T2064" s="94"/>
      <c r="U2064" s="94"/>
      <c r="V2064" s="94"/>
      <c r="W2064" s="94"/>
      <c r="X2064" s="94"/>
    </row>
    <row r="2065" ht="15.75" customHeight="1">
      <c r="A2065" s="94"/>
      <c r="B2065" s="94"/>
      <c r="C2065" s="94"/>
      <c r="D2065" s="94"/>
      <c r="E2065" s="94"/>
      <c r="F2065" s="94"/>
      <c r="G2065" s="94"/>
      <c r="H2065" s="94"/>
      <c r="I2065" s="94"/>
      <c r="J2065" s="94"/>
      <c r="K2065" s="94"/>
      <c r="L2065" s="94"/>
      <c r="M2065" s="94"/>
      <c r="N2065" s="94"/>
      <c r="O2065" s="94"/>
      <c r="P2065" s="94"/>
      <c r="Q2065" s="94"/>
      <c r="R2065" s="94"/>
      <c r="S2065" s="94"/>
      <c r="T2065" s="94"/>
      <c r="U2065" s="94"/>
      <c r="V2065" s="94"/>
      <c r="W2065" s="94"/>
      <c r="X2065" s="94"/>
    </row>
    <row r="2066" ht="15.75" customHeight="1">
      <c r="A2066" s="94"/>
      <c r="B2066" s="94"/>
      <c r="C2066" s="94"/>
      <c r="D2066" s="94"/>
      <c r="E2066" s="94"/>
      <c r="F2066" s="94"/>
      <c r="G2066" s="94"/>
      <c r="H2066" s="94"/>
      <c r="I2066" s="94"/>
      <c r="J2066" s="94"/>
      <c r="K2066" s="94"/>
      <c r="L2066" s="94"/>
      <c r="M2066" s="94"/>
      <c r="N2066" s="94"/>
      <c r="O2066" s="94"/>
      <c r="P2066" s="94"/>
      <c r="Q2066" s="94"/>
      <c r="R2066" s="94"/>
      <c r="S2066" s="94"/>
      <c r="T2066" s="94"/>
      <c r="U2066" s="94"/>
      <c r="V2066" s="94"/>
      <c r="W2066" s="94"/>
      <c r="X2066" s="94"/>
    </row>
    <row r="2067" ht="15.75" customHeight="1">
      <c r="A2067" s="94"/>
      <c r="B2067" s="94"/>
      <c r="C2067" s="94"/>
      <c r="D2067" s="94"/>
      <c r="E2067" s="94"/>
      <c r="F2067" s="94"/>
      <c r="G2067" s="94"/>
      <c r="H2067" s="94"/>
      <c r="I2067" s="94"/>
      <c r="J2067" s="94"/>
      <c r="K2067" s="94"/>
      <c r="L2067" s="94"/>
      <c r="M2067" s="94"/>
      <c r="N2067" s="94"/>
      <c r="O2067" s="94"/>
      <c r="P2067" s="94"/>
      <c r="Q2067" s="94"/>
      <c r="R2067" s="94"/>
      <c r="S2067" s="94"/>
      <c r="T2067" s="94"/>
      <c r="U2067" s="94"/>
      <c r="V2067" s="94"/>
      <c r="W2067" s="94"/>
      <c r="X2067" s="94"/>
    </row>
    <row r="2068" ht="15.75" customHeight="1">
      <c r="A2068" s="94"/>
      <c r="B2068" s="94"/>
      <c r="C2068" s="94"/>
      <c r="D2068" s="94"/>
      <c r="E2068" s="94"/>
      <c r="F2068" s="94"/>
      <c r="G2068" s="94"/>
      <c r="H2068" s="94"/>
      <c r="I2068" s="94"/>
      <c r="J2068" s="94"/>
      <c r="K2068" s="94"/>
      <c r="L2068" s="94"/>
      <c r="M2068" s="94"/>
      <c r="N2068" s="94"/>
      <c r="O2068" s="94"/>
      <c r="P2068" s="94"/>
      <c r="Q2068" s="94"/>
      <c r="R2068" s="94"/>
      <c r="S2068" s="94"/>
      <c r="T2068" s="94"/>
      <c r="U2068" s="94"/>
      <c r="V2068" s="94"/>
      <c r="W2068" s="94"/>
      <c r="X2068" s="94"/>
    </row>
    <row r="2069" ht="15.75" customHeight="1">
      <c r="A2069" s="94"/>
      <c r="B2069" s="94"/>
      <c r="C2069" s="94"/>
      <c r="D2069" s="94"/>
      <c r="E2069" s="94"/>
      <c r="F2069" s="94"/>
      <c r="G2069" s="94"/>
      <c r="H2069" s="94"/>
      <c r="I2069" s="94"/>
      <c r="J2069" s="94"/>
      <c r="K2069" s="94"/>
      <c r="L2069" s="94"/>
      <c r="M2069" s="94"/>
      <c r="N2069" s="94"/>
      <c r="O2069" s="94"/>
      <c r="P2069" s="94"/>
      <c r="Q2069" s="94"/>
      <c r="R2069" s="94"/>
      <c r="S2069" s="94"/>
      <c r="T2069" s="94"/>
      <c r="U2069" s="94"/>
      <c r="V2069" s="94"/>
      <c r="W2069" s="94"/>
      <c r="X2069" s="94"/>
    </row>
    <row r="2070" ht="15.75" customHeight="1">
      <c r="A2070" s="94"/>
      <c r="B2070" s="94"/>
      <c r="C2070" s="94"/>
      <c r="D2070" s="94"/>
      <c r="E2070" s="94"/>
      <c r="F2070" s="94"/>
      <c r="G2070" s="94"/>
      <c r="H2070" s="94"/>
      <c r="I2070" s="94"/>
      <c r="J2070" s="94"/>
      <c r="K2070" s="94"/>
      <c r="L2070" s="94"/>
      <c r="M2070" s="94"/>
      <c r="N2070" s="94"/>
      <c r="O2070" s="94"/>
      <c r="P2070" s="94"/>
      <c r="Q2070" s="94"/>
      <c r="R2070" s="94"/>
      <c r="S2070" s="94"/>
      <c r="T2070" s="94"/>
      <c r="U2070" s="94"/>
      <c r="V2070" s="94"/>
      <c r="W2070" s="94"/>
      <c r="X2070" s="94"/>
    </row>
    <row r="2071" ht="15.75" customHeight="1">
      <c r="A2071" s="94"/>
      <c r="B2071" s="94"/>
      <c r="C2071" s="94"/>
      <c r="D2071" s="94"/>
      <c r="E2071" s="94"/>
      <c r="F2071" s="94"/>
      <c r="G2071" s="94"/>
      <c r="H2071" s="94"/>
      <c r="I2071" s="94"/>
      <c r="J2071" s="94"/>
      <c r="K2071" s="94"/>
      <c r="L2071" s="94"/>
      <c r="M2071" s="94"/>
      <c r="N2071" s="94"/>
      <c r="O2071" s="94"/>
      <c r="P2071" s="94"/>
      <c r="Q2071" s="94"/>
      <c r="R2071" s="94"/>
      <c r="S2071" s="94"/>
      <c r="T2071" s="94"/>
      <c r="U2071" s="94"/>
      <c r="V2071" s="94"/>
      <c r="W2071" s="94"/>
      <c r="X2071" s="94"/>
    </row>
    <row r="2072" ht="15.75" customHeight="1">
      <c r="A2072" s="94"/>
      <c r="B2072" s="94"/>
      <c r="C2072" s="94"/>
      <c r="D2072" s="94"/>
      <c r="E2072" s="94"/>
      <c r="F2072" s="94"/>
      <c r="G2072" s="94"/>
      <c r="H2072" s="94"/>
      <c r="I2072" s="94"/>
      <c r="J2072" s="94"/>
      <c r="K2072" s="94"/>
      <c r="L2072" s="94"/>
      <c r="M2072" s="94"/>
      <c r="N2072" s="94"/>
      <c r="O2072" s="94"/>
      <c r="P2072" s="94"/>
      <c r="Q2072" s="94"/>
      <c r="R2072" s="94"/>
      <c r="S2072" s="94"/>
      <c r="T2072" s="94"/>
      <c r="U2072" s="94"/>
      <c r="V2072" s="94"/>
      <c r="W2072" s="94"/>
      <c r="X2072" s="94"/>
    </row>
    <row r="2073" ht="15.75" customHeight="1">
      <c r="A2073" s="94"/>
      <c r="B2073" s="94"/>
      <c r="C2073" s="94"/>
      <c r="D2073" s="94"/>
      <c r="E2073" s="94"/>
      <c r="F2073" s="94"/>
      <c r="G2073" s="94"/>
      <c r="H2073" s="94"/>
      <c r="I2073" s="94"/>
      <c r="J2073" s="94"/>
      <c r="K2073" s="94"/>
      <c r="L2073" s="94"/>
      <c r="M2073" s="94"/>
      <c r="N2073" s="94"/>
      <c r="O2073" s="94"/>
      <c r="P2073" s="94"/>
      <c r="Q2073" s="94"/>
      <c r="R2073" s="94"/>
      <c r="S2073" s="94"/>
      <c r="T2073" s="94"/>
      <c r="U2073" s="94"/>
      <c r="V2073" s="94"/>
      <c r="W2073" s="94"/>
      <c r="X2073" s="94"/>
    </row>
    <row r="2074" ht="15.75" customHeight="1">
      <c r="A2074" s="94"/>
      <c r="B2074" s="94"/>
      <c r="C2074" s="94"/>
      <c r="D2074" s="94"/>
      <c r="E2074" s="94"/>
      <c r="F2074" s="94"/>
      <c r="G2074" s="94"/>
      <c r="H2074" s="94"/>
      <c r="I2074" s="94"/>
      <c r="J2074" s="94"/>
      <c r="K2074" s="94"/>
      <c r="L2074" s="94"/>
      <c r="M2074" s="94"/>
      <c r="N2074" s="94"/>
      <c r="O2074" s="94"/>
      <c r="P2074" s="94"/>
      <c r="Q2074" s="94"/>
      <c r="R2074" s="94"/>
      <c r="S2074" s="94"/>
      <c r="T2074" s="94"/>
      <c r="U2074" s="94"/>
      <c r="V2074" s="94"/>
      <c r="W2074" s="94"/>
      <c r="X2074" s="94"/>
    </row>
    <row r="2075" ht="15.75" customHeight="1">
      <c r="A2075" s="94"/>
      <c r="B2075" s="94"/>
      <c r="C2075" s="94"/>
      <c r="D2075" s="94"/>
      <c r="E2075" s="94"/>
      <c r="F2075" s="94"/>
      <c r="G2075" s="94"/>
      <c r="H2075" s="94"/>
      <c r="I2075" s="94"/>
      <c r="J2075" s="94"/>
      <c r="K2075" s="94"/>
      <c r="L2075" s="94"/>
      <c r="M2075" s="94"/>
      <c r="N2075" s="94"/>
      <c r="O2075" s="94"/>
      <c r="P2075" s="94"/>
      <c r="Q2075" s="94"/>
      <c r="R2075" s="94"/>
      <c r="S2075" s="94"/>
      <c r="T2075" s="94"/>
      <c r="U2075" s="94"/>
      <c r="V2075" s="94"/>
      <c r="W2075" s="94"/>
      <c r="X2075" s="94"/>
    </row>
    <row r="2076" ht="15.75" customHeight="1">
      <c r="A2076" s="94"/>
      <c r="B2076" s="94"/>
      <c r="C2076" s="94"/>
      <c r="D2076" s="94"/>
      <c r="E2076" s="94"/>
      <c r="F2076" s="94"/>
      <c r="G2076" s="94"/>
      <c r="H2076" s="94"/>
      <c r="I2076" s="94"/>
      <c r="J2076" s="94"/>
      <c r="K2076" s="94"/>
      <c r="L2076" s="94"/>
      <c r="M2076" s="94"/>
      <c r="N2076" s="94"/>
      <c r="O2076" s="94"/>
      <c r="P2076" s="94"/>
      <c r="Q2076" s="94"/>
      <c r="R2076" s="94"/>
      <c r="S2076" s="94"/>
      <c r="T2076" s="94"/>
      <c r="U2076" s="94"/>
      <c r="V2076" s="94"/>
      <c r="W2076" s="94"/>
      <c r="X2076" s="94"/>
    </row>
    <row r="2077" ht="15.75" customHeight="1">
      <c r="A2077" s="94"/>
      <c r="B2077" s="94"/>
      <c r="C2077" s="94"/>
      <c r="D2077" s="94"/>
      <c r="E2077" s="94"/>
      <c r="F2077" s="94"/>
      <c r="G2077" s="94"/>
      <c r="H2077" s="94"/>
      <c r="I2077" s="94"/>
      <c r="J2077" s="94"/>
      <c r="K2077" s="94"/>
      <c r="L2077" s="94"/>
      <c r="M2077" s="94"/>
      <c r="N2077" s="94"/>
      <c r="O2077" s="94"/>
      <c r="P2077" s="94"/>
      <c r="Q2077" s="94"/>
      <c r="R2077" s="94"/>
      <c r="S2077" s="94"/>
      <c r="T2077" s="94"/>
      <c r="U2077" s="94"/>
      <c r="V2077" s="94"/>
      <c r="W2077" s="94"/>
      <c r="X2077" s="94"/>
    </row>
    <row r="2078" ht="15.75" customHeight="1">
      <c r="A2078" s="94"/>
      <c r="B2078" s="94"/>
      <c r="C2078" s="94"/>
      <c r="D2078" s="94"/>
      <c r="E2078" s="94"/>
      <c r="F2078" s="94"/>
      <c r="G2078" s="94"/>
      <c r="H2078" s="94"/>
      <c r="I2078" s="94"/>
      <c r="J2078" s="94"/>
      <c r="K2078" s="94"/>
      <c r="L2078" s="94"/>
      <c r="M2078" s="94"/>
      <c r="N2078" s="94"/>
      <c r="O2078" s="94"/>
      <c r="P2078" s="94"/>
      <c r="Q2078" s="94"/>
      <c r="R2078" s="94"/>
      <c r="S2078" s="94"/>
      <c r="T2078" s="94"/>
      <c r="U2078" s="94"/>
      <c r="V2078" s="94"/>
      <c r="W2078" s="94"/>
      <c r="X2078" s="94"/>
    </row>
    <row r="2079" ht="15.75" customHeight="1">
      <c r="A2079" s="94"/>
      <c r="B2079" s="94"/>
      <c r="C2079" s="94"/>
      <c r="D2079" s="94"/>
      <c r="E2079" s="94"/>
      <c r="F2079" s="94"/>
      <c r="G2079" s="94"/>
      <c r="H2079" s="94"/>
      <c r="I2079" s="94"/>
      <c r="J2079" s="94"/>
      <c r="K2079" s="94"/>
      <c r="L2079" s="94"/>
      <c r="M2079" s="94"/>
      <c r="N2079" s="94"/>
      <c r="O2079" s="94"/>
      <c r="P2079" s="94"/>
      <c r="Q2079" s="94"/>
      <c r="R2079" s="94"/>
      <c r="S2079" s="94"/>
      <c r="T2079" s="94"/>
      <c r="U2079" s="94"/>
      <c r="V2079" s="94"/>
      <c r="W2079" s="94"/>
      <c r="X2079" s="94"/>
    </row>
    <row r="2080" ht="15.75" customHeight="1">
      <c r="A2080" s="94"/>
      <c r="B2080" s="94"/>
      <c r="C2080" s="94"/>
      <c r="D2080" s="94"/>
      <c r="E2080" s="94"/>
      <c r="F2080" s="94"/>
      <c r="G2080" s="94"/>
      <c r="H2080" s="94"/>
      <c r="I2080" s="94"/>
      <c r="J2080" s="94"/>
      <c r="K2080" s="94"/>
      <c r="L2080" s="94"/>
      <c r="M2080" s="94"/>
      <c r="N2080" s="94"/>
      <c r="O2080" s="94"/>
      <c r="P2080" s="94"/>
      <c r="Q2080" s="94"/>
      <c r="R2080" s="94"/>
      <c r="S2080" s="94"/>
      <c r="T2080" s="94"/>
      <c r="U2080" s="94"/>
      <c r="V2080" s="94"/>
      <c r="W2080" s="94"/>
      <c r="X2080" s="94"/>
    </row>
    <row r="2081" ht="15.75" customHeight="1">
      <c r="A2081" s="94"/>
      <c r="B2081" s="94"/>
      <c r="C2081" s="94"/>
      <c r="D2081" s="94"/>
      <c r="E2081" s="94"/>
      <c r="F2081" s="94"/>
      <c r="G2081" s="94"/>
      <c r="H2081" s="94"/>
      <c r="I2081" s="94"/>
      <c r="J2081" s="94"/>
      <c r="K2081" s="94"/>
      <c r="L2081" s="94"/>
      <c r="M2081" s="94"/>
      <c r="N2081" s="94"/>
      <c r="O2081" s="94"/>
      <c r="P2081" s="94"/>
      <c r="Q2081" s="94"/>
      <c r="R2081" s="94"/>
      <c r="S2081" s="94"/>
      <c r="T2081" s="94"/>
      <c r="U2081" s="94"/>
      <c r="V2081" s="94"/>
      <c r="W2081" s="94"/>
      <c r="X2081" s="94"/>
    </row>
    <row r="2082" ht="15.75" customHeight="1">
      <c r="A2082" s="94"/>
      <c r="B2082" s="94"/>
      <c r="C2082" s="94"/>
      <c r="D2082" s="94"/>
      <c r="E2082" s="94"/>
      <c r="F2082" s="94"/>
      <c r="G2082" s="94"/>
      <c r="H2082" s="94"/>
      <c r="I2082" s="94"/>
      <c r="J2082" s="94"/>
      <c r="K2082" s="94"/>
      <c r="L2082" s="94"/>
      <c r="M2082" s="94"/>
      <c r="N2082" s="94"/>
      <c r="O2082" s="94"/>
      <c r="P2082" s="94"/>
      <c r="Q2082" s="94"/>
      <c r="R2082" s="94"/>
      <c r="S2082" s="94"/>
      <c r="T2082" s="94"/>
      <c r="U2082" s="94"/>
      <c r="V2082" s="94"/>
      <c r="W2082" s="94"/>
      <c r="X2082" s="94"/>
    </row>
    <row r="2083" ht="15.75" customHeight="1">
      <c r="A2083" s="94"/>
      <c r="B2083" s="94"/>
      <c r="C2083" s="94"/>
      <c r="D2083" s="94"/>
      <c r="E2083" s="94"/>
      <c r="F2083" s="94"/>
      <c r="G2083" s="94"/>
      <c r="H2083" s="94"/>
      <c r="I2083" s="94"/>
      <c r="J2083" s="94"/>
      <c r="K2083" s="94"/>
      <c r="L2083" s="94"/>
      <c r="M2083" s="94"/>
      <c r="N2083" s="94"/>
      <c r="O2083" s="94"/>
      <c r="P2083" s="94"/>
      <c r="Q2083" s="94"/>
      <c r="R2083" s="94"/>
      <c r="S2083" s="94"/>
      <c r="T2083" s="94"/>
      <c r="U2083" s="94"/>
      <c r="V2083" s="94"/>
      <c r="W2083" s="94"/>
      <c r="X2083" s="94"/>
    </row>
    <row r="2084" ht="15.75" customHeight="1">
      <c r="A2084" s="94"/>
      <c r="B2084" s="94"/>
      <c r="C2084" s="94"/>
      <c r="D2084" s="94"/>
      <c r="E2084" s="94"/>
      <c r="F2084" s="94"/>
      <c r="G2084" s="94"/>
      <c r="H2084" s="94"/>
      <c r="I2084" s="94"/>
      <c r="J2084" s="94"/>
      <c r="K2084" s="94"/>
      <c r="L2084" s="94"/>
      <c r="M2084" s="94"/>
      <c r="N2084" s="94"/>
      <c r="O2084" s="94"/>
      <c r="P2084" s="94"/>
      <c r="Q2084" s="94"/>
      <c r="R2084" s="94"/>
      <c r="S2084" s="94"/>
      <c r="T2084" s="94"/>
      <c r="U2084" s="94"/>
      <c r="V2084" s="94"/>
      <c r="W2084" s="94"/>
      <c r="X2084" s="94"/>
    </row>
    <row r="2085" ht="15.75" customHeight="1">
      <c r="A2085" s="94"/>
      <c r="B2085" s="94"/>
      <c r="C2085" s="94"/>
      <c r="D2085" s="94"/>
      <c r="E2085" s="94"/>
      <c r="F2085" s="94"/>
      <c r="G2085" s="94"/>
      <c r="H2085" s="94"/>
      <c r="I2085" s="94"/>
      <c r="J2085" s="94"/>
      <c r="K2085" s="94"/>
      <c r="L2085" s="94"/>
      <c r="M2085" s="94"/>
      <c r="N2085" s="94"/>
      <c r="O2085" s="94"/>
      <c r="P2085" s="94"/>
      <c r="Q2085" s="94"/>
      <c r="R2085" s="94"/>
      <c r="S2085" s="94"/>
      <c r="T2085" s="94"/>
      <c r="U2085" s="94"/>
      <c r="V2085" s="94"/>
      <c r="W2085" s="94"/>
      <c r="X2085" s="94"/>
    </row>
    <row r="2086" ht="15.75" customHeight="1">
      <c r="A2086" s="94"/>
      <c r="B2086" s="94"/>
      <c r="C2086" s="94"/>
      <c r="D2086" s="94"/>
      <c r="E2086" s="94"/>
      <c r="F2086" s="94"/>
      <c r="G2086" s="94"/>
      <c r="H2086" s="94"/>
      <c r="I2086" s="94"/>
      <c r="J2086" s="94"/>
      <c r="K2086" s="94"/>
      <c r="L2086" s="94"/>
      <c r="M2086" s="94"/>
      <c r="N2086" s="94"/>
      <c r="O2086" s="94"/>
      <c r="P2086" s="94"/>
      <c r="Q2086" s="94"/>
      <c r="R2086" s="94"/>
      <c r="S2086" s="94"/>
      <c r="T2086" s="94"/>
      <c r="U2086" s="94"/>
      <c r="V2086" s="94"/>
      <c r="W2086" s="94"/>
      <c r="X2086" s="94"/>
    </row>
    <row r="2087" ht="15.75" customHeight="1">
      <c r="A2087" s="94"/>
      <c r="B2087" s="94"/>
      <c r="C2087" s="94"/>
      <c r="D2087" s="94"/>
      <c r="E2087" s="94"/>
      <c r="F2087" s="94"/>
      <c r="G2087" s="94"/>
      <c r="H2087" s="94"/>
      <c r="I2087" s="94"/>
      <c r="J2087" s="94"/>
      <c r="K2087" s="94"/>
      <c r="L2087" s="94"/>
      <c r="M2087" s="94"/>
      <c r="N2087" s="94"/>
      <c r="O2087" s="94"/>
      <c r="P2087" s="94"/>
      <c r="Q2087" s="94"/>
      <c r="R2087" s="94"/>
      <c r="S2087" s="94"/>
      <c r="T2087" s="94"/>
      <c r="U2087" s="94"/>
      <c r="V2087" s="94"/>
      <c r="W2087" s="94"/>
      <c r="X2087" s="94"/>
    </row>
    <row r="2088" ht="15.75" customHeight="1">
      <c r="A2088" s="94"/>
      <c r="B2088" s="94"/>
      <c r="C2088" s="94"/>
      <c r="D2088" s="94"/>
      <c r="E2088" s="94"/>
      <c r="F2088" s="94"/>
      <c r="G2088" s="94"/>
      <c r="H2088" s="94"/>
      <c r="I2088" s="94"/>
      <c r="J2088" s="94"/>
      <c r="K2088" s="94"/>
      <c r="L2088" s="94"/>
      <c r="M2088" s="94"/>
      <c r="N2088" s="94"/>
      <c r="O2088" s="94"/>
      <c r="P2088" s="94"/>
      <c r="Q2088" s="94"/>
      <c r="R2088" s="94"/>
      <c r="S2088" s="94"/>
      <c r="T2088" s="94"/>
      <c r="U2088" s="94"/>
      <c r="V2088" s="94"/>
      <c r="W2088" s="94"/>
      <c r="X2088" s="94"/>
    </row>
    <row r="2089" ht="15.75" customHeight="1">
      <c r="A2089" s="94"/>
      <c r="B2089" s="94"/>
      <c r="C2089" s="94"/>
      <c r="D2089" s="94"/>
      <c r="E2089" s="94"/>
      <c r="F2089" s="94"/>
      <c r="G2089" s="94"/>
      <c r="H2089" s="94"/>
      <c r="I2089" s="94"/>
      <c r="J2089" s="94"/>
      <c r="K2089" s="94"/>
      <c r="L2089" s="94"/>
      <c r="M2089" s="94"/>
      <c r="N2089" s="94"/>
      <c r="O2089" s="94"/>
      <c r="P2089" s="94"/>
      <c r="Q2089" s="94"/>
      <c r="R2089" s="94"/>
      <c r="S2089" s="94"/>
      <c r="T2089" s="94"/>
      <c r="U2089" s="94"/>
      <c r="V2089" s="94"/>
      <c r="W2089" s="94"/>
      <c r="X2089" s="94"/>
    </row>
    <row r="2090" ht="15.75" customHeight="1">
      <c r="A2090" s="94"/>
      <c r="B2090" s="94"/>
      <c r="C2090" s="94"/>
      <c r="D2090" s="94"/>
      <c r="E2090" s="94"/>
      <c r="F2090" s="94"/>
      <c r="G2090" s="94"/>
      <c r="H2090" s="94"/>
      <c r="I2090" s="94"/>
      <c r="J2090" s="94"/>
      <c r="K2090" s="94"/>
      <c r="L2090" s="94"/>
      <c r="M2090" s="94"/>
      <c r="N2090" s="94"/>
      <c r="O2090" s="94"/>
      <c r="P2090" s="94"/>
      <c r="Q2090" s="94"/>
      <c r="R2090" s="94"/>
      <c r="S2090" s="94"/>
      <c r="T2090" s="94"/>
      <c r="U2090" s="94"/>
      <c r="V2090" s="94"/>
      <c r="W2090" s="94"/>
      <c r="X2090" s="94"/>
    </row>
    <row r="2091" ht="15.75" customHeight="1">
      <c r="A2091" s="94"/>
      <c r="B2091" s="94"/>
      <c r="C2091" s="94"/>
      <c r="D2091" s="94"/>
      <c r="E2091" s="94"/>
      <c r="F2091" s="94"/>
      <c r="G2091" s="94"/>
      <c r="H2091" s="94"/>
      <c r="I2091" s="94"/>
      <c r="J2091" s="94"/>
      <c r="K2091" s="94"/>
      <c r="L2091" s="94"/>
      <c r="M2091" s="94"/>
      <c r="N2091" s="94"/>
      <c r="O2091" s="94"/>
      <c r="P2091" s="94"/>
      <c r="Q2091" s="94"/>
      <c r="R2091" s="94"/>
      <c r="S2091" s="94"/>
      <c r="T2091" s="94"/>
      <c r="U2091" s="94"/>
      <c r="V2091" s="94"/>
      <c r="W2091" s="94"/>
      <c r="X2091" s="94"/>
    </row>
    <row r="2092" ht="15.75" customHeight="1">
      <c r="A2092" s="94"/>
      <c r="B2092" s="94"/>
      <c r="C2092" s="94"/>
      <c r="D2092" s="94"/>
      <c r="E2092" s="94"/>
      <c r="F2092" s="94"/>
      <c r="G2092" s="94"/>
      <c r="H2092" s="94"/>
      <c r="I2092" s="94"/>
      <c r="J2092" s="94"/>
      <c r="K2092" s="94"/>
      <c r="L2092" s="94"/>
      <c r="M2092" s="94"/>
      <c r="N2092" s="94"/>
      <c r="O2092" s="94"/>
      <c r="P2092" s="94"/>
      <c r="Q2092" s="94"/>
      <c r="R2092" s="94"/>
      <c r="S2092" s="94"/>
      <c r="T2092" s="94"/>
      <c r="U2092" s="94"/>
      <c r="V2092" s="94"/>
      <c r="W2092" s="94"/>
      <c r="X2092" s="94"/>
    </row>
    <row r="2093" ht="15.75" customHeight="1">
      <c r="A2093" s="94"/>
      <c r="B2093" s="94"/>
      <c r="C2093" s="94"/>
      <c r="D2093" s="94"/>
      <c r="E2093" s="94"/>
      <c r="F2093" s="94"/>
      <c r="G2093" s="94"/>
      <c r="H2093" s="94"/>
      <c r="I2093" s="94"/>
      <c r="J2093" s="94"/>
      <c r="K2093" s="94"/>
      <c r="L2093" s="94"/>
      <c r="M2093" s="94"/>
      <c r="N2093" s="94"/>
      <c r="O2093" s="94"/>
      <c r="P2093" s="94"/>
      <c r="Q2093" s="94"/>
      <c r="R2093" s="94"/>
      <c r="S2093" s="94"/>
      <c r="T2093" s="94"/>
      <c r="U2093" s="94"/>
      <c r="V2093" s="94"/>
      <c r="W2093" s="94"/>
      <c r="X2093" s="94"/>
    </row>
    <row r="2094" ht="15.75" customHeight="1">
      <c r="A2094" s="94"/>
      <c r="B2094" s="94"/>
      <c r="C2094" s="94"/>
      <c r="D2094" s="94"/>
      <c r="E2094" s="94"/>
      <c r="F2094" s="94"/>
      <c r="G2094" s="94"/>
      <c r="H2094" s="94"/>
      <c r="I2094" s="94"/>
      <c r="J2094" s="94"/>
      <c r="K2094" s="94"/>
      <c r="L2094" s="94"/>
      <c r="M2094" s="94"/>
      <c r="N2094" s="94"/>
      <c r="O2094" s="94"/>
      <c r="P2094" s="94"/>
      <c r="Q2094" s="94"/>
      <c r="R2094" s="94"/>
      <c r="S2094" s="94"/>
      <c r="T2094" s="94"/>
      <c r="U2094" s="94"/>
      <c r="V2094" s="94"/>
      <c r="W2094" s="94"/>
      <c r="X2094" s="94"/>
    </row>
    <row r="2095" ht="15.75" customHeight="1">
      <c r="A2095" s="94"/>
      <c r="B2095" s="94"/>
      <c r="C2095" s="94"/>
      <c r="D2095" s="94"/>
      <c r="E2095" s="94"/>
      <c r="F2095" s="94"/>
      <c r="G2095" s="94"/>
      <c r="H2095" s="94"/>
      <c r="I2095" s="94"/>
      <c r="J2095" s="94"/>
      <c r="K2095" s="94"/>
      <c r="L2095" s="94"/>
      <c r="M2095" s="94"/>
      <c r="N2095" s="94"/>
      <c r="O2095" s="94"/>
      <c r="P2095" s="94"/>
      <c r="Q2095" s="94"/>
      <c r="R2095" s="94"/>
      <c r="S2095" s="94"/>
      <c r="T2095" s="94"/>
      <c r="U2095" s="94"/>
      <c r="V2095" s="94"/>
      <c r="W2095" s="94"/>
      <c r="X2095" s="94"/>
    </row>
    <row r="2096" ht="15.75" customHeight="1">
      <c r="A2096" s="94"/>
      <c r="B2096" s="94"/>
      <c r="C2096" s="94"/>
      <c r="D2096" s="94"/>
      <c r="E2096" s="94"/>
      <c r="F2096" s="94"/>
      <c r="G2096" s="94"/>
      <c r="H2096" s="94"/>
      <c r="I2096" s="94"/>
      <c r="J2096" s="94"/>
      <c r="K2096" s="94"/>
      <c r="L2096" s="94"/>
      <c r="M2096" s="94"/>
      <c r="N2096" s="94"/>
      <c r="O2096" s="94"/>
      <c r="P2096" s="94"/>
      <c r="Q2096" s="94"/>
      <c r="R2096" s="94"/>
      <c r="S2096" s="94"/>
      <c r="T2096" s="94"/>
      <c r="U2096" s="94"/>
      <c r="V2096" s="94"/>
      <c r="W2096" s="94"/>
      <c r="X2096" s="94"/>
    </row>
    <row r="2097" ht="15.75" customHeight="1">
      <c r="A2097" s="94"/>
      <c r="B2097" s="94"/>
      <c r="C2097" s="94"/>
      <c r="D2097" s="94"/>
      <c r="E2097" s="94"/>
      <c r="F2097" s="94"/>
      <c r="G2097" s="94"/>
      <c r="H2097" s="94"/>
      <c r="I2097" s="94"/>
      <c r="J2097" s="94"/>
      <c r="K2097" s="94"/>
      <c r="L2097" s="94"/>
      <c r="M2097" s="94"/>
      <c r="N2097" s="94"/>
      <c r="O2097" s="94"/>
      <c r="P2097" s="94"/>
      <c r="Q2097" s="94"/>
      <c r="R2097" s="94"/>
      <c r="S2097" s="94"/>
      <c r="T2097" s="94"/>
      <c r="U2097" s="94"/>
      <c r="V2097" s="94"/>
      <c r="W2097" s="94"/>
      <c r="X2097" s="94"/>
    </row>
    <row r="2098" ht="15.75" customHeight="1">
      <c r="A2098" s="94"/>
      <c r="B2098" s="94"/>
      <c r="C2098" s="94"/>
      <c r="D2098" s="94"/>
      <c r="E2098" s="94"/>
      <c r="F2098" s="94"/>
      <c r="G2098" s="94"/>
      <c r="H2098" s="94"/>
      <c r="I2098" s="94"/>
      <c r="J2098" s="94"/>
      <c r="K2098" s="94"/>
      <c r="L2098" s="94"/>
      <c r="M2098" s="94"/>
      <c r="N2098" s="94"/>
      <c r="O2098" s="94"/>
      <c r="P2098" s="94"/>
      <c r="Q2098" s="94"/>
      <c r="R2098" s="94"/>
      <c r="S2098" s="94"/>
      <c r="T2098" s="94"/>
      <c r="U2098" s="94"/>
      <c r="V2098" s="94"/>
      <c r="W2098" s="94"/>
      <c r="X2098" s="94"/>
    </row>
    <row r="2099" ht="15.75" customHeight="1">
      <c r="A2099" s="94"/>
      <c r="B2099" s="94"/>
      <c r="C2099" s="94"/>
      <c r="D2099" s="94"/>
      <c r="E2099" s="94"/>
      <c r="F2099" s="94"/>
      <c r="G2099" s="94"/>
      <c r="H2099" s="94"/>
      <c r="I2099" s="94"/>
      <c r="J2099" s="94"/>
      <c r="K2099" s="94"/>
      <c r="L2099" s="94"/>
      <c r="M2099" s="94"/>
      <c r="N2099" s="94"/>
      <c r="O2099" s="94"/>
      <c r="P2099" s="94"/>
      <c r="Q2099" s="94"/>
      <c r="R2099" s="94"/>
      <c r="S2099" s="94"/>
      <c r="T2099" s="94"/>
      <c r="U2099" s="94"/>
      <c r="V2099" s="94"/>
      <c r="W2099" s="94"/>
      <c r="X2099" s="94"/>
    </row>
    <row r="2100" ht="15.75" customHeight="1">
      <c r="A2100" s="94"/>
      <c r="B2100" s="94"/>
      <c r="C2100" s="94"/>
      <c r="D2100" s="94"/>
      <c r="E2100" s="94"/>
      <c r="F2100" s="94"/>
      <c r="G2100" s="94"/>
      <c r="H2100" s="94"/>
      <c r="I2100" s="94"/>
      <c r="J2100" s="94"/>
      <c r="K2100" s="94"/>
      <c r="L2100" s="94"/>
      <c r="M2100" s="94"/>
      <c r="N2100" s="94"/>
      <c r="O2100" s="94"/>
      <c r="P2100" s="94"/>
      <c r="Q2100" s="94"/>
      <c r="R2100" s="94"/>
      <c r="S2100" s="94"/>
      <c r="T2100" s="94"/>
      <c r="U2100" s="94"/>
      <c r="V2100" s="94"/>
      <c r="W2100" s="94"/>
      <c r="X2100" s="94"/>
    </row>
    <row r="2101" ht="15.75" customHeight="1">
      <c r="A2101" s="94"/>
      <c r="B2101" s="94"/>
      <c r="C2101" s="94"/>
      <c r="D2101" s="94"/>
      <c r="E2101" s="94"/>
      <c r="F2101" s="94"/>
      <c r="G2101" s="94"/>
      <c r="H2101" s="94"/>
      <c r="I2101" s="94"/>
      <c r="J2101" s="94"/>
      <c r="K2101" s="94"/>
      <c r="L2101" s="94"/>
      <c r="M2101" s="94"/>
      <c r="N2101" s="94"/>
      <c r="O2101" s="94"/>
      <c r="P2101" s="94"/>
      <c r="Q2101" s="94"/>
      <c r="R2101" s="94"/>
      <c r="S2101" s="94"/>
      <c r="T2101" s="94"/>
      <c r="U2101" s="94"/>
      <c r="V2101" s="94"/>
      <c r="W2101" s="94"/>
      <c r="X2101" s="94"/>
    </row>
    <row r="2102" ht="15.75" customHeight="1">
      <c r="A2102" s="94"/>
      <c r="B2102" s="94"/>
      <c r="C2102" s="94"/>
      <c r="D2102" s="94"/>
      <c r="E2102" s="94"/>
      <c r="F2102" s="94"/>
      <c r="G2102" s="94"/>
      <c r="H2102" s="94"/>
      <c r="I2102" s="94"/>
      <c r="J2102" s="94"/>
      <c r="K2102" s="94"/>
      <c r="L2102" s="94"/>
      <c r="M2102" s="94"/>
      <c r="N2102" s="94"/>
      <c r="O2102" s="94"/>
      <c r="P2102" s="94"/>
      <c r="Q2102" s="94"/>
      <c r="R2102" s="94"/>
      <c r="S2102" s="94"/>
      <c r="T2102" s="94"/>
      <c r="U2102" s="94"/>
      <c r="V2102" s="94"/>
      <c r="W2102" s="94"/>
      <c r="X2102" s="94"/>
    </row>
    <row r="2103" ht="15.75" customHeight="1">
      <c r="A2103" s="94"/>
      <c r="B2103" s="94"/>
      <c r="C2103" s="94"/>
      <c r="D2103" s="94"/>
      <c r="E2103" s="94"/>
      <c r="F2103" s="94"/>
      <c r="G2103" s="94"/>
      <c r="H2103" s="94"/>
      <c r="I2103" s="94"/>
      <c r="J2103" s="94"/>
      <c r="K2103" s="94"/>
      <c r="L2103" s="94"/>
      <c r="M2103" s="94"/>
      <c r="N2103" s="94"/>
      <c r="O2103" s="94"/>
      <c r="P2103" s="94"/>
      <c r="Q2103" s="94"/>
      <c r="R2103" s="94"/>
      <c r="S2103" s="94"/>
      <c r="T2103" s="94"/>
      <c r="U2103" s="94"/>
      <c r="V2103" s="94"/>
      <c r="W2103" s="94"/>
      <c r="X2103" s="94"/>
    </row>
    <row r="2104" ht="15.75" customHeight="1">
      <c r="A2104" s="94"/>
      <c r="B2104" s="94"/>
      <c r="C2104" s="94"/>
      <c r="D2104" s="94"/>
      <c r="E2104" s="94"/>
      <c r="F2104" s="94"/>
      <c r="G2104" s="94"/>
      <c r="H2104" s="94"/>
      <c r="I2104" s="94"/>
      <c r="J2104" s="94"/>
      <c r="K2104" s="94"/>
      <c r="L2104" s="94"/>
      <c r="M2104" s="94"/>
      <c r="N2104" s="94"/>
      <c r="O2104" s="94"/>
      <c r="P2104" s="94"/>
      <c r="Q2104" s="94"/>
      <c r="R2104" s="94"/>
      <c r="S2104" s="94"/>
      <c r="T2104" s="94"/>
      <c r="U2104" s="94"/>
      <c r="V2104" s="94"/>
      <c r="W2104" s="94"/>
      <c r="X2104" s="94"/>
    </row>
    <row r="2105" ht="15.75" customHeight="1">
      <c r="A2105" s="94"/>
      <c r="B2105" s="94"/>
      <c r="C2105" s="94"/>
      <c r="D2105" s="94"/>
      <c r="E2105" s="94"/>
      <c r="F2105" s="94"/>
      <c r="G2105" s="94"/>
      <c r="H2105" s="94"/>
      <c r="I2105" s="94"/>
      <c r="J2105" s="94"/>
      <c r="K2105" s="94"/>
      <c r="L2105" s="94"/>
      <c r="M2105" s="94"/>
      <c r="N2105" s="94"/>
      <c r="O2105" s="94"/>
      <c r="P2105" s="94"/>
      <c r="Q2105" s="94"/>
      <c r="R2105" s="94"/>
      <c r="S2105" s="94"/>
      <c r="T2105" s="94"/>
      <c r="U2105" s="94"/>
      <c r="V2105" s="94"/>
      <c r="W2105" s="94"/>
      <c r="X2105" s="94"/>
    </row>
    <row r="2106" ht="15.75" customHeight="1">
      <c r="A2106" s="94"/>
      <c r="B2106" s="94"/>
      <c r="C2106" s="94"/>
      <c r="D2106" s="94"/>
      <c r="E2106" s="94"/>
      <c r="F2106" s="94"/>
      <c r="G2106" s="94"/>
      <c r="H2106" s="94"/>
      <c r="I2106" s="94"/>
      <c r="J2106" s="94"/>
      <c r="K2106" s="94"/>
      <c r="L2106" s="94"/>
      <c r="M2106" s="94"/>
      <c r="N2106" s="94"/>
      <c r="O2106" s="94"/>
      <c r="P2106" s="94"/>
      <c r="Q2106" s="94"/>
      <c r="R2106" s="94"/>
      <c r="S2106" s="94"/>
      <c r="T2106" s="94"/>
      <c r="U2106" s="94"/>
      <c r="V2106" s="94"/>
      <c r="W2106" s="94"/>
      <c r="X2106" s="94"/>
    </row>
    <row r="2107" ht="15.75" customHeight="1">
      <c r="A2107" s="94"/>
      <c r="B2107" s="94"/>
      <c r="C2107" s="94"/>
      <c r="D2107" s="94"/>
      <c r="E2107" s="94"/>
      <c r="F2107" s="94"/>
      <c r="G2107" s="94"/>
      <c r="H2107" s="94"/>
      <c r="I2107" s="94"/>
      <c r="J2107" s="94"/>
      <c r="K2107" s="94"/>
      <c r="L2107" s="94"/>
      <c r="M2107" s="94"/>
      <c r="N2107" s="94"/>
      <c r="O2107" s="94"/>
      <c r="P2107" s="94"/>
      <c r="Q2107" s="94"/>
      <c r="R2107" s="94"/>
      <c r="S2107" s="94"/>
      <c r="T2107" s="94"/>
      <c r="U2107" s="94"/>
      <c r="V2107" s="94"/>
      <c r="W2107" s="94"/>
      <c r="X2107" s="94"/>
    </row>
    <row r="2108" ht="15.75" customHeight="1">
      <c r="A2108" s="94"/>
      <c r="B2108" s="94"/>
      <c r="C2108" s="94"/>
      <c r="D2108" s="94"/>
      <c r="E2108" s="94"/>
      <c r="F2108" s="94"/>
      <c r="G2108" s="94"/>
      <c r="H2108" s="94"/>
      <c r="I2108" s="94"/>
      <c r="J2108" s="94"/>
      <c r="K2108" s="94"/>
      <c r="L2108" s="94"/>
      <c r="M2108" s="94"/>
      <c r="N2108" s="94"/>
      <c r="O2108" s="94"/>
      <c r="P2108" s="94"/>
      <c r="Q2108" s="94"/>
      <c r="R2108" s="94"/>
      <c r="S2108" s="94"/>
      <c r="T2108" s="94"/>
      <c r="U2108" s="94"/>
      <c r="V2108" s="94"/>
      <c r="W2108" s="94"/>
      <c r="X2108" s="94"/>
    </row>
    <row r="2109" ht="15.75" customHeight="1">
      <c r="A2109" s="94"/>
      <c r="B2109" s="94"/>
      <c r="C2109" s="94"/>
      <c r="D2109" s="94"/>
      <c r="E2109" s="94"/>
      <c r="F2109" s="94"/>
      <c r="G2109" s="94"/>
      <c r="H2109" s="94"/>
      <c r="I2109" s="94"/>
      <c r="J2109" s="94"/>
      <c r="K2109" s="94"/>
      <c r="L2109" s="94"/>
      <c r="M2109" s="94"/>
      <c r="N2109" s="94"/>
      <c r="O2109" s="94"/>
      <c r="P2109" s="94"/>
      <c r="Q2109" s="94"/>
      <c r="R2109" s="94"/>
      <c r="S2109" s="94"/>
      <c r="T2109" s="94"/>
      <c r="U2109" s="94"/>
      <c r="V2109" s="94"/>
      <c r="W2109" s="94"/>
      <c r="X2109" s="94"/>
    </row>
    <row r="2110" ht="15.75" customHeight="1">
      <c r="A2110" s="94"/>
      <c r="B2110" s="94"/>
      <c r="C2110" s="94"/>
      <c r="D2110" s="94"/>
      <c r="E2110" s="94"/>
      <c r="F2110" s="94"/>
      <c r="G2110" s="94"/>
      <c r="H2110" s="94"/>
      <c r="I2110" s="94"/>
      <c r="J2110" s="94"/>
      <c r="K2110" s="94"/>
      <c r="L2110" s="94"/>
      <c r="M2110" s="94"/>
      <c r="N2110" s="94"/>
      <c r="O2110" s="94"/>
      <c r="P2110" s="94"/>
      <c r="Q2110" s="94"/>
      <c r="R2110" s="94"/>
      <c r="S2110" s="94"/>
      <c r="T2110" s="94"/>
      <c r="U2110" s="94"/>
      <c r="V2110" s="94"/>
      <c r="W2110" s="94"/>
      <c r="X2110" s="94"/>
    </row>
    <row r="2111" ht="15.75" customHeight="1">
      <c r="A2111" s="94"/>
      <c r="B2111" s="94"/>
      <c r="C2111" s="94"/>
      <c r="D2111" s="94"/>
      <c r="E2111" s="94"/>
      <c r="F2111" s="94"/>
      <c r="G2111" s="94"/>
      <c r="H2111" s="94"/>
      <c r="I2111" s="94"/>
      <c r="J2111" s="94"/>
      <c r="K2111" s="94"/>
      <c r="L2111" s="94"/>
      <c r="M2111" s="94"/>
      <c r="N2111" s="94"/>
      <c r="O2111" s="94"/>
      <c r="P2111" s="94"/>
      <c r="Q2111" s="94"/>
      <c r="R2111" s="94"/>
      <c r="S2111" s="94"/>
      <c r="T2111" s="94"/>
      <c r="U2111" s="94"/>
      <c r="V2111" s="94"/>
      <c r="W2111" s="94"/>
      <c r="X2111" s="94"/>
    </row>
    <row r="2112" ht="15.75" customHeight="1">
      <c r="A2112" s="94"/>
      <c r="B2112" s="94"/>
      <c r="C2112" s="94"/>
      <c r="D2112" s="94"/>
      <c r="E2112" s="94"/>
      <c r="F2112" s="94"/>
      <c r="G2112" s="94"/>
      <c r="H2112" s="94"/>
      <c r="I2112" s="94"/>
      <c r="J2112" s="94"/>
      <c r="K2112" s="94"/>
      <c r="L2112" s="94"/>
      <c r="M2112" s="94"/>
      <c r="N2112" s="94"/>
      <c r="O2112" s="94"/>
      <c r="P2112" s="94"/>
      <c r="Q2112" s="94"/>
      <c r="R2112" s="94"/>
      <c r="S2112" s="94"/>
      <c r="T2112" s="94"/>
      <c r="U2112" s="94"/>
      <c r="V2112" s="94"/>
      <c r="W2112" s="94"/>
      <c r="X2112" s="94"/>
    </row>
    <row r="2113" ht="15.75" customHeight="1">
      <c r="A2113" s="94"/>
      <c r="B2113" s="94"/>
      <c r="C2113" s="94"/>
      <c r="D2113" s="94"/>
      <c r="E2113" s="94"/>
      <c r="F2113" s="94"/>
      <c r="G2113" s="94"/>
      <c r="H2113" s="94"/>
      <c r="I2113" s="94"/>
      <c r="J2113" s="94"/>
      <c r="K2113" s="94"/>
      <c r="L2113" s="94"/>
      <c r="M2113" s="94"/>
      <c r="N2113" s="94"/>
      <c r="O2113" s="94"/>
      <c r="P2113" s="94"/>
      <c r="Q2113" s="94"/>
      <c r="R2113" s="94"/>
      <c r="S2113" s="94"/>
      <c r="T2113" s="94"/>
      <c r="U2113" s="94"/>
      <c r="V2113" s="94"/>
      <c r="W2113" s="94"/>
      <c r="X2113" s="94"/>
    </row>
    <row r="2114" ht="15.75" customHeight="1">
      <c r="A2114" s="94"/>
      <c r="B2114" s="94"/>
      <c r="C2114" s="94"/>
      <c r="D2114" s="94"/>
      <c r="E2114" s="94"/>
      <c r="F2114" s="94"/>
      <c r="G2114" s="94"/>
      <c r="H2114" s="94"/>
      <c r="I2114" s="94"/>
      <c r="J2114" s="94"/>
      <c r="K2114" s="94"/>
      <c r="L2114" s="94"/>
      <c r="M2114" s="94"/>
      <c r="N2114" s="94"/>
      <c r="O2114" s="94"/>
      <c r="P2114" s="94"/>
      <c r="Q2114" s="94"/>
      <c r="R2114" s="94"/>
      <c r="S2114" s="94"/>
      <c r="T2114" s="94"/>
      <c r="U2114" s="94"/>
      <c r="V2114" s="94"/>
      <c r="W2114" s="94"/>
      <c r="X2114" s="94"/>
    </row>
    <row r="2115" ht="15.75" customHeight="1">
      <c r="A2115" s="94"/>
      <c r="B2115" s="94"/>
      <c r="C2115" s="94"/>
      <c r="D2115" s="94"/>
      <c r="E2115" s="94"/>
      <c r="F2115" s="94"/>
      <c r="G2115" s="94"/>
      <c r="H2115" s="94"/>
      <c r="I2115" s="94"/>
      <c r="J2115" s="94"/>
      <c r="K2115" s="94"/>
      <c r="L2115" s="94"/>
      <c r="M2115" s="94"/>
      <c r="N2115" s="94"/>
      <c r="O2115" s="94"/>
      <c r="P2115" s="94"/>
      <c r="Q2115" s="94"/>
      <c r="R2115" s="94"/>
      <c r="S2115" s="94"/>
      <c r="T2115" s="94"/>
      <c r="U2115" s="94"/>
      <c r="V2115" s="94"/>
      <c r="W2115" s="94"/>
      <c r="X2115" s="94"/>
    </row>
    <row r="2116" ht="15.75" customHeight="1">
      <c r="A2116" s="94"/>
      <c r="B2116" s="94"/>
      <c r="C2116" s="94"/>
      <c r="D2116" s="94"/>
      <c r="E2116" s="94"/>
      <c r="F2116" s="94"/>
      <c r="G2116" s="94"/>
      <c r="H2116" s="94"/>
      <c r="I2116" s="94"/>
      <c r="J2116" s="94"/>
      <c r="K2116" s="94"/>
      <c r="L2116" s="94"/>
      <c r="M2116" s="94"/>
      <c r="N2116" s="94"/>
      <c r="O2116" s="94"/>
      <c r="P2116" s="94"/>
      <c r="Q2116" s="94"/>
      <c r="R2116" s="94"/>
      <c r="S2116" s="94"/>
      <c r="T2116" s="94"/>
      <c r="U2116" s="94"/>
      <c r="V2116" s="94"/>
      <c r="W2116" s="94"/>
      <c r="X2116" s="94"/>
    </row>
    <row r="2117" ht="15.75" customHeight="1">
      <c r="A2117" s="94"/>
      <c r="B2117" s="94"/>
      <c r="C2117" s="94"/>
      <c r="D2117" s="94"/>
      <c r="E2117" s="94"/>
      <c r="F2117" s="94"/>
      <c r="G2117" s="94"/>
      <c r="H2117" s="94"/>
      <c r="I2117" s="94"/>
      <c r="J2117" s="94"/>
      <c r="K2117" s="94"/>
      <c r="L2117" s="94"/>
      <c r="M2117" s="94"/>
      <c r="N2117" s="94"/>
      <c r="O2117" s="94"/>
      <c r="P2117" s="94"/>
      <c r="Q2117" s="94"/>
      <c r="R2117" s="94"/>
      <c r="S2117" s="94"/>
      <c r="T2117" s="94"/>
      <c r="U2117" s="94"/>
      <c r="V2117" s="94"/>
      <c r="W2117" s="94"/>
      <c r="X2117" s="94"/>
    </row>
    <row r="2118" ht="15.75" customHeight="1">
      <c r="A2118" s="94"/>
      <c r="B2118" s="94"/>
      <c r="C2118" s="94"/>
      <c r="D2118" s="94"/>
      <c r="E2118" s="94"/>
      <c r="F2118" s="94"/>
      <c r="G2118" s="94"/>
      <c r="H2118" s="94"/>
      <c r="I2118" s="94"/>
      <c r="J2118" s="94"/>
      <c r="K2118" s="94"/>
      <c r="L2118" s="94"/>
      <c r="M2118" s="94"/>
      <c r="N2118" s="94"/>
      <c r="O2118" s="94"/>
      <c r="P2118" s="94"/>
      <c r="Q2118" s="94"/>
      <c r="R2118" s="94"/>
      <c r="S2118" s="94"/>
      <c r="T2118" s="94"/>
      <c r="U2118" s="94"/>
      <c r="V2118" s="94"/>
      <c r="W2118" s="94"/>
      <c r="X2118" s="94"/>
    </row>
    <row r="2119" ht="15.75" customHeight="1">
      <c r="A2119" s="94"/>
      <c r="B2119" s="94"/>
      <c r="C2119" s="94"/>
      <c r="D2119" s="94"/>
      <c r="E2119" s="94"/>
      <c r="F2119" s="94"/>
      <c r="G2119" s="94"/>
      <c r="H2119" s="94"/>
      <c r="I2119" s="94"/>
      <c r="J2119" s="94"/>
      <c r="K2119" s="94"/>
      <c r="L2119" s="94"/>
      <c r="M2119" s="94"/>
      <c r="N2119" s="94"/>
      <c r="O2119" s="94"/>
      <c r="P2119" s="94"/>
      <c r="Q2119" s="94"/>
      <c r="R2119" s="94"/>
      <c r="S2119" s="94"/>
      <c r="T2119" s="94"/>
      <c r="U2119" s="94"/>
      <c r="V2119" s="94"/>
      <c r="W2119" s="94"/>
      <c r="X2119" s="94"/>
    </row>
    <row r="2120" ht="15.75" customHeight="1">
      <c r="A2120" s="94"/>
      <c r="B2120" s="94"/>
      <c r="C2120" s="94"/>
      <c r="D2120" s="94"/>
      <c r="E2120" s="94"/>
      <c r="F2120" s="94"/>
      <c r="G2120" s="94"/>
      <c r="H2120" s="94"/>
      <c r="I2120" s="94"/>
      <c r="J2120" s="94"/>
      <c r="K2120" s="94"/>
      <c r="L2120" s="94"/>
      <c r="M2120" s="94"/>
      <c r="N2120" s="94"/>
      <c r="O2120" s="94"/>
      <c r="P2120" s="94"/>
      <c r="Q2120" s="94"/>
      <c r="R2120" s="94"/>
      <c r="S2120" s="94"/>
      <c r="T2120" s="94"/>
      <c r="U2120" s="94"/>
      <c r="V2120" s="94"/>
      <c r="W2120" s="94"/>
      <c r="X2120" s="94"/>
    </row>
    <row r="2121" ht="15.75" customHeight="1">
      <c r="A2121" s="94"/>
      <c r="B2121" s="94"/>
      <c r="C2121" s="94"/>
      <c r="D2121" s="94"/>
      <c r="E2121" s="94"/>
      <c r="F2121" s="94"/>
      <c r="G2121" s="94"/>
      <c r="H2121" s="94"/>
      <c r="I2121" s="94"/>
      <c r="J2121" s="94"/>
      <c r="K2121" s="94"/>
      <c r="L2121" s="94"/>
      <c r="M2121" s="94"/>
      <c r="N2121" s="94"/>
      <c r="O2121" s="94"/>
      <c r="P2121" s="94"/>
      <c r="Q2121" s="94"/>
      <c r="R2121" s="94"/>
      <c r="S2121" s="94"/>
      <c r="T2121" s="94"/>
      <c r="U2121" s="94"/>
      <c r="V2121" s="94"/>
      <c r="W2121" s="94"/>
      <c r="X2121" s="94"/>
    </row>
    <row r="2122" ht="15.75" customHeight="1">
      <c r="A2122" s="94"/>
      <c r="B2122" s="94"/>
      <c r="C2122" s="94"/>
      <c r="D2122" s="94"/>
      <c r="E2122" s="94"/>
      <c r="F2122" s="94"/>
      <c r="G2122" s="94"/>
      <c r="H2122" s="94"/>
      <c r="I2122" s="94"/>
      <c r="J2122" s="94"/>
      <c r="K2122" s="94"/>
      <c r="L2122" s="94"/>
      <c r="M2122" s="94"/>
      <c r="N2122" s="94"/>
      <c r="O2122" s="94"/>
      <c r="P2122" s="94"/>
      <c r="Q2122" s="94"/>
      <c r="R2122" s="94"/>
      <c r="S2122" s="94"/>
      <c r="T2122" s="94"/>
      <c r="U2122" s="94"/>
      <c r="V2122" s="94"/>
      <c r="W2122" s="94"/>
      <c r="X2122" s="94"/>
    </row>
    <row r="2123" ht="15.75" customHeight="1">
      <c r="A2123" s="94"/>
      <c r="B2123" s="94"/>
      <c r="C2123" s="94"/>
      <c r="D2123" s="94"/>
      <c r="E2123" s="94"/>
      <c r="F2123" s="94"/>
      <c r="G2123" s="94"/>
      <c r="H2123" s="94"/>
      <c r="I2123" s="94"/>
      <c r="J2123" s="94"/>
      <c r="K2123" s="94"/>
      <c r="L2123" s="94"/>
      <c r="M2123" s="94"/>
      <c r="N2123" s="94"/>
      <c r="O2123" s="94"/>
      <c r="P2123" s="94"/>
      <c r="Q2123" s="94"/>
      <c r="R2123" s="94"/>
      <c r="S2123" s="94"/>
      <c r="T2123" s="94"/>
      <c r="U2123" s="94"/>
      <c r="V2123" s="94"/>
      <c r="W2123" s="94"/>
      <c r="X2123" s="94"/>
    </row>
    <row r="2124" ht="15.75" customHeight="1">
      <c r="A2124" s="94"/>
      <c r="B2124" s="94"/>
      <c r="C2124" s="94"/>
      <c r="D2124" s="94"/>
      <c r="E2124" s="94"/>
      <c r="F2124" s="94"/>
      <c r="G2124" s="94"/>
      <c r="H2124" s="94"/>
      <c r="I2124" s="94"/>
      <c r="J2124" s="94"/>
      <c r="K2124" s="94"/>
      <c r="L2124" s="94"/>
      <c r="M2124" s="94"/>
      <c r="N2124" s="94"/>
      <c r="O2124" s="94"/>
      <c r="P2124" s="94"/>
      <c r="Q2124" s="94"/>
      <c r="R2124" s="94"/>
      <c r="S2124" s="94"/>
      <c r="T2124" s="94"/>
      <c r="U2124" s="94"/>
      <c r="V2124" s="94"/>
      <c r="W2124" s="94"/>
      <c r="X2124" s="94"/>
    </row>
    <row r="2125" ht="15.75" customHeight="1">
      <c r="A2125" s="94"/>
      <c r="B2125" s="94"/>
      <c r="C2125" s="94"/>
      <c r="D2125" s="94"/>
      <c r="E2125" s="94"/>
      <c r="F2125" s="94"/>
      <c r="G2125" s="94"/>
      <c r="H2125" s="94"/>
      <c r="I2125" s="94"/>
      <c r="J2125" s="94"/>
      <c r="K2125" s="94"/>
      <c r="L2125" s="94"/>
      <c r="M2125" s="94"/>
      <c r="N2125" s="94"/>
      <c r="O2125" s="94"/>
      <c r="P2125" s="94"/>
      <c r="Q2125" s="94"/>
      <c r="R2125" s="94"/>
      <c r="S2125" s="94"/>
      <c r="T2125" s="94"/>
      <c r="U2125" s="94"/>
      <c r="V2125" s="94"/>
      <c r="W2125" s="94"/>
      <c r="X2125" s="94"/>
    </row>
    <row r="2126" ht="15.75" customHeight="1">
      <c r="A2126" s="94"/>
      <c r="B2126" s="94"/>
      <c r="C2126" s="94"/>
      <c r="D2126" s="94"/>
      <c r="E2126" s="94"/>
      <c r="F2126" s="94"/>
      <c r="G2126" s="94"/>
      <c r="H2126" s="94"/>
      <c r="I2126" s="94"/>
      <c r="J2126" s="94"/>
      <c r="K2126" s="94"/>
      <c r="L2126" s="94"/>
      <c r="M2126" s="94"/>
      <c r="N2126" s="94"/>
      <c r="O2126" s="94"/>
      <c r="P2126" s="94"/>
      <c r="Q2126" s="94"/>
      <c r="R2126" s="94"/>
      <c r="S2126" s="94"/>
      <c r="T2126" s="94"/>
      <c r="U2126" s="94"/>
      <c r="V2126" s="94"/>
      <c r="W2126" s="94"/>
      <c r="X2126" s="94"/>
    </row>
    <row r="2127" ht="15.75" customHeight="1">
      <c r="A2127" s="94"/>
      <c r="B2127" s="94"/>
      <c r="C2127" s="94"/>
      <c r="D2127" s="94"/>
      <c r="E2127" s="94"/>
      <c r="F2127" s="94"/>
      <c r="G2127" s="94"/>
      <c r="H2127" s="94"/>
      <c r="I2127" s="94"/>
      <c r="J2127" s="94"/>
      <c r="K2127" s="94"/>
      <c r="L2127" s="94"/>
      <c r="M2127" s="94"/>
      <c r="N2127" s="94"/>
      <c r="O2127" s="94"/>
      <c r="P2127" s="94"/>
      <c r="Q2127" s="94"/>
      <c r="R2127" s="94"/>
      <c r="S2127" s="94"/>
      <c r="T2127" s="94"/>
      <c r="U2127" s="94"/>
      <c r="V2127" s="94"/>
      <c r="W2127" s="94"/>
      <c r="X2127" s="94"/>
    </row>
    <row r="2128" ht="15.75" customHeight="1">
      <c r="A2128" s="94"/>
      <c r="B2128" s="94"/>
      <c r="C2128" s="94"/>
      <c r="D2128" s="94"/>
      <c r="E2128" s="94"/>
      <c r="F2128" s="94"/>
      <c r="G2128" s="94"/>
      <c r="H2128" s="94"/>
      <c r="I2128" s="94"/>
      <c r="J2128" s="94"/>
      <c r="K2128" s="94"/>
      <c r="L2128" s="94"/>
      <c r="M2128" s="94"/>
      <c r="N2128" s="94"/>
      <c r="O2128" s="94"/>
      <c r="P2128" s="94"/>
      <c r="Q2128" s="94"/>
      <c r="R2128" s="94"/>
      <c r="S2128" s="94"/>
      <c r="T2128" s="94"/>
      <c r="U2128" s="94"/>
      <c r="V2128" s="94"/>
      <c r="W2128" s="94"/>
      <c r="X2128" s="94"/>
    </row>
  </sheetData>
  <autoFilter ref="$A$1:$Z$1819"/>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0"/>
    <col customWidth="1" min="2" max="2" width="7.38"/>
    <col customWidth="1" min="3" max="3" width="10.13"/>
    <col customWidth="1" min="4" max="4" width="0.38"/>
    <col customWidth="1" min="5" max="31" width="4.13"/>
  </cols>
  <sheetData>
    <row r="1" ht="15.75" customHeight="1">
      <c r="A1" s="852"/>
      <c r="B1" s="852"/>
      <c r="C1" s="853"/>
      <c r="D1" s="2176" t="s">
        <v>1775</v>
      </c>
      <c r="E1" s="2177"/>
      <c r="F1" s="2177"/>
      <c r="G1" s="2177"/>
      <c r="H1" s="2177"/>
      <c r="I1" s="2177"/>
      <c r="J1" s="2177"/>
      <c r="K1" s="2177"/>
      <c r="L1" s="2177"/>
      <c r="M1" s="860"/>
      <c r="N1" s="2178" t="s">
        <v>1776</v>
      </c>
      <c r="O1" s="2177"/>
      <c r="P1" s="2177"/>
      <c r="Q1" s="2177"/>
      <c r="R1" s="2177"/>
      <c r="S1" s="2177"/>
      <c r="T1" s="2177"/>
      <c r="U1" s="2177"/>
      <c r="V1" s="860"/>
      <c r="W1" s="2178" t="s">
        <v>1777</v>
      </c>
      <c r="X1" s="2177"/>
      <c r="Y1" s="2177"/>
      <c r="Z1" s="2177"/>
      <c r="AA1" s="2177"/>
      <c r="AB1" s="2177"/>
      <c r="AC1" s="2177"/>
      <c r="AD1" s="2177"/>
      <c r="AE1" s="860"/>
    </row>
    <row r="2" ht="15.75" customHeight="1">
      <c r="A2" s="2179"/>
      <c r="B2" s="2180" t="s">
        <v>903</v>
      </c>
      <c r="C2" s="2181" t="s">
        <v>303</v>
      </c>
      <c r="D2" s="2182" t="s">
        <v>1778</v>
      </c>
      <c r="E2" s="2183" t="s">
        <v>1039</v>
      </c>
      <c r="F2" s="2183" t="s">
        <v>1040</v>
      </c>
      <c r="G2" s="2183" t="s">
        <v>1041</v>
      </c>
      <c r="H2" s="2183" t="s">
        <v>1779</v>
      </c>
      <c r="I2" s="2183" t="s">
        <v>1508</v>
      </c>
      <c r="J2" s="2183" t="s">
        <v>1509</v>
      </c>
      <c r="K2" s="2183" t="s">
        <v>1510</v>
      </c>
      <c r="L2" s="2183" t="s">
        <v>1511</v>
      </c>
      <c r="M2" s="2184" t="s">
        <v>1778</v>
      </c>
      <c r="N2" s="2185" t="s">
        <v>1039</v>
      </c>
      <c r="O2" s="2185" t="s">
        <v>1040</v>
      </c>
      <c r="P2" s="2185" t="s">
        <v>1041</v>
      </c>
      <c r="Q2" s="2185" t="s">
        <v>1779</v>
      </c>
      <c r="R2" s="2185" t="s">
        <v>1508</v>
      </c>
      <c r="S2" s="2185" t="s">
        <v>1509</v>
      </c>
      <c r="T2" s="2185" t="s">
        <v>1510</v>
      </c>
      <c r="U2" s="2185" t="s">
        <v>1511</v>
      </c>
      <c r="V2" s="2186" t="s">
        <v>1778</v>
      </c>
      <c r="W2" s="2187" t="s">
        <v>1039</v>
      </c>
      <c r="X2" s="2185" t="s">
        <v>1040</v>
      </c>
      <c r="Y2" s="2185" t="s">
        <v>1041</v>
      </c>
      <c r="Z2" s="2185" t="s">
        <v>1779</v>
      </c>
      <c r="AA2" s="2185" t="s">
        <v>1508</v>
      </c>
      <c r="AB2" s="2185" t="s">
        <v>1509</v>
      </c>
      <c r="AC2" s="2185" t="s">
        <v>1510</v>
      </c>
      <c r="AD2" s="2185" t="s">
        <v>1511</v>
      </c>
      <c r="AE2" s="2188" t="s">
        <v>1778</v>
      </c>
    </row>
    <row r="3" ht="15.0" customHeight="1">
      <c r="A3" s="888"/>
      <c r="B3" s="888" t="s">
        <v>177</v>
      </c>
      <c r="C3" s="1156" t="s">
        <v>1780</v>
      </c>
      <c r="D3" s="2189">
        <v>0.0</v>
      </c>
      <c r="E3" s="2190">
        <v>1.0</v>
      </c>
      <c r="F3" s="2191">
        <v>1.0</v>
      </c>
      <c r="G3" s="2191">
        <v>1.0</v>
      </c>
      <c r="H3" s="2192"/>
      <c r="I3" s="2192">
        <v>1.0</v>
      </c>
      <c r="J3" s="2192">
        <v>2.0</v>
      </c>
      <c r="K3" s="2192">
        <v>3.0</v>
      </c>
      <c r="L3" s="2192">
        <v>1.0</v>
      </c>
      <c r="M3" s="2193"/>
      <c r="N3" s="2194"/>
      <c r="O3" s="2195"/>
      <c r="P3" s="2195"/>
      <c r="Q3" s="2196"/>
      <c r="R3" s="2196"/>
      <c r="S3" s="2196"/>
      <c r="T3" s="2196"/>
      <c r="U3" s="2196"/>
      <c r="V3" s="2197"/>
      <c r="W3" s="2198">
        <v>1.0</v>
      </c>
      <c r="X3" s="2198"/>
      <c r="Y3" s="2198">
        <v>1.0</v>
      </c>
      <c r="Z3" s="2198">
        <v>1.0</v>
      </c>
      <c r="AA3" s="2198"/>
      <c r="AB3" s="2198">
        <v>3.0</v>
      </c>
      <c r="AC3" s="2198">
        <v>1.0</v>
      </c>
      <c r="AD3" s="2198">
        <v>9.0</v>
      </c>
      <c r="AE3" s="2198">
        <v>7.0</v>
      </c>
    </row>
    <row r="4" ht="15.0" customHeight="1">
      <c r="A4" s="911"/>
      <c r="B4" s="911" t="s">
        <v>177</v>
      </c>
      <c r="C4" s="1156" t="s">
        <v>1781</v>
      </c>
      <c r="D4" s="2189">
        <v>1.0</v>
      </c>
      <c r="E4" s="2199">
        <v>1.0</v>
      </c>
      <c r="F4" s="2195">
        <v>1.0</v>
      </c>
      <c r="G4" s="2195"/>
      <c r="H4" s="2196"/>
      <c r="I4" s="2196">
        <v>2.0</v>
      </c>
      <c r="J4" s="2196">
        <v>6.0</v>
      </c>
      <c r="K4" s="2196"/>
      <c r="L4" s="2196">
        <v>1.0</v>
      </c>
      <c r="M4" s="2200"/>
      <c r="N4" s="2194"/>
      <c r="O4" s="2195"/>
      <c r="P4" s="2195"/>
      <c r="Q4" s="2196"/>
      <c r="R4" s="2196"/>
      <c r="S4" s="2196"/>
      <c r="T4" s="2196"/>
      <c r="U4" s="2196"/>
      <c r="V4" s="2197"/>
      <c r="W4" s="2201"/>
      <c r="X4" s="2201"/>
      <c r="Y4" s="2201"/>
      <c r="Z4" s="2201"/>
      <c r="AA4" s="2201"/>
      <c r="AB4" s="2201"/>
      <c r="AC4" s="2201"/>
      <c r="AD4" s="2201"/>
      <c r="AE4" s="2201"/>
    </row>
    <row r="5" ht="15.0" customHeight="1">
      <c r="A5" s="911"/>
      <c r="B5" s="911" t="s">
        <v>177</v>
      </c>
      <c r="C5" s="1156" t="s">
        <v>1782</v>
      </c>
      <c r="D5" s="2189">
        <v>0.0</v>
      </c>
      <c r="E5" s="2199"/>
      <c r="F5" s="2195"/>
      <c r="G5" s="2195"/>
      <c r="H5" s="2196">
        <v>1.0</v>
      </c>
      <c r="I5" s="2196"/>
      <c r="J5" s="2196"/>
      <c r="K5" s="2196"/>
      <c r="L5" s="2196"/>
      <c r="M5" s="2200"/>
      <c r="N5" s="2194"/>
      <c r="O5" s="2195"/>
      <c r="P5" s="2195"/>
      <c r="Q5" s="2196"/>
      <c r="R5" s="2196"/>
      <c r="S5" s="2196">
        <v>1.0</v>
      </c>
      <c r="T5" s="2196"/>
      <c r="U5" s="2196">
        <v>1.0</v>
      </c>
      <c r="V5" s="2197"/>
      <c r="W5" s="2201"/>
      <c r="X5" s="2201"/>
      <c r="Y5" s="2201"/>
      <c r="Z5" s="2201"/>
      <c r="AA5" s="2201"/>
      <c r="AB5" s="2201"/>
      <c r="AC5" s="2201"/>
      <c r="AD5" s="2201"/>
      <c r="AE5" s="2201"/>
    </row>
    <row r="6" ht="15.0" customHeight="1">
      <c r="A6" s="911"/>
      <c r="B6" s="911" t="s">
        <v>177</v>
      </c>
      <c r="C6" s="1156" t="s">
        <v>1783</v>
      </c>
      <c r="D6" s="2189">
        <v>0.0</v>
      </c>
      <c r="E6" s="2199"/>
      <c r="F6" s="2195"/>
      <c r="G6" s="2195">
        <v>1.0</v>
      </c>
      <c r="H6" s="2196"/>
      <c r="I6" s="2196"/>
      <c r="J6" s="2196"/>
      <c r="K6" s="2196">
        <v>1.0</v>
      </c>
      <c r="L6" s="2196"/>
      <c r="M6" s="2200"/>
      <c r="N6" s="2194"/>
      <c r="O6" s="2195"/>
      <c r="P6" s="2195"/>
      <c r="Q6" s="2196"/>
      <c r="R6" s="2196">
        <v>1.0</v>
      </c>
      <c r="S6" s="2196"/>
      <c r="T6" s="2196"/>
      <c r="U6" s="2196">
        <v>1.0</v>
      </c>
      <c r="V6" s="2197"/>
      <c r="W6" s="2201"/>
      <c r="X6" s="2201"/>
      <c r="Y6" s="2201"/>
      <c r="Z6" s="2201"/>
      <c r="AA6" s="2201"/>
      <c r="AB6" s="2201"/>
      <c r="AC6" s="2201"/>
      <c r="AD6" s="2201"/>
      <c r="AE6" s="2201"/>
    </row>
    <row r="7" ht="15.0" customHeight="1">
      <c r="A7" s="911"/>
      <c r="B7" s="911" t="s">
        <v>177</v>
      </c>
      <c r="C7" s="1156" t="s">
        <v>1784</v>
      </c>
      <c r="D7" s="2189">
        <v>0.0</v>
      </c>
      <c r="E7" s="2199"/>
      <c r="F7" s="2195"/>
      <c r="G7" s="2195"/>
      <c r="H7" s="2196"/>
      <c r="I7" s="2196"/>
      <c r="J7" s="2196"/>
      <c r="K7" s="2196"/>
      <c r="L7" s="2196">
        <v>1.0</v>
      </c>
      <c r="M7" s="2200">
        <v>1.0</v>
      </c>
      <c r="N7" s="2194"/>
      <c r="O7" s="2195"/>
      <c r="P7" s="2195"/>
      <c r="Q7" s="2196"/>
      <c r="R7" s="2196"/>
      <c r="S7" s="2196"/>
      <c r="T7" s="2196"/>
      <c r="U7" s="2196"/>
      <c r="V7" s="2197"/>
      <c r="W7" s="2201"/>
      <c r="X7" s="2201"/>
      <c r="Y7" s="2201"/>
      <c r="Z7" s="2201"/>
      <c r="AA7" s="2201"/>
      <c r="AB7" s="2201"/>
      <c r="AC7" s="2201"/>
      <c r="AD7" s="2201"/>
      <c r="AE7" s="2201"/>
    </row>
    <row r="8" ht="15.0" customHeight="1">
      <c r="A8" s="931"/>
      <c r="B8" s="931" t="s">
        <v>177</v>
      </c>
      <c r="C8" s="1156" t="s">
        <v>1785</v>
      </c>
      <c r="D8" s="2189">
        <v>1.0</v>
      </c>
      <c r="E8" s="2199"/>
      <c r="F8" s="2195"/>
      <c r="G8" s="2195"/>
      <c r="H8" s="2196">
        <v>1.0</v>
      </c>
      <c r="I8" s="2196">
        <v>1.0</v>
      </c>
      <c r="J8" s="2196"/>
      <c r="K8" s="2196"/>
      <c r="L8" s="2196">
        <v>1.0</v>
      </c>
      <c r="M8" s="2200"/>
      <c r="N8" s="2194"/>
      <c r="O8" s="2195"/>
      <c r="P8" s="2195"/>
      <c r="Q8" s="2196"/>
      <c r="R8" s="2196">
        <v>1.0</v>
      </c>
      <c r="S8" s="2196"/>
      <c r="T8" s="2196">
        <v>1.0</v>
      </c>
      <c r="U8" s="2196">
        <v>1.0</v>
      </c>
      <c r="V8" s="2197"/>
      <c r="W8" s="2201"/>
      <c r="X8" s="2201"/>
      <c r="Y8" s="2201"/>
      <c r="Z8" s="2201"/>
      <c r="AA8" s="2201"/>
      <c r="AB8" s="2201"/>
      <c r="AC8" s="2201"/>
      <c r="AD8" s="2201"/>
      <c r="AE8" s="2201"/>
    </row>
    <row r="9" ht="15.0" customHeight="1">
      <c r="A9" s="911"/>
      <c r="B9" s="911" t="s">
        <v>177</v>
      </c>
      <c r="C9" s="2202" t="s">
        <v>1786</v>
      </c>
      <c r="D9" s="2189">
        <v>0.0</v>
      </c>
      <c r="E9" s="2199"/>
      <c r="F9" s="2195"/>
      <c r="G9" s="2195"/>
      <c r="H9" s="2196"/>
      <c r="I9" s="2196"/>
      <c r="J9" s="2196"/>
      <c r="K9" s="2196"/>
      <c r="L9" s="2196"/>
      <c r="M9" s="2200"/>
      <c r="N9" s="2194"/>
      <c r="O9" s="2195"/>
      <c r="P9" s="2195"/>
      <c r="Q9" s="2196"/>
      <c r="R9" s="2196"/>
      <c r="S9" s="2196"/>
      <c r="T9" s="2196"/>
      <c r="U9" s="2196"/>
      <c r="V9" s="2197"/>
      <c r="W9" s="2201"/>
      <c r="X9" s="2201"/>
      <c r="Y9" s="2201"/>
      <c r="Z9" s="2201"/>
      <c r="AA9" s="2201"/>
      <c r="AB9" s="2201"/>
      <c r="AC9" s="2201"/>
      <c r="AD9" s="2201"/>
      <c r="AE9" s="2201"/>
    </row>
    <row r="10" ht="15.0" customHeight="1">
      <c r="A10" s="911"/>
      <c r="B10" s="911" t="s">
        <v>177</v>
      </c>
      <c r="C10" s="1156" t="s">
        <v>1787</v>
      </c>
      <c r="D10" s="2189">
        <v>2.0</v>
      </c>
      <c r="E10" s="2199"/>
      <c r="F10" s="2195"/>
      <c r="G10" s="2195"/>
      <c r="H10" s="2196"/>
      <c r="I10" s="2196"/>
      <c r="J10" s="2196"/>
      <c r="K10" s="2196"/>
      <c r="L10" s="2196"/>
      <c r="M10" s="2200"/>
      <c r="N10" s="2194"/>
      <c r="O10" s="2195"/>
      <c r="P10" s="2195"/>
      <c r="Q10" s="2196"/>
      <c r="R10" s="2196"/>
      <c r="S10" s="2196"/>
      <c r="T10" s="2196"/>
      <c r="U10" s="2196">
        <v>1.0</v>
      </c>
      <c r="V10" s="2197"/>
      <c r="W10" s="2201"/>
      <c r="X10" s="2201"/>
      <c r="Y10" s="2201"/>
      <c r="Z10" s="2201"/>
      <c r="AA10" s="2201"/>
      <c r="AB10" s="2201"/>
      <c r="AC10" s="2201"/>
      <c r="AD10" s="2201"/>
      <c r="AE10" s="2201"/>
    </row>
    <row r="11" ht="15.0" customHeight="1">
      <c r="A11" s="911"/>
      <c r="B11" s="911" t="s">
        <v>177</v>
      </c>
      <c r="C11" s="1156" t="s">
        <v>1788</v>
      </c>
      <c r="D11" s="2189">
        <v>0.0</v>
      </c>
      <c r="E11" s="2199"/>
      <c r="F11" s="2195"/>
      <c r="G11" s="2195"/>
      <c r="H11" s="2196"/>
      <c r="I11" s="2196"/>
      <c r="J11" s="2196">
        <v>1.0</v>
      </c>
      <c r="K11" s="2196">
        <v>2.0</v>
      </c>
      <c r="L11" s="2196">
        <v>1.0</v>
      </c>
      <c r="M11" s="2200">
        <v>1.0</v>
      </c>
      <c r="N11" s="2194"/>
      <c r="O11" s="2195"/>
      <c r="P11" s="2195"/>
      <c r="Q11" s="2196"/>
      <c r="R11" s="2196"/>
      <c r="S11" s="2196"/>
      <c r="T11" s="2196">
        <v>1.0</v>
      </c>
      <c r="U11" s="2196"/>
      <c r="V11" s="2197"/>
      <c r="W11" s="2201"/>
      <c r="X11" s="2201"/>
      <c r="Y11" s="2201"/>
      <c r="Z11" s="2201"/>
      <c r="AA11" s="2201"/>
      <c r="AB11" s="2201"/>
      <c r="AC11" s="2201"/>
      <c r="AD11" s="2201"/>
      <c r="AE11" s="2201"/>
    </row>
    <row r="12" ht="15.0" customHeight="1">
      <c r="A12" s="911"/>
      <c r="B12" s="911" t="s">
        <v>177</v>
      </c>
      <c r="C12" s="1156" t="s">
        <v>1789</v>
      </c>
      <c r="D12" s="2189"/>
      <c r="E12" s="2199">
        <v>3.0</v>
      </c>
      <c r="F12" s="2195"/>
      <c r="G12" s="2195">
        <v>1.0</v>
      </c>
      <c r="H12" s="2196"/>
      <c r="I12" s="2196">
        <v>1.0</v>
      </c>
      <c r="J12" s="2196">
        <v>1.0</v>
      </c>
      <c r="K12" s="2196"/>
      <c r="L12" s="2196"/>
      <c r="M12" s="2200"/>
      <c r="N12" s="2194"/>
      <c r="O12" s="2195"/>
      <c r="P12" s="2195"/>
      <c r="Q12" s="2196"/>
      <c r="R12" s="2196"/>
      <c r="S12" s="2196">
        <v>2.0</v>
      </c>
      <c r="T12" s="2196">
        <v>3.0</v>
      </c>
      <c r="U12" s="2196">
        <v>3.0</v>
      </c>
      <c r="V12" s="2197">
        <v>1.0</v>
      </c>
      <c r="W12" s="2201"/>
      <c r="X12" s="2201"/>
      <c r="Y12" s="2201"/>
      <c r="Z12" s="2201"/>
      <c r="AA12" s="2201"/>
      <c r="AB12" s="2201"/>
      <c r="AC12" s="2201"/>
      <c r="AD12" s="2201"/>
      <c r="AE12" s="2201"/>
    </row>
    <row r="13" ht="15.0" customHeight="1">
      <c r="A13" s="911"/>
      <c r="B13" s="911" t="s">
        <v>177</v>
      </c>
      <c r="C13" s="1156" t="s">
        <v>1790</v>
      </c>
      <c r="D13" s="2189">
        <v>2.0</v>
      </c>
      <c r="E13" s="2199"/>
      <c r="F13" s="2195"/>
      <c r="G13" s="2195"/>
      <c r="H13" s="2196"/>
      <c r="I13" s="2196">
        <v>2.0</v>
      </c>
      <c r="J13" s="2196">
        <v>1.0</v>
      </c>
      <c r="K13" s="2196"/>
      <c r="L13" s="2196">
        <v>1.0</v>
      </c>
      <c r="M13" s="2200"/>
      <c r="N13" s="2194"/>
      <c r="O13" s="2195"/>
      <c r="P13" s="2195"/>
      <c r="Q13" s="2196"/>
      <c r="R13" s="2196"/>
      <c r="S13" s="2196">
        <v>1.0</v>
      </c>
      <c r="T13" s="2196">
        <v>1.0</v>
      </c>
      <c r="U13" s="2196"/>
      <c r="V13" s="2197">
        <v>1.0</v>
      </c>
      <c r="W13" s="2201"/>
      <c r="X13" s="2201"/>
      <c r="Y13" s="2201"/>
      <c r="Z13" s="2201"/>
      <c r="AA13" s="2201"/>
      <c r="AB13" s="2201"/>
      <c r="AC13" s="2201"/>
      <c r="AD13" s="2201"/>
      <c r="AE13" s="2201"/>
    </row>
    <row r="14" ht="15.0" customHeight="1">
      <c r="A14" s="911"/>
      <c r="B14" s="911" t="s">
        <v>177</v>
      </c>
      <c r="C14" s="1156" t="s">
        <v>1791</v>
      </c>
      <c r="D14" s="2189">
        <v>2.0</v>
      </c>
      <c r="E14" s="2199"/>
      <c r="F14" s="2195"/>
      <c r="G14" s="2195"/>
      <c r="H14" s="2196">
        <v>1.0</v>
      </c>
      <c r="I14" s="2196">
        <v>3.0</v>
      </c>
      <c r="J14" s="2196">
        <v>1.0</v>
      </c>
      <c r="K14" s="2196"/>
      <c r="L14" s="2196">
        <v>1.0</v>
      </c>
      <c r="M14" s="2200">
        <v>1.0</v>
      </c>
      <c r="N14" s="2194"/>
      <c r="O14" s="2195"/>
      <c r="P14" s="2195"/>
      <c r="Q14" s="2196"/>
      <c r="R14" s="2196">
        <v>1.0</v>
      </c>
      <c r="S14" s="2196"/>
      <c r="T14" s="2196"/>
      <c r="U14" s="2196"/>
      <c r="V14" s="2197"/>
      <c r="W14" s="2201"/>
      <c r="X14" s="2201"/>
      <c r="Y14" s="2201"/>
      <c r="Z14" s="2201"/>
      <c r="AA14" s="2201"/>
      <c r="AB14" s="2201"/>
      <c r="AC14" s="2201"/>
      <c r="AD14" s="2201"/>
      <c r="AE14" s="2201"/>
    </row>
    <row r="15" ht="15.0" customHeight="1">
      <c r="A15" s="931"/>
      <c r="B15" s="911" t="s">
        <v>177</v>
      </c>
      <c r="C15" s="1156" t="s">
        <v>1792</v>
      </c>
      <c r="D15" s="2189"/>
      <c r="E15" s="2199"/>
      <c r="F15" s="2195"/>
      <c r="G15" s="2195">
        <v>1.0</v>
      </c>
      <c r="H15" s="2196">
        <v>1.0</v>
      </c>
      <c r="I15" s="2196">
        <v>2.0</v>
      </c>
      <c r="J15" s="2196"/>
      <c r="K15" s="2196"/>
      <c r="L15" s="2196"/>
      <c r="M15" s="2200"/>
      <c r="N15" s="2194"/>
      <c r="O15" s="2195"/>
      <c r="P15" s="2195">
        <v>1.0</v>
      </c>
      <c r="Q15" s="2196"/>
      <c r="R15" s="2196"/>
      <c r="S15" s="2196">
        <v>3.0</v>
      </c>
      <c r="T15" s="2196">
        <v>1.0</v>
      </c>
      <c r="U15" s="2196"/>
      <c r="V15" s="2197">
        <v>1.0</v>
      </c>
      <c r="W15" s="2201"/>
      <c r="X15" s="2201"/>
      <c r="Y15" s="2201"/>
      <c r="Z15" s="2201"/>
      <c r="AA15" s="2201"/>
      <c r="AB15" s="2201"/>
      <c r="AC15" s="2201"/>
      <c r="AD15" s="2201"/>
      <c r="AE15" s="2201"/>
    </row>
    <row r="16" ht="15.0" customHeight="1">
      <c r="A16" s="931"/>
      <c r="B16" s="931" t="s">
        <v>177</v>
      </c>
      <c r="C16" s="1156" t="s">
        <v>1793</v>
      </c>
      <c r="D16" s="2189">
        <v>0.0</v>
      </c>
      <c r="E16" s="2199"/>
      <c r="F16" s="2195"/>
      <c r="G16" s="2195"/>
      <c r="H16" s="2196"/>
      <c r="I16" s="2196"/>
      <c r="J16" s="2196">
        <v>1.0</v>
      </c>
      <c r="K16" s="2196">
        <v>2.0</v>
      </c>
      <c r="L16" s="2196">
        <v>1.0</v>
      </c>
      <c r="M16" s="2200"/>
      <c r="N16" s="2194"/>
      <c r="O16" s="2195"/>
      <c r="P16" s="2195"/>
      <c r="Q16" s="2196"/>
      <c r="R16" s="2196"/>
      <c r="S16" s="2196"/>
      <c r="T16" s="2196"/>
      <c r="U16" s="2196"/>
      <c r="V16" s="2197"/>
      <c r="W16" s="2203"/>
      <c r="X16" s="2203"/>
      <c r="Y16" s="2203"/>
      <c r="Z16" s="2203"/>
      <c r="AA16" s="2203"/>
      <c r="AB16" s="2203"/>
      <c r="AC16" s="2203"/>
      <c r="AD16" s="2203"/>
      <c r="AE16" s="2203"/>
    </row>
    <row r="17" ht="15.0" customHeight="1">
      <c r="A17" s="931"/>
      <c r="B17" s="931" t="s">
        <v>177</v>
      </c>
      <c r="C17" s="1156" t="str">
        <f>'1. Справочник'!C16</f>
        <v>BV1318</v>
      </c>
      <c r="D17" s="2189"/>
      <c r="E17" s="2199">
        <v>4.0</v>
      </c>
      <c r="F17" s="2195">
        <v>2.0</v>
      </c>
      <c r="G17" s="2195">
        <v>1.0</v>
      </c>
      <c r="H17" s="2196">
        <v>1.0</v>
      </c>
      <c r="I17" s="2196">
        <v>2.0</v>
      </c>
      <c r="J17" s="2196">
        <v>4.0</v>
      </c>
      <c r="K17" s="2196">
        <v>1.0</v>
      </c>
      <c r="L17" s="2196">
        <v>2.0</v>
      </c>
      <c r="M17" s="2200">
        <v>1.0</v>
      </c>
      <c r="N17" s="2194"/>
      <c r="O17" s="2195"/>
      <c r="P17" s="2195"/>
      <c r="Q17" s="2196"/>
      <c r="R17" s="2196"/>
      <c r="S17" s="2196"/>
      <c r="T17" s="2196"/>
      <c r="U17" s="2196">
        <v>1.0</v>
      </c>
      <c r="V17" s="2197"/>
      <c r="W17" s="2198"/>
      <c r="X17" s="2198"/>
      <c r="Y17" s="2198"/>
      <c r="Z17" s="2198"/>
      <c r="AA17" s="2198"/>
      <c r="AB17" s="2198"/>
      <c r="AC17" s="2198"/>
      <c r="AD17" s="2198"/>
      <c r="AE17" s="2198"/>
    </row>
    <row r="18" ht="15.0" customHeight="1">
      <c r="A18" s="931"/>
      <c r="B18" s="931" t="s">
        <v>177</v>
      </c>
      <c r="C18" s="1156">
        <v>1006.0</v>
      </c>
      <c r="D18" s="2204"/>
      <c r="E18" s="2205"/>
      <c r="F18" s="2206"/>
      <c r="G18" s="2206"/>
      <c r="H18" s="2196"/>
      <c r="I18" s="2196">
        <v>3.0</v>
      </c>
      <c r="J18" s="2196">
        <v>1.0</v>
      </c>
      <c r="K18" s="2196"/>
      <c r="L18" s="2196"/>
      <c r="M18" s="2200"/>
      <c r="N18" s="2207"/>
      <c r="O18" s="2206"/>
      <c r="P18" s="2206"/>
      <c r="Q18" s="2196">
        <v>1.0</v>
      </c>
      <c r="R18" s="2196"/>
      <c r="S18" s="2196">
        <v>1.0</v>
      </c>
      <c r="T18" s="2196">
        <v>1.0</v>
      </c>
      <c r="U18" s="2196">
        <v>1.0</v>
      </c>
      <c r="V18" s="2197"/>
      <c r="W18" s="2203"/>
      <c r="X18" s="2203"/>
      <c r="Y18" s="2203"/>
      <c r="Z18" s="2203"/>
      <c r="AA18" s="2203"/>
      <c r="AB18" s="2203"/>
      <c r="AC18" s="2203"/>
      <c r="AD18" s="2203"/>
      <c r="AE18" s="2203"/>
    </row>
    <row r="19" ht="15.0" customHeight="1">
      <c r="A19" s="931"/>
      <c r="B19" s="931" t="s">
        <v>177</v>
      </c>
      <c r="C19" s="2208">
        <v>1108.0</v>
      </c>
      <c r="D19" s="2189"/>
      <c r="E19" s="2199">
        <v>1.0</v>
      </c>
      <c r="F19" s="2195"/>
      <c r="G19" s="2195"/>
      <c r="H19" s="2196"/>
      <c r="I19" s="2196"/>
      <c r="J19" s="2196"/>
      <c r="K19" s="2196">
        <v>1.0</v>
      </c>
      <c r="L19" s="2196">
        <v>2.0</v>
      </c>
      <c r="M19" s="2200">
        <v>1.0</v>
      </c>
      <c r="N19" s="2194"/>
      <c r="O19" s="2195"/>
      <c r="P19" s="2195"/>
      <c r="Q19" s="2196"/>
      <c r="R19" s="2196"/>
      <c r="S19" s="2196"/>
      <c r="T19" s="2196"/>
      <c r="U19" s="2196"/>
      <c r="V19" s="2197"/>
      <c r="W19" s="2209"/>
      <c r="X19" s="2210"/>
      <c r="Y19" s="2210"/>
      <c r="Z19" s="2211"/>
      <c r="AA19" s="2211"/>
      <c r="AB19" s="2211"/>
      <c r="AC19" s="2211"/>
      <c r="AD19" s="2211"/>
      <c r="AE19" s="2212"/>
    </row>
    <row r="20" ht="15.0" customHeight="1">
      <c r="A20" s="931"/>
      <c r="B20" s="931" t="s">
        <v>177</v>
      </c>
      <c r="C20" s="2213" t="str">
        <f>'1. Справочник'!C18</f>
        <v>Steps1123</v>
      </c>
      <c r="D20" s="2214"/>
      <c r="E20" s="2215"/>
      <c r="F20" s="2216"/>
      <c r="G20" s="2216">
        <v>1.0</v>
      </c>
      <c r="H20" s="2217"/>
      <c r="I20" s="2196">
        <v>1.0</v>
      </c>
      <c r="J20" s="2196">
        <v>2.0</v>
      </c>
      <c r="K20" s="2196"/>
      <c r="L20" s="2196"/>
      <c r="M20" s="2200">
        <v>1.0</v>
      </c>
      <c r="N20" s="2218"/>
      <c r="O20" s="2216"/>
      <c r="P20" s="2216"/>
      <c r="Q20" s="2217"/>
      <c r="R20" s="2196"/>
      <c r="S20" s="2196"/>
      <c r="T20" s="2196"/>
      <c r="U20" s="2196"/>
      <c r="V20" s="2197"/>
      <c r="W20" s="2219"/>
      <c r="X20" s="2219">
        <v>1.0</v>
      </c>
      <c r="Y20" s="2219"/>
      <c r="Z20" s="2219"/>
      <c r="AA20" s="2219"/>
      <c r="AB20" s="2219"/>
      <c r="AC20" s="2219"/>
      <c r="AD20" s="2219"/>
      <c r="AE20" s="2219"/>
    </row>
    <row r="21" ht="15.0" customHeight="1">
      <c r="A21" s="931"/>
      <c r="B21" s="931" t="s">
        <v>177</v>
      </c>
      <c r="C21" s="1156">
        <v>1611.0</v>
      </c>
      <c r="D21" s="2220"/>
      <c r="E21" s="2199"/>
      <c r="F21" s="2195"/>
      <c r="G21" s="2195"/>
      <c r="H21" s="2196"/>
      <c r="I21" s="2196"/>
      <c r="J21" s="2196"/>
      <c r="K21" s="2196"/>
      <c r="L21" s="2196"/>
      <c r="M21" s="2200"/>
      <c r="N21" s="2194"/>
      <c r="O21" s="2195"/>
      <c r="P21" s="2195"/>
      <c r="Q21" s="2196"/>
      <c r="R21" s="2196"/>
      <c r="S21" s="2196"/>
      <c r="T21" s="2196">
        <v>1.0</v>
      </c>
      <c r="U21" s="2196"/>
      <c r="V21" s="2197"/>
      <c r="W21" s="2203"/>
      <c r="X21" s="2203"/>
      <c r="Y21" s="2203"/>
      <c r="Z21" s="2203"/>
      <c r="AA21" s="2203"/>
      <c r="AB21" s="2203"/>
      <c r="AC21" s="2203"/>
      <c r="AD21" s="2203"/>
      <c r="AE21" s="2203"/>
    </row>
    <row r="22" ht="15.0" customHeight="1">
      <c r="A22" s="931"/>
      <c r="B22" s="931" t="s">
        <v>177</v>
      </c>
      <c r="C22" s="1156" t="str">
        <f>'1. Справочник'!C69</f>
        <v>Пиросмани 181</v>
      </c>
      <c r="D22" s="2220"/>
      <c r="E22" s="2199"/>
      <c r="F22" s="2195"/>
      <c r="G22" s="2195"/>
      <c r="H22" s="2196"/>
      <c r="I22" s="2196"/>
      <c r="J22" s="2196"/>
      <c r="K22" s="2196">
        <v>1.0</v>
      </c>
      <c r="L22" s="2196"/>
      <c r="M22" s="2200"/>
      <c r="N22" s="2194"/>
      <c r="O22" s="2195"/>
      <c r="P22" s="2195"/>
      <c r="Q22" s="2196"/>
      <c r="R22" s="2196"/>
      <c r="S22" s="2196"/>
      <c r="T22" s="2196"/>
      <c r="U22" s="2196"/>
      <c r="V22" s="2197"/>
      <c r="W22" s="2199"/>
      <c r="X22" s="2195"/>
      <c r="Y22" s="2195"/>
      <c r="Z22" s="2196"/>
      <c r="AA22" s="2196"/>
      <c r="AB22" s="2196"/>
      <c r="AC22" s="2196"/>
      <c r="AD22" s="2196"/>
      <c r="AE22" s="2200"/>
    </row>
    <row r="23" ht="15.0" customHeight="1">
      <c r="A23" s="931"/>
      <c r="B23" s="931" t="s">
        <v>177</v>
      </c>
      <c r="C23" s="1156" t="str">
        <f>'1. Справочник'!C70</f>
        <v>Pollo 2-2</v>
      </c>
      <c r="D23" s="2220"/>
      <c r="E23" s="2199"/>
      <c r="F23" s="2195"/>
      <c r="G23" s="2195"/>
      <c r="H23" s="2196"/>
      <c r="I23" s="2196"/>
      <c r="J23" s="2196"/>
      <c r="K23" s="2196"/>
      <c r="L23" s="2196"/>
      <c r="M23" s="2200"/>
      <c r="N23" s="2194"/>
      <c r="O23" s="2195"/>
      <c r="P23" s="2195"/>
      <c r="Q23" s="2196"/>
      <c r="R23" s="2196"/>
      <c r="S23" s="2196"/>
      <c r="T23" s="2196"/>
      <c r="U23" s="2196"/>
      <c r="V23" s="2197"/>
      <c r="W23" s="2199"/>
      <c r="X23" s="2195"/>
      <c r="Y23" s="2195"/>
      <c r="Z23" s="2196"/>
      <c r="AA23" s="2196"/>
      <c r="AB23" s="2196"/>
      <c r="AC23" s="2196"/>
      <c r="AD23" s="2196"/>
      <c r="AE23" s="2200"/>
    </row>
    <row r="24" ht="15.0" customHeight="1">
      <c r="A24" s="911"/>
      <c r="B24" s="931" t="s">
        <v>177</v>
      </c>
      <c r="C24" s="1156" t="str">
        <f>'1. Справочник'!C71</f>
        <v>Pollo 3-5</v>
      </c>
      <c r="D24" s="2189"/>
      <c r="E24" s="2199"/>
      <c r="F24" s="2195"/>
      <c r="G24" s="2195"/>
      <c r="H24" s="2196"/>
      <c r="I24" s="2196"/>
      <c r="J24" s="2196"/>
      <c r="K24" s="2196"/>
      <c r="L24" s="2196"/>
      <c r="M24" s="2200"/>
      <c r="N24" s="2194"/>
      <c r="O24" s="2195"/>
      <c r="P24" s="2195"/>
      <c r="Q24" s="2196"/>
      <c r="R24" s="2196"/>
      <c r="S24" s="2196"/>
      <c r="T24" s="2196"/>
      <c r="U24" s="2196"/>
      <c r="V24" s="2197"/>
      <c r="W24" s="2199"/>
      <c r="X24" s="2195"/>
      <c r="Y24" s="2195"/>
      <c r="Z24" s="2196"/>
      <c r="AA24" s="2196"/>
      <c r="AB24" s="2196"/>
      <c r="AC24" s="2196"/>
      <c r="AD24" s="2196"/>
      <c r="AE24" s="2200"/>
    </row>
    <row r="25" ht="15.0" customHeight="1">
      <c r="A25" s="911"/>
      <c r="B25" s="931" t="s">
        <v>177</v>
      </c>
      <c r="C25" s="1156" t="str">
        <f>'1. Справочник'!C72</f>
        <v>Polo 4-12</v>
      </c>
      <c r="D25" s="2189"/>
      <c r="E25" s="2199"/>
      <c r="F25" s="2195"/>
      <c r="G25" s="2195"/>
      <c r="H25" s="2196"/>
      <c r="I25" s="2196"/>
      <c r="J25" s="2196"/>
      <c r="K25" s="2196"/>
      <c r="L25" s="2196"/>
      <c r="M25" s="2200"/>
      <c r="N25" s="2194"/>
      <c r="O25" s="2195"/>
      <c r="P25" s="2195"/>
      <c r="Q25" s="2196"/>
      <c r="R25" s="2196"/>
      <c r="S25" s="2196"/>
      <c r="T25" s="2196"/>
      <c r="U25" s="2196"/>
      <c r="V25" s="2197"/>
      <c r="W25" s="2199"/>
      <c r="X25" s="2195"/>
      <c r="Y25" s="2195"/>
      <c r="Z25" s="2196"/>
      <c r="AA25" s="2196"/>
      <c r="AB25" s="2196"/>
      <c r="AC25" s="2196"/>
      <c r="AD25" s="2196"/>
      <c r="AE25" s="2200"/>
    </row>
    <row r="26" ht="15.0" customHeight="1">
      <c r="A26" s="981"/>
      <c r="B26" s="982"/>
      <c r="C26" s="2221"/>
      <c r="D26" s="2222">
        <f>SUM(D3:D19)</f>
        <v>8</v>
      </c>
      <c r="E26" s="2223">
        <f t="shared" ref="E26:AE26" si="1">SUM(E3:E25)</f>
        <v>10</v>
      </c>
      <c r="F26" s="2224">
        <f t="shared" si="1"/>
        <v>4</v>
      </c>
      <c r="G26" s="2224">
        <f t="shared" si="1"/>
        <v>6</v>
      </c>
      <c r="H26" s="2224">
        <f t="shared" si="1"/>
        <v>5</v>
      </c>
      <c r="I26" s="2224">
        <f t="shared" si="1"/>
        <v>18</v>
      </c>
      <c r="J26" s="2224">
        <f t="shared" si="1"/>
        <v>20</v>
      </c>
      <c r="K26" s="2224">
        <f t="shared" si="1"/>
        <v>11</v>
      </c>
      <c r="L26" s="2224">
        <f t="shared" si="1"/>
        <v>12</v>
      </c>
      <c r="M26" s="2225">
        <f t="shared" si="1"/>
        <v>6</v>
      </c>
      <c r="N26" s="2225">
        <f t="shared" si="1"/>
        <v>0</v>
      </c>
      <c r="O26" s="2225">
        <f t="shared" si="1"/>
        <v>0</v>
      </c>
      <c r="P26" s="2225">
        <f t="shared" si="1"/>
        <v>1</v>
      </c>
      <c r="Q26" s="2225">
        <f t="shared" si="1"/>
        <v>1</v>
      </c>
      <c r="R26" s="2225">
        <f t="shared" si="1"/>
        <v>3</v>
      </c>
      <c r="S26" s="2225">
        <f t="shared" si="1"/>
        <v>8</v>
      </c>
      <c r="T26" s="2225">
        <f t="shared" si="1"/>
        <v>9</v>
      </c>
      <c r="U26" s="2225">
        <f t="shared" si="1"/>
        <v>9</v>
      </c>
      <c r="V26" s="2225">
        <f t="shared" si="1"/>
        <v>3</v>
      </c>
      <c r="W26" s="2225">
        <f t="shared" si="1"/>
        <v>1</v>
      </c>
      <c r="X26" s="2225">
        <f t="shared" si="1"/>
        <v>1</v>
      </c>
      <c r="Y26" s="2225">
        <f t="shared" si="1"/>
        <v>1</v>
      </c>
      <c r="Z26" s="2225">
        <f t="shared" si="1"/>
        <v>1</v>
      </c>
      <c r="AA26" s="2225">
        <f t="shared" si="1"/>
        <v>0</v>
      </c>
      <c r="AB26" s="2225">
        <f t="shared" si="1"/>
        <v>3</v>
      </c>
      <c r="AC26" s="2225">
        <f t="shared" si="1"/>
        <v>1</v>
      </c>
      <c r="AD26" s="2225">
        <f t="shared" si="1"/>
        <v>9</v>
      </c>
      <c r="AE26" s="2225">
        <f t="shared" si="1"/>
        <v>7</v>
      </c>
    </row>
    <row r="27" ht="15.0" customHeight="1">
      <c r="A27" s="888"/>
      <c r="B27" s="993" t="s">
        <v>99</v>
      </c>
      <c r="C27" s="994" t="str">
        <f>'1. Справочник'!C34</f>
        <v>С 1125</v>
      </c>
      <c r="D27" s="2226">
        <v>0.0</v>
      </c>
      <c r="E27" s="2227"/>
      <c r="F27" s="2228">
        <v>2.0</v>
      </c>
      <c r="G27" s="2228">
        <v>2.0</v>
      </c>
      <c r="H27" s="2229"/>
      <c r="I27" s="2229">
        <v>3.0</v>
      </c>
      <c r="J27" s="2229">
        <v>3.0</v>
      </c>
      <c r="K27" s="2229"/>
      <c r="L27" s="2229"/>
      <c r="M27" s="2230">
        <v>1.0</v>
      </c>
      <c r="N27" s="2231"/>
      <c r="O27" s="2228"/>
      <c r="P27" s="2228"/>
      <c r="Q27" s="2229"/>
      <c r="R27" s="2229"/>
      <c r="S27" s="2229">
        <v>1.0</v>
      </c>
      <c r="T27" s="2229">
        <v>1.0</v>
      </c>
      <c r="U27" s="2229">
        <v>1.0</v>
      </c>
      <c r="V27" s="2232"/>
      <c r="W27" s="2233"/>
      <c r="X27" s="2233"/>
      <c r="Y27" s="2233"/>
      <c r="Z27" s="2233"/>
      <c r="AA27" s="2233"/>
      <c r="AB27" s="2233"/>
      <c r="AC27" s="2233">
        <v>1.0</v>
      </c>
      <c r="AD27" s="2233">
        <v>1.0</v>
      </c>
      <c r="AE27" s="2233"/>
    </row>
    <row r="28" ht="15.0" customHeight="1">
      <c r="A28" s="911"/>
      <c r="B28" s="1002" t="s">
        <v>99</v>
      </c>
      <c r="C28" s="1003" t="str">
        <f>'1. Справочник'!C35</f>
        <v>С 1443</v>
      </c>
      <c r="D28" s="2234">
        <v>1.0</v>
      </c>
      <c r="E28" s="2235">
        <v>1.0</v>
      </c>
      <c r="F28" s="2236">
        <v>1.0</v>
      </c>
      <c r="G28" s="2236"/>
      <c r="H28" s="2237"/>
      <c r="I28" s="2237"/>
      <c r="J28" s="2237"/>
      <c r="K28" s="2237"/>
      <c r="L28" s="2237"/>
      <c r="M28" s="2238">
        <v>1.0</v>
      </c>
      <c r="N28" s="2239"/>
      <c r="O28" s="2236"/>
      <c r="P28" s="2236"/>
      <c r="Q28" s="2237"/>
      <c r="R28" s="2237"/>
      <c r="S28" s="2237">
        <v>1.0</v>
      </c>
      <c r="T28" s="2237">
        <v>1.0</v>
      </c>
      <c r="U28" s="2237">
        <v>2.0</v>
      </c>
      <c r="V28" s="2240">
        <v>2.0</v>
      </c>
      <c r="W28" s="2201"/>
      <c r="X28" s="2201"/>
      <c r="Y28" s="2201"/>
      <c r="Z28" s="2201"/>
      <c r="AA28" s="2201"/>
      <c r="AB28" s="2201"/>
      <c r="AC28" s="2201"/>
      <c r="AD28" s="2201"/>
      <c r="AE28" s="2201"/>
    </row>
    <row r="29" ht="15.0" customHeight="1">
      <c r="A29" s="911"/>
      <c r="B29" s="1002" t="s">
        <v>99</v>
      </c>
      <c r="C29" s="1003" t="str">
        <f>'1. Справочник'!C36</f>
        <v>C 4245</v>
      </c>
      <c r="D29" s="2234">
        <v>1.0</v>
      </c>
      <c r="E29" s="2235"/>
      <c r="F29" s="2236"/>
      <c r="G29" s="2236"/>
      <c r="H29" s="2237">
        <v>2.0</v>
      </c>
      <c r="I29" s="2237"/>
      <c r="J29" s="2237">
        <v>3.0</v>
      </c>
      <c r="K29" s="2237"/>
      <c r="L29" s="2237">
        <v>1.0</v>
      </c>
      <c r="M29" s="2238"/>
      <c r="N29" s="2239">
        <v>1.0</v>
      </c>
      <c r="O29" s="2236"/>
      <c r="P29" s="2236"/>
      <c r="Q29" s="2237"/>
      <c r="R29" s="2237"/>
      <c r="S29" s="2237"/>
      <c r="T29" s="2237">
        <v>2.0</v>
      </c>
      <c r="U29" s="2237">
        <v>2.0</v>
      </c>
      <c r="V29" s="2240"/>
      <c r="W29" s="2201"/>
      <c r="X29" s="2201"/>
      <c r="Y29" s="2201"/>
      <c r="Z29" s="2201"/>
      <c r="AA29" s="2201"/>
      <c r="AB29" s="2201"/>
      <c r="AC29" s="2201"/>
      <c r="AD29" s="2201"/>
      <c r="AE29" s="2201"/>
    </row>
    <row r="30" ht="15.0" customHeight="1">
      <c r="A30" s="911"/>
      <c r="B30" s="1002" t="s">
        <v>99</v>
      </c>
      <c r="C30" s="1003" t="str">
        <f>'1. Справочник'!C37</f>
        <v>А 4049</v>
      </c>
      <c r="D30" s="2234">
        <v>1.0</v>
      </c>
      <c r="E30" s="2235"/>
      <c r="F30" s="2236"/>
      <c r="G30" s="2236">
        <v>3.0</v>
      </c>
      <c r="H30" s="2237">
        <v>2.0</v>
      </c>
      <c r="I30" s="2237">
        <v>4.0</v>
      </c>
      <c r="J30" s="2237">
        <v>3.0</v>
      </c>
      <c r="K30" s="2237">
        <v>1.0</v>
      </c>
      <c r="L30" s="2237">
        <v>1.0</v>
      </c>
      <c r="M30" s="2238"/>
      <c r="N30" s="2239"/>
      <c r="O30" s="2236"/>
      <c r="P30" s="2236"/>
      <c r="Q30" s="2237"/>
      <c r="R30" s="2237"/>
      <c r="S30" s="2237"/>
      <c r="T30" s="2237"/>
      <c r="U30" s="2237">
        <v>1.0</v>
      </c>
      <c r="V30" s="2240"/>
      <c r="W30" s="2201"/>
      <c r="X30" s="2201"/>
      <c r="Y30" s="2201"/>
      <c r="Z30" s="2201"/>
      <c r="AA30" s="2201"/>
      <c r="AB30" s="2201"/>
      <c r="AC30" s="2201"/>
      <c r="AD30" s="2201"/>
      <c r="AE30" s="2201"/>
    </row>
    <row r="31" ht="15.0" customHeight="1">
      <c r="A31" s="911"/>
      <c r="B31" s="1002" t="s">
        <v>99</v>
      </c>
      <c r="C31" s="1012" t="str">
        <f>'1. Справочник'!C39</f>
        <v>С 2756</v>
      </c>
      <c r="D31" s="2241"/>
      <c r="E31" s="2242"/>
      <c r="F31" s="2243"/>
      <c r="G31" s="2243">
        <v>1.0</v>
      </c>
      <c r="H31" s="2244"/>
      <c r="I31" s="2244"/>
      <c r="J31" s="2244">
        <v>2.0</v>
      </c>
      <c r="K31" s="2244">
        <v>2.0</v>
      </c>
      <c r="L31" s="2244">
        <v>1.0</v>
      </c>
      <c r="M31" s="2245"/>
      <c r="N31" s="2246"/>
      <c r="O31" s="2243"/>
      <c r="P31" s="2243"/>
      <c r="Q31" s="2244"/>
      <c r="R31" s="2244"/>
      <c r="S31" s="2244"/>
      <c r="T31" s="2244"/>
      <c r="U31" s="2244"/>
      <c r="V31" s="2247"/>
      <c r="W31" s="2201"/>
      <c r="X31" s="2201"/>
      <c r="Y31" s="2201"/>
      <c r="Z31" s="2201"/>
      <c r="AA31" s="2201"/>
      <c r="AB31" s="2201"/>
      <c r="AC31" s="2201"/>
      <c r="AD31" s="2201"/>
      <c r="AE31" s="2201"/>
    </row>
    <row r="32" ht="15.0" customHeight="1">
      <c r="A32" s="911"/>
      <c r="B32" s="1002" t="s">
        <v>99</v>
      </c>
      <c r="C32" s="1003" t="str">
        <f>'1. Справочник'!C40</f>
        <v>D 1321</v>
      </c>
      <c r="D32" s="2248">
        <v>1.0</v>
      </c>
      <c r="E32" s="2249">
        <v>1.0</v>
      </c>
      <c r="F32" s="2250">
        <v>1.0</v>
      </c>
      <c r="G32" s="2250"/>
      <c r="H32" s="2237"/>
      <c r="I32" s="2237">
        <v>3.0</v>
      </c>
      <c r="J32" s="2237">
        <v>1.0</v>
      </c>
      <c r="K32" s="2237">
        <v>1.0</v>
      </c>
      <c r="L32" s="2237">
        <v>1.0</v>
      </c>
      <c r="M32" s="2238"/>
      <c r="N32" s="2251"/>
      <c r="O32" s="2250">
        <v>1.0</v>
      </c>
      <c r="P32" s="2250"/>
      <c r="Q32" s="2237"/>
      <c r="R32" s="2237"/>
      <c r="S32" s="2237"/>
      <c r="T32" s="2237"/>
      <c r="U32" s="2237">
        <v>1.0</v>
      </c>
      <c r="V32" s="2240"/>
      <c r="W32" s="2201"/>
      <c r="X32" s="2201"/>
      <c r="Y32" s="2201"/>
      <c r="Z32" s="2201"/>
      <c r="AA32" s="2201"/>
      <c r="AB32" s="2201"/>
      <c r="AC32" s="2201"/>
      <c r="AD32" s="2201"/>
      <c r="AE32" s="2201"/>
    </row>
    <row r="33" ht="15.0" customHeight="1">
      <c r="A33" s="911"/>
      <c r="B33" s="1002" t="s">
        <v>99</v>
      </c>
      <c r="C33" s="1003" t="str">
        <f>'1. Справочник'!C41</f>
        <v>D2 1625</v>
      </c>
      <c r="D33" s="2234">
        <v>0.0</v>
      </c>
      <c r="E33" s="2235">
        <v>1.0</v>
      </c>
      <c r="F33" s="2236"/>
      <c r="G33" s="2236"/>
      <c r="H33" s="2237">
        <v>1.0</v>
      </c>
      <c r="I33" s="2237">
        <v>4.0</v>
      </c>
      <c r="J33" s="2237">
        <v>1.0</v>
      </c>
      <c r="K33" s="2237">
        <v>1.0</v>
      </c>
      <c r="L33" s="2237">
        <v>1.0</v>
      </c>
      <c r="M33" s="2238"/>
      <c r="N33" s="2239"/>
      <c r="O33" s="2236"/>
      <c r="P33" s="2236"/>
      <c r="Q33" s="2237"/>
      <c r="R33" s="2237"/>
      <c r="S33" s="2237">
        <v>1.0</v>
      </c>
      <c r="T33" s="2237"/>
      <c r="U33" s="2237">
        <v>2.0</v>
      </c>
      <c r="V33" s="2240">
        <v>1.0</v>
      </c>
      <c r="W33" s="2201"/>
      <c r="X33" s="2201"/>
      <c r="Y33" s="2201"/>
      <c r="Z33" s="2201"/>
      <c r="AA33" s="2201"/>
      <c r="AB33" s="2201"/>
      <c r="AC33" s="2201"/>
      <c r="AD33" s="2201"/>
      <c r="AE33" s="2201"/>
    </row>
    <row r="34" ht="15.0" customHeight="1">
      <c r="A34" s="911"/>
      <c r="B34" s="1002" t="s">
        <v>99</v>
      </c>
      <c r="C34" s="2252" t="str">
        <f>'1. Справочник'!C42</f>
        <v>D2 3216</v>
      </c>
      <c r="D34" s="2234"/>
      <c r="E34" s="2235"/>
      <c r="F34" s="2236">
        <v>1.0</v>
      </c>
      <c r="G34" s="2236"/>
      <c r="H34" s="2237"/>
      <c r="I34" s="2237">
        <v>1.0</v>
      </c>
      <c r="J34" s="2237">
        <v>2.0</v>
      </c>
      <c r="K34" s="2237"/>
      <c r="L34" s="2237">
        <v>1.0</v>
      </c>
      <c r="M34" s="2238"/>
      <c r="N34" s="2239"/>
      <c r="O34" s="2236"/>
      <c r="P34" s="2236"/>
      <c r="Q34" s="2237"/>
      <c r="R34" s="2237"/>
      <c r="S34" s="2237"/>
      <c r="T34" s="2237">
        <v>1.0</v>
      </c>
      <c r="U34" s="2237">
        <v>2.0</v>
      </c>
      <c r="V34" s="2240"/>
      <c r="W34" s="2201"/>
      <c r="X34" s="2201"/>
      <c r="Y34" s="2201"/>
      <c r="Z34" s="2201"/>
      <c r="AA34" s="2201"/>
      <c r="AB34" s="2201"/>
      <c r="AC34" s="2201"/>
      <c r="AD34" s="2201"/>
      <c r="AE34" s="2201"/>
    </row>
    <row r="35" ht="15.0" customHeight="1">
      <c r="A35" s="911"/>
      <c r="B35" s="1002" t="s">
        <v>99</v>
      </c>
      <c r="C35" s="1003" t="str">
        <f>'1. Справочник'!C43</f>
        <v>D1 3902</v>
      </c>
      <c r="D35" s="2234"/>
      <c r="E35" s="2235"/>
      <c r="F35" s="2236"/>
      <c r="G35" s="2236"/>
      <c r="H35" s="2237"/>
      <c r="I35" s="2237"/>
      <c r="J35" s="2237"/>
      <c r="K35" s="2237">
        <v>1.0</v>
      </c>
      <c r="L35" s="2237">
        <v>2.0</v>
      </c>
      <c r="M35" s="2238">
        <v>3.0</v>
      </c>
      <c r="N35" s="2239"/>
      <c r="O35" s="2236"/>
      <c r="P35" s="2236"/>
      <c r="Q35" s="2237"/>
      <c r="R35" s="2237"/>
      <c r="S35" s="2237"/>
      <c r="T35" s="2237"/>
      <c r="U35" s="2237">
        <v>1.0</v>
      </c>
      <c r="V35" s="2240">
        <v>1.0</v>
      </c>
      <c r="W35" s="2201"/>
      <c r="X35" s="2201"/>
      <c r="Y35" s="2201"/>
      <c r="Z35" s="2201"/>
      <c r="AA35" s="2201"/>
      <c r="AB35" s="2201"/>
      <c r="AC35" s="2201"/>
      <c r="AD35" s="2201"/>
      <c r="AE35" s="2201"/>
    </row>
    <row r="36" ht="15.0" customHeight="1">
      <c r="A36" s="911"/>
      <c r="B36" s="1002" t="s">
        <v>99</v>
      </c>
      <c r="C36" s="1003" t="str">
        <f>'1. Справочник'!C44</f>
        <v>D2 503</v>
      </c>
      <c r="D36" s="2248"/>
      <c r="E36" s="2235"/>
      <c r="F36" s="2236"/>
      <c r="G36" s="2236"/>
      <c r="H36" s="2237"/>
      <c r="I36" s="2237"/>
      <c r="J36" s="2237"/>
      <c r="K36" s="2237">
        <v>1.0</v>
      </c>
      <c r="L36" s="2237"/>
      <c r="M36" s="2238"/>
      <c r="N36" s="2239"/>
      <c r="O36" s="2236"/>
      <c r="P36" s="2236"/>
      <c r="Q36" s="2237"/>
      <c r="R36" s="2237"/>
      <c r="S36" s="2237"/>
      <c r="T36" s="2237"/>
      <c r="U36" s="2237"/>
      <c r="V36" s="2240">
        <v>2.0</v>
      </c>
      <c r="W36" s="2201"/>
      <c r="X36" s="2201"/>
      <c r="Y36" s="2201"/>
      <c r="Z36" s="2201"/>
      <c r="AA36" s="2201"/>
      <c r="AB36" s="2201"/>
      <c r="AC36" s="2201"/>
      <c r="AD36" s="2201"/>
      <c r="AE36" s="2201"/>
    </row>
    <row r="37" ht="15.0" customHeight="1">
      <c r="A37" s="1068"/>
      <c r="B37" s="1002" t="s">
        <v>99</v>
      </c>
      <c r="C37" s="2253" t="s">
        <v>1794</v>
      </c>
      <c r="D37" s="2254"/>
      <c r="E37" s="2255">
        <v>1.0</v>
      </c>
      <c r="F37" s="2256">
        <v>1.0</v>
      </c>
      <c r="G37" s="2256">
        <v>1.0</v>
      </c>
      <c r="H37" s="2257">
        <v>2.0</v>
      </c>
      <c r="I37" s="2257">
        <v>1.0</v>
      </c>
      <c r="J37" s="2257">
        <v>4.0</v>
      </c>
      <c r="K37" s="2257">
        <v>2.0</v>
      </c>
      <c r="L37" s="2257"/>
      <c r="M37" s="2258"/>
      <c r="N37" s="2259"/>
      <c r="O37" s="2256"/>
      <c r="P37" s="2256"/>
      <c r="Q37" s="2257"/>
      <c r="R37" s="2257"/>
      <c r="S37" s="2257"/>
      <c r="T37" s="2257"/>
      <c r="U37" s="2257"/>
      <c r="V37" s="2260"/>
      <c r="W37" s="2201"/>
      <c r="X37" s="2201"/>
      <c r="Y37" s="2201"/>
      <c r="Z37" s="2201"/>
      <c r="AA37" s="2201"/>
      <c r="AB37" s="2201"/>
      <c r="AC37" s="2201"/>
      <c r="AD37" s="2201"/>
      <c r="AE37" s="2201"/>
    </row>
    <row r="38" ht="15.0" customHeight="1">
      <c r="A38" s="1068"/>
      <c r="B38" s="1002" t="s">
        <v>99</v>
      </c>
      <c r="C38" s="2253" t="s">
        <v>1795</v>
      </c>
      <c r="D38" s="2254"/>
      <c r="E38" s="2255"/>
      <c r="F38" s="2256">
        <v>1.0</v>
      </c>
      <c r="G38" s="2256"/>
      <c r="H38" s="2257">
        <v>1.0</v>
      </c>
      <c r="I38" s="2257"/>
      <c r="J38" s="2257"/>
      <c r="K38" s="2257"/>
      <c r="L38" s="2257"/>
      <c r="M38" s="2258"/>
      <c r="N38" s="2259"/>
      <c r="O38" s="2256"/>
      <c r="P38" s="2256"/>
      <c r="Q38" s="2257"/>
      <c r="R38" s="2257"/>
      <c r="S38" s="2257"/>
      <c r="T38" s="2257"/>
      <c r="U38" s="2257"/>
      <c r="V38" s="2260"/>
      <c r="W38" s="2261"/>
      <c r="X38" s="2261"/>
      <c r="Y38" s="2261"/>
      <c r="Z38" s="2261"/>
      <c r="AA38" s="2261"/>
      <c r="AB38" s="2261"/>
      <c r="AC38" s="2261"/>
      <c r="AD38" s="2261"/>
      <c r="AE38" s="2261"/>
    </row>
    <row r="39" ht="15.0" customHeight="1">
      <c r="A39" s="1032"/>
      <c r="B39" s="1033"/>
      <c r="C39" s="1034">
        <v>12.0</v>
      </c>
      <c r="D39" s="2262"/>
      <c r="E39" s="2263">
        <f t="shared" ref="E39:AE39" si="2">SUM(E27:E38)</f>
        <v>4</v>
      </c>
      <c r="F39" s="2264">
        <f t="shared" si="2"/>
        <v>7</v>
      </c>
      <c r="G39" s="2264">
        <f t="shared" si="2"/>
        <v>7</v>
      </c>
      <c r="H39" s="2264">
        <f t="shared" si="2"/>
        <v>8</v>
      </c>
      <c r="I39" s="2264">
        <f t="shared" si="2"/>
        <v>16</v>
      </c>
      <c r="J39" s="2264">
        <f t="shared" si="2"/>
        <v>19</v>
      </c>
      <c r="K39" s="2264">
        <f t="shared" si="2"/>
        <v>9</v>
      </c>
      <c r="L39" s="2264">
        <f t="shared" si="2"/>
        <v>8</v>
      </c>
      <c r="M39" s="2265">
        <f t="shared" si="2"/>
        <v>5</v>
      </c>
      <c r="N39" s="2265">
        <f t="shared" si="2"/>
        <v>1</v>
      </c>
      <c r="O39" s="2265">
        <f t="shared" si="2"/>
        <v>1</v>
      </c>
      <c r="P39" s="2265">
        <f t="shared" si="2"/>
        <v>0</v>
      </c>
      <c r="Q39" s="2265">
        <f t="shared" si="2"/>
        <v>0</v>
      </c>
      <c r="R39" s="2265">
        <f t="shared" si="2"/>
        <v>0</v>
      </c>
      <c r="S39" s="2265">
        <f t="shared" si="2"/>
        <v>3</v>
      </c>
      <c r="T39" s="2265">
        <f t="shared" si="2"/>
        <v>5</v>
      </c>
      <c r="U39" s="2265">
        <f t="shared" si="2"/>
        <v>12</v>
      </c>
      <c r="V39" s="2265">
        <f t="shared" si="2"/>
        <v>6</v>
      </c>
      <c r="W39" s="2265">
        <f t="shared" si="2"/>
        <v>0</v>
      </c>
      <c r="X39" s="2265">
        <f t="shared" si="2"/>
        <v>0</v>
      </c>
      <c r="Y39" s="2265">
        <f t="shared" si="2"/>
        <v>0</v>
      </c>
      <c r="Z39" s="2265">
        <f t="shared" si="2"/>
        <v>0</v>
      </c>
      <c r="AA39" s="2265">
        <f t="shared" si="2"/>
        <v>0</v>
      </c>
      <c r="AB39" s="2265">
        <f t="shared" si="2"/>
        <v>0</v>
      </c>
      <c r="AC39" s="2265">
        <f t="shared" si="2"/>
        <v>1</v>
      </c>
      <c r="AD39" s="2265">
        <f t="shared" si="2"/>
        <v>1</v>
      </c>
      <c r="AE39" s="2265">
        <f t="shared" si="2"/>
        <v>0</v>
      </c>
    </row>
    <row r="40" ht="15.0" customHeight="1">
      <c r="A40" s="911"/>
      <c r="B40" s="1002" t="s">
        <v>146</v>
      </c>
      <c r="C40" s="1042" t="str">
        <f>'1. Справочник'!C45</f>
        <v>CM 1604</v>
      </c>
      <c r="D40" s="2266">
        <v>5.0</v>
      </c>
      <c r="E40" s="2267">
        <v>1.0</v>
      </c>
      <c r="F40" s="2268"/>
      <c r="G40" s="2268"/>
      <c r="H40" s="2269"/>
      <c r="I40" s="2269">
        <v>1.0</v>
      </c>
      <c r="J40" s="2269">
        <v>4.0</v>
      </c>
      <c r="K40" s="2269">
        <v>3.0</v>
      </c>
      <c r="L40" s="2269">
        <v>3.0</v>
      </c>
      <c r="M40" s="2270">
        <v>1.0</v>
      </c>
      <c r="N40" s="2271"/>
      <c r="O40" s="2268"/>
      <c r="P40" s="2268"/>
      <c r="Q40" s="2269"/>
      <c r="R40" s="2269"/>
      <c r="S40" s="2269"/>
      <c r="T40" s="2269"/>
      <c r="U40" s="2269"/>
      <c r="V40" s="2272"/>
      <c r="W40" s="2273"/>
      <c r="X40" s="2274"/>
      <c r="Y40" s="2274"/>
      <c r="Z40" s="2275"/>
      <c r="AA40" s="2275"/>
      <c r="AB40" s="2275"/>
      <c r="AC40" s="2275"/>
      <c r="AD40" s="2275"/>
      <c r="AE40" s="2276"/>
    </row>
    <row r="41" ht="15.0" customHeight="1">
      <c r="A41" s="911"/>
      <c r="B41" s="1002" t="s">
        <v>146</v>
      </c>
      <c r="C41" s="1042" t="str">
        <f>'1. Справочник'!C46</f>
        <v>CM 1606</v>
      </c>
      <c r="D41" s="2234">
        <v>3.0</v>
      </c>
      <c r="E41" s="2235">
        <v>3.0</v>
      </c>
      <c r="F41" s="2236">
        <v>1.0</v>
      </c>
      <c r="G41" s="2236">
        <v>3.0</v>
      </c>
      <c r="H41" s="2237">
        <v>4.0</v>
      </c>
      <c r="I41" s="2237">
        <v>3.0</v>
      </c>
      <c r="J41" s="2237">
        <v>2.0</v>
      </c>
      <c r="K41" s="2237">
        <v>4.0</v>
      </c>
      <c r="L41" s="2237">
        <v>4.0</v>
      </c>
      <c r="M41" s="2238">
        <v>3.0</v>
      </c>
      <c r="N41" s="2239"/>
      <c r="O41" s="2236"/>
      <c r="P41" s="2236"/>
      <c r="Q41" s="2237"/>
      <c r="R41" s="2237"/>
      <c r="S41" s="2237"/>
      <c r="T41" s="2237"/>
      <c r="U41" s="2237"/>
      <c r="V41" s="2240"/>
      <c r="W41" s="2277"/>
      <c r="X41" s="2278"/>
      <c r="Y41" s="2278"/>
      <c r="Z41" s="2279"/>
      <c r="AA41" s="2279"/>
      <c r="AB41" s="2279"/>
      <c r="AC41" s="2279"/>
      <c r="AD41" s="2279"/>
      <c r="AE41" s="2280"/>
    </row>
    <row r="42" ht="15.0" customHeight="1">
      <c r="A42" s="911"/>
      <c r="B42" s="1002" t="s">
        <v>146</v>
      </c>
      <c r="C42" s="1042" t="str">
        <f>'1. Справочник'!C47</f>
        <v>CM 1931</v>
      </c>
      <c r="D42" s="2234">
        <v>0.0</v>
      </c>
      <c r="E42" s="2235">
        <v>1.0</v>
      </c>
      <c r="F42" s="2236"/>
      <c r="G42" s="2236"/>
      <c r="H42" s="2237">
        <v>1.0</v>
      </c>
      <c r="I42" s="2237">
        <v>2.0</v>
      </c>
      <c r="J42" s="2237">
        <v>2.0</v>
      </c>
      <c r="K42" s="2237"/>
      <c r="L42" s="2237"/>
      <c r="M42" s="2238">
        <v>1.0</v>
      </c>
      <c r="N42" s="2239"/>
      <c r="O42" s="2236"/>
      <c r="P42" s="2236"/>
      <c r="Q42" s="2237"/>
      <c r="R42" s="2237"/>
      <c r="S42" s="2237"/>
      <c r="T42" s="2237">
        <v>2.0</v>
      </c>
      <c r="U42" s="2237">
        <v>3.0</v>
      </c>
      <c r="V42" s="2240"/>
      <c r="W42" s="2277"/>
      <c r="X42" s="2278"/>
      <c r="Y42" s="2278"/>
      <c r="Z42" s="2279"/>
      <c r="AA42" s="2279"/>
      <c r="AB42" s="2279"/>
      <c r="AC42" s="2279"/>
      <c r="AD42" s="2279"/>
      <c r="AE42" s="2280"/>
    </row>
    <row r="43" ht="15.0" customHeight="1">
      <c r="A43" s="911"/>
      <c r="B43" s="1062" t="s">
        <v>146</v>
      </c>
      <c r="C43" s="1042" t="str">
        <f>'1. Справочник'!C57</f>
        <v>PT2604</v>
      </c>
      <c r="D43" s="2234"/>
      <c r="E43" s="2235"/>
      <c r="F43" s="2236"/>
      <c r="G43" s="2236"/>
      <c r="H43" s="2237">
        <v>1.0</v>
      </c>
      <c r="I43" s="2237">
        <v>2.0</v>
      </c>
      <c r="J43" s="2237">
        <v>4.0</v>
      </c>
      <c r="K43" s="2237">
        <v>4.0</v>
      </c>
      <c r="L43" s="2237">
        <v>3.0</v>
      </c>
      <c r="M43" s="2238">
        <v>1.0</v>
      </c>
      <c r="N43" s="2239"/>
      <c r="O43" s="2236"/>
      <c r="P43" s="2236"/>
      <c r="Q43" s="2237"/>
      <c r="R43" s="2237"/>
      <c r="S43" s="2237">
        <v>1.0</v>
      </c>
      <c r="T43" s="2237"/>
      <c r="U43" s="2237"/>
      <c r="V43" s="2240"/>
      <c r="W43" s="2277"/>
      <c r="X43" s="2278"/>
      <c r="Y43" s="2278"/>
      <c r="Z43" s="2279"/>
      <c r="AA43" s="2279"/>
      <c r="AB43" s="2279"/>
      <c r="AC43" s="2279"/>
      <c r="AD43" s="2279"/>
      <c r="AE43" s="2280"/>
    </row>
    <row r="44" ht="15.0" customHeight="1">
      <c r="A44" s="911"/>
      <c r="B44" s="1062" t="s">
        <v>146</v>
      </c>
      <c r="C44" s="1042" t="str">
        <f>'1. Справочник'!C58</f>
        <v>PT2704</v>
      </c>
      <c r="D44" s="2234"/>
      <c r="E44" s="2235"/>
      <c r="F44" s="2236"/>
      <c r="G44" s="2236"/>
      <c r="H44" s="2237">
        <v>4.0</v>
      </c>
      <c r="I44" s="2237">
        <v>4.0</v>
      </c>
      <c r="J44" s="2237">
        <v>5.0</v>
      </c>
      <c r="K44" s="2237">
        <v>3.0</v>
      </c>
      <c r="L44" s="2237">
        <v>2.0</v>
      </c>
      <c r="M44" s="2238">
        <v>6.0</v>
      </c>
      <c r="N44" s="2239"/>
      <c r="O44" s="2236"/>
      <c r="P44" s="2236"/>
      <c r="Q44" s="2237"/>
      <c r="R44" s="2237"/>
      <c r="S44" s="2237"/>
      <c r="T44" s="2237"/>
      <c r="U44" s="2237"/>
      <c r="V44" s="2240"/>
      <c r="W44" s="2277"/>
      <c r="X44" s="2278"/>
      <c r="Y44" s="2278"/>
      <c r="Z44" s="2279"/>
      <c r="AA44" s="2279"/>
      <c r="AB44" s="2279"/>
      <c r="AC44" s="2279"/>
      <c r="AD44" s="2279"/>
      <c r="AE44" s="2280"/>
    </row>
    <row r="45" ht="15.0" customHeight="1">
      <c r="A45" s="911"/>
      <c r="B45" s="1063" t="s">
        <v>146</v>
      </c>
      <c r="C45" s="1042" t="str">
        <f>'1. Справочник'!C63</f>
        <v>MZ 718</v>
      </c>
      <c r="D45" s="2234"/>
      <c r="E45" s="2235"/>
      <c r="F45" s="2236"/>
      <c r="G45" s="2236"/>
      <c r="H45" s="2237"/>
      <c r="I45" s="2237">
        <v>1.0</v>
      </c>
      <c r="J45" s="2237">
        <v>6.0</v>
      </c>
      <c r="K45" s="2237">
        <v>4.0</v>
      </c>
      <c r="L45" s="2237">
        <v>5.0</v>
      </c>
      <c r="M45" s="2238">
        <v>3.0</v>
      </c>
      <c r="N45" s="2239"/>
      <c r="O45" s="2236"/>
      <c r="P45" s="2236"/>
      <c r="Q45" s="2237"/>
      <c r="R45" s="2281">
        <v>1.0</v>
      </c>
      <c r="S45" s="2281">
        <v>1.0</v>
      </c>
      <c r="T45" s="2281"/>
      <c r="U45" s="2281"/>
      <c r="V45" s="2282">
        <v>1.0</v>
      </c>
      <c r="W45" s="2277"/>
      <c r="X45" s="2278"/>
      <c r="Y45" s="2278"/>
      <c r="Z45" s="2279"/>
      <c r="AA45" s="2279"/>
      <c r="AB45" s="2279"/>
      <c r="AC45" s="2279"/>
      <c r="AD45" s="2279"/>
      <c r="AE45" s="2280"/>
    </row>
    <row r="46" ht="15.0" customHeight="1">
      <c r="A46" s="911"/>
      <c r="B46" s="1063" t="s">
        <v>146</v>
      </c>
      <c r="C46" s="1042" t="str">
        <f>'1. Справочник'!C64</f>
        <v>MZ 913</v>
      </c>
      <c r="D46" s="2234"/>
      <c r="E46" s="2235"/>
      <c r="F46" s="2236"/>
      <c r="G46" s="2236"/>
      <c r="H46" s="2237"/>
      <c r="I46" s="2237">
        <v>2.0</v>
      </c>
      <c r="J46" s="2237">
        <v>4.0</v>
      </c>
      <c r="K46" s="2237">
        <v>2.0</v>
      </c>
      <c r="L46" s="2237">
        <v>1.0</v>
      </c>
      <c r="M46" s="2238">
        <v>2.0</v>
      </c>
      <c r="N46" s="2239"/>
      <c r="O46" s="2236"/>
      <c r="P46" s="2236"/>
      <c r="Q46" s="2237"/>
      <c r="R46" s="2283"/>
      <c r="S46" s="2283"/>
      <c r="T46" s="2283"/>
      <c r="U46" s="2283"/>
      <c r="V46" s="2284"/>
      <c r="W46" s="2277"/>
      <c r="X46" s="2278"/>
      <c r="Y46" s="2278"/>
      <c r="Z46" s="2279"/>
      <c r="AA46" s="2279"/>
      <c r="AB46" s="2279"/>
      <c r="AC46" s="2279"/>
      <c r="AD46" s="2279"/>
      <c r="AE46" s="2280"/>
    </row>
    <row r="47" ht="15.0" customHeight="1">
      <c r="A47" s="1068"/>
      <c r="B47" s="1069" t="s">
        <v>146</v>
      </c>
      <c r="C47" s="1042" t="str">
        <f>'1. Справочник'!C65</f>
        <v>MZ 1408</v>
      </c>
      <c r="D47" s="2234"/>
      <c r="E47" s="2235"/>
      <c r="F47" s="2236"/>
      <c r="G47" s="2236"/>
      <c r="H47" s="2237"/>
      <c r="I47" s="2237"/>
      <c r="J47" s="2237"/>
      <c r="K47" s="2237">
        <v>2.0</v>
      </c>
      <c r="L47" s="2237">
        <v>2.0</v>
      </c>
      <c r="M47" s="2238">
        <v>1.0</v>
      </c>
      <c r="N47" s="2239"/>
      <c r="O47" s="2236"/>
      <c r="P47" s="2236"/>
      <c r="Q47" s="2237"/>
      <c r="R47" s="2237"/>
      <c r="S47" s="2237"/>
      <c r="T47" s="2237"/>
      <c r="U47" s="2237"/>
      <c r="V47" s="2240">
        <v>1.0</v>
      </c>
      <c r="W47" s="2277"/>
      <c r="X47" s="2278"/>
      <c r="Y47" s="2278"/>
      <c r="Z47" s="2279"/>
      <c r="AA47" s="2279"/>
      <c r="AB47" s="2279"/>
      <c r="AC47" s="2279"/>
      <c r="AD47" s="2279"/>
      <c r="AE47" s="2280"/>
    </row>
    <row r="48" ht="15.0" customHeight="1">
      <c r="A48" s="1068"/>
      <c r="B48" s="1069" t="s">
        <v>146</v>
      </c>
      <c r="C48" s="1042" t="str">
        <f>'1. Справочник'!C66</f>
        <v>MZ А 1113</v>
      </c>
      <c r="D48" s="2234"/>
      <c r="E48" s="2235"/>
      <c r="F48" s="2236"/>
      <c r="G48" s="2236"/>
      <c r="H48" s="2237"/>
      <c r="I48" s="2237"/>
      <c r="J48" s="2237"/>
      <c r="K48" s="2237">
        <v>3.0</v>
      </c>
      <c r="L48" s="2237">
        <v>3.0</v>
      </c>
      <c r="M48" s="2238">
        <v>2.0</v>
      </c>
      <c r="N48" s="2239"/>
      <c r="O48" s="2236"/>
      <c r="P48" s="2236"/>
      <c r="Q48" s="2237"/>
      <c r="R48" s="2237"/>
      <c r="S48" s="2237"/>
      <c r="T48" s="2237"/>
      <c r="U48" s="2237"/>
      <c r="V48" s="2240"/>
      <c r="W48" s="2277"/>
      <c r="X48" s="2278"/>
      <c r="Y48" s="2278"/>
      <c r="Z48" s="2279"/>
      <c r="AA48" s="2279"/>
      <c r="AB48" s="2279"/>
      <c r="AC48" s="2279"/>
      <c r="AD48" s="2279"/>
      <c r="AE48" s="2280"/>
    </row>
    <row r="49" ht="15.0" customHeight="1">
      <c r="A49" s="1068"/>
      <c r="B49" s="1069" t="s">
        <v>146</v>
      </c>
      <c r="C49" s="1042" t="str">
        <f>'1. Справочник'!C60</f>
        <v>NW 2-5</v>
      </c>
      <c r="D49" s="2234"/>
      <c r="E49" s="2235"/>
      <c r="F49" s="2236"/>
      <c r="G49" s="2236"/>
      <c r="H49" s="2237"/>
      <c r="I49" s="2237"/>
      <c r="J49" s="2237"/>
      <c r="K49" s="2237"/>
      <c r="L49" s="2237">
        <v>2.0</v>
      </c>
      <c r="M49" s="2238">
        <v>1.0</v>
      </c>
      <c r="N49" s="2239"/>
      <c r="O49" s="2236"/>
      <c r="P49" s="2236"/>
      <c r="Q49" s="2237"/>
      <c r="R49" s="2237"/>
      <c r="S49" s="2237"/>
      <c r="T49" s="2237"/>
      <c r="U49" s="2237"/>
      <c r="V49" s="2240"/>
      <c r="W49" s="2277"/>
      <c r="X49" s="2278"/>
      <c r="Y49" s="2278"/>
      <c r="Z49" s="2279"/>
      <c r="AA49" s="2279"/>
      <c r="AB49" s="2279"/>
      <c r="AC49" s="2279"/>
      <c r="AD49" s="2279"/>
      <c r="AE49" s="2280"/>
    </row>
    <row r="50" ht="15.0" customHeight="1">
      <c r="A50" s="1068"/>
      <c r="B50" s="1069" t="s">
        <v>146</v>
      </c>
      <c r="C50" s="1042" t="str">
        <f>'1. Справочник'!C136</f>
        <v>NW 4-9</v>
      </c>
      <c r="D50" s="2234"/>
      <c r="E50" s="2235"/>
      <c r="F50" s="2236"/>
      <c r="G50" s="2236"/>
      <c r="H50" s="2237"/>
      <c r="I50" s="2237"/>
      <c r="J50" s="2237"/>
      <c r="K50" s="2237">
        <v>3.0</v>
      </c>
      <c r="L50" s="2237">
        <v>4.0</v>
      </c>
      <c r="M50" s="2238">
        <v>1.0</v>
      </c>
      <c r="N50" s="2239"/>
      <c r="O50" s="2236"/>
      <c r="P50" s="2236"/>
      <c r="Q50" s="2237"/>
      <c r="R50" s="2237"/>
      <c r="S50" s="2237"/>
      <c r="T50" s="2237">
        <v>1.0</v>
      </c>
      <c r="U50" s="2237"/>
      <c r="V50" s="2240"/>
      <c r="W50" s="2277"/>
      <c r="X50" s="2278"/>
      <c r="Y50" s="2278"/>
      <c r="Z50" s="2279"/>
      <c r="AA50" s="2279"/>
      <c r="AB50" s="2279"/>
      <c r="AC50" s="2279"/>
      <c r="AD50" s="2279"/>
      <c r="AE50" s="2280"/>
    </row>
    <row r="51" ht="15.0" customHeight="1">
      <c r="A51" s="1068"/>
      <c r="B51" s="1069" t="s">
        <v>146</v>
      </c>
      <c r="C51" s="1042" t="str">
        <f>'1. Справочник'!C137</f>
        <v>NW 4-10</v>
      </c>
      <c r="D51" s="2234"/>
      <c r="E51" s="2235"/>
      <c r="F51" s="2236"/>
      <c r="G51" s="2236"/>
      <c r="H51" s="2237"/>
      <c r="I51" s="2237"/>
      <c r="J51" s="2237"/>
      <c r="K51" s="2237">
        <v>3.0</v>
      </c>
      <c r="L51" s="2237">
        <v>4.0</v>
      </c>
      <c r="M51" s="2238"/>
      <c r="N51" s="2239"/>
      <c r="O51" s="2236"/>
      <c r="P51" s="2236"/>
      <c r="Q51" s="2237"/>
      <c r="R51" s="2237"/>
      <c r="S51" s="2237"/>
      <c r="T51" s="2237"/>
      <c r="U51" s="2237">
        <v>1.0</v>
      </c>
      <c r="V51" s="2240">
        <v>2.0</v>
      </c>
      <c r="W51" s="2277"/>
      <c r="X51" s="2278"/>
      <c r="Y51" s="2278"/>
      <c r="Z51" s="2279"/>
      <c r="AA51" s="2279"/>
      <c r="AB51" s="2279"/>
      <c r="AC51" s="2279"/>
      <c r="AD51" s="2279"/>
      <c r="AE51" s="2280"/>
    </row>
    <row r="52" ht="15.0" customHeight="1">
      <c r="A52" s="1068"/>
      <c r="B52" s="1069" t="s">
        <v>146</v>
      </c>
      <c r="C52" s="1042" t="str">
        <f>'1. Справочник'!C138</f>
        <v>NW 10-6</v>
      </c>
      <c r="D52" s="2234"/>
      <c r="E52" s="2235"/>
      <c r="F52" s="2236"/>
      <c r="G52" s="2236"/>
      <c r="H52" s="2237"/>
      <c r="I52" s="2237"/>
      <c r="J52" s="2237"/>
      <c r="K52" s="2237">
        <v>1.0</v>
      </c>
      <c r="L52" s="2237">
        <v>3.0</v>
      </c>
      <c r="M52" s="2238"/>
      <c r="N52" s="2239"/>
      <c r="O52" s="2236"/>
      <c r="P52" s="2236"/>
      <c r="Q52" s="2237"/>
      <c r="R52" s="2237"/>
      <c r="S52" s="2237"/>
      <c r="T52" s="2237"/>
      <c r="U52" s="2237"/>
      <c r="V52" s="2240">
        <v>1.0</v>
      </c>
      <c r="W52" s="2277"/>
      <c r="X52" s="2278"/>
      <c r="Y52" s="2278"/>
      <c r="Z52" s="2279"/>
      <c r="AA52" s="2279"/>
      <c r="AB52" s="2279"/>
      <c r="AC52" s="2279"/>
      <c r="AD52" s="2279"/>
      <c r="AE52" s="2280"/>
    </row>
    <row r="53" ht="15.0" customHeight="1">
      <c r="A53" s="1068"/>
      <c r="B53" s="1069" t="s">
        <v>146</v>
      </c>
      <c r="C53" s="1042" t="str">
        <f>'1. Справочник'!C61</f>
        <v>NW 3-7</v>
      </c>
      <c r="D53" s="2234"/>
      <c r="E53" s="2235"/>
      <c r="F53" s="2236"/>
      <c r="G53" s="2236"/>
      <c r="H53" s="2237"/>
      <c r="I53" s="2237"/>
      <c r="J53" s="2237"/>
      <c r="K53" s="2237">
        <v>2.0</v>
      </c>
      <c r="L53" s="2237">
        <v>2.0</v>
      </c>
      <c r="M53" s="2238">
        <v>1.0</v>
      </c>
      <c r="N53" s="2239"/>
      <c r="O53" s="2236"/>
      <c r="P53" s="2236"/>
      <c r="Q53" s="2237"/>
      <c r="R53" s="2237"/>
      <c r="S53" s="2237"/>
      <c r="T53" s="2237"/>
      <c r="U53" s="2237"/>
      <c r="V53" s="2240"/>
      <c r="W53" s="2277"/>
      <c r="X53" s="2278"/>
      <c r="Y53" s="2278"/>
      <c r="Z53" s="2279"/>
      <c r="AA53" s="2279"/>
      <c r="AB53" s="2279"/>
      <c r="AC53" s="2279"/>
      <c r="AD53" s="2279"/>
      <c r="AE53" s="2280"/>
    </row>
    <row r="54" ht="15.0" customHeight="1">
      <c r="A54" s="1068"/>
      <c r="B54" s="2285"/>
      <c r="C54" s="2286">
        <v>45817.0</v>
      </c>
      <c r="D54" s="2234"/>
      <c r="E54" s="2235"/>
      <c r="F54" s="2236"/>
      <c r="G54" s="2236"/>
      <c r="H54" s="2237"/>
      <c r="I54" s="2237"/>
      <c r="J54" s="2237"/>
      <c r="K54" s="2237"/>
      <c r="L54" s="2237"/>
      <c r="M54" s="2238"/>
      <c r="N54" s="2239"/>
      <c r="O54" s="2236"/>
      <c r="P54" s="2236"/>
      <c r="Q54" s="2237"/>
      <c r="R54" s="2237"/>
      <c r="S54" s="2237">
        <v>4.0</v>
      </c>
      <c r="T54" s="2237">
        <v>1.0</v>
      </c>
      <c r="U54" s="2237"/>
      <c r="V54" s="2240"/>
      <c r="W54" s="2277"/>
      <c r="X54" s="2278"/>
      <c r="Y54" s="2278"/>
      <c r="Z54" s="2279"/>
      <c r="AA54" s="2279"/>
      <c r="AB54" s="2279"/>
      <c r="AC54" s="2279"/>
      <c r="AD54" s="2279"/>
      <c r="AE54" s="2280"/>
    </row>
    <row r="55" ht="15.0" customHeight="1">
      <c r="A55" s="911"/>
      <c r="B55" s="1062" t="s">
        <v>146</v>
      </c>
      <c r="C55" s="1042" t="str">
        <f>'1. Справочник'!C50</f>
        <v>Int 2905</v>
      </c>
      <c r="D55" s="2234"/>
      <c r="E55" s="2235"/>
      <c r="F55" s="2236"/>
      <c r="G55" s="2236"/>
      <c r="H55" s="2237"/>
      <c r="I55" s="2237"/>
      <c r="J55" s="2237"/>
      <c r="K55" s="2237"/>
      <c r="L55" s="2237">
        <v>2.0</v>
      </c>
      <c r="M55" s="2238">
        <v>1.0</v>
      </c>
      <c r="N55" s="2239"/>
      <c r="O55" s="2236"/>
      <c r="P55" s="2236"/>
      <c r="Q55" s="2237"/>
      <c r="R55" s="2237"/>
      <c r="S55" s="2237"/>
      <c r="T55" s="2237"/>
      <c r="U55" s="2237"/>
      <c r="V55" s="2240"/>
      <c r="W55" s="2277"/>
      <c r="X55" s="2278"/>
      <c r="Y55" s="2278"/>
      <c r="Z55" s="2279"/>
      <c r="AA55" s="2279"/>
      <c r="AB55" s="2279"/>
      <c r="AC55" s="2279"/>
      <c r="AD55" s="2279"/>
      <c r="AE55" s="2280"/>
    </row>
    <row r="56" ht="15.0" customHeight="1">
      <c r="A56" s="1068"/>
      <c r="B56" s="1069" t="s">
        <v>146</v>
      </c>
      <c r="C56" s="1042" t="str">
        <f>'1. Справочник'!C51</f>
        <v>Int 2612</v>
      </c>
      <c r="D56" s="2287"/>
      <c r="E56" s="2288"/>
      <c r="F56" s="2289"/>
      <c r="G56" s="2289"/>
      <c r="H56" s="2237"/>
      <c r="I56" s="2237"/>
      <c r="J56" s="2237">
        <v>2.0</v>
      </c>
      <c r="K56" s="2237">
        <v>3.0</v>
      </c>
      <c r="L56" s="2290">
        <v>2.0</v>
      </c>
      <c r="M56" s="2291">
        <v>3.0</v>
      </c>
      <c r="N56" s="2292"/>
      <c r="O56" s="2289"/>
      <c r="P56" s="2289"/>
      <c r="Q56" s="2237"/>
      <c r="R56" s="2237"/>
      <c r="S56" s="2237"/>
      <c r="T56" s="2237"/>
      <c r="U56" s="2290">
        <v>1.0</v>
      </c>
      <c r="V56" s="2293">
        <v>1.0</v>
      </c>
      <c r="W56" s="2294"/>
      <c r="X56" s="2295"/>
      <c r="Y56" s="2295"/>
      <c r="Z56" s="2279"/>
      <c r="AA56" s="2279"/>
      <c r="AB56" s="2279"/>
      <c r="AC56" s="2279"/>
      <c r="AD56" s="2296"/>
      <c r="AE56" s="2297"/>
    </row>
    <row r="57" ht="15.0" customHeight="1">
      <c r="A57" s="911"/>
      <c r="B57" s="1062" t="s">
        <v>146</v>
      </c>
      <c r="C57" s="1042" t="str">
        <f>'1. Справочник'!C52</f>
        <v>Шар 2505</v>
      </c>
      <c r="D57" s="2234">
        <v>0.0</v>
      </c>
      <c r="E57" s="2235"/>
      <c r="F57" s="2236"/>
      <c r="G57" s="2236">
        <v>1.0</v>
      </c>
      <c r="H57" s="2237">
        <v>1.0</v>
      </c>
      <c r="I57" s="2237">
        <v>1.0</v>
      </c>
      <c r="J57" s="2237">
        <v>1.0</v>
      </c>
      <c r="K57" s="2237">
        <v>5.0</v>
      </c>
      <c r="L57" s="2237">
        <v>1.0</v>
      </c>
      <c r="M57" s="2238">
        <v>1.0</v>
      </c>
      <c r="N57" s="2239"/>
      <c r="O57" s="2236"/>
      <c r="P57" s="2236"/>
      <c r="Q57" s="2237"/>
      <c r="R57" s="2237"/>
      <c r="S57" s="2237"/>
      <c r="T57" s="2237"/>
      <c r="U57" s="2237"/>
      <c r="V57" s="2240"/>
      <c r="W57" s="2277">
        <v>1.0</v>
      </c>
      <c r="X57" s="2278"/>
      <c r="Y57" s="2278"/>
      <c r="Z57" s="2279"/>
      <c r="AA57" s="2279"/>
      <c r="AB57" s="2279"/>
      <c r="AC57" s="2279"/>
      <c r="AD57" s="2279"/>
      <c r="AE57" s="2280"/>
    </row>
    <row r="58" ht="15.0" customHeight="1">
      <c r="A58" s="1032"/>
      <c r="B58" s="1033"/>
      <c r="C58" s="1034">
        <v>12.0</v>
      </c>
      <c r="D58" s="2262" t="str">
        <f>SUM(D45:D61)</f>
        <v>#REF!</v>
      </c>
      <c r="E58" s="2263">
        <f t="shared" ref="E58:AE58" si="3">SUM(E40:E57)</f>
        <v>5</v>
      </c>
      <c r="F58" s="2264">
        <f t="shared" si="3"/>
        <v>1</v>
      </c>
      <c r="G58" s="2264">
        <f t="shared" si="3"/>
        <v>4</v>
      </c>
      <c r="H58" s="2264">
        <f t="shared" si="3"/>
        <v>11</v>
      </c>
      <c r="I58" s="2264">
        <f t="shared" si="3"/>
        <v>16</v>
      </c>
      <c r="J58" s="2264">
        <f t="shared" si="3"/>
        <v>30</v>
      </c>
      <c r="K58" s="2264">
        <f t="shared" si="3"/>
        <v>42</v>
      </c>
      <c r="L58" s="2264">
        <f t="shared" si="3"/>
        <v>43</v>
      </c>
      <c r="M58" s="2265">
        <f t="shared" si="3"/>
        <v>28</v>
      </c>
      <c r="N58" s="2265">
        <f t="shared" si="3"/>
        <v>0</v>
      </c>
      <c r="O58" s="2265">
        <f t="shared" si="3"/>
        <v>0</v>
      </c>
      <c r="P58" s="2265">
        <f t="shared" si="3"/>
        <v>0</v>
      </c>
      <c r="Q58" s="2265">
        <f t="shared" si="3"/>
        <v>0</v>
      </c>
      <c r="R58" s="2265">
        <f t="shared" si="3"/>
        <v>1</v>
      </c>
      <c r="S58" s="2265">
        <f t="shared" si="3"/>
        <v>6</v>
      </c>
      <c r="T58" s="2265">
        <f t="shared" si="3"/>
        <v>4</v>
      </c>
      <c r="U58" s="2265">
        <f t="shared" si="3"/>
        <v>5</v>
      </c>
      <c r="V58" s="2265">
        <f t="shared" si="3"/>
        <v>6</v>
      </c>
      <c r="W58" s="2265">
        <f t="shared" si="3"/>
        <v>1</v>
      </c>
      <c r="X58" s="2265">
        <f t="shared" si="3"/>
        <v>0</v>
      </c>
      <c r="Y58" s="2265">
        <f t="shared" si="3"/>
        <v>0</v>
      </c>
      <c r="Z58" s="2265">
        <f t="shared" si="3"/>
        <v>0</v>
      </c>
      <c r="AA58" s="2265">
        <f t="shared" si="3"/>
        <v>0</v>
      </c>
      <c r="AB58" s="2265">
        <f t="shared" si="3"/>
        <v>0</v>
      </c>
      <c r="AC58" s="2265">
        <f t="shared" si="3"/>
        <v>0</v>
      </c>
      <c r="AD58" s="2265">
        <f t="shared" si="3"/>
        <v>0</v>
      </c>
      <c r="AE58" s="2265">
        <f t="shared" si="3"/>
        <v>0</v>
      </c>
    </row>
    <row r="59" ht="15.0" customHeight="1">
      <c r="A59" s="911"/>
      <c r="B59" s="1092" t="s">
        <v>58</v>
      </c>
      <c r="C59" s="1093" t="str">
        <f>'1. Справочник'!C75</f>
        <v>DL 11-1112</v>
      </c>
      <c r="D59" s="2189"/>
      <c r="E59" s="2199"/>
      <c r="F59" s="2195"/>
      <c r="G59" s="2195"/>
      <c r="H59" s="2196"/>
      <c r="I59" s="2196"/>
      <c r="J59" s="2196"/>
      <c r="K59" s="2196"/>
      <c r="L59" s="2196"/>
      <c r="M59" s="2200"/>
      <c r="N59" s="2194"/>
      <c r="O59" s="2195"/>
      <c r="P59" s="2195"/>
      <c r="Q59" s="2196"/>
      <c r="R59" s="2196"/>
      <c r="S59" s="2196"/>
      <c r="T59" s="2196"/>
      <c r="U59" s="2196"/>
      <c r="V59" s="2197"/>
      <c r="W59" s="2198"/>
      <c r="X59" s="2198">
        <v>1.0</v>
      </c>
      <c r="Y59" s="2198"/>
      <c r="Z59" s="2198"/>
      <c r="AA59" s="2198"/>
      <c r="AB59" s="2198">
        <v>1.0</v>
      </c>
      <c r="AC59" s="2198">
        <v>6.0</v>
      </c>
      <c r="AD59" s="2198">
        <v>16.0</v>
      </c>
      <c r="AE59" s="2198">
        <v>10.0</v>
      </c>
    </row>
    <row r="60" ht="15.0" customHeight="1">
      <c r="A60" s="911"/>
      <c r="B60" s="1092" t="s">
        <v>58</v>
      </c>
      <c r="C60" s="1093" t="str">
        <f>'1. Справочник'!C76</f>
        <v>DL 11-1305</v>
      </c>
      <c r="D60" s="2189"/>
      <c r="E60" s="2199"/>
      <c r="F60" s="2195"/>
      <c r="G60" s="2195"/>
      <c r="H60" s="2196"/>
      <c r="I60" s="2196"/>
      <c r="J60" s="2196"/>
      <c r="K60" s="2196"/>
      <c r="L60" s="2196">
        <v>1.0</v>
      </c>
      <c r="M60" s="2200"/>
      <c r="N60" s="2194"/>
      <c r="O60" s="2195"/>
      <c r="P60" s="2195"/>
      <c r="Q60" s="2196"/>
      <c r="R60" s="2196"/>
      <c r="S60" s="2196"/>
      <c r="T60" s="2196"/>
      <c r="U60" s="2196"/>
      <c r="V60" s="2197"/>
      <c r="W60" s="2201"/>
      <c r="X60" s="2201"/>
      <c r="Y60" s="2201"/>
      <c r="Z60" s="2201"/>
      <c r="AA60" s="2201"/>
      <c r="AB60" s="2201"/>
      <c r="AC60" s="2201"/>
      <c r="AD60" s="2201"/>
      <c r="AE60" s="2201"/>
    </row>
    <row r="61" ht="15.0" customHeight="1">
      <c r="A61" s="911"/>
      <c r="B61" s="1092" t="s">
        <v>58</v>
      </c>
      <c r="C61" s="1093" t="str">
        <f>'1. Справочник'!C77</f>
        <v>DL 14-516</v>
      </c>
      <c r="D61" s="2189"/>
      <c r="E61" s="2199"/>
      <c r="F61" s="2195"/>
      <c r="G61" s="2195"/>
      <c r="H61" s="2196"/>
      <c r="I61" s="2196"/>
      <c r="J61" s="2196"/>
      <c r="K61" s="2196"/>
      <c r="L61" s="2196"/>
      <c r="M61" s="2200"/>
      <c r="N61" s="2194"/>
      <c r="O61" s="2195"/>
      <c r="P61" s="2195"/>
      <c r="Q61" s="2196"/>
      <c r="R61" s="2196"/>
      <c r="S61" s="2196"/>
      <c r="T61" s="2196">
        <v>1.0</v>
      </c>
      <c r="U61" s="2196">
        <v>1.0</v>
      </c>
      <c r="V61" s="2197"/>
      <c r="W61" s="2201"/>
      <c r="X61" s="2201"/>
      <c r="Y61" s="2201"/>
      <c r="Z61" s="2201"/>
      <c r="AA61" s="2201"/>
      <c r="AB61" s="2201"/>
      <c r="AC61" s="2201"/>
      <c r="AD61" s="2201"/>
      <c r="AE61" s="2201"/>
    </row>
    <row r="62" ht="15.0" customHeight="1">
      <c r="A62" s="911"/>
      <c r="B62" s="1092" t="s">
        <v>58</v>
      </c>
      <c r="C62" s="1093" t="str">
        <f>'1. Справочник'!C78</f>
        <v>DL 14-702</v>
      </c>
      <c r="D62" s="2189"/>
      <c r="E62" s="2199"/>
      <c r="F62" s="2195"/>
      <c r="G62" s="2195"/>
      <c r="H62" s="2196"/>
      <c r="I62" s="2196"/>
      <c r="J62" s="2196">
        <v>2.0</v>
      </c>
      <c r="K62" s="2196"/>
      <c r="L62" s="2196">
        <v>1.0</v>
      </c>
      <c r="M62" s="2200"/>
      <c r="N62" s="2194"/>
      <c r="O62" s="2195"/>
      <c r="P62" s="2195"/>
      <c r="Q62" s="2196"/>
      <c r="R62" s="2196"/>
      <c r="S62" s="2196"/>
      <c r="T62" s="2196"/>
      <c r="U62" s="2196"/>
      <c r="V62" s="2197"/>
      <c r="W62" s="2201"/>
      <c r="X62" s="2201"/>
      <c r="Y62" s="2201"/>
      <c r="Z62" s="2201"/>
      <c r="AA62" s="2201"/>
      <c r="AB62" s="2201"/>
      <c r="AC62" s="2201"/>
      <c r="AD62" s="2201"/>
      <c r="AE62" s="2201"/>
    </row>
    <row r="63" ht="15.0" customHeight="1">
      <c r="A63" s="911"/>
      <c r="B63" s="1092" t="s">
        <v>58</v>
      </c>
      <c r="C63" s="1093" t="str">
        <f>'1. Справочник'!C79</f>
        <v>DL 14-1214</v>
      </c>
      <c r="D63" s="2189"/>
      <c r="E63" s="2199"/>
      <c r="F63" s="2195"/>
      <c r="G63" s="2195"/>
      <c r="H63" s="2196"/>
      <c r="I63" s="2196"/>
      <c r="J63" s="2196"/>
      <c r="K63" s="2196"/>
      <c r="L63" s="2196"/>
      <c r="M63" s="2200"/>
      <c r="N63" s="2194"/>
      <c r="O63" s="2195"/>
      <c r="P63" s="2195"/>
      <c r="Q63" s="2196"/>
      <c r="R63" s="2196"/>
      <c r="S63" s="2196"/>
      <c r="T63" s="2196"/>
      <c r="U63" s="2196"/>
      <c r="V63" s="2197"/>
      <c r="W63" s="2201"/>
      <c r="X63" s="2201"/>
      <c r="Y63" s="2201"/>
      <c r="Z63" s="2201"/>
      <c r="AA63" s="2201"/>
      <c r="AB63" s="2201"/>
      <c r="AC63" s="2201"/>
      <c r="AD63" s="2201"/>
      <c r="AE63" s="2201"/>
    </row>
    <row r="64" ht="15.0" customHeight="1">
      <c r="A64" s="911"/>
      <c r="B64" s="1092" t="s">
        <v>58</v>
      </c>
      <c r="C64" s="1097" t="s">
        <v>203</v>
      </c>
      <c r="D64" s="2189"/>
      <c r="E64" s="2199"/>
      <c r="F64" s="2195"/>
      <c r="G64" s="2195"/>
      <c r="H64" s="2196"/>
      <c r="I64" s="2196"/>
      <c r="J64" s="2196">
        <v>4.0</v>
      </c>
      <c r="K64" s="2196">
        <v>1.0</v>
      </c>
      <c r="L64" s="2196">
        <v>1.0</v>
      </c>
      <c r="M64" s="2200"/>
      <c r="N64" s="2194"/>
      <c r="O64" s="2195"/>
      <c r="P64" s="2195"/>
      <c r="Q64" s="2196"/>
      <c r="R64" s="2196"/>
      <c r="S64" s="2196"/>
      <c r="T64" s="2196"/>
      <c r="U64" s="2196"/>
      <c r="V64" s="2197"/>
      <c r="W64" s="2201"/>
      <c r="X64" s="2201"/>
      <c r="Y64" s="2201"/>
      <c r="Z64" s="2201"/>
      <c r="AA64" s="2201"/>
      <c r="AB64" s="2201"/>
      <c r="AC64" s="2201"/>
      <c r="AD64" s="2201"/>
      <c r="AE64" s="2201"/>
    </row>
    <row r="65" ht="15.0" customHeight="1">
      <c r="A65" s="911"/>
      <c r="B65" s="1092" t="s">
        <v>58</v>
      </c>
      <c r="C65" s="1093" t="str">
        <f>'1. Справочник'!C81</f>
        <v>DL 4-09</v>
      </c>
      <c r="D65" s="2189"/>
      <c r="E65" s="2199"/>
      <c r="F65" s="2195"/>
      <c r="G65" s="2195"/>
      <c r="H65" s="2196"/>
      <c r="I65" s="2196"/>
      <c r="J65" s="2196"/>
      <c r="K65" s="2196"/>
      <c r="L65" s="2196">
        <v>2.0</v>
      </c>
      <c r="M65" s="2200"/>
      <c r="N65" s="2194"/>
      <c r="O65" s="2195"/>
      <c r="P65" s="2195"/>
      <c r="Q65" s="2196"/>
      <c r="R65" s="2196"/>
      <c r="S65" s="2196"/>
      <c r="T65" s="2196"/>
      <c r="U65" s="2196"/>
      <c r="V65" s="2197"/>
      <c r="W65" s="2201"/>
      <c r="X65" s="2201"/>
      <c r="Y65" s="2201"/>
      <c r="Z65" s="2201"/>
      <c r="AA65" s="2201"/>
      <c r="AB65" s="2201"/>
      <c r="AC65" s="2201"/>
      <c r="AD65" s="2201"/>
      <c r="AE65" s="2201"/>
    </row>
    <row r="66" ht="15.0" customHeight="1">
      <c r="A66" s="911"/>
      <c r="B66" s="1092" t="s">
        <v>58</v>
      </c>
      <c r="C66" s="1093" t="str">
        <f>'1. Справочник'!C82</f>
        <v>DL14-518</v>
      </c>
      <c r="D66" s="2189"/>
      <c r="E66" s="2199"/>
      <c r="F66" s="2195"/>
      <c r="G66" s="2195"/>
      <c r="H66" s="2196"/>
      <c r="I66" s="2196"/>
      <c r="J66" s="2196"/>
      <c r="K66" s="2196"/>
      <c r="L66" s="2196">
        <v>1.0</v>
      </c>
      <c r="M66" s="2200"/>
      <c r="N66" s="2194"/>
      <c r="O66" s="2195"/>
      <c r="P66" s="2195"/>
      <c r="Q66" s="2196"/>
      <c r="R66" s="2196"/>
      <c r="S66" s="2196"/>
      <c r="T66" s="2196"/>
      <c r="U66" s="2196"/>
      <c r="V66" s="2197"/>
      <c r="W66" s="2201"/>
      <c r="X66" s="2201"/>
      <c r="Y66" s="2201"/>
      <c r="Z66" s="2201"/>
      <c r="AA66" s="2201"/>
      <c r="AB66" s="2201"/>
      <c r="AC66" s="2201"/>
      <c r="AD66" s="2201"/>
      <c r="AE66" s="2201"/>
    </row>
    <row r="67" ht="15.0" customHeight="1">
      <c r="A67" s="911"/>
      <c r="B67" s="1092" t="s">
        <v>58</v>
      </c>
      <c r="C67" s="1093" t="str">
        <f>'1. Справочник'!C83</f>
        <v>DL14-1405</v>
      </c>
      <c r="D67" s="2189"/>
      <c r="E67" s="2199"/>
      <c r="F67" s="2195"/>
      <c r="G67" s="2195"/>
      <c r="H67" s="2196"/>
      <c r="I67" s="2196"/>
      <c r="J67" s="2196">
        <v>1.0</v>
      </c>
      <c r="K67" s="2196">
        <v>2.0</v>
      </c>
      <c r="L67" s="2196"/>
      <c r="M67" s="2200">
        <v>1.0</v>
      </c>
      <c r="N67" s="2194"/>
      <c r="O67" s="2195"/>
      <c r="P67" s="2195"/>
      <c r="Q67" s="2196"/>
      <c r="R67" s="2196"/>
      <c r="S67" s="2196"/>
      <c r="T67" s="2196"/>
      <c r="U67" s="2196"/>
      <c r="V67" s="2197"/>
      <c r="W67" s="2201"/>
      <c r="X67" s="2201"/>
      <c r="Y67" s="2201"/>
      <c r="Z67" s="2201"/>
      <c r="AA67" s="2201"/>
      <c r="AB67" s="2201"/>
      <c r="AC67" s="2201"/>
      <c r="AD67" s="2201"/>
      <c r="AE67" s="2201"/>
    </row>
    <row r="68" ht="15.0" customHeight="1">
      <c r="A68" s="931"/>
      <c r="B68" s="1092" t="s">
        <v>58</v>
      </c>
      <c r="C68" s="1093" t="str">
        <f>'1. Справочник'!C84</f>
        <v>DL 14-505</v>
      </c>
      <c r="D68" s="2298"/>
      <c r="E68" s="2299"/>
      <c r="F68" s="2300"/>
      <c r="G68" s="2300"/>
      <c r="H68" s="2301"/>
      <c r="I68" s="2301"/>
      <c r="J68" s="2301">
        <v>1.0</v>
      </c>
      <c r="K68" s="2301"/>
      <c r="L68" s="2301"/>
      <c r="M68" s="2302">
        <v>1.0</v>
      </c>
      <c r="N68" s="2303"/>
      <c r="O68" s="2300"/>
      <c r="P68" s="2300"/>
      <c r="Q68" s="2301"/>
      <c r="R68" s="2301"/>
      <c r="S68" s="2301"/>
      <c r="T68" s="2301"/>
      <c r="U68" s="2301"/>
      <c r="V68" s="2304"/>
      <c r="W68" s="2201"/>
      <c r="X68" s="2201"/>
      <c r="Y68" s="2201"/>
      <c r="Z68" s="2201"/>
      <c r="AA68" s="2201"/>
      <c r="AB68" s="2201"/>
      <c r="AC68" s="2201"/>
      <c r="AD68" s="2201"/>
      <c r="AE68" s="2201"/>
    </row>
    <row r="69" ht="15.0" customHeight="1">
      <c r="A69" s="911"/>
      <c r="B69" s="1092" t="s">
        <v>58</v>
      </c>
      <c r="C69" s="1093" t="str">
        <f>'1. Справочник'!C85</f>
        <v>DL 14-1614</v>
      </c>
      <c r="D69" s="2189"/>
      <c r="E69" s="2199"/>
      <c r="F69" s="2195"/>
      <c r="G69" s="2195"/>
      <c r="H69" s="2196"/>
      <c r="I69" s="2196"/>
      <c r="J69" s="2196"/>
      <c r="K69" s="2196"/>
      <c r="L69" s="2196"/>
      <c r="M69" s="2200"/>
      <c r="N69" s="2194"/>
      <c r="O69" s="2195"/>
      <c r="P69" s="2195"/>
      <c r="Q69" s="2196"/>
      <c r="R69" s="2196"/>
      <c r="S69" s="2196"/>
      <c r="T69" s="2196"/>
      <c r="U69" s="2196"/>
      <c r="V69" s="2197"/>
      <c r="W69" s="2201"/>
      <c r="X69" s="2201"/>
      <c r="Y69" s="2201"/>
      <c r="Z69" s="2201"/>
      <c r="AA69" s="2201"/>
      <c r="AB69" s="2201"/>
      <c r="AC69" s="2201"/>
      <c r="AD69" s="2201"/>
      <c r="AE69" s="2201"/>
    </row>
    <row r="70" ht="15.0" customHeight="1">
      <c r="A70" s="911"/>
      <c r="B70" s="1092" t="s">
        <v>58</v>
      </c>
      <c r="C70" s="1093" t="str">
        <f>'1. Справочник'!C86</f>
        <v>DL 14-1710</v>
      </c>
      <c r="D70" s="2189"/>
      <c r="E70" s="2199"/>
      <c r="F70" s="2195"/>
      <c r="G70" s="2195"/>
      <c r="H70" s="2196"/>
      <c r="I70" s="2196"/>
      <c r="J70" s="2196"/>
      <c r="K70" s="2196"/>
      <c r="L70" s="2196"/>
      <c r="M70" s="2200"/>
      <c r="N70" s="2194"/>
      <c r="O70" s="2195"/>
      <c r="P70" s="2195"/>
      <c r="Q70" s="2196"/>
      <c r="R70" s="2196"/>
      <c r="S70" s="2196"/>
      <c r="T70" s="2196"/>
      <c r="U70" s="2196"/>
      <c r="V70" s="2197"/>
      <c r="W70" s="2201"/>
      <c r="X70" s="2201"/>
      <c r="Y70" s="2201"/>
      <c r="Z70" s="2201"/>
      <c r="AA70" s="2201"/>
      <c r="AB70" s="2201"/>
      <c r="AC70" s="2201"/>
      <c r="AD70" s="2201"/>
      <c r="AE70" s="2201"/>
    </row>
    <row r="71" ht="15.0" customHeight="1">
      <c r="A71" s="1068"/>
      <c r="B71" s="1092" t="s">
        <v>58</v>
      </c>
      <c r="C71" s="1093" t="str">
        <f>'1. Справочник'!C87</f>
        <v>DL14-305</v>
      </c>
      <c r="D71" s="2305"/>
      <c r="E71" s="2255"/>
      <c r="F71" s="2256"/>
      <c r="G71" s="2256"/>
      <c r="H71" s="2257"/>
      <c r="I71" s="2257"/>
      <c r="J71" s="2257">
        <v>1.0</v>
      </c>
      <c r="K71" s="2257">
        <v>1.0</v>
      </c>
      <c r="L71" s="2257">
        <v>2.0</v>
      </c>
      <c r="M71" s="2258">
        <v>1.0</v>
      </c>
      <c r="N71" s="2259"/>
      <c r="O71" s="2256"/>
      <c r="P71" s="2256"/>
      <c r="Q71" s="2257"/>
      <c r="R71" s="2257"/>
      <c r="S71" s="2257"/>
      <c r="T71" s="2257"/>
      <c r="U71" s="2257"/>
      <c r="V71" s="2260"/>
      <c r="W71" s="2201"/>
      <c r="X71" s="2201"/>
      <c r="Y71" s="2201"/>
      <c r="Z71" s="2201"/>
      <c r="AA71" s="2201"/>
      <c r="AB71" s="2201"/>
      <c r="AC71" s="2201"/>
      <c r="AD71" s="2201"/>
      <c r="AE71" s="2201"/>
    </row>
    <row r="72" ht="15.0" customHeight="1">
      <c r="A72" s="1068"/>
      <c r="B72" s="1092" t="s">
        <v>58</v>
      </c>
      <c r="C72" s="1093" t="str">
        <f>'1. Справочник'!C88</f>
        <v>DL14-501-502</v>
      </c>
      <c r="D72" s="2305"/>
      <c r="E72" s="2255"/>
      <c r="F72" s="2256"/>
      <c r="G72" s="2256"/>
      <c r="H72" s="2257"/>
      <c r="I72" s="2257"/>
      <c r="J72" s="2257"/>
      <c r="K72" s="2257">
        <v>1.0</v>
      </c>
      <c r="L72" s="2257"/>
      <c r="M72" s="2258"/>
      <c r="N72" s="2259"/>
      <c r="O72" s="2256"/>
      <c r="P72" s="2256"/>
      <c r="Q72" s="2257"/>
      <c r="R72" s="2257"/>
      <c r="S72" s="2257"/>
      <c r="T72" s="2257"/>
      <c r="U72" s="2257"/>
      <c r="V72" s="2260"/>
      <c r="W72" s="2201"/>
      <c r="X72" s="2201"/>
      <c r="Y72" s="2201"/>
      <c r="Z72" s="2201"/>
      <c r="AA72" s="2201"/>
      <c r="AB72" s="2201"/>
      <c r="AC72" s="2201"/>
      <c r="AD72" s="2201"/>
      <c r="AE72" s="2201"/>
    </row>
    <row r="73" ht="15.0" customHeight="1">
      <c r="A73" s="1068"/>
      <c r="B73" s="1092" t="s">
        <v>58</v>
      </c>
      <c r="C73" s="1093" t="str">
        <f>#REF!</f>
        <v>#REF!</v>
      </c>
      <c r="D73" s="2305"/>
      <c r="E73" s="2255"/>
      <c r="F73" s="2256"/>
      <c r="G73" s="2256"/>
      <c r="H73" s="2257"/>
      <c r="I73" s="2257"/>
      <c r="J73" s="2257"/>
      <c r="K73" s="2257"/>
      <c r="L73" s="2257"/>
      <c r="M73" s="2258"/>
      <c r="N73" s="2259"/>
      <c r="O73" s="2256"/>
      <c r="P73" s="2256"/>
      <c r="Q73" s="2257"/>
      <c r="R73" s="2257"/>
      <c r="S73" s="2257"/>
      <c r="T73" s="2257"/>
      <c r="U73" s="2257"/>
      <c r="V73" s="2260"/>
      <c r="W73" s="2201"/>
      <c r="X73" s="2201"/>
      <c r="Y73" s="2201"/>
      <c r="Z73" s="2201"/>
      <c r="AA73" s="2201"/>
      <c r="AB73" s="2201"/>
      <c r="AC73" s="2201"/>
      <c r="AD73" s="2201"/>
      <c r="AE73" s="2201"/>
    </row>
    <row r="74" ht="15.0" customHeight="1">
      <c r="A74" s="1068"/>
      <c r="B74" s="1092" t="s">
        <v>58</v>
      </c>
      <c r="C74" s="1093" t="str">
        <f>'1. Справочник'!C89</f>
        <v>DL7-16</v>
      </c>
      <c r="D74" s="2305"/>
      <c r="E74" s="2255"/>
      <c r="F74" s="2256"/>
      <c r="G74" s="2256"/>
      <c r="H74" s="2257"/>
      <c r="I74" s="2257"/>
      <c r="J74" s="2257"/>
      <c r="K74" s="2257">
        <v>1.0</v>
      </c>
      <c r="L74" s="2257"/>
      <c r="M74" s="2258"/>
      <c r="N74" s="2259"/>
      <c r="O74" s="2256"/>
      <c r="P74" s="2256"/>
      <c r="Q74" s="2257"/>
      <c r="R74" s="2257"/>
      <c r="S74" s="2257"/>
      <c r="T74" s="2257"/>
      <c r="U74" s="2257"/>
      <c r="V74" s="2260"/>
      <c r="W74" s="2203"/>
      <c r="X74" s="2203"/>
      <c r="Y74" s="2203"/>
      <c r="Z74" s="2203"/>
      <c r="AA74" s="2203"/>
      <c r="AB74" s="2203"/>
      <c r="AC74" s="2203"/>
      <c r="AD74" s="2203"/>
      <c r="AE74" s="2203"/>
    </row>
    <row r="75" ht="15.0" customHeight="1">
      <c r="A75" s="911"/>
      <c r="B75" s="1092" t="s">
        <v>58</v>
      </c>
      <c r="C75" s="1128" t="s">
        <v>250</v>
      </c>
      <c r="D75" s="2306"/>
      <c r="E75" s="2307"/>
      <c r="F75" s="2308"/>
      <c r="G75" s="2308"/>
      <c r="H75" s="2196"/>
      <c r="I75" s="2196">
        <v>2.0</v>
      </c>
      <c r="J75" s="2196">
        <v>2.0</v>
      </c>
      <c r="K75" s="2196">
        <v>1.0</v>
      </c>
      <c r="L75" s="2309"/>
      <c r="M75" s="2310">
        <v>1.0</v>
      </c>
      <c r="N75" s="2311"/>
      <c r="O75" s="2308"/>
      <c r="P75" s="2308"/>
      <c r="Q75" s="2196"/>
      <c r="R75" s="2196"/>
      <c r="S75" s="2301">
        <v>2.0</v>
      </c>
      <c r="T75" s="2301">
        <v>4.0</v>
      </c>
      <c r="U75" s="2301">
        <v>16.0</v>
      </c>
      <c r="V75" s="2301">
        <v>6.0</v>
      </c>
      <c r="W75" s="2312"/>
      <c r="X75" s="2312"/>
      <c r="Y75" s="2312"/>
      <c r="Z75" s="2312"/>
      <c r="AA75" s="2312">
        <v>1.0</v>
      </c>
      <c r="AB75" s="2312">
        <v>5.0</v>
      </c>
      <c r="AC75" s="2312">
        <v>7.0</v>
      </c>
      <c r="AD75" s="2312">
        <v>8.0</v>
      </c>
      <c r="AE75" s="2312">
        <v>5.0</v>
      </c>
    </row>
    <row r="76" ht="15.0" customHeight="1">
      <c r="A76" s="911"/>
      <c r="B76" s="1092" t="s">
        <v>58</v>
      </c>
      <c r="C76" s="1128" t="s">
        <v>238</v>
      </c>
      <c r="D76" s="2306"/>
      <c r="E76" s="2307"/>
      <c r="F76" s="2308"/>
      <c r="G76" s="2308"/>
      <c r="H76" s="2196"/>
      <c r="I76" s="2196"/>
      <c r="J76" s="2196"/>
      <c r="K76" s="2196"/>
      <c r="L76" s="2309"/>
      <c r="M76" s="2310"/>
      <c r="N76" s="2311"/>
      <c r="O76" s="2308"/>
      <c r="P76" s="2308"/>
      <c r="Q76" s="2196"/>
      <c r="R76" s="2196"/>
      <c r="S76" s="236"/>
      <c r="T76" s="236"/>
      <c r="U76" s="236"/>
      <c r="V76" s="236"/>
      <c r="W76" s="2201"/>
      <c r="X76" s="2201"/>
      <c r="Y76" s="2201"/>
      <c r="Z76" s="2201"/>
      <c r="AA76" s="2201"/>
      <c r="AB76" s="2201"/>
      <c r="AC76" s="2201"/>
      <c r="AD76" s="2201"/>
      <c r="AE76" s="2201"/>
    </row>
    <row r="77" ht="15.0" customHeight="1">
      <c r="A77" s="931"/>
      <c r="B77" s="1092" t="s">
        <v>58</v>
      </c>
      <c r="C77" s="1128" t="s">
        <v>252</v>
      </c>
      <c r="D77" s="2306"/>
      <c r="E77" s="2307"/>
      <c r="F77" s="2308"/>
      <c r="G77" s="2308"/>
      <c r="H77" s="2196"/>
      <c r="I77" s="2196"/>
      <c r="J77" s="2196">
        <v>2.0</v>
      </c>
      <c r="K77" s="2196">
        <v>4.0</v>
      </c>
      <c r="L77" s="2309">
        <v>2.0</v>
      </c>
      <c r="M77" s="2310">
        <v>4.0</v>
      </c>
      <c r="N77" s="2311"/>
      <c r="O77" s="2308"/>
      <c r="P77" s="2308"/>
      <c r="Q77" s="2196"/>
      <c r="R77" s="2196"/>
      <c r="S77" s="236"/>
      <c r="T77" s="236"/>
      <c r="U77" s="236"/>
      <c r="V77" s="236"/>
      <c r="W77" s="2201"/>
      <c r="X77" s="2201"/>
      <c r="Y77" s="2201"/>
      <c r="Z77" s="2201"/>
      <c r="AA77" s="2201"/>
      <c r="AB77" s="2201"/>
      <c r="AC77" s="2201"/>
      <c r="AD77" s="2201"/>
      <c r="AE77" s="2201"/>
    </row>
    <row r="78" ht="15.0" customHeight="1">
      <c r="A78" s="931"/>
      <c r="B78" s="1092" t="s">
        <v>58</v>
      </c>
      <c r="C78" s="1128" t="s">
        <v>254</v>
      </c>
      <c r="D78" s="2306"/>
      <c r="E78" s="2307"/>
      <c r="F78" s="2308"/>
      <c r="G78" s="2308"/>
      <c r="H78" s="2196"/>
      <c r="I78" s="2196"/>
      <c r="J78" s="2196">
        <v>1.0</v>
      </c>
      <c r="K78" s="2196">
        <v>2.0</v>
      </c>
      <c r="L78" s="2309">
        <v>1.0</v>
      </c>
      <c r="M78" s="2310">
        <v>1.0</v>
      </c>
      <c r="N78" s="2311"/>
      <c r="O78" s="2308"/>
      <c r="P78" s="2308"/>
      <c r="Q78" s="2196"/>
      <c r="R78" s="2196"/>
      <c r="S78" s="236"/>
      <c r="T78" s="236"/>
      <c r="U78" s="236"/>
      <c r="V78" s="236"/>
      <c r="W78" s="2201"/>
      <c r="X78" s="2201"/>
      <c r="Y78" s="2201"/>
      <c r="Z78" s="2201"/>
      <c r="AA78" s="2201"/>
      <c r="AB78" s="2201"/>
      <c r="AC78" s="2201"/>
      <c r="AD78" s="2201"/>
      <c r="AE78" s="2201"/>
    </row>
    <row r="79" ht="15.0" customHeight="1">
      <c r="A79" s="931"/>
      <c r="B79" s="1092" t="s">
        <v>58</v>
      </c>
      <c r="C79" s="1128" t="s">
        <v>256</v>
      </c>
      <c r="D79" s="2306"/>
      <c r="E79" s="2307"/>
      <c r="F79" s="2308"/>
      <c r="G79" s="2308"/>
      <c r="H79" s="2196"/>
      <c r="I79" s="2196"/>
      <c r="J79" s="2196"/>
      <c r="K79" s="2196"/>
      <c r="L79" s="2309"/>
      <c r="M79" s="2310">
        <v>1.0</v>
      </c>
      <c r="N79" s="2311"/>
      <c r="O79" s="2308"/>
      <c r="P79" s="2308"/>
      <c r="Q79" s="2196"/>
      <c r="R79" s="2196"/>
      <c r="S79" s="236"/>
      <c r="T79" s="236"/>
      <c r="U79" s="236"/>
      <c r="V79" s="236"/>
      <c r="W79" s="2201"/>
      <c r="X79" s="2201"/>
      <c r="Y79" s="2201"/>
      <c r="Z79" s="2201"/>
      <c r="AA79" s="2201"/>
      <c r="AB79" s="2201"/>
      <c r="AC79" s="2201"/>
      <c r="AD79" s="2201"/>
      <c r="AE79" s="2201"/>
    </row>
    <row r="80" ht="15.0" customHeight="1">
      <c r="A80" s="931"/>
      <c r="B80" s="1092" t="s">
        <v>58</v>
      </c>
      <c r="C80" s="1128" t="s">
        <v>258</v>
      </c>
      <c r="D80" s="2306"/>
      <c r="E80" s="2307"/>
      <c r="F80" s="2308"/>
      <c r="G80" s="2308"/>
      <c r="H80" s="2196"/>
      <c r="I80" s="2196"/>
      <c r="J80" s="2196"/>
      <c r="K80" s="2196">
        <v>2.0</v>
      </c>
      <c r="L80" s="2309">
        <v>3.0</v>
      </c>
      <c r="M80" s="2310">
        <v>2.0</v>
      </c>
      <c r="N80" s="2311"/>
      <c r="O80" s="2308"/>
      <c r="P80" s="2308"/>
      <c r="Q80" s="2196"/>
      <c r="R80" s="2196"/>
      <c r="S80" s="236"/>
      <c r="T80" s="236"/>
      <c r="U80" s="236"/>
      <c r="V80" s="236"/>
      <c r="W80" s="2201"/>
      <c r="X80" s="2201"/>
      <c r="Y80" s="2201"/>
      <c r="Z80" s="2201"/>
      <c r="AA80" s="2201"/>
      <c r="AB80" s="2201"/>
      <c r="AC80" s="2201"/>
      <c r="AD80" s="2201"/>
      <c r="AE80" s="2201"/>
    </row>
    <row r="81" ht="15.0" customHeight="1">
      <c r="A81" s="931"/>
      <c r="B81" s="1092" t="s">
        <v>58</v>
      </c>
      <c r="C81" s="1128" t="s">
        <v>260</v>
      </c>
      <c r="D81" s="2306"/>
      <c r="E81" s="2307"/>
      <c r="F81" s="2308"/>
      <c r="G81" s="2308"/>
      <c r="H81" s="2196"/>
      <c r="I81" s="2196"/>
      <c r="J81" s="2196"/>
      <c r="K81" s="2196"/>
      <c r="L81" s="2309"/>
      <c r="M81" s="2310"/>
      <c r="N81" s="2311"/>
      <c r="O81" s="2308"/>
      <c r="P81" s="2308"/>
      <c r="Q81" s="2196"/>
      <c r="R81" s="2196"/>
      <c r="S81" s="236"/>
      <c r="T81" s="236"/>
      <c r="U81" s="236"/>
      <c r="V81" s="236"/>
      <c r="W81" s="2201"/>
      <c r="X81" s="2201"/>
      <c r="Y81" s="2201"/>
      <c r="Z81" s="2201"/>
      <c r="AA81" s="2201"/>
      <c r="AB81" s="2201"/>
      <c r="AC81" s="2201"/>
      <c r="AD81" s="2201"/>
      <c r="AE81" s="2201"/>
    </row>
    <row r="82" ht="15.0" customHeight="1">
      <c r="A82" s="931"/>
      <c r="B82" s="1092" t="s">
        <v>58</v>
      </c>
      <c r="C82" s="1128" t="s">
        <v>262</v>
      </c>
      <c r="D82" s="2306"/>
      <c r="E82" s="2307"/>
      <c r="F82" s="2308"/>
      <c r="G82" s="2308"/>
      <c r="H82" s="2196"/>
      <c r="I82" s="2196"/>
      <c r="J82" s="2196">
        <v>1.0</v>
      </c>
      <c r="K82" s="2196">
        <v>1.0</v>
      </c>
      <c r="L82" s="2309">
        <v>1.0</v>
      </c>
      <c r="M82" s="2310"/>
      <c r="N82" s="2311"/>
      <c r="O82" s="2308"/>
      <c r="P82" s="2308"/>
      <c r="Q82" s="2196"/>
      <c r="R82" s="2196"/>
      <c r="S82" s="236"/>
      <c r="T82" s="236"/>
      <c r="U82" s="236"/>
      <c r="V82" s="236"/>
      <c r="W82" s="2201"/>
      <c r="X82" s="2201"/>
      <c r="Y82" s="2201"/>
      <c r="Z82" s="2201"/>
      <c r="AA82" s="2201"/>
      <c r="AB82" s="2201"/>
      <c r="AC82" s="2201"/>
      <c r="AD82" s="2201"/>
      <c r="AE82" s="2201"/>
    </row>
    <row r="83" ht="15.0" customHeight="1">
      <c r="A83" s="931"/>
      <c r="B83" s="1092" t="s">
        <v>58</v>
      </c>
      <c r="C83" s="1133" t="s">
        <v>240</v>
      </c>
      <c r="D83" s="2306"/>
      <c r="E83" s="2307"/>
      <c r="F83" s="2308"/>
      <c r="G83" s="2308"/>
      <c r="H83" s="2196"/>
      <c r="I83" s="2196"/>
      <c r="J83" s="2196"/>
      <c r="K83" s="2196">
        <v>2.0</v>
      </c>
      <c r="L83" s="2309">
        <v>1.0</v>
      </c>
      <c r="M83" s="2310">
        <v>1.0</v>
      </c>
      <c r="N83" s="2311"/>
      <c r="O83" s="2308"/>
      <c r="P83" s="2308"/>
      <c r="Q83" s="2196"/>
      <c r="R83" s="2196"/>
      <c r="S83" s="236"/>
      <c r="T83" s="236"/>
      <c r="U83" s="236"/>
      <c r="V83" s="236"/>
      <c r="W83" s="2201"/>
      <c r="X83" s="2201"/>
      <c r="Y83" s="2201"/>
      <c r="Z83" s="2201"/>
      <c r="AA83" s="2201"/>
      <c r="AB83" s="2201"/>
      <c r="AC83" s="2201"/>
      <c r="AD83" s="2201"/>
      <c r="AE83" s="2201"/>
    </row>
    <row r="84" ht="15.0" customHeight="1">
      <c r="A84" s="931"/>
      <c r="B84" s="1092" t="s">
        <v>58</v>
      </c>
      <c r="C84" s="1133" t="s">
        <v>264</v>
      </c>
      <c r="D84" s="2306"/>
      <c r="E84" s="2307"/>
      <c r="F84" s="2308"/>
      <c r="G84" s="2308"/>
      <c r="H84" s="2196"/>
      <c r="I84" s="2196"/>
      <c r="J84" s="2196"/>
      <c r="K84" s="2196"/>
      <c r="L84" s="2309"/>
      <c r="M84" s="2310"/>
      <c r="N84" s="2311"/>
      <c r="O84" s="2308"/>
      <c r="P84" s="2308"/>
      <c r="Q84" s="2196"/>
      <c r="R84" s="2196"/>
      <c r="S84" s="236"/>
      <c r="T84" s="236"/>
      <c r="U84" s="236"/>
      <c r="V84" s="236"/>
      <c r="W84" s="2201"/>
      <c r="X84" s="2201"/>
      <c r="Y84" s="2201"/>
      <c r="Z84" s="2201"/>
      <c r="AA84" s="2201"/>
      <c r="AB84" s="2201"/>
      <c r="AC84" s="2201"/>
      <c r="AD84" s="2201"/>
      <c r="AE84" s="2201"/>
    </row>
    <row r="85" ht="15.0" customHeight="1">
      <c r="A85" s="931"/>
      <c r="B85" s="1092" t="s">
        <v>58</v>
      </c>
      <c r="C85" s="1133" t="s">
        <v>266</v>
      </c>
      <c r="D85" s="2306"/>
      <c r="E85" s="2307"/>
      <c r="F85" s="2308"/>
      <c r="G85" s="2308"/>
      <c r="H85" s="2196"/>
      <c r="I85" s="2196"/>
      <c r="J85" s="2196"/>
      <c r="K85" s="2196">
        <v>1.0</v>
      </c>
      <c r="L85" s="2309">
        <v>1.0</v>
      </c>
      <c r="M85" s="2310">
        <v>1.0</v>
      </c>
      <c r="N85" s="2311"/>
      <c r="O85" s="2308"/>
      <c r="P85" s="2308"/>
      <c r="Q85" s="2196"/>
      <c r="R85" s="2196"/>
      <c r="S85" s="236"/>
      <c r="T85" s="236"/>
      <c r="U85" s="236"/>
      <c r="V85" s="236"/>
      <c r="W85" s="2201"/>
      <c r="X85" s="2201"/>
      <c r="Y85" s="2201"/>
      <c r="Z85" s="2201"/>
      <c r="AA85" s="2201"/>
      <c r="AB85" s="2201"/>
      <c r="AC85" s="2201"/>
      <c r="AD85" s="2201"/>
      <c r="AE85" s="2201"/>
    </row>
    <row r="86" ht="15.0" customHeight="1">
      <c r="A86" s="1068"/>
      <c r="B86" s="1092" t="s">
        <v>58</v>
      </c>
      <c r="C86" s="1133" t="s">
        <v>268</v>
      </c>
      <c r="D86" s="2306"/>
      <c r="E86" s="2307"/>
      <c r="F86" s="2308"/>
      <c r="G86" s="2308"/>
      <c r="H86" s="2196"/>
      <c r="I86" s="2196"/>
      <c r="J86" s="2196">
        <v>1.0</v>
      </c>
      <c r="K86" s="2196"/>
      <c r="L86" s="2309"/>
      <c r="M86" s="2310"/>
      <c r="N86" s="2311"/>
      <c r="O86" s="2308"/>
      <c r="P86" s="2308"/>
      <c r="Q86" s="2196"/>
      <c r="R86" s="2196"/>
      <c r="S86" s="236"/>
      <c r="T86" s="236"/>
      <c r="U86" s="236"/>
      <c r="V86" s="236"/>
      <c r="W86" s="2201"/>
      <c r="X86" s="2201"/>
      <c r="Y86" s="2201"/>
      <c r="Z86" s="2201"/>
      <c r="AA86" s="2201"/>
      <c r="AB86" s="2201"/>
      <c r="AC86" s="2201"/>
      <c r="AD86" s="2201"/>
      <c r="AE86" s="2201"/>
    </row>
    <row r="87" ht="15.0" customHeight="1">
      <c r="A87" s="1068"/>
      <c r="B87" s="1092" t="s">
        <v>58</v>
      </c>
      <c r="C87" s="1133" t="s">
        <v>242</v>
      </c>
      <c r="D87" s="2306"/>
      <c r="E87" s="2307"/>
      <c r="F87" s="2308"/>
      <c r="G87" s="2308"/>
      <c r="H87" s="2196"/>
      <c r="I87" s="2196"/>
      <c r="J87" s="2196"/>
      <c r="K87" s="2196"/>
      <c r="L87" s="2309"/>
      <c r="M87" s="2310"/>
      <c r="N87" s="2311"/>
      <c r="O87" s="2308"/>
      <c r="P87" s="2308"/>
      <c r="Q87" s="2196"/>
      <c r="R87" s="2196"/>
      <c r="S87" s="236"/>
      <c r="T87" s="236"/>
      <c r="U87" s="236"/>
      <c r="V87" s="236"/>
      <c r="W87" s="2201"/>
      <c r="X87" s="2201"/>
      <c r="Y87" s="2201"/>
      <c r="Z87" s="2201"/>
      <c r="AA87" s="2201"/>
      <c r="AB87" s="2201"/>
      <c r="AC87" s="2201"/>
      <c r="AD87" s="2201"/>
      <c r="AE87" s="2201"/>
    </row>
    <row r="88" ht="15.0" customHeight="1">
      <c r="A88" s="1068"/>
      <c r="B88" s="1092" t="s">
        <v>58</v>
      </c>
      <c r="C88" s="1133" t="s">
        <v>270</v>
      </c>
      <c r="D88" s="2306"/>
      <c r="E88" s="2307"/>
      <c r="F88" s="2308"/>
      <c r="G88" s="2308"/>
      <c r="H88" s="2196"/>
      <c r="I88" s="2196"/>
      <c r="J88" s="2196"/>
      <c r="K88" s="2196">
        <v>3.0</v>
      </c>
      <c r="L88" s="2309">
        <v>1.0</v>
      </c>
      <c r="M88" s="2310"/>
      <c r="N88" s="2311"/>
      <c r="O88" s="2308"/>
      <c r="P88" s="2308"/>
      <c r="Q88" s="2196"/>
      <c r="R88" s="2196"/>
      <c r="S88" s="236"/>
      <c r="T88" s="236"/>
      <c r="U88" s="236"/>
      <c r="V88" s="236"/>
      <c r="W88" s="2201"/>
      <c r="X88" s="2201"/>
      <c r="Y88" s="2201"/>
      <c r="Z88" s="2201"/>
      <c r="AA88" s="2201"/>
      <c r="AB88" s="2201"/>
      <c r="AC88" s="2201"/>
      <c r="AD88" s="2201"/>
      <c r="AE88" s="2201"/>
    </row>
    <row r="89" ht="15.0" customHeight="1">
      <c r="A89" s="1068"/>
      <c r="B89" s="1092" t="s">
        <v>58</v>
      </c>
      <c r="C89" s="1133" t="s">
        <v>272</v>
      </c>
      <c r="D89" s="2306"/>
      <c r="E89" s="2307"/>
      <c r="F89" s="2308"/>
      <c r="G89" s="2308"/>
      <c r="H89" s="2196"/>
      <c r="I89" s="2196"/>
      <c r="J89" s="2196"/>
      <c r="K89" s="2196">
        <v>1.0</v>
      </c>
      <c r="L89" s="2309">
        <v>2.0</v>
      </c>
      <c r="M89" s="2310"/>
      <c r="N89" s="2311"/>
      <c r="O89" s="2308"/>
      <c r="P89" s="2308"/>
      <c r="Q89" s="2196"/>
      <c r="R89" s="2196"/>
      <c r="S89" s="236"/>
      <c r="T89" s="236"/>
      <c r="U89" s="236"/>
      <c r="V89" s="236"/>
      <c r="W89" s="2201"/>
      <c r="X89" s="2201"/>
      <c r="Y89" s="2201"/>
      <c r="Z89" s="2201"/>
      <c r="AA89" s="2201"/>
      <c r="AB89" s="2201"/>
      <c r="AC89" s="2201"/>
      <c r="AD89" s="2201"/>
      <c r="AE89" s="2201"/>
    </row>
    <row r="90" ht="15.0" customHeight="1">
      <c r="A90" s="1068"/>
      <c r="B90" s="1092" t="s">
        <v>58</v>
      </c>
      <c r="C90" s="1133" t="s">
        <v>274</v>
      </c>
      <c r="D90" s="2306"/>
      <c r="E90" s="2307"/>
      <c r="F90" s="2308"/>
      <c r="G90" s="2308"/>
      <c r="H90" s="2196"/>
      <c r="I90" s="2196"/>
      <c r="J90" s="2196"/>
      <c r="K90" s="2196">
        <v>3.0</v>
      </c>
      <c r="L90" s="2309">
        <v>2.0</v>
      </c>
      <c r="M90" s="2310">
        <v>1.0</v>
      </c>
      <c r="N90" s="2311"/>
      <c r="O90" s="2308"/>
      <c r="P90" s="2308"/>
      <c r="Q90" s="2196"/>
      <c r="R90" s="2196"/>
      <c r="S90" s="236"/>
      <c r="T90" s="236"/>
      <c r="U90" s="236"/>
      <c r="V90" s="236"/>
      <c r="W90" s="2201"/>
      <c r="X90" s="2201"/>
      <c r="Y90" s="2201"/>
      <c r="Z90" s="2201"/>
      <c r="AA90" s="2201"/>
      <c r="AB90" s="2201"/>
      <c r="AC90" s="2201"/>
      <c r="AD90" s="2201"/>
      <c r="AE90" s="2201"/>
    </row>
    <row r="91" ht="15.0" customHeight="1">
      <c r="A91" s="1068"/>
      <c r="B91" s="1092" t="s">
        <v>58</v>
      </c>
      <c r="C91" s="1133" t="s">
        <v>276</v>
      </c>
      <c r="D91" s="2306"/>
      <c r="E91" s="2307"/>
      <c r="F91" s="2308"/>
      <c r="G91" s="2308"/>
      <c r="H91" s="2196"/>
      <c r="I91" s="2196"/>
      <c r="J91" s="2196"/>
      <c r="K91" s="2196">
        <v>1.0</v>
      </c>
      <c r="L91" s="2309"/>
      <c r="M91" s="2310"/>
      <c r="N91" s="2311"/>
      <c r="O91" s="2308"/>
      <c r="P91" s="2308"/>
      <c r="Q91" s="2196"/>
      <c r="R91" s="2196"/>
      <c r="S91" s="236"/>
      <c r="T91" s="236"/>
      <c r="U91" s="236"/>
      <c r="V91" s="236"/>
      <c r="W91" s="2201"/>
      <c r="X91" s="2201"/>
      <c r="Y91" s="2201"/>
      <c r="Z91" s="2201"/>
      <c r="AA91" s="2201"/>
      <c r="AB91" s="2201"/>
      <c r="AC91" s="2201"/>
      <c r="AD91" s="2201"/>
      <c r="AE91" s="2201"/>
    </row>
    <row r="92" ht="15.0" customHeight="1">
      <c r="A92" s="1068"/>
      <c r="B92" s="1092" t="s">
        <v>58</v>
      </c>
      <c r="C92" s="1133" t="s">
        <v>278</v>
      </c>
      <c r="D92" s="2306"/>
      <c r="E92" s="2307"/>
      <c r="F92" s="2308"/>
      <c r="G92" s="2308"/>
      <c r="H92" s="2196"/>
      <c r="I92" s="2196"/>
      <c r="J92" s="2196"/>
      <c r="K92" s="2196"/>
      <c r="L92" s="2309"/>
      <c r="M92" s="2310"/>
      <c r="N92" s="2311"/>
      <c r="O92" s="2308"/>
      <c r="P92" s="2308"/>
      <c r="Q92" s="2196"/>
      <c r="R92" s="2196"/>
      <c r="S92" s="236"/>
      <c r="T92" s="236"/>
      <c r="U92" s="236"/>
      <c r="V92" s="236"/>
      <c r="W92" s="2201"/>
      <c r="X92" s="2201"/>
      <c r="Y92" s="2201"/>
      <c r="Z92" s="2201"/>
      <c r="AA92" s="2201"/>
      <c r="AB92" s="2201"/>
      <c r="AC92" s="2201"/>
      <c r="AD92" s="2201"/>
      <c r="AE92" s="2201"/>
    </row>
    <row r="93" ht="15.0" customHeight="1">
      <c r="A93" s="1068"/>
      <c r="B93" s="1092" t="s">
        <v>58</v>
      </c>
      <c r="C93" s="1133" t="s">
        <v>280</v>
      </c>
      <c r="D93" s="2306"/>
      <c r="E93" s="2307"/>
      <c r="F93" s="2308"/>
      <c r="G93" s="2308"/>
      <c r="H93" s="2196"/>
      <c r="I93" s="2196"/>
      <c r="J93" s="2196">
        <v>1.0</v>
      </c>
      <c r="K93" s="2196"/>
      <c r="L93" s="2309"/>
      <c r="M93" s="2310"/>
      <c r="N93" s="2311"/>
      <c r="O93" s="2308"/>
      <c r="P93" s="2308"/>
      <c r="Q93" s="2196"/>
      <c r="R93" s="2196"/>
      <c r="S93" s="236"/>
      <c r="T93" s="236"/>
      <c r="U93" s="236"/>
      <c r="V93" s="236"/>
      <c r="W93" s="2201"/>
      <c r="X93" s="2201"/>
      <c r="Y93" s="2201"/>
      <c r="Z93" s="2201"/>
      <c r="AA93" s="2201"/>
      <c r="AB93" s="2201"/>
      <c r="AC93" s="2201"/>
      <c r="AD93" s="2201"/>
      <c r="AE93" s="2201"/>
    </row>
    <row r="94" ht="15.0" customHeight="1">
      <c r="A94" s="1068"/>
      <c r="B94" s="1092" t="s">
        <v>58</v>
      </c>
      <c r="C94" s="1135" t="s">
        <v>283</v>
      </c>
      <c r="D94" s="2306"/>
      <c r="E94" s="2307"/>
      <c r="F94" s="2308"/>
      <c r="G94" s="2308"/>
      <c r="H94" s="2196"/>
      <c r="I94" s="2196"/>
      <c r="J94" s="2196"/>
      <c r="K94" s="2196"/>
      <c r="L94" s="2309"/>
      <c r="M94" s="2310"/>
      <c r="N94" s="2311"/>
      <c r="O94" s="2308"/>
      <c r="P94" s="2308"/>
      <c r="Q94" s="2196"/>
      <c r="R94" s="2196"/>
      <c r="S94" s="236"/>
      <c r="T94" s="236"/>
      <c r="U94" s="236"/>
      <c r="V94" s="236"/>
      <c r="W94" s="2201"/>
      <c r="X94" s="2201"/>
      <c r="Y94" s="2201"/>
      <c r="Z94" s="2201"/>
      <c r="AA94" s="2201"/>
      <c r="AB94" s="2201"/>
      <c r="AC94" s="2201"/>
      <c r="AD94" s="2201"/>
      <c r="AE94" s="2201"/>
    </row>
    <row r="95" ht="15.0" customHeight="1">
      <c r="A95" s="1068"/>
      <c r="B95" s="1092" t="s">
        <v>58</v>
      </c>
      <c r="C95" s="1135" t="s">
        <v>286</v>
      </c>
      <c r="D95" s="2313"/>
      <c r="E95" s="2307"/>
      <c r="F95" s="2308"/>
      <c r="G95" s="2308"/>
      <c r="H95" s="2196"/>
      <c r="I95" s="2196"/>
      <c r="J95" s="2196"/>
      <c r="K95" s="2196">
        <v>1.0</v>
      </c>
      <c r="L95" s="2309">
        <v>2.0</v>
      </c>
      <c r="M95" s="2310"/>
      <c r="N95" s="2311"/>
      <c r="O95" s="2308"/>
      <c r="P95" s="2308"/>
      <c r="Q95" s="2196"/>
      <c r="R95" s="2196"/>
      <c r="S95" s="249"/>
      <c r="T95" s="249"/>
      <c r="U95" s="249"/>
      <c r="V95" s="249"/>
      <c r="W95" s="2203"/>
      <c r="X95" s="2203"/>
      <c r="Y95" s="2203"/>
      <c r="Z95" s="2203"/>
      <c r="AA95" s="2203"/>
      <c r="AB95" s="2203"/>
      <c r="AC95" s="2203"/>
      <c r="AD95" s="2203"/>
      <c r="AE95" s="2203"/>
    </row>
    <row r="96" ht="15.0" customHeight="1">
      <c r="A96" s="1068"/>
      <c r="B96" s="1092" t="s">
        <v>58</v>
      </c>
      <c r="C96" s="2314" t="s">
        <v>1796</v>
      </c>
      <c r="D96" s="2315"/>
      <c r="E96" s="2307"/>
      <c r="F96" s="2308"/>
      <c r="G96" s="2308"/>
      <c r="H96" s="2196"/>
      <c r="I96" s="2196"/>
      <c r="J96" s="2196"/>
      <c r="K96" s="2196"/>
      <c r="L96" s="2309"/>
      <c r="M96" s="2310">
        <v>2.0</v>
      </c>
      <c r="N96" s="2311"/>
      <c r="O96" s="2308"/>
      <c r="P96" s="2308"/>
      <c r="Q96" s="2196"/>
      <c r="R96" s="2196"/>
      <c r="S96" s="2196"/>
      <c r="T96" s="2196"/>
      <c r="U96" s="2309"/>
      <c r="V96" s="2316"/>
      <c r="W96" s="2317"/>
      <c r="X96" s="2318"/>
      <c r="Y96" s="2318"/>
      <c r="Z96" s="2211"/>
      <c r="AA96" s="2211"/>
      <c r="AB96" s="2211"/>
      <c r="AC96" s="2211"/>
      <c r="AD96" s="2319"/>
      <c r="AE96" s="2320"/>
    </row>
    <row r="97" ht="15.0" customHeight="1">
      <c r="A97" s="1068"/>
      <c r="B97" s="2321"/>
      <c r="C97" s="2314" t="s">
        <v>189</v>
      </c>
      <c r="D97" s="2315"/>
      <c r="E97" s="2307">
        <v>1.0</v>
      </c>
      <c r="F97" s="2308"/>
      <c r="G97" s="2308"/>
      <c r="H97" s="2196">
        <v>2.0</v>
      </c>
      <c r="I97" s="2196"/>
      <c r="J97" s="2196">
        <v>2.0</v>
      </c>
      <c r="K97" s="2196">
        <v>4.0</v>
      </c>
      <c r="L97" s="2309">
        <v>2.0</v>
      </c>
      <c r="M97" s="2310">
        <v>1.0</v>
      </c>
      <c r="N97" s="2311"/>
      <c r="O97" s="2308"/>
      <c r="P97" s="2308"/>
      <c r="Q97" s="2196"/>
      <c r="R97" s="2196"/>
      <c r="S97" s="2196"/>
      <c r="T97" s="2196"/>
      <c r="U97" s="2309"/>
      <c r="V97" s="2316"/>
      <c r="W97" s="2317"/>
      <c r="X97" s="2318"/>
      <c r="Y97" s="2318"/>
      <c r="Z97" s="2211"/>
      <c r="AA97" s="2211"/>
      <c r="AB97" s="2211"/>
      <c r="AC97" s="2211"/>
      <c r="AD97" s="2319"/>
      <c r="AE97" s="2320"/>
    </row>
    <row r="98" ht="15.0" customHeight="1">
      <c r="A98" s="1140"/>
      <c r="B98" s="1141"/>
      <c r="C98" s="1142">
        <v>21.0</v>
      </c>
      <c r="D98" s="2322"/>
      <c r="E98" s="2323">
        <f t="shared" ref="E98:AE98" si="4">SUM(E59:E97)</f>
        <v>1</v>
      </c>
      <c r="F98" s="2323">
        <f t="shared" si="4"/>
        <v>0</v>
      </c>
      <c r="G98" s="2323">
        <f t="shared" si="4"/>
        <v>0</v>
      </c>
      <c r="H98" s="2323">
        <f t="shared" si="4"/>
        <v>2</v>
      </c>
      <c r="I98" s="2323">
        <f t="shared" si="4"/>
        <v>2</v>
      </c>
      <c r="J98" s="2323">
        <f t="shared" si="4"/>
        <v>19</v>
      </c>
      <c r="K98" s="2323">
        <f t="shared" si="4"/>
        <v>32</v>
      </c>
      <c r="L98" s="2323">
        <f t="shared" si="4"/>
        <v>26</v>
      </c>
      <c r="M98" s="2323">
        <f t="shared" si="4"/>
        <v>18</v>
      </c>
      <c r="N98" s="2323">
        <f t="shared" si="4"/>
        <v>0</v>
      </c>
      <c r="O98" s="2323">
        <f t="shared" si="4"/>
        <v>0</v>
      </c>
      <c r="P98" s="2323">
        <f t="shared" si="4"/>
        <v>0</v>
      </c>
      <c r="Q98" s="2323">
        <f t="shared" si="4"/>
        <v>0</v>
      </c>
      <c r="R98" s="2323">
        <f t="shared" si="4"/>
        <v>0</v>
      </c>
      <c r="S98" s="2323">
        <f t="shared" si="4"/>
        <v>2</v>
      </c>
      <c r="T98" s="2323">
        <f t="shared" si="4"/>
        <v>5</v>
      </c>
      <c r="U98" s="2323">
        <f t="shared" si="4"/>
        <v>17</v>
      </c>
      <c r="V98" s="2323">
        <f t="shared" si="4"/>
        <v>6</v>
      </c>
      <c r="W98" s="2323">
        <f t="shared" si="4"/>
        <v>0</v>
      </c>
      <c r="X98" s="2323">
        <f t="shared" si="4"/>
        <v>1</v>
      </c>
      <c r="Y98" s="2323">
        <f t="shared" si="4"/>
        <v>0</v>
      </c>
      <c r="Z98" s="2323">
        <f t="shared" si="4"/>
        <v>0</v>
      </c>
      <c r="AA98" s="2323">
        <f t="shared" si="4"/>
        <v>1</v>
      </c>
      <c r="AB98" s="2323">
        <f t="shared" si="4"/>
        <v>6</v>
      </c>
      <c r="AC98" s="2323">
        <f t="shared" si="4"/>
        <v>13</v>
      </c>
      <c r="AD98" s="2323">
        <f t="shared" si="4"/>
        <v>24</v>
      </c>
      <c r="AE98" s="2323">
        <f t="shared" si="4"/>
        <v>15</v>
      </c>
    </row>
    <row r="99" ht="15.75" customHeight="1">
      <c r="A99" s="852"/>
      <c r="B99" s="852"/>
      <c r="C99" s="1156"/>
      <c r="D99" s="1164"/>
      <c r="E99" s="1164"/>
      <c r="F99" s="1164"/>
      <c r="G99" s="1164"/>
      <c r="H99" s="1164"/>
      <c r="I99" s="1164"/>
      <c r="J99" s="1164"/>
      <c r="K99" s="1164"/>
      <c r="L99" s="1164"/>
      <c r="M99" s="1164"/>
      <c r="N99" s="1164"/>
      <c r="O99" s="1164"/>
      <c r="P99" s="1164"/>
      <c r="Q99" s="1164"/>
      <c r="R99" s="1164"/>
      <c r="S99" s="1164"/>
      <c r="T99" s="1164"/>
      <c r="U99" s="1164"/>
      <c r="V99" s="1164"/>
      <c r="W99" s="1164"/>
      <c r="X99" s="1164"/>
      <c r="Y99" s="1164"/>
      <c r="Z99" s="1164"/>
      <c r="AA99" s="1164"/>
      <c r="AB99" s="1164"/>
      <c r="AC99" s="1164"/>
      <c r="AD99" s="1164"/>
      <c r="AE99" s="1164"/>
    </row>
    <row r="100" ht="15.75" customHeight="1">
      <c r="A100" s="852"/>
      <c r="B100" s="852"/>
      <c r="C100" s="1156"/>
      <c r="D100" s="1164"/>
      <c r="E100" s="1164">
        <f t="shared" ref="E100:I100" si="5">E26+N26+W26+W39+N39+E39+E58+N58+W58+W98+E98</f>
        <v>23</v>
      </c>
      <c r="F100" s="1164">
        <f t="shared" si="5"/>
        <v>15</v>
      </c>
      <c r="G100" s="1164">
        <f t="shared" si="5"/>
        <v>19</v>
      </c>
      <c r="H100" s="1164">
        <f t="shared" si="5"/>
        <v>28</v>
      </c>
      <c r="I100" s="1164">
        <f t="shared" si="5"/>
        <v>57</v>
      </c>
      <c r="J100" s="1164">
        <f t="shared" ref="J100:M100" si="6">J26+S26+AB26+AB39+S39+J39+J58+S58+AB58+AB98+J98+S98</f>
        <v>116</v>
      </c>
      <c r="K100" s="1164">
        <f t="shared" si="6"/>
        <v>132</v>
      </c>
      <c r="L100" s="1164">
        <f t="shared" si="6"/>
        <v>166</v>
      </c>
      <c r="M100" s="1164">
        <f t="shared" si="6"/>
        <v>100</v>
      </c>
      <c r="N100" s="1164"/>
      <c r="O100" s="1164"/>
      <c r="P100" s="1164"/>
      <c r="Q100" s="1164"/>
      <c r="R100" s="1164"/>
      <c r="S100" s="1164"/>
      <c r="T100" s="1164"/>
      <c r="U100" s="1164"/>
      <c r="V100" s="1164"/>
      <c r="W100" s="1164"/>
      <c r="X100" s="1164"/>
      <c r="Y100" s="1164"/>
      <c r="Z100" s="1164"/>
      <c r="AA100" s="1164"/>
      <c r="AB100" s="1164"/>
      <c r="AC100" s="1164"/>
      <c r="AD100" s="1164"/>
      <c r="AE100" s="1164"/>
    </row>
    <row r="101" ht="15.75" customHeight="1">
      <c r="A101" s="852"/>
      <c r="B101" s="852"/>
      <c r="C101" s="1156"/>
      <c r="D101" s="1164"/>
      <c r="E101" s="1164"/>
      <c r="F101" s="1164"/>
      <c r="G101" s="1164"/>
      <c r="H101" s="1164"/>
      <c r="I101" s="1164"/>
      <c r="J101" s="1164"/>
      <c r="K101" s="1164"/>
      <c r="L101" s="1164"/>
      <c r="M101" s="1164"/>
      <c r="N101" s="1164"/>
      <c r="O101" s="1164"/>
      <c r="P101" s="1164"/>
      <c r="Q101" s="1164"/>
      <c r="R101" s="1164"/>
      <c r="S101" s="1164"/>
      <c r="T101" s="1164"/>
      <c r="U101" s="1164"/>
      <c r="V101" s="1164"/>
      <c r="W101" s="1164"/>
      <c r="X101" s="1164"/>
      <c r="Y101" s="1164"/>
      <c r="Z101" s="1164"/>
      <c r="AA101" s="1164"/>
      <c r="AB101" s="1164"/>
      <c r="AC101" s="1164"/>
      <c r="AD101" s="1164"/>
      <c r="AE101" s="1164"/>
    </row>
    <row r="102" ht="15.75" customHeight="1">
      <c r="A102" s="852"/>
      <c r="B102" s="852"/>
      <c r="C102" s="1156"/>
      <c r="D102" s="1164"/>
      <c r="E102" s="1164"/>
      <c r="F102" s="1164"/>
      <c r="G102" s="1164"/>
      <c r="H102" s="1164"/>
      <c r="I102" s="1164"/>
      <c r="J102" s="1164"/>
      <c r="K102" s="1164"/>
      <c r="L102" s="1164"/>
      <c r="M102" s="1164"/>
      <c r="N102" s="1164"/>
      <c r="O102" s="1164"/>
      <c r="P102" s="1164"/>
      <c r="Q102" s="1164"/>
      <c r="R102" s="1164"/>
      <c r="S102" s="1164"/>
      <c r="T102" s="1164"/>
      <c r="U102" s="1164"/>
      <c r="V102" s="1164"/>
      <c r="W102" s="1164"/>
      <c r="X102" s="1164"/>
      <c r="Y102" s="1164"/>
      <c r="Z102" s="1164"/>
      <c r="AA102" s="1164"/>
      <c r="AB102" s="1164"/>
      <c r="AC102" s="1164"/>
      <c r="AD102" s="1164"/>
      <c r="AE102" s="1164"/>
    </row>
    <row r="103" ht="15.75" customHeight="1">
      <c r="A103" s="852"/>
      <c r="B103" s="852"/>
      <c r="C103" s="1156"/>
      <c r="D103" s="1164"/>
      <c r="E103" s="1164"/>
      <c r="F103" s="1164"/>
      <c r="G103" s="1164"/>
      <c r="H103" s="1164"/>
      <c r="I103" s="1164"/>
      <c r="J103" s="1164"/>
      <c r="K103" s="1164"/>
      <c r="L103" s="1164"/>
      <c r="M103" s="1164"/>
      <c r="N103" s="1164"/>
      <c r="O103" s="1164"/>
      <c r="P103" s="1164"/>
      <c r="Q103" s="1164"/>
      <c r="R103" s="1164"/>
      <c r="S103" s="1164"/>
      <c r="T103" s="1164"/>
      <c r="U103" s="1164"/>
      <c r="V103" s="1164"/>
      <c r="W103" s="1164"/>
      <c r="X103" s="1164"/>
      <c r="Y103" s="1164"/>
      <c r="Z103" s="1164"/>
      <c r="AA103" s="1164"/>
      <c r="AB103" s="1164"/>
      <c r="AC103" s="1164"/>
      <c r="AD103" s="1164"/>
      <c r="AE103" s="1164"/>
    </row>
    <row r="104" ht="15.75" customHeight="1">
      <c r="A104" s="852"/>
      <c r="B104" s="852"/>
      <c r="C104" s="1156"/>
      <c r="D104" s="1164"/>
      <c r="E104" s="1164"/>
      <c r="F104" s="1164"/>
      <c r="G104" s="1164"/>
      <c r="H104" s="1164"/>
      <c r="I104" s="1164"/>
      <c r="J104" s="1164"/>
      <c r="K104" s="1164"/>
      <c r="L104" s="1164"/>
      <c r="M104" s="1164"/>
      <c r="N104" s="1164"/>
      <c r="O104" s="1164"/>
      <c r="P104" s="1164"/>
      <c r="Q104" s="1164"/>
      <c r="R104" s="1164"/>
      <c r="S104" s="1164"/>
      <c r="T104" s="1164"/>
      <c r="U104" s="1164"/>
      <c r="V104" s="1164"/>
      <c r="W104" s="1164"/>
      <c r="X104" s="1164"/>
      <c r="Y104" s="1164"/>
      <c r="Z104" s="1164"/>
      <c r="AA104" s="1164"/>
      <c r="AB104" s="1164"/>
      <c r="AC104" s="1164"/>
      <c r="AD104" s="1164"/>
      <c r="AE104" s="1164"/>
    </row>
    <row r="105" ht="15.75" customHeight="1">
      <c r="A105" s="852"/>
      <c r="B105" s="852"/>
      <c r="C105" s="1156"/>
      <c r="D105" s="1164"/>
      <c r="E105" s="1164"/>
      <c r="F105" s="1164"/>
      <c r="G105" s="1164"/>
      <c r="H105" s="1164"/>
      <c r="I105" s="1164"/>
      <c r="J105" s="1164"/>
      <c r="K105" s="1164"/>
      <c r="L105" s="1164"/>
      <c r="M105" s="1164"/>
      <c r="N105" s="1164"/>
      <c r="O105" s="1164"/>
      <c r="P105" s="1164"/>
      <c r="Q105" s="1164"/>
      <c r="R105" s="1164"/>
      <c r="S105" s="1164"/>
      <c r="T105" s="1164"/>
      <c r="U105" s="1164"/>
      <c r="V105" s="1164"/>
      <c r="W105" s="1164"/>
      <c r="X105" s="1164"/>
      <c r="Y105" s="1164"/>
      <c r="Z105" s="1164"/>
      <c r="AA105" s="1164"/>
      <c r="AB105" s="1164"/>
      <c r="AC105" s="1164"/>
      <c r="AD105" s="1164"/>
      <c r="AE105" s="1164"/>
    </row>
    <row r="106" ht="15.75" customHeight="1">
      <c r="A106" s="852"/>
      <c r="B106" s="852"/>
      <c r="C106" s="1156"/>
      <c r="D106" s="1164"/>
      <c r="E106" s="1164"/>
      <c r="F106" s="1164"/>
      <c r="G106" s="1164"/>
      <c r="H106" s="1164"/>
      <c r="I106" s="1164"/>
      <c r="J106" s="1164"/>
      <c r="K106" s="1164"/>
      <c r="L106" s="1164"/>
      <c r="M106" s="1164"/>
      <c r="N106" s="1164"/>
      <c r="O106" s="1164"/>
      <c r="P106" s="1164"/>
      <c r="Q106" s="1164"/>
      <c r="R106" s="1164"/>
      <c r="S106" s="1164"/>
      <c r="T106" s="1164"/>
      <c r="U106" s="1164"/>
      <c r="V106" s="1164"/>
      <c r="W106" s="1164"/>
      <c r="X106" s="1164"/>
      <c r="Y106" s="1164"/>
      <c r="Z106" s="1164"/>
      <c r="AA106" s="1164"/>
      <c r="AB106" s="1164"/>
      <c r="AC106" s="1164"/>
      <c r="AD106" s="1164"/>
      <c r="AE106" s="1164"/>
    </row>
    <row r="107" ht="15.75" customHeight="1">
      <c r="A107" s="852"/>
      <c r="B107" s="852"/>
      <c r="C107" s="1156"/>
      <c r="D107" s="1164"/>
      <c r="E107" s="1164"/>
      <c r="F107" s="1164"/>
      <c r="G107" s="1164"/>
      <c r="H107" s="1164"/>
      <c r="I107" s="1164"/>
      <c r="J107" s="1164"/>
      <c r="K107" s="1164"/>
      <c r="L107" s="1164"/>
      <c r="M107" s="1164"/>
      <c r="N107" s="1164"/>
      <c r="O107" s="1164"/>
      <c r="P107" s="1164"/>
      <c r="Q107" s="1164"/>
      <c r="R107" s="1164"/>
      <c r="S107" s="1164"/>
      <c r="T107" s="1164"/>
      <c r="U107" s="1164"/>
      <c r="V107" s="1164"/>
      <c r="W107" s="1164"/>
      <c r="X107" s="1164"/>
      <c r="Y107" s="1164"/>
      <c r="Z107" s="1164"/>
      <c r="AA107" s="1164"/>
      <c r="AB107" s="1164"/>
      <c r="AC107" s="1164"/>
      <c r="AD107" s="1164"/>
      <c r="AE107" s="1164"/>
    </row>
    <row r="108" ht="15.75" customHeight="1">
      <c r="A108" s="852"/>
      <c r="B108" s="852"/>
      <c r="C108" s="1156"/>
      <c r="D108" s="1164"/>
      <c r="E108" s="1164"/>
      <c r="F108" s="1164"/>
      <c r="G108" s="1164"/>
      <c r="H108" s="1164"/>
      <c r="I108" s="1164"/>
      <c r="J108" s="1164"/>
      <c r="K108" s="1164"/>
      <c r="L108" s="1164"/>
      <c r="M108" s="1164"/>
      <c r="N108" s="1164"/>
      <c r="O108" s="1164"/>
      <c r="P108" s="1164"/>
      <c r="Q108" s="1164"/>
      <c r="R108" s="1164"/>
      <c r="S108" s="1164"/>
      <c r="T108" s="1164"/>
      <c r="U108" s="1164"/>
      <c r="V108" s="1164"/>
      <c r="W108" s="1164"/>
      <c r="X108" s="1164"/>
      <c r="Y108" s="1164"/>
      <c r="Z108" s="1164"/>
      <c r="AA108" s="1164"/>
      <c r="AB108" s="1164"/>
      <c r="AC108" s="1164"/>
      <c r="AD108" s="1164"/>
      <c r="AE108" s="1164"/>
    </row>
    <row r="109" ht="15.75" customHeight="1">
      <c r="A109" s="852"/>
      <c r="B109" s="852"/>
      <c r="C109" s="1156"/>
      <c r="D109" s="1164"/>
      <c r="E109" s="1164"/>
      <c r="F109" s="1164"/>
      <c r="G109" s="1164"/>
      <c r="H109" s="1164"/>
      <c r="I109" s="1164"/>
      <c r="J109" s="1164"/>
      <c r="K109" s="1164"/>
      <c r="L109" s="1164"/>
      <c r="M109" s="1164"/>
      <c r="N109" s="1164"/>
      <c r="O109" s="1164"/>
      <c r="P109" s="1164"/>
      <c r="Q109" s="1164"/>
      <c r="R109" s="1164"/>
      <c r="S109" s="1164"/>
      <c r="T109" s="1164"/>
      <c r="U109" s="1164"/>
      <c r="V109" s="1164"/>
      <c r="W109" s="1164"/>
      <c r="X109" s="1164"/>
      <c r="Y109" s="1164"/>
      <c r="Z109" s="1164"/>
      <c r="AA109" s="1164"/>
      <c r="AB109" s="1164"/>
      <c r="AC109" s="1164"/>
      <c r="AD109" s="1164"/>
      <c r="AE109" s="1164"/>
    </row>
    <row r="110" ht="15.75" customHeight="1">
      <c r="A110" s="852"/>
      <c r="B110" s="852"/>
      <c r="C110" s="1156"/>
      <c r="D110" s="1164"/>
      <c r="E110" s="1164"/>
      <c r="F110" s="1164"/>
      <c r="G110" s="1164"/>
      <c r="H110" s="1164"/>
      <c r="I110" s="1164"/>
      <c r="J110" s="1164"/>
      <c r="K110" s="1164"/>
      <c r="L110" s="1164"/>
      <c r="M110" s="1164"/>
      <c r="N110" s="1164"/>
      <c r="O110" s="1164"/>
      <c r="P110" s="1164"/>
      <c r="Q110" s="1164"/>
      <c r="R110" s="1164"/>
      <c r="S110" s="1164"/>
      <c r="T110" s="1164"/>
      <c r="U110" s="1164"/>
      <c r="V110" s="1164"/>
      <c r="W110" s="1164"/>
      <c r="X110" s="1164"/>
      <c r="Y110" s="1164"/>
      <c r="Z110" s="1164"/>
      <c r="AA110" s="1164"/>
      <c r="AB110" s="1164"/>
      <c r="AC110" s="1164"/>
      <c r="AD110" s="1164"/>
      <c r="AE110" s="1164"/>
    </row>
    <row r="111" ht="15.75" customHeight="1">
      <c r="A111" s="852"/>
      <c r="B111" s="852"/>
      <c r="C111" s="1156"/>
      <c r="D111" s="1164"/>
      <c r="E111" s="1164"/>
      <c r="F111" s="1164"/>
      <c r="G111" s="1164"/>
      <c r="H111" s="1164"/>
      <c r="I111" s="1164"/>
      <c r="J111" s="1164"/>
      <c r="K111" s="1164"/>
      <c r="L111" s="1164"/>
      <c r="M111" s="1164"/>
      <c r="N111" s="1164"/>
      <c r="O111" s="1164"/>
      <c r="P111" s="1164"/>
      <c r="Q111" s="1164"/>
      <c r="R111" s="1164"/>
      <c r="S111" s="1164"/>
      <c r="T111" s="1164"/>
      <c r="U111" s="1164"/>
      <c r="V111" s="1164"/>
      <c r="W111" s="1164"/>
      <c r="X111" s="1164"/>
      <c r="Y111" s="1164"/>
      <c r="Z111" s="1164"/>
      <c r="AA111" s="1164"/>
      <c r="AB111" s="1164"/>
      <c r="AC111" s="1164"/>
      <c r="AD111" s="1164"/>
      <c r="AE111" s="1164"/>
    </row>
    <row r="112" ht="15.75" customHeight="1">
      <c r="A112" s="852"/>
      <c r="B112" s="852"/>
      <c r="C112" s="1156"/>
      <c r="D112" s="1164"/>
      <c r="E112" s="1164"/>
      <c r="F112" s="1164"/>
      <c r="G112" s="1164"/>
      <c r="H112" s="1164"/>
      <c r="I112" s="1164"/>
      <c r="J112" s="1164"/>
      <c r="K112" s="1164"/>
      <c r="L112" s="1164"/>
      <c r="M112" s="1164"/>
      <c r="N112" s="1164"/>
      <c r="O112" s="1164"/>
      <c r="P112" s="1164"/>
      <c r="Q112" s="1164"/>
      <c r="R112" s="1164"/>
      <c r="S112" s="1164"/>
      <c r="T112" s="1164"/>
      <c r="U112" s="1164"/>
      <c r="V112" s="1164"/>
      <c r="W112" s="1164"/>
      <c r="X112" s="1164"/>
      <c r="Y112" s="1164"/>
      <c r="Z112" s="1164"/>
      <c r="AA112" s="1164"/>
      <c r="AB112" s="1164"/>
      <c r="AC112" s="1164"/>
      <c r="AD112" s="1164"/>
      <c r="AE112" s="1164"/>
    </row>
    <row r="113" ht="15.75" customHeight="1">
      <c r="A113" s="852"/>
      <c r="B113" s="852"/>
      <c r="C113" s="1156"/>
      <c r="D113" s="1164"/>
      <c r="E113" s="1164"/>
      <c r="F113" s="1164"/>
      <c r="G113" s="1164"/>
      <c r="H113" s="1164"/>
      <c r="I113" s="1164"/>
      <c r="J113" s="1164"/>
      <c r="K113" s="1164"/>
      <c r="L113" s="1164"/>
      <c r="M113" s="1164"/>
      <c r="N113" s="1164"/>
      <c r="O113" s="1164"/>
      <c r="P113" s="1164"/>
      <c r="Q113" s="1164"/>
      <c r="R113" s="1164"/>
      <c r="S113" s="1164"/>
      <c r="T113" s="1164"/>
      <c r="U113" s="1164"/>
      <c r="V113" s="1164"/>
      <c r="W113" s="1164"/>
      <c r="X113" s="1164"/>
      <c r="Y113" s="1164"/>
      <c r="Z113" s="1164"/>
      <c r="AA113" s="1164"/>
      <c r="AB113" s="1164"/>
      <c r="AC113" s="1164"/>
      <c r="AD113" s="1164"/>
      <c r="AE113" s="1164"/>
    </row>
    <row r="114" ht="15.75" customHeight="1">
      <c r="A114" s="852"/>
      <c r="B114" s="852"/>
      <c r="C114" s="1156"/>
      <c r="D114" s="1164"/>
      <c r="E114" s="1164"/>
      <c r="F114" s="1164"/>
      <c r="G114" s="1164"/>
      <c r="H114" s="1164"/>
      <c r="I114" s="1164"/>
      <c r="J114" s="1164"/>
      <c r="K114" s="1164"/>
      <c r="L114" s="1164"/>
      <c r="M114" s="1164"/>
      <c r="N114" s="1164"/>
      <c r="O114" s="1164"/>
      <c r="P114" s="1164"/>
      <c r="Q114" s="1164"/>
      <c r="R114" s="1164"/>
      <c r="S114" s="1164"/>
      <c r="T114" s="1164"/>
      <c r="U114" s="1164"/>
      <c r="V114" s="1164"/>
      <c r="W114" s="1164"/>
      <c r="X114" s="1164"/>
      <c r="Y114" s="1164"/>
      <c r="Z114" s="1164"/>
      <c r="AA114" s="1164"/>
      <c r="AB114" s="1164"/>
      <c r="AC114" s="1164"/>
      <c r="AD114" s="1164"/>
      <c r="AE114" s="1164"/>
    </row>
    <row r="115" ht="15.75" customHeight="1">
      <c r="A115" s="852"/>
      <c r="B115" s="852"/>
      <c r="C115" s="1156"/>
      <c r="D115" s="1164"/>
      <c r="E115" s="1164"/>
      <c r="F115" s="1164"/>
      <c r="G115" s="1164"/>
      <c r="H115" s="1164"/>
      <c r="I115" s="1164"/>
      <c r="J115" s="1164"/>
      <c r="K115" s="1164"/>
      <c r="L115" s="1164"/>
      <c r="M115" s="1164"/>
      <c r="N115" s="1164"/>
      <c r="O115" s="1164"/>
      <c r="P115" s="1164"/>
      <c r="Q115" s="1164"/>
      <c r="R115" s="1164"/>
      <c r="S115" s="1164"/>
      <c r="T115" s="1164"/>
      <c r="U115" s="1164"/>
      <c r="V115" s="1164"/>
      <c r="W115" s="1164"/>
      <c r="X115" s="1164"/>
      <c r="Y115" s="1164"/>
      <c r="Z115" s="1164"/>
      <c r="AA115" s="1164"/>
      <c r="AB115" s="1164"/>
      <c r="AC115" s="1164"/>
      <c r="AD115" s="1164"/>
      <c r="AE115" s="1164"/>
    </row>
    <row r="116" ht="15.75" customHeight="1">
      <c r="A116" s="852"/>
      <c r="B116" s="852"/>
      <c r="C116" s="1156"/>
      <c r="D116" s="1164"/>
      <c r="E116" s="1164"/>
      <c r="F116" s="1164"/>
      <c r="G116" s="1164"/>
      <c r="H116" s="1164"/>
      <c r="I116" s="1164"/>
      <c r="J116" s="1164"/>
      <c r="K116" s="1164"/>
      <c r="L116" s="1164"/>
      <c r="M116" s="1164"/>
      <c r="N116" s="1164"/>
      <c r="O116" s="1164"/>
      <c r="P116" s="1164"/>
      <c r="Q116" s="1164"/>
      <c r="R116" s="1164"/>
      <c r="S116" s="1164"/>
      <c r="T116" s="1164"/>
      <c r="U116" s="1164"/>
      <c r="V116" s="1164"/>
      <c r="W116" s="1164"/>
      <c r="X116" s="1164"/>
      <c r="Y116" s="1164"/>
      <c r="Z116" s="1164"/>
      <c r="AA116" s="1164"/>
      <c r="AB116" s="1164"/>
      <c r="AC116" s="1164"/>
      <c r="AD116" s="1164"/>
      <c r="AE116" s="1164"/>
    </row>
    <row r="117" ht="15.75" customHeight="1">
      <c r="A117" s="852"/>
      <c r="B117" s="852"/>
      <c r="C117" s="1156"/>
      <c r="D117" s="1164"/>
      <c r="E117" s="1164"/>
      <c r="F117" s="1164"/>
      <c r="G117" s="1164"/>
      <c r="H117" s="1164"/>
      <c r="I117" s="1164"/>
      <c r="J117" s="1164"/>
      <c r="K117" s="1164"/>
      <c r="L117" s="1164"/>
      <c r="M117" s="1164"/>
      <c r="N117" s="1164"/>
      <c r="O117" s="1164"/>
      <c r="P117" s="1164"/>
      <c r="Q117" s="1164"/>
      <c r="R117" s="1164"/>
      <c r="S117" s="1164"/>
      <c r="T117" s="1164"/>
      <c r="U117" s="1164"/>
      <c r="V117" s="1164"/>
      <c r="W117" s="1164"/>
      <c r="X117" s="1164"/>
      <c r="Y117" s="1164"/>
      <c r="Z117" s="1164"/>
      <c r="AA117" s="1164"/>
      <c r="AB117" s="1164"/>
      <c r="AC117" s="1164"/>
      <c r="AD117" s="1164"/>
      <c r="AE117" s="1164"/>
    </row>
    <row r="118" ht="15.75" customHeight="1">
      <c r="A118" s="852"/>
      <c r="B118" s="852"/>
      <c r="C118" s="1156"/>
      <c r="D118" s="1164"/>
      <c r="E118" s="1164"/>
      <c r="F118" s="1164"/>
      <c r="G118" s="1164"/>
      <c r="H118" s="1164"/>
      <c r="I118" s="1164"/>
      <c r="J118" s="1164"/>
      <c r="K118" s="1164"/>
      <c r="L118" s="1164"/>
      <c r="M118" s="1164"/>
      <c r="N118" s="1164"/>
      <c r="O118" s="1164"/>
      <c r="P118" s="1164"/>
      <c r="Q118" s="1164"/>
      <c r="R118" s="1164"/>
      <c r="S118" s="1164"/>
      <c r="T118" s="1164"/>
      <c r="U118" s="1164"/>
      <c r="V118" s="1164"/>
      <c r="W118" s="1164"/>
      <c r="X118" s="1164"/>
      <c r="Y118" s="1164"/>
      <c r="Z118" s="1164"/>
      <c r="AA118" s="1164"/>
      <c r="AB118" s="1164"/>
      <c r="AC118" s="1164"/>
      <c r="AD118" s="1164"/>
      <c r="AE118" s="1164"/>
    </row>
    <row r="119" ht="15.75" customHeight="1">
      <c r="A119" s="852"/>
      <c r="B119" s="852"/>
      <c r="C119" s="1156"/>
      <c r="D119" s="1164"/>
      <c r="E119" s="1164"/>
      <c r="F119" s="1164"/>
      <c r="G119" s="1164"/>
      <c r="H119" s="1164"/>
      <c r="I119" s="1164"/>
      <c r="J119" s="1164"/>
      <c r="K119" s="1164"/>
      <c r="L119" s="1164"/>
      <c r="M119" s="1164"/>
      <c r="N119" s="1164"/>
      <c r="O119" s="1164"/>
      <c r="P119" s="1164"/>
      <c r="Q119" s="1164"/>
      <c r="R119" s="1164"/>
      <c r="S119" s="1164"/>
      <c r="T119" s="1164"/>
      <c r="U119" s="1164"/>
      <c r="V119" s="1164"/>
      <c r="W119" s="1164"/>
      <c r="X119" s="1164"/>
      <c r="Y119" s="1164"/>
      <c r="Z119" s="1164"/>
      <c r="AA119" s="1164"/>
      <c r="AB119" s="1164"/>
      <c r="AC119" s="1164"/>
      <c r="AD119" s="1164"/>
      <c r="AE119" s="1164"/>
    </row>
    <row r="120" ht="15.75" customHeight="1">
      <c r="A120" s="852"/>
      <c r="B120" s="852"/>
      <c r="C120" s="1156"/>
      <c r="D120" s="1164"/>
      <c r="E120" s="1164"/>
      <c r="F120" s="1164"/>
      <c r="G120" s="1164"/>
      <c r="H120" s="1164"/>
      <c r="I120" s="1164"/>
      <c r="J120" s="1164"/>
      <c r="K120" s="1164"/>
      <c r="L120" s="1164"/>
      <c r="M120" s="1164"/>
      <c r="N120" s="1164"/>
      <c r="O120" s="1164"/>
      <c r="P120" s="1164"/>
      <c r="Q120" s="1164"/>
      <c r="R120" s="1164"/>
      <c r="S120" s="1164"/>
      <c r="T120" s="1164"/>
      <c r="U120" s="1164"/>
      <c r="V120" s="1164"/>
      <c r="W120" s="1164"/>
      <c r="X120" s="1164"/>
      <c r="Y120" s="1164"/>
      <c r="Z120" s="1164"/>
      <c r="AA120" s="1164"/>
      <c r="AB120" s="1164"/>
      <c r="AC120" s="1164"/>
      <c r="AD120" s="1164"/>
      <c r="AE120" s="1164"/>
    </row>
    <row r="121" ht="15.75" customHeight="1">
      <c r="A121" s="852"/>
      <c r="B121" s="852"/>
      <c r="C121" s="1156"/>
      <c r="D121" s="1164"/>
      <c r="E121" s="1164"/>
      <c r="F121" s="1164"/>
      <c r="G121" s="1164"/>
      <c r="H121" s="1164"/>
      <c r="I121" s="1164"/>
      <c r="J121" s="1164"/>
      <c r="K121" s="1164"/>
      <c r="L121" s="1164"/>
      <c r="M121" s="1164"/>
      <c r="N121" s="1164"/>
      <c r="O121" s="1164"/>
      <c r="P121" s="1164"/>
      <c r="Q121" s="1164"/>
      <c r="R121" s="1164"/>
      <c r="S121" s="1164"/>
      <c r="T121" s="1164"/>
      <c r="U121" s="1164"/>
      <c r="V121" s="1164"/>
      <c r="W121" s="1164"/>
      <c r="X121" s="1164"/>
      <c r="Y121" s="1164"/>
      <c r="Z121" s="1164"/>
      <c r="AA121" s="1164"/>
      <c r="AB121" s="1164"/>
      <c r="AC121" s="1164"/>
      <c r="AD121" s="1164"/>
      <c r="AE121" s="1164"/>
    </row>
    <row r="122" ht="15.75" customHeight="1">
      <c r="A122" s="852"/>
      <c r="B122" s="852"/>
      <c r="C122" s="1156"/>
      <c r="D122" s="1164"/>
      <c r="E122" s="1164"/>
      <c r="F122" s="1164"/>
      <c r="G122" s="1164"/>
      <c r="H122" s="1164"/>
      <c r="I122" s="1164"/>
      <c r="J122" s="1164"/>
      <c r="K122" s="1164"/>
      <c r="L122" s="1164"/>
      <c r="M122" s="1164"/>
      <c r="N122" s="1164"/>
      <c r="O122" s="1164"/>
      <c r="P122" s="1164"/>
      <c r="Q122" s="1164"/>
      <c r="R122" s="1164"/>
      <c r="S122" s="1164"/>
      <c r="T122" s="1164"/>
      <c r="U122" s="1164"/>
      <c r="V122" s="1164"/>
      <c r="W122" s="1164"/>
      <c r="X122" s="1164"/>
      <c r="Y122" s="1164"/>
      <c r="Z122" s="1164"/>
      <c r="AA122" s="1164"/>
      <c r="AB122" s="1164"/>
      <c r="AC122" s="1164"/>
      <c r="AD122" s="1164"/>
      <c r="AE122" s="1164"/>
    </row>
    <row r="123" ht="15.75" customHeight="1">
      <c r="A123" s="852"/>
      <c r="B123" s="852"/>
      <c r="C123" s="1156"/>
      <c r="D123" s="1164"/>
      <c r="E123" s="1164"/>
      <c r="F123" s="1164"/>
      <c r="G123" s="1164"/>
      <c r="H123" s="1164"/>
      <c r="I123" s="1164"/>
      <c r="J123" s="1164"/>
      <c r="K123" s="1164"/>
      <c r="L123" s="1164"/>
      <c r="M123" s="1164"/>
      <c r="N123" s="1164"/>
      <c r="O123" s="1164"/>
      <c r="P123" s="1164"/>
      <c r="Q123" s="1164"/>
      <c r="R123" s="1164"/>
      <c r="S123" s="1164"/>
      <c r="T123" s="1164"/>
      <c r="U123" s="1164"/>
      <c r="V123" s="1164"/>
      <c r="W123" s="1164"/>
      <c r="X123" s="1164"/>
      <c r="Y123" s="1164"/>
      <c r="Z123" s="1164"/>
      <c r="AA123" s="1164"/>
      <c r="AB123" s="1164"/>
      <c r="AC123" s="1164"/>
      <c r="AD123" s="1164"/>
      <c r="AE123" s="1164"/>
    </row>
    <row r="124" ht="15.75" customHeight="1">
      <c r="A124" s="852"/>
      <c r="B124" s="852"/>
      <c r="C124" s="1156"/>
      <c r="D124" s="1164"/>
      <c r="E124" s="1164"/>
      <c r="F124" s="1164"/>
      <c r="G124" s="1164"/>
      <c r="H124" s="1164"/>
      <c r="I124" s="1164"/>
      <c r="J124" s="1164"/>
      <c r="K124" s="1164"/>
      <c r="L124" s="1164"/>
      <c r="M124" s="1164"/>
      <c r="N124" s="1164"/>
      <c r="O124" s="1164"/>
      <c r="P124" s="1164"/>
      <c r="Q124" s="1164"/>
      <c r="R124" s="1164"/>
      <c r="S124" s="1164"/>
      <c r="T124" s="1164"/>
      <c r="U124" s="1164"/>
      <c r="V124" s="1164"/>
      <c r="W124" s="1164"/>
      <c r="X124" s="1164"/>
      <c r="Y124" s="1164"/>
      <c r="Z124" s="1164"/>
      <c r="AA124" s="1164"/>
      <c r="AB124" s="1164"/>
      <c r="AC124" s="1164"/>
      <c r="AD124" s="1164"/>
      <c r="AE124" s="1164"/>
    </row>
    <row r="125" ht="15.75" customHeight="1">
      <c r="A125" s="852"/>
      <c r="B125" s="852"/>
      <c r="C125" s="1156"/>
      <c r="D125" s="1164"/>
      <c r="E125" s="1164"/>
      <c r="F125" s="1164"/>
      <c r="G125" s="1164"/>
      <c r="H125" s="1164"/>
      <c r="I125" s="1164"/>
      <c r="J125" s="1164"/>
      <c r="K125" s="1164"/>
      <c r="L125" s="1164"/>
      <c r="M125" s="1164"/>
      <c r="N125" s="1164"/>
      <c r="O125" s="1164"/>
      <c r="P125" s="1164"/>
      <c r="Q125" s="1164"/>
      <c r="R125" s="1164"/>
      <c r="S125" s="1164"/>
      <c r="T125" s="1164"/>
      <c r="U125" s="1164"/>
      <c r="V125" s="1164"/>
      <c r="W125" s="1164"/>
      <c r="X125" s="1164"/>
      <c r="Y125" s="1164"/>
      <c r="Z125" s="1164"/>
      <c r="AA125" s="1164"/>
      <c r="AB125" s="1164"/>
      <c r="AC125" s="1164"/>
      <c r="AD125" s="1164"/>
      <c r="AE125" s="1164"/>
    </row>
    <row r="126" ht="15.75" customHeight="1">
      <c r="A126" s="852"/>
      <c r="B126" s="852"/>
      <c r="C126" s="1156"/>
      <c r="D126" s="1164"/>
      <c r="E126" s="1164"/>
      <c r="F126" s="1164"/>
      <c r="G126" s="1164"/>
      <c r="H126" s="1164"/>
      <c r="I126" s="1164"/>
      <c r="J126" s="1164"/>
      <c r="K126" s="1164"/>
      <c r="L126" s="1164"/>
      <c r="M126" s="1164"/>
      <c r="N126" s="1164"/>
      <c r="O126" s="1164"/>
      <c r="P126" s="1164"/>
      <c r="Q126" s="1164"/>
      <c r="R126" s="1164"/>
      <c r="S126" s="1164"/>
      <c r="T126" s="1164"/>
      <c r="U126" s="1164"/>
      <c r="V126" s="1164"/>
      <c r="W126" s="1164"/>
      <c r="X126" s="1164"/>
      <c r="Y126" s="1164"/>
      <c r="Z126" s="1164"/>
      <c r="AA126" s="1164"/>
      <c r="AB126" s="1164"/>
      <c r="AC126" s="1164"/>
      <c r="AD126" s="1164"/>
      <c r="AE126" s="1164"/>
    </row>
    <row r="127" ht="15.75" customHeight="1">
      <c r="A127" s="852"/>
      <c r="B127" s="852"/>
      <c r="C127" s="1156"/>
      <c r="D127" s="1164"/>
      <c r="E127" s="1164"/>
      <c r="F127" s="1164"/>
      <c r="G127" s="1164"/>
      <c r="H127" s="1164"/>
      <c r="I127" s="1164"/>
      <c r="J127" s="1164"/>
      <c r="K127" s="1164"/>
      <c r="L127" s="1164"/>
      <c r="M127" s="1164"/>
      <c r="N127" s="1164"/>
      <c r="O127" s="1164"/>
      <c r="P127" s="1164"/>
      <c r="Q127" s="1164"/>
      <c r="R127" s="1164"/>
      <c r="S127" s="1164"/>
      <c r="T127" s="1164"/>
      <c r="U127" s="1164"/>
      <c r="V127" s="1164"/>
      <c r="W127" s="1164"/>
      <c r="X127" s="1164"/>
      <c r="Y127" s="1164"/>
      <c r="Z127" s="1164"/>
      <c r="AA127" s="1164"/>
      <c r="AB127" s="1164"/>
      <c r="AC127" s="1164"/>
      <c r="AD127" s="1164"/>
      <c r="AE127" s="1164"/>
    </row>
    <row r="128" ht="15.75" customHeight="1">
      <c r="A128" s="852"/>
      <c r="B128" s="852"/>
      <c r="C128" s="1156"/>
      <c r="D128" s="1164"/>
      <c r="E128" s="1164"/>
      <c r="F128" s="1164"/>
      <c r="G128" s="1164"/>
      <c r="H128" s="1164"/>
      <c r="I128" s="1164"/>
      <c r="J128" s="1164"/>
      <c r="K128" s="1164"/>
      <c r="L128" s="1164"/>
      <c r="M128" s="1164"/>
      <c r="N128" s="1164"/>
      <c r="O128" s="1164"/>
      <c r="P128" s="1164"/>
      <c r="Q128" s="1164"/>
      <c r="R128" s="1164"/>
      <c r="S128" s="1164"/>
      <c r="T128" s="1164"/>
      <c r="U128" s="1164"/>
      <c r="V128" s="1164"/>
      <c r="W128" s="1164"/>
      <c r="X128" s="1164"/>
      <c r="Y128" s="1164"/>
      <c r="Z128" s="1164"/>
      <c r="AA128" s="1164"/>
      <c r="AB128" s="1164"/>
      <c r="AC128" s="1164"/>
      <c r="AD128" s="1164"/>
      <c r="AE128" s="1164"/>
    </row>
    <row r="129" ht="15.75" customHeight="1">
      <c r="A129" s="852"/>
      <c r="B129" s="852"/>
      <c r="C129" s="1156"/>
      <c r="D129" s="1164"/>
      <c r="E129" s="1164"/>
      <c r="F129" s="1164"/>
      <c r="G129" s="1164"/>
      <c r="H129" s="1164"/>
      <c r="I129" s="1164"/>
      <c r="J129" s="1164"/>
      <c r="K129" s="1164"/>
      <c r="L129" s="1164"/>
      <c r="M129" s="1164"/>
      <c r="N129" s="1164"/>
      <c r="O129" s="1164"/>
      <c r="P129" s="1164"/>
      <c r="Q129" s="1164"/>
      <c r="R129" s="1164"/>
      <c r="S129" s="1164"/>
      <c r="T129" s="1164"/>
      <c r="U129" s="1164"/>
      <c r="V129" s="1164"/>
      <c r="W129" s="1164"/>
      <c r="X129" s="1164"/>
      <c r="Y129" s="1164"/>
      <c r="Z129" s="1164"/>
      <c r="AA129" s="1164"/>
      <c r="AB129" s="1164"/>
      <c r="AC129" s="1164"/>
      <c r="AD129" s="1164"/>
      <c r="AE129" s="1164"/>
    </row>
    <row r="130" ht="15.75" customHeight="1">
      <c r="A130" s="852"/>
      <c r="B130" s="852"/>
      <c r="C130" s="1156"/>
      <c r="D130" s="1164"/>
      <c r="E130" s="1164"/>
      <c r="F130" s="1164"/>
      <c r="G130" s="1164"/>
      <c r="H130" s="1164"/>
      <c r="I130" s="1164"/>
      <c r="J130" s="1164"/>
      <c r="K130" s="1164"/>
      <c r="L130" s="1164"/>
      <c r="M130" s="1164"/>
      <c r="N130" s="1164"/>
      <c r="O130" s="1164"/>
      <c r="P130" s="1164"/>
      <c r="Q130" s="1164"/>
      <c r="R130" s="1164"/>
      <c r="S130" s="1164"/>
      <c r="T130" s="1164"/>
      <c r="U130" s="1164"/>
      <c r="V130" s="1164"/>
      <c r="W130" s="1164"/>
      <c r="X130" s="1164"/>
      <c r="Y130" s="1164"/>
      <c r="Z130" s="1164"/>
      <c r="AA130" s="1164"/>
      <c r="AB130" s="1164"/>
      <c r="AC130" s="1164"/>
      <c r="AD130" s="1164"/>
      <c r="AE130" s="1164"/>
    </row>
    <row r="131" ht="15.75" customHeight="1">
      <c r="A131" s="852"/>
      <c r="B131" s="852"/>
      <c r="C131" s="1156"/>
      <c r="D131" s="1164"/>
      <c r="E131" s="1164"/>
      <c r="F131" s="1164"/>
      <c r="G131" s="1164"/>
      <c r="H131" s="1164"/>
      <c r="I131" s="1164"/>
      <c r="J131" s="1164"/>
      <c r="K131" s="1164"/>
      <c r="L131" s="1164"/>
      <c r="M131" s="1164"/>
      <c r="N131" s="1164"/>
      <c r="O131" s="1164"/>
      <c r="P131" s="1164"/>
      <c r="Q131" s="1164"/>
      <c r="R131" s="1164"/>
      <c r="S131" s="1164"/>
      <c r="T131" s="1164"/>
      <c r="U131" s="1164"/>
      <c r="V131" s="1164"/>
      <c r="W131" s="1164"/>
      <c r="X131" s="1164"/>
      <c r="Y131" s="1164"/>
      <c r="Z131" s="1164"/>
      <c r="AA131" s="1164"/>
      <c r="AB131" s="1164"/>
      <c r="AC131" s="1164"/>
      <c r="AD131" s="1164"/>
      <c r="AE131" s="1164"/>
    </row>
    <row r="132" ht="15.75" customHeight="1">
      <c r="A132" s="852"/>
      <c r="B132" s="852"/>
      <c r="C132" s="1156"/>
      <c r="D132" s="1164"/>
      <c r="E132" s="1164"/>
      <c r="F132" s="1164"/>
      <c r="G132" s="1164"/>
      <c r="H132" s="1164"/>
      <c r="I132" s="1164"/>
      <c r="J132" s="1164"/>
      <c r="K132" s="1164"/>
      <c r="L132" s="1164"/>
      <c r="M132" s="1164"/>
      <c r="N132" s="1164"/>
      <c r="O132" s="1164"/>
      <c r="P132" s="1164"/>
      <c r="Q132" s="1164"/>
      <c r="R132" s="1164"/>
      <c r="S132" s="1164"/>
      <c r="T132" s="1164"/>
      <c r="U132" s="1164"/>
      <c r="V132" s="1164"/>
      <c r="W132" s="1164"/>
      <c r="X132" s="1164"/>
      <c r="Y132" s="1164"/>
      <c r="Z132" s="1164"/>
      <c r="AA132" s="1164"/>
      <c r="AB132" s="1164"/>
      <c r="AC132" s="1164"/>
      <c r="AD132" s="1164"/>
      <c r="AE132" s="1164"/>
    </row>
    <row r="133" ht="15.75" customHeight="1">
      <c r="A133" s="852"/>
      <c r="B133" s="852"/>
      <c r="C133" s="1156"/>
      <c r="D133" s="1164"/>
      <c r="E133" s="1164"/>
      <c r="F133" s="1164"/>
      <c r="G133" s="1164"/>
      <c r="H133" s="1164"/>
      <c r="I133" s="1164"/>
      <c r="J133" s="1164"/>
      <c r="K133" s="1164"/>
      <c r="L133" s="1164"/>
      <c r="M133" s="1164"/>
      <c r="N133" s="1164"/>
      <c r="O133" s="1164"/>
      <c r="P133" s="1164"/>
      <c r="Q133" s="1164"/>
      <c r="R133" s="1164"/>
      <c r="S133" s="1164"/>
      <c r="T133" s="1164"/>
      <c r="U133" s="1164"/>
      <c r="V133" s="1164"/>
      <c r="W133" s="1164"/>
      <c r="X133" s="1164"/>
      <c r="Y133" s="1164"/>
      <c r="Z133" s="1164"/>
      <c r="AA133" s="1164"/>
      <c r="AB133" s="1164"/>
      <c r="AC133" s="1164"/>
      <c r="AD133" s="1164"/>
      <c r="AE133" s="1164"/>
    </row>
    <row r="134" ht="15.75" customHeight="1">
      <c r="A134" s="852"/>
      <c r="B134" s="852"/>
      <c r="C134" s="1156"/>
      <c r="D134" s="1164"/>
      <c r="E134" s="1164"/>
      <c r="F134" s="1164"/>
      <c r="G134" s="1164"/>
      <c r="H134" s="1164"/>
      <c r="I134" s="1164"/>
      <c r="J134" s="1164"/>
      <c r="K134" s="1164"/>
      <c r="L134" s="1164"/>
      <c r="M134" s="1164"/>
      <c r="N134" s="1164"/>
      <c r="O134" s="1164"/>
      <c r="P134" s="1164"/>
      <c r="Q134" s="1164"/>
      <c r="R134" s="1164"/>
      <c r="S134" s="1164"/>
      <c r="T134" s="1164"/>
      <c r="U134" s="1164"/>
      <c r="V134" s="1164"/>
      <c r="W134" s="1164"/>
      <c r="X134" s="1164"/>
      <c r="Y134" s="1164"/>
      <c r="Z134" s="1164"/>
      <c r="AA134" s="1164"/>
      <c r="AB134" s="1164"/>
      <c r="AC134" s="1164"/>
      <c r="AD134" s="1164"/>
      <c r="AE134" s="1164"/>
    </row>
    <row r="135" ht="15.75" customHeight="1">
      <c r="A135" s="852"/>
      <c r="B135" s="852"/>
      <c r="C135" s="1156"/>
      <c r="D135" s="1164"/>
      <c r="E135" s="1164"/>
      <c r="F135" s="1164"/>
      <c r="G135" s="1164"/>
      <c r="H135" s="1164"/>
      <c r="I135" s="1164"/>
      <c r="J135" s="1164"/>
      <c r="K135" s="1164"/>
      <c r="L135" s="1164"/>
      <c r="M135" s="1164"/>
      <c r="N135" s="1164"/>
      <c r="O135" s="1164"/>
      <c r="P135" s="1164"/>
      <c r="Q135" s="1164"/>
      <c r="R135" s="1164"/>
      <c r="S135" s="1164"/>
      <c r="T135" s="1164"/>
      <c r="U135" s="1164"/>
      <c r="V135" s="1164"/>
      <c r="W135" s="1164"/>
      <c r="X135" s="1164"/>
      <c r="Y135" s="1164"/>
      <c r="Z135" s="1164"/>
      <c r="AA135" s="1164"/>
      <c r="AB135" s="1164"/>
      <c r="AC135" s="1164"/>
      <c r="AD135" s="1164"/>
      <c r="AE135" s="1164"/>
    </row>
    <row r="136" ht="15.75" customHeight="1">
      <c r="A136" s="852"/>
      <c r="B136" s="852"/>
      <c r="C136" s="1156"/>
      <c r="D136" s="1164"/>
      <c r="E136" s="1164"/>
      <c r="F136" s="1164"/>
      <c r="G136" s="1164"/>
      <c r="H136" s="1164"/>
      <c r="I136" s="1164"/>
      <c r="J136" s="1164"/>
      <c r="K136" s="1164"/>
      <c r="L136" s="1164"/>
      <c r="M136" s="1164"/>
      <c r="N136" s="1164"/>
      <c r="O136" s="1164"/>
      <c r="P136" s="1164"/>
      <c r="Q136" s="1164"/>
      <c r="R136" s="1164"/>
      <c r="S136" s="1164"/>
      <c r="T136" s="1164"/>
      <c r="U136" s="1164"/>
      <c r="V136" s="1164"/>
      <c r="W136" s="1164"/>
      <c r="X136" s="1164"/>
      <c r="Y136" s="1164"/>
      <c r="Z136" s="1164"/>
      <c r="AA136" s="1164"/>
      <c r="AB136" s="1164"/>
      <c r="AC136" s="1164"/>
      <c r="AD136" s="1164"/>
      <c r="AE136" s="1164"/>
    </row>
    <row r="137" ht="15.75" customHeight="1">
      <c r="A137" s="852"/>
      <c r="B137" s="852"/>
      <c r="C137" s="1156"/>
      <c r="D137" s="1164"/>
      <c r="E137" s="1164"/>
      <c r="F137" s="1164"/>
      <c r="G137" s="1164"/>
      <c r="H137" s="1164"/>
      <c r="I137" s="1164"/>
      <c r="J137" s="1164"/>
      <c r="K137" s="1164"/>
      <c r="L137" s="1164"/>
      <c r="M137" s="1164"/>
      <c r="N137" s="1164"/>
      <c r="O137" s="1164"/>
      <c r="P137" s="1164"/>
      <c r="Q137" s="1164"/>
      <c r="R137" s="1164"/>
      <c r="S137" s="1164"/>
      <c r="T137" s="1164"/>
      <c r="U137" s="1164"/>
      <c r="V137" s="1164"/>
      <c r="W137" s="1164"/>
      <c r="X137" s="1164"/>
      <c r="Y137" s="1164"/>
      <c r="Z137" s="1164"/>
      <c r="AA137" s="1164"/>
      <c r="AB137" s="1164"/>
      <c r="AC137" s="1164"/>
      <c r="AD137" s="1164"/>
      <c r="AE137" s="1164"/>
    </row>
    <row r="138" ht="15.75" customHeight="1">
      <c r="A138" s="852"/>
      <c r="B138" s="852"/>
      <c r="C138" s="1156"/>
      <c r="D138" s="1164"/>
      <c r="E138" s="1164"/>
      <c r="F138" s="1164"/>
      <c r="G138" s="1164"/>
      <c r="H138" s="1164"/>
      <c r="I138" s="1164"/>
      <c r="J138" s="1164"/>
      <c r="K138" s="1164"/>
      <c r="L138" s="1164"/>
      <c r="M138" s="1164"/>
      <c r="N138" s="1164"/>
      <c r="O138" s="1164"/>
      <c r="P138" s="1164"/>
      <c r="Q138" s="1164"/>
      <c r="R138" s="1164"/>
      <c r="S138" s="1164"/>
      <c r="T138" s="1164"/>
      <c r="U138" s="1164"/>
      <c r="V138" s="1164"/>
      <c r="W138" s="1164"/>
      <c r="X138" s="1164"/>
      <c r="Y138" s="1164"/>
      <c r="Z138" s="1164"/>
      <c r="AA138" s="1164"/>
      <c r="AB138" s="1164"/>
      <c r="AC138" s="1164"/>
      <c r="AD138" s="1164"/>
      <c r="AE138" s="1164"/>
    </row>
    <row r="139" ht="15.75" customHeight="1">
      <c r="A139" s="852"/>
      <c r="B139" s="852"/>
      <c r="C139" s="1156"/>
      <c r="D139" s="1164"/>
      <c r="E139" s="1164"/>
      <c r="F139" s="1164"/>
      <c r="G139" s="1164"/>
      <c r="H139" s="1164"/>
      <c r="I139" s="1164"/>
      <c r="J139" s="1164"/>
      <c r="K139" s="1164"/>
      <c r="L139" s="1164"/>
      <c r="M139" s="1164"/>
      <c r="N139" s="1164"/>
      <c r="O139" s="1164"/>
      <c r="P139" s="1164"/>
      <c r="Q139" s="1164"/>
      <c r="R139" s="1164"/>
      <c r="S139" s="1164"/>
      <c r="T139" s="1164"/>
      <c r="U139" s="1164"/>
      <c r="V139" s="1164"/>
      <c r="W139" s="1164"/>
      <c r="X139" s="1164"/>
      <c r="Y139" s="1164"/>
      <c r="Z139" s="1164"/>
      <c r="AA139" s="1164"/>
      <c r="AB139" s="1164"/>
      <c r="AC139" s="1164"/>
      <c r="AD139" s="1164"/>
      <c r="AE139" s="1164"/>
    </row>
    <row r="140" ht="15.75" customHeight="1">
      <c r="A140" s="852"/>
      <c r="B140" s="852"/>
      <c r="C140" s="1156"/>
      <c r="D140" s="1164"/>
      <c r="E140" s="1164"/>
      <c r="F140" s="1164"/>
      <c r="G140" s="1164"/>
      <c r="H140" s="1164"/>
      <c r="I140" s="1164"/>
      <c r="J140" s="1164"/>
      <c r="K140" s="1164"/>
      <c r="L140" s="1164"/>
      <c r="M140" s="1164"/>
      <c r="N140" s="1164"/>
      <c r="O140" s="1164"/>
      <c r="P140" s="1164"/>
      <c r="Q140" s="1164"/>
      <c r="R140" s="1164"/>
      <c r="S140" s="1164"/>
      <c r="T140" s="1164"/>
      <c r="U140" s="1164"/>
      <c r="V140" s="1164"/>
      <c r="W140" s="1164"/>
      <c r="X140" s="1164"/>
      <c r="Y140" s="1164"/>
      <c r="Z140" s="1164"/>
      <c r="AA140" s="1164"/>
      <c r="AB140" s="1164"/>
      <c r="AC140" s="1164"/>
      <c r="AD140" s="1164"/>
      <c r="AE140" s="1164"/>
    </row>
    <row r="141" ht="15.75" customHeight="1">
      <c r="A141" s="852"/>
      <c r="B141" s="852"/>
      <c r="C141" s="1156"/>
      <c r="D141" s="1164"/>
      <c r="E141" s="1164"/>
      <c r="F141" s="1164"/>
      <c r="G141" s="1164"/>
      <c r="H141" s="1164"/>
      <c r="I141" s="1164"/>
      <c r="J141" s="1164"/>
      <c r="K141" s="1164"/>
      <c r="L141" s="1164"/>
      <c r="M141" s="1164"/>
      <c r="N141" s="1164"/>
      <c r="O141" s="1164"/>
      <c r="P141" s="1164"/>
      <c r="Q141" s="1164"/>
      <c r="R141" s="1164"/>
      <c r="S141" s="1164"/>
      <c r="T141" s="1164"/>
      <c r="U141" s="1164"/>
      <c r="V141" s="1164"/>
      <c r="W141" s="1164"/>
      <c r="X141" s="1164"/>
      <c r="Y141" s="1164"/>
      <c r="Z141" s="1164"/>
      <c r="AA141" s="1164"/>
      <c r="AB141" s="1164"/>
      <c r="AC141" s="1164"/>
      <c r="AD141" s="1164"/>
      <c r="AE141" s="1164"/>
    </row>
    <row r="142" ht="15.75" customHeight="1">
      <c r="A142" s="852"/>
      <c r="B142" s="852"/>
      <c r="C142" s="1156"/>
      <c r="D142" s="1164"/>
      <c r="E142" s="1164"/>
      <c r="F142" s="1164"/>
      <c r="G142" s="1164"/>
      <c r="H142" s="1164"/>
      <c r="I142" s="1164"/>
      <c r="J142" s="1164"/>
      <c r="K142" s="1164"/>
      <c r="L142" s="1164"/>
      <c r="M142" s="1164"/>
      <c r="N142" s="1164"/>
      <c r="O142" s="1164"/>
      <c r="P142" s="1164"/>
      <c r="Q142" s="1164"/>
      <c r="R142" s="1164"/>
      <c r="S142" s="1164"/>
      <c r="T142" s="1164"/>
      <c r="U142" s="1164"/>
      <c r="V142" s="1164"/>
      <c r="W142" s="1164"/>
      <c r="X142" s="1164"/>
      <c r="Y142" s="1164"/>
      <c r="Z142" s="1164"/>
      <c r="AA142" s="1164"/>
      <c r="AB142" s="1164"/>
      <c r="AC142" s="1164"/>
      <c r="AD142" s="1164"/>
      <c r="AE142" s="1164"/>
    </row>
    <row r="143" ht="15.75" customHeight="1">
      <c r="A143" s="852"/>
      <c r="B143" s="852"/>
      <c r="C143" s="1156"/>
      <c r="D143" s="1164"/>
      <c r="E143" s="1164"/>
      <c r="F143" s="1164"/>
      <c r="G143" s="1164"/>
      <c r="H143" s="1164"/>
      <c r="I143" s="1164"/>
      <c r="J143" s="1164"/>
      <c r="K143" s="1164"/>
      <c r="L143" s="1164"/>
      <c r="M143" s="1164"/>
      <c r="N143" s="1164"/>
      <c r="O143" s="1164"/>
      <c r="P143" s="1164"/>
      <c r="Q143" s="1164"/>
      <c r="R143" s="1164"/>
      <c r="S143" s="1164"/>
      <c r="T143" s="1164"/>
      <c r="U143" s="1164"/>
      <c r="V143" s="1164"/>
      <c r="W143" s="1164"/>
      <c r="X143" s="1164"/>
      <c r="Y143" s="1164"/>
      <c r="Z143" s="1164"/>
      <c r="AA143" s="1164"/>
      <c r="AB143" s="1164"/>
      <c r="AC143" s="1164"/>
      <c r="AD143" s="1164"/>
      <c r="AE143" s="1164"/>
    </row>
    <row r="144" ht="15.75" customHeight="1">
      <c r="A144" s="852"/>
      <c r="B144" s="852"/>
      <c r="C144" s="1156"/>
      <c r="D144" s="1164"/>
      <c r="E144" s="1164"/>
      <c r="F144" s="1164"/>
      <c r="G144" s="1164"/>
      <c r="H144" s="1164"/>
      <c r="I144" s="1164"/>
      <c r="J144" s="1164"/>
      <c r="K144" s="1164"/>
      <c r="L144" s="1164"/>
      <c r="M144" s="1164"/>
      <c r="N144" s="1164"/>
      <c r="O144" s="1164"/>
      <c r="P144" s="1164"/>
      <c r="Q144" s="1164"/>
      <c r="R144" s="1164"/>
      <c r="S144" s="1164"/>
      <c r="T144" s="1164"/>
      <c r="U144" s="1164"/>
      <c r="V144" s="1164"/>
      <c r="W144" s="1164"/>
      <c r="X144" s="1164"/>
      <c r="Y144" s="1164"/>
      <c r="Z144" s="1164"/>
      <c r="AA144" s="1164"/>
      <c r="AB144" s="1164"/>
      <c r="AC144" s="1164"/>
      <c r="AD144" s="1164"/>
      <c r="AE144" s="1164"/>
    </row>
    <row r="145" ht="15.75" customHeight="1">
      <c r="A145" s="852"/>
      <c r="B145" s="852"/>
      <c r="C145" s="1156"/>
      <c r="D145" s="1164"/>
      <c r="E145" s="1164"/>
      <c r="F145" s="1164"/>
      <c r="G145" s="1164"/>
      <c r="H145" s="1164"/>
      <c r="I145" s="1164"/>
      <c r="J145" s="1164"/>
      <c r="K145" s="1164"/>
      <c r="L145" s="1164"/>
      <c r="M145" s="1164"/>
      <c r="N145" s="1164"/>
      <c r="O145" s="1164"/>
      <c r="P145" s="1164"/>
      <c r="Q145" s="1164"/>
      <c r="R145" s="1164"/>
      <c r="S145" s="1164"/>
      <c r="T145" s="1164"/>
      <c r="U145" s="1164"/>
      <c r="V145" s="1164"/>
      <c r="W145" s="1164"/>
      <c r="X145" s="1164"/>
      <c r="Y145" s="1164"/>
      <c r="Z145" s="1164"/>
      <c r="AA145" s="1164"/>
      <c r="AB145" s="1164"/>
      <c r="AC145" s="1164"/>
      <c r="AD145" s="1164"/>
      <c r="AE145" s="1164"/>
    </row>
    <row r="146" ht="15.75" customHeight="1">
      <c r="A146" s="852"/>
      <c r="B146" s="852"/>
      <c r="C146" s="1156"/>
      <c r="D146" s="1164"/>
      <c r="E146" s="1164"/>
      <c r="F146" s="1164"/>
      <c r="G146" s="1164"/>
      <c r="H146" s="1164"/>
      <c r="I146" s="1164"/>
      <c r="J146" s="1164"/>
      <c r="K146" s="1164"/>
      <c r="L146" s="1164"/>
      <c r="M146" s="1164"/>
      <c r="N146" s="1164"/>
      <c r="O146" s="1164"/>
      <c r="P146" s="1164"/>
      <c r="Q146" s="1164"/>
      <c r="R146" s="1164"/>
      <c r="S146" s="1164"/>
      <c r="T146" s="1164"/>
      <c r="U146" s="1164"/>
      <c r="V146" s="1164"/>
      <c r="W146" s="1164"/>
      <c r="X146" s="1164"/>
      <c r="Y146" s="1164"/>
      <c r="Z146" s="1164"/>
      <c r="AA146" s="1164"/>
      <c r="AB146" s="1164"/>
      <c r="AC146" s="1164"/>
      <c r="AD146" s="1164"/>
      <c r="AE146" s="1164"/>
    </row>
    <row r="147" ht="15.75" customHeight="1">
      <c r="A147" s="852"/>
      <c r="B147" s="852"/>
      <c r="C147" s="1156"/>
      <c r="D147" s="1164"/>
      <c r="E147" s="1164"/>
      <c r="F147" s="1164"/>
      <c r="G147" s="1164"/>
      <c r="H147" s="1164"/>
      <c r="I147" s="1164"/>
      <c r="J147" s="1164"/>
      <c r="K147" s="1164"/>
      <c r="L147" s="1164"/>
      <c r="M147" s="1164"/>
      <c r="N147" s="1164"/>
      <c r="O147" s="1164"/>
      <c r="P147" s="1164"/>
      <c r="Q147" s="1164"/>
      <c r="R147" s="1164"/>
      <c r="S147" s="1164"/>
      <c r="T147" s="1164"/>
      <c r="U147" s="1164"/>
      <c r="V147" s="1164"/>
      <c r="W147" s="1164"/>
      <c r="X147" s="1164"/>
      <c r="Y147" s="1164"/>
      <c r="Z147" s="1164"/>
      <c r="AA147" s="1164"/>
      <c r="AB147" s="1164"/>
      <c r="AC147" s="1164"/>
      <c r="AD147" s="1164"/>
      <c r="AE147" s="1164"/>
    </row>
    <row r="148" ht="15.75" customHeight="1">
      <c r="A148" s="852"/>
      <c r="B148" s="852"/>
      <c r="C148" s="1156"/>
      <c r="D148" s="1164"/>
      <c r="E148" s="1164"/>
      <c r="F148" s="1164"/>
      <c r="G148" s="1164"/>
      <c r="H148" s="1164"/>
      <c r="I148" s="1164"/>
      <c r="J148" s="1164"/>
      <c r="K148" s="1164"/>
      <c r="L148" s="1164"/>
      <c r="M148" s="1164"/>
      <c r="N148" s="1164"/>
      <c r="O148" s="1164"/>
      <c r="P148" s="1164"/>
      <c r="Q148" s="1164"/>
      <c r="R148" s="1164"/>
      <c r="S148" s="1164"/>
      <c r="T148" s="1164"/>
      <c r="U148" s="1164"/>
      <c r="V148" s="1164"/>
      <c r="W148" s="1164"/>
      <c r="X148" s="1164"/>
      <c r="Y148" s="1164"/>
      <c r="Z148" s="1164"/>
      <c r="AA148" s="1164"/>
      <c r="AB148" s="1164"/>
      <c r="AC148" s="1164"/>
      <c r="AD148" s="1164"/>
      <c r="AE148" s="1164"/>
    </row>
    <row r="149" ht="15.75" customHeight="1">
      <c r="A149" s="852"/>
      <c r="B149" s="852"/>
      <c r="C149" s="1156"/>
      <c r="D149" s="1164"/>
      <c r="E149" s="1164"/>
      <c r="F149" s="1164"/>
      <c r="G149" s="1164"/>
      <c r="H149" s="1164"/>
      <c r="I149" s="1164"/>
      <c r="J149" s="1164"/>
      <c r="K149" s="1164"/>
      <c r="L149" s="1164"/>
      <c r="M149" s="1164"/>
      <c r="N149" s="1164"/>
      <c r="O149" s="1164"/>
      <c r="P149" s="1164"/>
      <c r="Q149" s="1164"/>
      <c r="R149" s="1164"/>
      <c r="S149" s="1164"/>
      <c r="T149" s="1164"/>
      <c r="U149" s="1164"/>
      <c r="V149" s="1164"/>
      <c r="W149" s="1164"/>
      <c r="X149" s="1164"/>
      <c r="Y149" s="1164"/>
      <c r="Z149" s="1164"/>
      <c r="AA149" s="1164"/>
      <c r="AB149" s="1164"/>
      <c r="AC149" s="1164"/>
      <c r="AD149" s="1164"/>
      <c r="AE149" s="1164"/>
    </row>
    <row r="150" ht="15.75" customHeight="1">
      <c r="A150" s="852"/>
      <c r="B150" s="852"/>
      <c r="C150" s="1156"/>
      <c r="D150" s="1164"/>
      <c r="E150" s="1164"/>
      <c r="F150" s="1164"/>
      <c r="G150" s="1164"/>
      <c r="H150" s="1164"/>
      <c r="I150" s="1164"/>
      <c r="J150" s="1164"/>
      <c r="K150" s="1164"/>
      <c r="L150" s="1164"/>
      <c r="M150" s="1164"/>
      <c r="N150" s="1164"/>
      <c r="O150" s="1164"/>
      <c r="P150" s="1164"/>
      <c r="Q150" s="1164"/>
      <c r="R150" s="1164"/>
      <c r="S150" s="1164"/>
      <c r="T150" s="1164"/>
      <c r="U150" s="1164"/>
      <c r="V150" s="1164"/>
      <c r="W150" s="1164"/>
      <c r="X150" s="1164"/>
      <c r="Y150" s="1164"/>
      <c r="Z150" s="1164"/>
      <c r="AA150" s="1164"/>
      <c r="AB150" s="1164"/>
      <c r="AC150" s="1164"/>
      <c r="AD150" s="1164"/>
      <c r="AE150" s="1164"/>
    </row>
    <row r="151" ht="15.75" customHeight="1">
      <c r="A151" s="852"/>
      <c r="B151" s="852"/>
      <c r="C151" s="1156"/>
      <c r="D151" s="1164"/>
      <c r="E151" s="1164"/>
      <c r="F151" s="1164"/>
      <c r="G151" s="1164"/>
      <c r="H151" s="1164"/>
      <c r="I151" s="1164"/>
      <c r="J151" s="1164"/>
      <c r="K151" s="1164"/>
      <c r="L151" s="1164"/>
      <c r="M151" s="1164"/>
      <c r="N151" s="1164"/>
      <c r="O151" s="1164"/>
      <c r="P151" s="1164"/>
      <c r="Q151" s="1164"/>
      <c r="R151" s="1164"/>
      <c r="S151" s="1164"/>
      <c r="T151" s="1164"/>
      <c r="U151" s="1164"/>
      <c r="V151" s="1164"/>
      <c r="W151" s="1164"/>
      <c r="X151" s="1164"/>
      <c r="Y151" s="1164"/>
      <c r="Z151" s="1164"/>
      <c r="AA151" s="1164"/>
      <c r="AB151" s="1164"/>
      <c r="AC151" s="1164"/>
      <c r="AD151" s="1164"/>
      <c r="AE151" s="1164"/>
    </row>
    <row r="152" ht="15.75" customHeight="1">
      <c r="A152" s="852"/>
      <c r="B152" s="852"/>
      <c r="C152" s="1156"/>
      <c r="D152" s="1164"/>
      <c r="E152" s="1164"/>
      <c r="F152" s="1164"/>
      <c r="G152" s="1164"/>
      <c r="H152" s="1164"/>
      <c r="I152" s="1164"/>
      <c r="J152" s="1164"/>
      <c r="K152" s="1164"/>
      <c r="L152" s="1164"/>
      <c r="M152" s="1164"/>
      <c r="N152" s="1164"/>
      <c r="O152" s="1164"/>
      <c r="P152" s="1164"/>
      <c r="Q152" s="1164"/>
      <c r="R152" s="1164"/>
      <c r="S152" s="1164"/>
      <c r="T152" s="1164"/>
      <c r="U152" s="1164"/>
      <c r="V152" s="1164"/>
      <c r="W152" s="1164"/>
      <c r="X152" s="1164"/>
      <c r="Y152" s="1164"/>
      <c r="Z152" s="1164"/>
      <c r="AA152" s="1164"/>
      <c r="AB152" s="1164"/>
      <c r="AC152" s="1164"/>
      <c r="AD152" s="1164"/>
      <c r="AE152" s="1164"/>
    </row>
    <row r="153" ht="15.75" customHeight="1">
      <c r="A153" s="852"/>
      <c r="B153" s="852"/>
      <c r="C153" s="1156"/>
      <c r="D153" s="1164"/>
      <c r="E153" s="1164"/>
      <c r="F153" s="1164"/>
      <c r="G153" s="1164"/>
      <c r="H153" s="1164"/>
      <c r="I153" s="1164"/>
      <c r="J153" s="1164"/>
      <c r="K153" s="1164"/>
      <c r="L153" s="1164"/>
      <c r="M153" s="1164"/>
      <c r="N153" s="1164"/>
      <c r="O153" s="1164"/>
      <c r="P153" s="1164"/>
      <c r="Q153" s="1164"/>
      <c r="R153" s="1164"/>
      <c r="S153" s="1164"/>
      <c r="T153" s="1164"/>
      <c r="U153" s="1164"/>
      <c r="V153" s="1164"/>
      <c r="W153" s="1164"/>
      <c r="X153" s="1164"/>
      <c r="Y153" s="1164"/>
      <c r="Z153" s="1164"/>
      <c r="AA153" s="1164"/>
      <c r="AB153" s="1164"/>
      <c r="AC153" s="1164"/>
      <c r="AD153" s="1164"/>
      <c r="AE153" s="1164"/>
    </row>
    <row r="154" ht="15.75" customHeight="1">
      <c r="A154" s="852"/>
      <c r="B154" s="852"/>
      <c r="C154" s="1156"/>
      <c r="D154" s="1164"/>
      <c r="E154" s="1164"/>
      <c r="F154" s="1164"/>
      <c r="G154" s="1164"/>
      <c r="H154" s="1164"/>
      <c r="I154" s="1164"/>
      <c r="J154" s="1164"/>
      <c r="K154" s="1164"/>
      <c r="L154" s="1164"/>
      <c r="M154" s="1164"/>
      <c r="N154" s="1164"/>
      <c r="O154" s="1164"/>
      <c r="P154" s="1164"/>
      <c r="Q154" s="1164"/>
      <c r="R154" s="1164"/>
      <c r="S154" s="1164"/>
      <c r="T154" s="1164"/>
      <c r="U154" s="1164"/>
      <c r="V154" s="1164"/>
      <c r="W154" s="1164"/>
      <c r="X154" s="1164"/>
      <c r="Y154" s="1164"/>
      <c r="Z154" s="1164"/>
      <c r="AA154" s="1164"/>
      <c r="AB154" s="1164"/>
      <c r="AC154" s="1164"/>
      <c r="AD154" s="1164"/>
      <c r="AE154" s="1164"/>
    </row>
    <row r="155" ht="15.75" customHeight="1">
      <c r="A155" s="852"/>
      <c r="B155" s="852"/>
      <c r="C155" s="1156"/>
      <c r="D155" s="1164"/>
      <c r="E155" s="1164"/>
      <c r="F155" s="1164"/>
      <c r="G155" s="1164"/>
      <c r="H155" s="1164"/>
      <c r="I155" s="1164"/>
      <c r="J155" s="1164"/>
      <c r="K155" s="1164"/>
      <c r="L155" s="1164"/>
      <c r="M155" s="1164"/>
      <c r="N155" s="1164"/>
      <c r="O155" s="1164"/>
      <c r="P155" s="1164"/>
      <c r="Q155" s="1164"/>
      <c r="R155" s="1164"/>
      <c r="S155" s="1164"/>
      <c r="T155" s="1164"/>
      <c r="U155" s="1164"/>
      <c r="V155" s="1164"/>
      <c r="W155" s="1164"/>
      <c r="X155" s="1164"/>
      <c r="Y155" s="1164"/>
      <c r="Z155" s="1164"/>
      <c r="AA155" s="1164"/>
      <c r="AB155" s="1164"/>
      <c r="AC155" s="1164"/>
      <c r="AD155" s="1164"/>
      <c r="AE155" s="1164"/>
    </row>
    <row r="156" ht="15.75" customHeight="1">
      <c r="A156" s="852"/>
      <c r="B156" s="852"/>
      <c r="C156" s="1156"/>
      <c r="D156" s="1164"/>
      <c r="E156" s="1164"/>
      <c r="F156" s="1164"/>
      <c r="G156" s="1164"/>
      <c r="H156" s="1164"/>
      <c r="I156" s="1164"/>
      <c r="J156" s="1164"/>
      <c r="K156" s="1164"/>
      <c r="L156" s="1164"/>
      <c r="M156" s="1164"/>
      <c r="N156" s="1164"/>
      <c r="O156" s="1164"/>
      <c r="P156" s="1164"/>
      <c r="Q156" s="1164"/>
      <c r="R156" s="1164"/>
      <c r="S156" s="1164"/>
      <c r="T156" s="1164"/>
      <c r="U156" s="1164"/>
      <c r="V156" s="1164"/>
      <c r="W156" s="1164"/>
      <c r="X156" s="1164"/>
      <c r="Y156" s="1164"/>
      <c r="Z156" s="1164"/>
      <c r="AA156" s="1164"/>
      <c r="AB156" s="1164"/>
      <c r="AC156" s="1164"/>
      <c r="AD156" s="1164"/>
      <c r="AE156" s="1164"/>
    </row>
    <row r="157" ht="15.75" customHeight="1">
      <c r="A157" s="852"/>
      <c r="B157" s="852"/>
      <c r="C157" s="1156"/>
      <c r="D157" s="1164"/>
      <c r="E157" s="1164"/>
      <c r="F157" s="1164"/>
      <c r="G157" s="1164"/>
      <c r="H157" s="1164"/>
      <c r="I157" s="1164"/>
      <c r="J157" s="1164"/>
      <c r="K157" s="1164"/>
      <c r="L157" s="1164"/>
      <c r="M157" s="1164"/>
      <c r="N157" s="1164"/>
      <c r="O157" s="1164"/>
      <c r="P157" s="1164"/>
      <c r="Q157" s="1164"/>
      <c r="R157" s="1164"/>
      <c r="S157" s="1164"/>
      <c r="T157" s="1164"/>
      <c r="U157" s="1164"/>
      <c r="V157" s="1164"/>
      <c r="W157" s="1164"/>
      <c r="X157" s="1164"/>
      <c r="Y157" s="1164"/>
      <c r="Z157" s="1164"/>
      <c r="AA157" s="1164"/>
      <c r="AB157" s="1164"/>
      <c r="AC157" s="1164"/>
      <c r="AD157" s="1164"/>
      <c r="AE157" s="1164"/>
    </row>
    <row r="158" ht="15.75" customHeight="1">
      <c r="A158" s="852"/>
      <c r="B158" s="852"/>
      <c r="C158" s="1156"/>
      <c r="D158" s="1164"/>
      <c r="E158" s="1164"/>
      <c r="F158" s="1164"/>
      <c r="G158" s="1164"/>
      <c r="H158" s="1164"/>
      <c r="I158" s="1164"/>
      <c r="J158" s="1164"/>
      <c r="K158" s="1164"/>
      <c r="L158" s="1164"/>
      <c r="M158" s="1164"/>
      <c r="N158" s="1164"/>
      <c r="O158" s="1164"/>
      <c r="P158" s="1164"/>
      <c r="Q158" s="1164"/>
      <c r="R158" s="1164"/>
      <c r="S158" s="1164"/>
      <c r="T158" s="1164"/>
      <c r="U158" s="1164"/>
      <c r="V158" s="1164"/>
      <c r="W158" s="1164"/>
      <c r="X158" s="1164"/>
      <c r="Y158" s="1164"/>
      <c r="Z158" s="1164"/>
      <c r="AA158" s="1164"/>
      <c r="AB158" s="1164"/>
      <c r="AC158" s="1164"/>
      <c r="AD158" s="1164"/>
      <c r="AE158" s="1164"/>
    </row>
    <row r="159" ht="15.75" customHeight="1">
      <c r="A159" s="852"/>
      <c r="B159" s="852"/>
      <c r="C159" s="1156"/>
      <c r="D159" s="1164"/>
      <c r="E159" s="1164"/>
      <c r="F159" s="1164"/>
      <c r="G159" s="1164"/>
      <c r="H159" s="1164"/>
      <c r="I159" s="1164"/>
      <c r="J159" s="1164"/>
      <c r="K159" s="1164"/>
      <c r="L159" s="1164"/>
      <c r="M159" s="1164"/>
      <c r="N159" s="1164"/>
      <c r="O159" s="1164"/>
      <c r="P159" s="1164"/>
      <c r="Q159" s="1164"/>
      <c r="R159" s="1164"/>
      <c r="S159" s="1164"/>
      <c r="T159" s="1164"/>
      <c r="U159" s="1164"/>
      <c r="V159" s="1164"/>
      <c r="W159" s="1164"/>
      <c r="X159" s="1164"/>
      <c r="Y159" s="1164"/>
      <c r="Z159" s="1164"/>
      <c r="AA159" s="1164"/>
      <c r="AB159" s="1164"/>
      <c r="AC159" s="1164"/>
      <c r="AD159" s="1164"/>
      <c r="AE159" s="1164"/>
    </row>
    <row r="160" ht="15.75" customHeight="1">
      <c r="A160" s="852"/>
      <c r="B160" s="852"/>
      <c r="C160" s="1156"/>
      <c r="D160" s="1164"/>
      <c r="E160" s="1164"/>
      <c r="F160" s="1164"/>
      <c r="G160" s="1164"/>
      <c r="H160" s="1164"/>
      <c r="I160" s="1164"/>
      <c r="J160" s="1164"/>
      <c r="K160" s="1164"/>
      <c r="L160" s="1164"/>
      <c r="M160" s="1164"/>
      <c r="N160" s="1164"/>
      <c r="O160" s="1164"/>
      <c r="P160" s="1164"/>
      <c r="Q160" s="1164"/>
      <c r="R160" s="1164"/>
      <c r="S160" s="1164"/>
      <c r="T160" s="1164"/>
      <c r="U160" s="1164"/>
      <c r="V160" s="1164"/>
      <c r="W160" s="1164"/>
      <c r="X160" s="1164"/>
      <c r="Y160" s="1164"/>
      <c r="Z160" s="1164"/>
      <c r="AA160" s="1164"/>
      <c r="AB160" s="1164"/>
      <c r="AC160" s="1164"/>
      <c r="AD160" s="1164"/>
      <c r="AE160" s="1164"/>
    </row>
    <row r="161" ht="15.75" customHeight="1">
      <c r="A161" s="852"/>
      <c r="B161" s="852"/>
      <c r="C161" s="1156"/>
      <c r="D161" s="1164"/>
      <c r="E161" s="1164"/>
      <c r="F161" s="1164"/>
      <c r="G161" s="1164"/>
      <c r="H161" s="1164"/>
      <c r="I161" s="1164"/>
      <c r="J161" s="1164"/>
      <c r="K161" s="1164"/>
      <c r="L161" s="1164"/>
      <c r="M161" s="1164"/>
      <c r="N161" s="1164"/>
      <c r="O161" s="1164"/>
      <c r="P161" s="1164"/>
      <c r="Q161" s="1164"/>
      <c r="R161" s="1164"/>
      <c r="S161" s="1164"/>
      <c r="T161" s="1164"/>
      <c r="U161" s="1164"/>
      <c r="V161" s="1164"/>
      <c r="W161" s="1164"/>
      <c r="X161" s="1164"/>
      <c r="Y161" s="1164"/>
      <c r="Z161" s="1164"/>
      <c r="AA161" s="1164"/>
      <c r="AB161" s="1164"/>
      <c r="AC161" s="1164"/>
      <c r="AD161" s="1164"/>
      <c r="AE161" s="1164"/>
    </row>
    <row r="162" ht="15.75" customHeight="1">
      <c r="A162" s="852"/>
      <c r="B162" s="852"/>
      <c r="C162" s="1156"/>
      <c r="D162" s="1164"/>
      <c r="E162" s="1164"/>
      <c r="F162" s="1164"/>
      <c r="G162" s="1164"/>
      <c r="H162" s="1164"/>
      <c r="I162" s="1164"/>
      <c r="J162" s="1164"/>
      <c r="K162" s="1164"/>
      <c r="L162" s="1164"/>
      <c r="M162" s="1164"/>
      <c r="N162" s="1164"/>
      <c r="O162" s="1164"/>
      <c r="P162" s="1164"/>
      <c r="Q162" s="1164"/>
      <c r="R162" s="1164"/>
      <c r="S162" s="1164"/>
      <c r="T162" s="1164"/>
      <c r="U162" s="1164"/>
      <c r="V162" s="1164"/>
      <c r="W162" s="1164"/>
      <c r="X162" s="1164"/>
      <c r="Y162" s="1164"/>
      <c r="Z162" s="1164"/>
      <c r="AA162" s="1164"/>
      <c r="AB162" s="1164"/>
      <c r="AC162" s="1164"/>
      <c r="AD162" s="1164"/>
      <c r="AE162" s="1164"/>
    </row>
    <row r="163" ht="15.75" customHeight="1">
      <c r="A163" s="852"/>
      <c r="B163" s="852"/>
      <c r="C163" s="1156"/>
      <c r="D163" s="1164"/>
      <c r="E163" s="1164"/>
      <c r="F163" s="1164"/>
      <c r="G163" s="1164"/>
      <c r="H163" s="1164"/>
      <c r="I163" s="1164"/>
      <c r="J163" s="1164"/>
      <c r="K163" s="1164"/>
      <c r="L163" s="1164"/>
      <c r="M163" s="1164"/>
      <c r="N163" s="1164"/>
      <c r="O163" s="1164"/>
      <c r="P163" s="1164"/>
      <c r="Q163" s="1164"/>
      <c r="R163" s="1164"/>
      <c r="S163" s="1164"/>
      <c r="T163" s="1164"/>
      <c r="U163" s="1164"/>
      <c r="V163" s="1164"/>
      <c r="W163" s="1164"/>
      <c r="X163" s="1164"/>
      <c r="Y163" s="1164"/>
      <c r="Z163" s="1164"/>
      <c r="AA163" s="1164"/>
      <c r="AB163" s="1164"/>
      <c r="AC163" s="1164"/>
      <c r="AD163" s="1164"/>
      <c r="AE163" s="1164"/>
    </row>
    <row r="164" ht="15.75" customHeight="1">
      <c r="A164" s="852"/>
      <c r="B164" s="852"/>
      <c r="C164" s="1156"/>
      <c r="D164" s="1164"/>
      <c r="E164" s="1164"/>
      <c r="F164" s="1164"/>
      <c r="G164" s="1164"/>
      <c r="H164" s="1164"/>
      <c r="I164" s="1164"/>
      <c r="J164" s="1164"/>
      <c r="K164" s="1164"/>
      <c r="L164" s="1164"/>
      <c r="M164" s="1164"/>
      <c r="N164" s="1164"/>
      <c r="O164" s="1164"/>
      <c r="P164" s="1164"/>
      <c r="Q164" s="1164"/>
      <c r="R164" s="1164"/>
      <c r="S164" s="1164"/>
      <c r="T164" s="1164"/>
      <c r="U164" s="1164"/>
      <c r="V164" s="1164"/>
      <c r="W164" s="1164"/>
      <c r="X164" s="1164"/>
      <c r="Y164" s="1164"/>
      <c r="Z164" s="1164"/>
      <c r="AA164" s="1164"/>
      <c r="AB164" s="1164"/>
      <c r="AC164" s="1164"/>
      <c r="AD164" s="1164"/>
      <c r="AE164" s="1164"/>
    </row>
    <row r="165" ht="15.75" customHeight="1">
      <c r="A165" s="852"/>
      <c r="B165" s="852"/>
      <c r="C165" s="1156"/>
      <c r="D165" s="1164"/>
      <c r="E165" s="1164"/>
      <c r="F165" s="1164"/>
      <c r="G165" s="1164"/>
      <c r="H165" s="1164"/>
      <c r="I165" s="1164"/>
      <c r="J165" s="1164"/>
      <c r="K165" s="1164"/>
      <c r="L165" s="1164"/>
      <c r="M165" s="1164"/>
      <c r="N165" s="1164"/>
      <c r="O165" s="1164"/>
      <c r="P165" s="1164"/>
      <c r="Q165" s="1164"/>
      <c r="R165" s="1164"/>
      <c r="S165" s="1164"/>
      <c r="T165" s="1164"/>
      <c r="U165" s="1164"/>
      <c r="V165" s="1164"/>
      <c r="W165" s="1164"/>
      <c r="X165" s="1164"/>
      <c r="Y165" s="1164"/>
      <c r="Z165" s="1164"/>
      <c r="AA165" s="1164"/>
      <c r="AB165" s="1164"/>
      <c r="AC165" s="1164"/>
      <c r="AD165" s="1164"/>
      <c r="AE165" s="1164"/>
    </row>
    <row r="166" ht="15.75" customHeight="1">
      <c r="A166" s="852"/>
      <c r="B166" s="852"/>
      <c r="C166" s="1156"/>
      <c r="D166" s="1164"/>
      <c r="E166" s="1164"/>
      <c r="F166" s="1164"/>
      <c r="G166" s="1164"/>
      <c r="H166" s="1164"/>
      <c r="I166" s="1164"/>
      <c r="J166" s="1164"/>
      <c r="K166" s="1164"/>
      <c r="L166" s="1164"/>
      <c r="M166" s="1164"/>
      <c r="N166" s="1164"/>
      <c r="O166" s="1164"/>
      <c r="P166" s="1164"/>
      <c r="Q166" s="1164"/>
      <c r="R166" s="1164"/>
      <c r="S166" s="1164"/>
      <c r="T166" s="1164"/>
      <c r="U166" s="1164"/>
      <c r="V166" s="1164"/>
      <c r="W166" s="1164"/>
      <c r="X166" s="1164"/>
      <c r="Y166" s="1164"/>
      <c r="Z166" s="1164"/>
      <c r="AA166" s="1164"/>
      <c r="AB166" s="1164"/>
      <c r="AC166" s="1164"/>
      <c r="AD166" s="1164"/>
      <c r="AE166" s="1164"/>
    </row>
    <row r="167" ht="15.75" customHeight="1">
      <c r="A167" s="852"/>
      <c r="B167" s="852"/>
      <c r="C167" s="1156"/>
      <c r="D167" s="1164"/>
      <c r="E167" s="1164"/>
      <c r="F167" s="1164"/>
      <c r="G167" s="1164"/>
      <c r="H167" s="1164"/>
      <c r="I167" s="1164"/>
      <c r="J167" s="1164"/>
      <c r="K167" s="1164"/>
      <c r="L167" s="1164"/>
      <c r="M167" s="1164"/>
      <c r="N167" s="1164"/>
      <c r="O167" s="1164"/>
      <c r="P167" s="1164"/>
      <c r="Q167" s="1164"/>
      <c r="R167" s="1164"/>
      <c r="S167" s="1164"/>
      <c r="T167" s="1164"/>
      <c r="U167" s="1164"/>
      <c r="V167" s="1164"/>
      <c r="W167" s="1164"/>
      <c r="X167" s="1164"/>
      <c r="Y167" s="1164"/>
      <c r="Z167" s="1164"/>
      <c r="AA167" s="1164"/>
      <c r="AB167" s="1164"/>
      <c r="AC167" s="1164"/>
      <c r="AD167" s="1164"/>
      <c r="AE167" s="1164"/>
    </row>
    <row r="168" ht="15.75" customHeight="1">
      <c r="A168" s="852"/>
      <c r="B168" s="852"/>
      <c r="C168" s="1156"/>
      <c r="D168" s="1164"/>
      <c r="E168" s="1164"/>
      <c r="F168" s="1164"/>
      <c r="G168" s="1164"/>
      <c r="H168" s="1164"/>
      <c r="I168" s="1164"/>
      <c r="J168" s="1164"/>
      <c r="K168" s="1164"/>
      <c r="L168" s="1164"/>
      <c r="M168" s="1164"/>
      <c r="N168" s="1164"/>
      <c r="O168" s="1164"/>
      <c r="P168" s="1164"/>
      <c r="Q168" s="1164"/>
      <c r="R168" s="1164"/>
      <c r="S168" s="1164"/>
      <c r="T168" s="1164"/>
      <c r="U168" s="1164"/>
      <c r="V168" s="1164"/>
      <c r="W168" s="1164"/>
      <c r="X168" s="1164"/>
      <c r="Y168" s="1164"/>
      <c r="Z168" s="1164"/>
      <c r="AA168" s="1164"/>
      <c r="AB168" s="1164"/>
      <c r="AC168" s="1164"/>
      <c r="AD168" s="1164"/>
      <c r="AE168" s="1164"/>
    </row>
    <row r="169" ht="15.75" customHeight="1">
      <c r="A169" s="852"/>
      <c r="B169" s="852"/>
      <c r="C169" s="1156"/>
      <c r="D169" s="1164"/>
      <c r="E169" s="1164"/>
      <c r="F169" s="1164"/>
      <c r="G169" s="1164"/>
      <c r="H169" s="1164"/>
      <c r="I169" s="1164"/>
      <c r="J169" s="1164"/>
      <c r="K169" s="1164"/>
      <c r="L169" s="1164"/>
      <c r="M169" s="1164"/>
      <c r="N169" s="1164"/>
      <c r="O169" s="1164"/>
      <c r="P169" s="1164"/>
      <c r="Q169" s="1164"/>
      <c r="R169" s="1164"/>
      <c r="S169" s="1164"/>
      <c r="T169" s="1164"/>
      <c r="U169" s="1164"/>
      <c r="V169" s="1164"/>
      <c r="W169" s="1164"/>
      <c r="X169" s="1164"/>
      <c r="Y169" s="1164"/>
      <c r="Z169" s="1164"/>
      <c r="AA169" s="1164"/>
      <c r="AB169" s="1164"/>
      <c r="AC169" s="1164"/>
      <c r="AD169" s="1164"/>
      <c r="AE169" s="1164"/>
    </row>
    <row r="170" ht="15.75" customHeight="1">
      <c r="A170" s="852"/>
      <c r="B170" s="852"/>
      <c r="C170" s="1156"/>
      <c r="D170" s="1164"/>
      <c r="E170" s="1164"/>
      <c r="F170" s="1164"/>
      <c r="G170" s="1164"/>
      <c r="H170" s="1164"/>
      <c r="I170" s="1164"/>
      <c r="J170" s="1164"/>
      <c r="K170" s="1164"/>
      <c r="L170" s="1164"/>
      <c r="M170" s="1164"/>
      <c r="N170" s="1164"/>
      <c r="O170" s="1164"/>
      <c r="P170" s="1164"/>
      <c r="Q170" s="1164"/>
      <c r="R170" s="1164"/>
      <c r="S170" s="1164"/>
      <c r="T170" s="1164"/>
      <c r="U170" s="1164"/>
      <c r="V170" s="1164"/>
      <c r="W170" s="1164"/>
      <c r="X170" s="1164"/>
      <c r="Y170" s="1164"/>
      <c r="Z170" s="1164"/>
      <c r="AA170" s="1164"/>
      <c r="AB170" s="1164"/>
      <c r="AC170" s="1164"/>
      <c r="AD170" s="1164"/>
      <c r="AE170" s="1164"/>
    </row>
    <row r="171" ht="15.75" customHeight="1">
      <c r="A171" s="852"/>
      <c r="B171" s="852"/>
      <c r="C171" s="1156"/>
      <c r="D171" s="1164"/>
      <c r="E171" s="1164"/>
      <c r="F171" s="1164"/>
      <c r="G171" s="1164"/>
      <c r="H171" s="1164"/>
      <c r="I171" s="1164"/>
      <c r="J171" s="1164"/>
      <c r="K171" s="1164"/>
      <c r="L171" s="1164"/>
      <c r="M171" s="1164"/>
      <c r="N171" s="1164"/>
      <c r="O171" s="1164"/>
      <c r="P171" s="1164"/>
      <c r="Q171" s="1164"/>
      <c r="R171" s="1164"/>
      <c r="S171" s="1164"/>
      <c r="T171" s="1164"/>
      <c r="U171" s="1164"/>
      <c r="V171" s="1164"/>
      <c r="W171" s="1164"/>
      <c r="X171" s="1164"/>
      <c r="Y171" s="1164"/>
      <c r="Z171" s="1164"/>
      <c r="AA171" s="1164"/>
      <c r="AB171" s="1164"/>
      <c r="AC171" s="1164"/>
      <c r="AD171" s="1164"/>
      <c r="AE171" s="1164"/>
    </row>
    <row r="172" ht="15.75" customHeight="1">
      <c r="A172" s="852"/>
      <c r="B172" s="852"/>
      <c r="C172" s="1156"/>
      <c r="D172" s="1164"/>
      <c r="E172" s="1164"/>
      <c r="F172" s="1164"/>
      <c r="G172" s="1164"/>
      <c r="H172" s="1164"/>
      <c r="I172" s="1164"/>
      <c r="J172" s="1164"/>
      <c r="K172" s="1164"/>
      <c r="L172" s="1164"/>
      <c r="M172" s="1164"/>
      <c r="N172" s="1164"/>
      <c r="O172" s="1164"/>
      <c r="P172" s="1164"/>
      <c r="Q172" s="1164"/>
      <c r="R172" s="1164"/>
      <c r="S172" s="1164"/>
      <c r="T172" s="1164"/>
      <c r="U172" s="1164"/>
      <c r="V172" s="1164"/>
      <c r="W172" s="1164"/>
      <c r="X172" s="1164"/>
      <c r="Y172" s="1164"/>
      <c r="Z172" s="1164"/>
      <c r="AA172" s="1164"/>
      <c r="AB172" s="1164"/>
      <c r="AC172" s="1164"/>
      <c r="AD172" s="1164"/>
      <c r="AE172" s="1164"/>
    </row>
    <row r="173" ht="15.75" customHeight="1">
      <c r="A173" s="852"/>
      <c r="B173" s="852"/>
      <c r="C173" s="1156"/>
      <c r="D173" s="1164"/>
      <c r="E173" s="1164"/>
      <c r="F173" s="1164"/>
      <c r="G173" s="1164"/>
      <c r="H173" s="1164"/>
      <c r="I173" s="1164"/>
      <c r="J173" s="1164"/>
      <c r="K173" s="1164"/>
      <c r="L173" s="1164"/>
      <c r="M173" s="1164"/>
      <c r="N173" s="1164"/>
      <c r="O173" s="1164"/>
      <c r="P173" s="1164"/>
      <c r="Q173" s="1164"/>
      <c r="R173" s="1164"/>
      <c r="S173" s="1164"/>
      <c r="T173" s="1164"/>
      <c r="U173" s="1164"/>
      <c r="V173" s="1164"/>
      <c r="W173" s="1164"/>
      <c r="X173" s="1164"/>
      <c r="Y173" s="1164"/>
      <c r="Z173" s="1164"/>
      <c r="AA173" s="1164"/>
      <c r="AB173" s="1164"/>
      <c r="AC173" s="1164"/>
      <c r="AD173" s="1164"/>
      <c r="AE173" s="1164"/>
    </row>
    <row r="174" ht="15.75" customHeight="1">
      <c r="A174" s="852"/>
      <c r="B174" s="852"/>
      <c r="C174" s="1156"/>
      <c r="D174" s="1164"/>
      <c r="E174" s="1164"/>
      <c r="F174" s="1164"/>
      <c r="G174" s="1164"/>
      <c r="H174" s="1164"/>
      <c r="I174" s="1164"/>
      <c r="J174" s="1164"/>
      <c r="K174" s="1164"/>
      <c r="L174" s="1164"/>
      <c r="M174" s="1164"/>
      <c r="N174" s="1164"/>
      <c r="O174" s="1164"/>
      <c r="P174" s="1164"/>
      <c r="Q174" s="1164"/>
      <c r="R174" s="1164"/>
      <c r="S174" s="1164"/>
      <c r="T174" s="1164"/>
      <c r="U174" s="1164"/>
      <c r="V174" s="1164"/>
      <c r="W174" s="1164"/>
      <c r="X174" s="1164"/>
      <c r="Y174" s="1164"/>
      <c r="Z174" s="1164"/>
      <c r="AA174" s="1164"/>
      <c r="AB174" s="1164"/>
      <c r="AC174" s="1164"/>
      <c r="AD174" s="1164"/>
      <c r="AE174" s="1164"/>
    </row>
    <row r="175" ht="15.75" customHeight="1">
      <c r="A175" s="852"/>
      <c r="B175" s="852"/>
      <c r="C175" s="1156"/>
      <c r="D175" s="1164"/>
      <c r="E175" s="1164"/>
      <c r="F175" s="1164"/>
      <c r="G175" s="1164"/>
      <c r="H175" s="1164"/>
      <c r="I175" s="1164"/>
      <c r="J175" s="1164"/>
      <c r="K175" s="1164"/>
      <c r="L175" s="1164"/>
      <c r="M175" s="1164"/>
      <c r="N175" s="1164"/>
      <c r="O175" s="1164"/>
      <c r="P175" s="1164"/>
      <c r="Q175" s="1164"/>
      <c r="R175" s="1164"/>
      <c r="S175" s="1164"/>
      <c r="T175" s="1164"/>
      <c r="U175" s="1164"/>
      <c r="V175" s="1164"/>
      <c r="W175" s="1164"/>
      <c r="X175" s="1164"/>
      <c r="Y175" s="1164"/>
      <c r="Z175" s="1164"/>
      <c r="AA175" s="1164"/>
      <c r="AB175" s="1164"/>
      <c r="AC175" s="1164"/>
      <c r="AD175" s="1164"/>
      <c r="AE175" s="1164"/>
    </row>
    <row r="176" ht="15.75" customHeight="1">
      <c r="A176" s="852"/>
      <c r="B176" s="852"/>
      <c r="C176" s="1156"/>
      <c r="D176" s="1164"/>
      <c r="E176" s="1164"/>
      <c r="F176" s="1164"/>
      <c r="G176" s="1164"/>
      <c r="H176" s="1164"/>
      <c r="I176" s="1164"/>
      <c r="J176" s="1164"/>
      <c r="K176" s="1164"/>
      <c r="L176" s="1164"/>
      <c r="M176" s="1164"/>
      <c r="N176" s="1164"/>
      <c r="O176" s="1164"/>
      <c r="P176" s="1164"/>
      <c r="Q176" s="1164"/>
      <c r="R176" s="1164"/>
      <c r="S176" s="1164"/>
      <c r="T176" s="1164"/>
      <c r="U176" s="1164"/>
      <c r="V176" s="1164"/>
      <c r="W176" s="1164"/>
      <c r="X176" s="1164"/>
      <c r="Y176" s="1164"/>
      <c r="Z176" s="1164"/>
      <c r="AA176" s="1164"/>
      <c r="AB176" s="1164"/>
      <c r="AC176" s="1164"/>
      <c r="AD176" s="1164"/>
      <c r="AE176" s="1164"/>
    </row>
    <row r="177" ht="15.75" customHeight="1">
      <c r="A177" s="852"/>
      <c r="B177" s="852"/>
      <c r="C177" s="1156"/>
      <c r="D177" s="1164"/>
      <c r="E177" s="1164"/>
      <c r="F177" s="1164"/>
      <c r="G177" s="1164"/>
      <c r="H177" s="1164"/>
      <c r="I177" s="1164"/>
      <c r="J177" s="1164"/>
      <c r="K177" s="1164"/>
      <c r="L177" s="1164"/>
      <c r="M177" s="1164"/>
      <c r="N177" s="1164"/>
      <c r="O177" s="1164"/>
      <c r="P177" s="1164"/>
      <c r="Q177" s="1164"/>
      <c r="R177" s="1164"/>
      <c r="S177" s="1164"/>
      <c r="T177" s="1164"/>
      <c r="U177" s="1164"/>
      <c r="V177" s="1164"/>
      <c r="W177" s="1164"/>
      <c r="X177" s="1164"/>
      <c r="Y177" s="1164"/>
      <c r="Z177" s="1164"/>
      <c r="AA177" s="1164"/>
      <c r="AB177" s="1164"/>
      <c r="AC177" s="1164"/>
      <c r="AD177" s="1164"/>
      <c r="AE177" s="1164"/>
    </row>
    <row r="178" ht="15.75" customHeight="1">
      <c r="A178" s="852"/>
      <c r="B178" s="852"/>
      <c r="C178" s="1156"/>
      <c r="D178" s="1164"/>
      <c r="E178" s="1164"/>
      <c r="F178" s="1164"/>
      <c r="G178" s="1164"/>
      <c r="H178" s="1164"/>
      <c r="I178" s="1164"/>
      <c r="J178" s="1164"/>
      <c r="K178" s="1164"/>
      <c r="L178" s="1164"/>
      <c r="M178" s="1164"/>
      <c r="N178" s="1164"/>
      <c r="O178" s="1164"/>
      <c r="P178" s="1164"/>
      <c r="Q178" s="1164"/>
      <c r="R178" s="1164"/>
      <c r="S178" s="1164"/>
      <c r="T178" s="1164"/>
      <c r="U178" s="1164"/>
      <c r="V178" s="1164"/>
      <c r="W178" s="1164"/>
      <c r="X178" s="1164"/>
      <c r="Y178" s="1164"/>
      <c r="Z178" s="1164"/>
      <c r="AA178" s="1164"/>
      <c r="AB178" s="1164"/>
      <c r="AC178" s="1164"/>
      <c r="AD178" s="1164"/>
      <c r="AE178" s="1164"/>
    </row>
    <row r="179" ht="15.75" customHeight="1">
      <c r="A179" s="852"/>
      <c r="B179" s="852"/>
      <c r="C179" s="1156"/>
      <c r="D179" s="1164"/>
      <c r="E179" s="1164"/>
      <c r="F179" s="1164"/>
      <c r="G179" s="1164"/>
      <c r="H179" s="1164"/>
      <c r="I179" s="1164"/>
      <c r="J179" s="1164"/>
      <c r="K179" s="1164"/>
      <c r="L179" s="1164"/>
      <c r="M179" s="1164"/>
      <c r="N179" s="1164"/>
      <c r="O179" s="1164"/>
      <c r="P179" s="1164"/>
      <c r="Q179" s="1164"/>
      <c r="R179" s="1164"/>
      <c r="S179" s="1164"/>
      <c r="T179" s="1164"/>
      <c r="U179" s="1164"/>
      <c r="V179" s="1164"/>
      <c r="W179" s="1164"/>
      <c r="X179" s="1164"/>
      <c r="Y179" s="1164"/>
      <c r="Z179" s="1164"/>
      <c r="AA179" s="1164"/>
      <c r="AB179" s="1164"/>
      <c r="AC179" s="1164"/>
      <c r="AD179" s="1164"/>
      <c r="AE179" s="1164"/>
    </row>
    <row r="180" ht="15.75" customHeight="1">
      <c r="A180" s="852"/>
      <c r="B180" s="852"/>
      <c r="C180" s="1156"/>
      <c r="D180" s="1164"/>
      <c r="E180" s="1164"/>
      <c r="F180" s="1164"/>
      <c r="G180" s="1164"/>
      <c r="H180" s="1164"/>
      <c r="I180" s="1164"/>
      <c r="J180" s="1164"/>
      <c r="K180" s="1164"/>
      <c r="L180" s="1164"/>
      <c r="M180" s="1164"/>
      <c r="N180" s="1164"/>
      <c r="O180" s="1164"/>
      <c r="P180" s="1164"/>
      <c r="Q180" s="1164"/>
      <c r="R180" s="1164"/>
      <c r="S180" s="1164"/>
      <c r="T180" s="1164"/>
      <c r="U180" s="1164"/>
      <c r="V180" s="1164"/>
      <c r="W180" s="1164"/>
      <c r="X180" s="1164"/>
      <c r="Y180" s="1164"/>
      <c r="Z180" s="1164"/>
      <c r="AA180" s="1164"/>
      <c r="AB180" s="1164"/>
      <c r="AC180" s="1164"/>
      <c r="AD180" s="1164"/>
      <c r="AE180" s="1164"/>
    </row>
    <row r="181" ht="15.75" customHeight="1">
      <c r="A181" s="852"/>
      <c r="B181" s="852"/>
      <c r="C181" s="1156"/>
      <c r="D181" s="1164"/>
      <c r="E181" s="1164"/>
      <c r="F181" s="1164"/>
      <c r="G181" s="1164"/>
      <c r="H181" s="1164"/>
      <c r="I181" s="1164"/>
      <c r="J181" s="1164"/>
      <c r="K181" s="1164"/>
      <c r="L181" s="1164"/>
      <c r="M181" s="1164"/>
      <c r="N181" s="1164"/>
      <c r="O181" s="1164"/>
      <c r="P181" s="1164"/>
      <c r="Q181" s="1164"/>
      <c r="R181" s="1164"/>
      <c r="S181" s="1164"/>
      <c r="T181" s="1164"/>
      <c r="U181" s="1164"/>
      <c r="V181" s="1164"/>
      <c r="W181" s="1164"/>
      <c r="X181" s="1164"/>
      <c r="Y181" s="1164"/>
      <c r="Z181" s="1164"/>
      <c r="AA181" s="1164"/>
      <c r="AB181" s="1164"/>
      <c r="AC181" s="1164"/>
      <c r="AD181" s="1164"/>
      <c r="AE181" s="1164"/>
    </row>
    <row r="182" ht="15.75" customHeight="1">
      <c r="A182" s="852"/>
      <c r="B182" s="852"/>
      <c r="C182" s="1156"/>
      <c r="D182" s="1164"/>
      <c r="E182" s="1164"/>
      <c r="F182" s="1164"/>
      <c r="G182" s="1164"/>
      <c r="H182" s="1164"/>
      <c r="I182" s="1164"/>
      <c r="J182" s="1164"/>
      <c r="K182" s="1164"/>
      <c r="L182" s="1164"/>
      <c r="M182" s="1164"/>
      <c r="N182" s="1164"/>
      <c r="O182" s="1164"/>
      <c r="P182" s="1164"/>
      <c r="Q182" s="1164"/>
      <c r="R182" s="1164"/>
      <c r="S182" s="1164"/>
      <c r="T182" s="1164"/>
      <c r="U182" s="1164"/>
      <c r="V182" s="1164"/>
      <c r="W182" s="1164"/>
      <c r="X182" s="1164"/>
      <c r="Y182" s="1164"/>
      <c r="Z182" s="1164"/>
      <c r="AA182" s="1164"/>
      <c r="AB182" s="1164"/>
      <c r="AC182" s="1164"/>
      <c r="AD182" s="1164"/>
      <c r="AE182" s="1164"/>
    </row>
    <row r="183" ht="15.75" customHeight="1">
      <c r="A183" s="852"/>
      <c r="B183" s="852"/>
      <c r="C183" s="1156"/>
      <c r="D183" s="1164"/>
      <c r="E183" s="1164"/>
      <c r="F183" s="1164"/>
      <c r="G183" s="1164"/>
      <c r="H183" s="1164"/>
      <c r="I183" s="1164"/>
      <c r="J183" s="1164"/>
      <c r="K183" s="1164"/>
      <c r="L183" s="1164"/>
      <c r="M183" s="1164"/>
      <c r="N183" s="1164"/>
      <c r="O183" s="1164"/>
      <c r="P183" s="1164"/>
      <c r="Q183" s="1164"/>
      <c r="R183" s="1164"/>
      <c r="S183" s="1164"/>
      <c r="T183" s="1164"/>
      <c r="U183" s="1164"/>
      <c r="V183" s="1164"/>
      <c r="W183" s="1164"/>
      <c r="X183" s="1164"/>
      <c r="Y183" s="1164"/>
      <c r="Z183" s="1164"/>
      <c r="AA183" s="1164"/>
      <c r="AB183" s="1164"/>
      <c r="AC183" s="1164"/>
      <c r="AD183" s="1164"/>
      <c r="AE183" s="1164"/>
    </row>
    <row r="184" ht="15.75" customHeight="1">
      <c r="A184" s="852"/>
      <c r="B184" s="852"/>
      <c r="C184" s="1156"/>
      <c r="D184" s="1164"/>
      <c r="E184" s="1164"/>
      <c r="F184" s="1164"/>
      <c r="G184" s="1164"/>
      <c r="H184" s="1164"/>
      <c r="I184" s="1164"/>
      <c r="J184" s="1164"/>
      <c r="K184" s="1164"/>
      <c r="L184" s="1164"/>
      <c r="M184" s="1164"/>
      <c r="N184" s="1164"/>
      <c r="O184" s="1164"/>
      <c r="P184" s="1164"/>
      <c r="Q184" s="1164"/>
      <c r="R184" s="1164"/>
      <c r="S184" s="1164"/>
      <c r="T184" s="1164"/>
      <c r="U184" s="1164"/>
      <c r="V184" s="1164"/>
      <c r="W184" s="1164"/>
      <c r="X184" s="1164"/>
      <c r="Y184" s="1164"/>
      <c r="Z184" s="1164"/>
      <c r="AA184" s="1164"/>
      <c r="AB184" s="1164"/>
      <c r="AC184" s="1164"/>
      <c r="AD184" s="1164"/>
      <c r="AE184" s="1164"/>
    </row>
    <row r="185" ht="15.75" customHeight="1">
      <c r="A185" s="852"/>
      <c r="B185" s="852"/>
      <c r="C185" s="1156"/>
      <c r="D185" s="1164"/>
      <c r="E185" s="1164"/>
      <c r="F185" s="1164"/>
      <c r="G185" s="1164"/>
      <c r="H185" s="1164"/>
      <c r="I185" s="1164"/>
      <c r="J185" s="1164"/>
      <c r="K185" s="1164"/>
      <c r="L185" s="1164"/>
      <c r="M185" s="1164"/>
      <c r="N185" s="1164"/>
      <c r="O185" s="1164"/>
      <c r="P185" s="1164"/>
      <c r="Q185" s="1164"/>
      <c r="R185" s="1164"/>
      <c r="S185" s="1164"/>
      <c r="T185" s="1164"/>
      <c r="U185" s="1164"/>
      <c r="V185" s="1164"/>
      <c r="W185" s="1164"/>
      <c r="X185" s="1164"/>
      <c r="Y185" s="1164"/>
      <c r="Z185" s="1164"/>
      <c r="AA185" s="1164"/>
      <c r="AB185" s="1164"/>
      <c r="AC185" s="1164"/>
      <c r="AD185" s="1164"/>
      <c r="AE185" s="1164"/>
    </row>
    <row r="186" ht="15.75" customHeight="1">
      <c r="A186" s="852"/>
      <c r="B186" s="852"/>
      <c r="C186" s="1156"/>
      <c r="D186" s="1164"/>
      <c r="E186" s="1164"/>
      <c r="F186" s="1164"/>
      <c r="G186" s="1164"/>
      <c r="H186" s="1164"/>
      <c r="I186" s="1164"/>
      <c r="J186" s="1164"/>
      <c r="K186" s="1164"/>
      <c r="L186" s="1164"/>
      <c r="M186" s="1164"/>
      <c r="N186" s="1164"/>
      <c r="O186" s="1164"/>
      <c r="P186" s="1164"/>
      <c r="Q186" s="1164"/>
      <c r="R186" s="1164"/>
      <c r="S186" s="1164"/>
      <c r="T186" s="1164"/>
      <c r="U186" s="1164"/>
      <c r="V186" s="1164"/>
      <c r="W186" s="1164"/>
      <c r="X186" s="1164"/>
      <c r="Y186" s="1164"/>
      <c r="Z186" s="1164"/>
      <c r="AA186" s="1164"/>
      <c r="AB186" s="1164"/>
      <c r="AC186" s="1164"/>
      <c r="AD186" s="1164"/>
      <c r="AE186" s="1164"/>
    </row>
    <row r="187" ht="15.75" customHeight="1">
      <c r="A187" s="852"/>
      <c r="B187" s="852"/>
      <c r="C187" s="1156"/>
      <c r="D187" s="1164"/>
      <c r="E187" s="1164"/>
      <c r="F187" s="1164"/>
      <c r="G187" s="1164"/>
      <c r="H187" s="1164"/>
      <c r="I187" s="1164"/>
      <c r="J187" s="1164"/>
      <c r="K187" s="1164"/>
      <c r="L187" s="1164"/>
      <c r="M187" s="1164"/>
      <c r="N187" s="1164"/>
      <c r="O187" s="1164"/>
      <c r="P187" s="1164"/>
      <c r="Q187" s="1164"/>
      <c r="R187" s="1164"/>
      <c r="S187" s="1164"/>
      <c r="T187" s="1164"/>
      <c r="U187" s="1164"/>
      <c r="V187" s="1164"/>
      <c r="W187" s="1164"/>
      <c r="X187" s="1164"/>
      <c r="Y187" s="1164"/>
      <c r="Z187" s="1164"/>
      <c r="AA187" s="1164"/>
      <c r="AB187" s="1164"/>
      <c r="AC187" s="1164"/>
      <c r="AD187" s="1164"/>
      <c r="AE187" s="1164"/>
    </row>
    <row r="188" ht="15.75" customHeight="1">
      <c r="A188" s="852"/>
      <c r="B188" s="852"/>
      <c r="C188" s="1156"/>
      <c r="D188" s="1164"/>
      <c r="E188" s="1164"/>
      <c r="F188" s="1164"/>
      <c r="G188" s="1164"/>
      <c r="H188" s="1164"/>
      <c r="I188" s="1164"/>
      <c r="J188" s="1164"/>
      <c r="K188" s="1164"/>
      <c r="L188" s="1164"/>
      <c r="M188" s="1164"/>
      <c r="N188" s="1164"/>
      <c r="O188" s="1164"/>
      <c r="P188" s="1164"/>
      <c r="Q188" s="1164"/>
      <c r="R188" s="1164"/>
      <c r="S188" s="1164"/>
      <c r="T188" s="1164"/>
      <c r="U188" s="1164"/>
      <c r="V188" s="1164"/>
      <c r="W188" s="1164"/>
      <c r="X188" s="1164"/>
      <c r="Y188" s="1164"/>
      <c r="Z188" s="1164"/>
      <c r="AA188" s="1164"/>
      <c r="AB188" s="1164"/>
      <c r="AC188" s="1164"/>
      <c r="AD188" s="1164"/>
      <c r="AE188" s="1164"/>
    </row>
    <row r="189" ht="15.75" customHeight="1">
      <c r="A189" s="852"/>
      <c r="B189" s="852"/>
      <c r="C189" s="1156"/>
      <c r="D189" s="1164"/>
      <c r="E189" s="1164"/>
      <c r="F189" s="1164"/>
      <c r="G189" s="1164"/>
      <c r="H189" s="1164"/>
      <c r="I189" s="1164"/>
      <c r="J189" s="1164"/>
      <c r="K189" s="1164"/>
      <c r="L189" s="1164"/>
      <c r="M189" s="1164"/>
      <c r="N189" s="1164"/>
      <c r="O189" s="1164"/>
      <c r="P189" s="1164"/>
      <c r="Q189" s="1164"/>
      <c r="R189" s="1164"/>
      <c r="S189" s="1164"/>
      <c r="T189" s="1164"/>
      <c r="U189" s="1164"/>
      <c r="V189" s="1164"/>
      <c r="W189" s="1164"/>
      <c r="X189" s="1164"/>
      <c r="Y189" s="1164"/>
      <c r="Z189" s="1164"/>
      <c r="AA189" s="1164"/>
      <c r="AB189" s="1164"/>
      <c r="AC189" s="1164"/>
      <c r="AD189" s="1164"/>
      <c r="AE189" s="1164"/>
    </row>
    <row r="190" ht="15.75" customHeight="1">
      <c r="A190" s="852"/>
      <c r="B190" s="852"/>
      <c r="C190" s="1156"/>
      <c r="D190" s="1164"/>
      <c r="E190" s="1164"/>
      <c r="F190" s="1164"/>
      <c r="G190" s="1164"/>
      <c r="H190" s="1164"/>
      <c r="I190" s="1164"/>
      <c r="J190" s="1164"/>
      <c r="K190" s="1164"/>
      <c r="L190" s="1164"/>
      <c r="M190" s="1164"/>
      <c r="N190" s="1164"/>
      <c r="O190" s="1164"/>
      <c r="P190" s="1164"/>
      <c r="Q190" s="1164"/>
      <c r="R190" s="1164"/>
      <c r="S190" s="1164"/>
      <c r="T190" s="1164"/>
      <c r="U190" s="1164"/>
      <c r="V190" s="1164"/>
      <c r="W190" s="1164"/>
      <c r="X190" s="1164"/>
      <c r="Y190" s="1164"/>
      <c r="Z190" s="1164"/>
      <c r="AA190" s="1164"/>
      <c r="AB190" s="1164"/>
      <c r="AC190" s="1164"/>
      <c r="AD190" s="1164"/>
      <c r="AE190" s="1164"/>
    </row>
    <row r="191" ht="15.75" customHeight="1">
      <c r="A191" s="852"/>
      <c r="B191" s="852"/>
      <c r="C191" s="1156"/>
      <c r="D191" s="1164"/>
      <c r="E191" s="1164"/>
      <c r="F191" s="1164"/>
      <c r="G191" s="1164"/>
      <c r="H191" s="1164"/>
      <c r="I191" s="1164"/>
      <c r="J191" s="1164"/>
      <c r="K191" s="1164"/>
      <c r="L191" s="1164"/>
      <c r="M191" s="1164"/>
      <c r="N191" s="1164"/>
      <c r="O191" s="1164"/>
      <c r="P191" s="1164"/>
      <c r="Q191" s="1164"/>
      <c r="R191" s="1164"/>
      <c r="S191" s="1164"/>
      <c r="T191" s="1164"/>
      <c r="U191" s="1164"/>
      <c r="V191" s="1164"/>
      <c r="W191" s="1164"/>
      <c r="X191" s="1164"/>
      <c r="Y191" s="1164"/>
      <c r="Z191" s="1164"/>
      <c r="AA191" s="1164"/>
      <c r="AB191" s="1164"/>
      <c r="AC191" s="1164"/>
      <c r="AD191" s="1164"/>
      <c r="AE191" s="1164"/>
    </row>
    <row r="192" ht="15.75" customHeight="1">
      <c r="A192" s="852"/>
      <c r="B192" s="852"/>
      <c r="C192" s="1156"/>
      <c r="D192" s="1164"/>
      <c r="E192" s="1164"/>
      <c r="F192" s="1164"/>
      <c r="G192" s="1164"/>
      <c r="H192" s="1164"/>
      <c r="I192" s="1164"/>
      <c r="J192" s="1164"/>
      <c r="K192" s="1164"/>
      <c r="L192" s="1164"/>
      <c r="M192" s="1164"/>
      <c r="N192" s="1164"/>
      <c r="O192" s="1164"/>
      <c r="P192" s="1164"/>
      <c r="Q192" s="1164"/>
      <c r="R192" s="1164"/>
      <c r="S192" s="1164"/>
      <c r="T192" s="1164"/>
      <c r="U192" s="1164"/>
      <c r="V192" s="1164"/>
      <c r="W192" s="1164"/>
      <c r="X192" s="1164"/>
      <c r="Y192" s="1164"/>
      <c r="Z192" s="1164"/>
      <c r="AA192" s="1164"/>
      <c r="AB192" s="1164"/>
      <c r="AC192" s="1164"/>
      <c r="AD192" s="1164"/>
      <c r="AE192" s="1164"/>
    </row>
    <row r="193" ht="15.75" customHeight="1">
      <c r="A193" s="852"/>
      <c r="B193" s="852"/>
      <c r="C193" s="1156"/>
      <c r="D193" s="1164"/>
      <c r="E193" s="1164"/>
      <c r="F193" s="1164"/>
      <c r="G193" s="1164"/>
      <c r="H193" s="1164"/>
      <c r="I193" s="1164"/>
      <c r="J193" s="1164"/>
      <c r="K193" s="1164"/>
      <c r="L193" s="1164"/>
      <c r="M193" s="1164"/>
      <c r="N193" s="1164"/>
      <c r="O193" s="1164"/>
      <c r="P193" s="1164"/>
      <c r="Q193" s="1164"/>
      <c r="R193" s="1164"/>
      <c r="S193" s="1164"/>
      <c r="T193" s="1164"/>
      <c r="U193" s="1164"/>
      <c r="V193" s="1164"/>
      <c r="W193" s="1164"/>
      <c r="X193" s="1164"/>
      <c r="Y193" s="1164"/>
      <c r="Z193" s="1164"/>
      <c r="AA193" s="1164"/>
      <c r="AB193" s="1164"/>
      <c r="AC193" s="1164"/>
      <c r="AD193" s="1164"/>
      <c r="AE193" s="1164"/>
    </row>
    <row r="194" ht="15.75" customHeight="1">
      <c r="A194" s="852"/>
      <c r="B194" s="852"/>
      <c r="C194" s="1156"/>
      <c r="D194" s="1164"/>
      <c r="E194" s="1164"/>
      <c r="F194" s="1164"/>
      <c r="G194" s="1164"/>
      <c r="H194" s="1164"/>
      <c r="I194" s="1164"/>
      <c r="J194" s="1164"/>
      <c r="K194" s="1164"/>
      <c r="L194" s="1164"/>
      <c r="M194" s="1164"/>
      <c r="N194" s="1164"/>
      <c r="O194" s="1164"/>
      <c r="P194" s="1164"/>
      <c r="Q194" s="1164"/>
      <c r="R194" s="1164"/>
      <c r="S194" s="1164"/>
      <c r="T194" s="1164"/>
      <c r="U194" s="1164"/>
      <c r="V194" s="1164"/>
      <c r="W194" s="1164"/>
      <c r="X194" s="1164"/>
      <c r="Y194" s="1164"/>
      <c r="Z194" s="1164"/>
      <c r="AA194" s="1164"/>
      <c r="AB194" s="1164"/>
      <c r="AC194" s="1164"/>
      <c r="AD194" s="1164"/>
      <c r="AE194" s="1164"/>
    </row>
    <row r="195" ht="15.75" customHeight="1">
      <c r="A195" s="852"/>
      <c r="B195" s="852"/>
      <c r="C195" s="1156"/>
      <c r="D195" s="1164"/>
      <c r="E195" s="1164"/>
      <c r="F195" s="1164"/>
      <c r="G195" s="1164"/>
      <c r="H195" s="1164"/>
      <c r="I195" s="1164"/>
      <c r="J195" s="1164"/>
      <c r="K195" s="1164"/>
      <c r="L195" s="1164"/>
      <c r="M195" s="1164"/>
      <c r="N195" s="1164"/>
      <c r="O195" s="1164"/>
      <c r="P195" s="1164"/>
      <c r="Q195" s="1164"/>
      <c r="R195" s="1164"/>
      <c r="S195" s="1164"/>
      <c r="T195" s="1164"/>
      <c r="U195" s="1164"/>
      <c r="V195" s="1164"/>
      <c r="W195" s="1164"/>
      <c r="X195" s="1164"/>
      <c r="Y195" s="1164"/>
      <c r="Z195" s="1164"/>
      <c r="AA195" s="1164"/>
      <c r="AB195" s="1164"/>
      <c r="AC195" s="1164"/>
      <c r="AD195" s="1164"/>
      <c r="AE195" s="1164"/>
    </row>
    <row r="196" ht="15.75" customHeight="1">
      <c r="A196" s="852"/>
      <c r="B196" s="852"/>
      <c r="C196" s="1156"/>
      <c r="D196" s="1164"/>
      <c r="E196" s="1164"/>
      <c r="F196" s="1164"/>
      <c r="G196" s="1164"/>
      <c r="H196" s="1164"/>
      <c r="I196" s="1164"/>
      <c r="J196" s="1164"/>
      <c r="K196" s="1164"/>
      <c r="L196" s="1164"/>
      <c r="M196" s="1164"/>
      <c r="N196" s="1164"/>
      <c r="O196" s="1164"/>
      <c r="P196" s="1164"/>
      <c r="Q196" s="1164"/>
      <c r="R196" s="1164"/>
      <c r="S196" s="1164"/>
      <c r="T196" s="1164"/>
      <c r="U196" s="1164"/>
      <c r="V196" s="1164"/>
      <c r="W196" s="1164"/>
      <c r="X196" s="1164"/>
      <c r="Y196" s="1164"/>
      <c r="Z196" s="1164"/>
      <c r="AA196" s="1164"/>
      <c r="AB196" s="1164"/>
      <c r="AC196" s="1164"/>
      <c r="AD196" s="1164"/>
      <c r="AE196" s="1164"/>
    </row>
    <row r="197" ht="15.75" customHeight="1">
      <c r="A197" s="852"/>
      <c r="B197" s="852"/>
      <c r="C197" s="1156"/>
      <c r="D197" s="1164"/>
      <c r="E197" s="1164"/>
      <c r="F197" s="1164"/>
      <c r="G197" s="1164"/>
      <c r="H197" s="1164"/>
      <c r="I197" s="1164"/>
      <c r="J197" s="1164"/>
      <c r="K197" s="1164"/>
      <c r="L197" s="1164"/>
      <c r="M197" s="1164"/>
      <c r="N197" s="1164"/>
      <c r="O197" s="1164"/>
      <c r="P197" s="1164"/>
      <c r="Q197" s="1164"/>
      <c r="R197" s="1164"/>
      <c r="S197" s="1164"/>
      <c r="T197" s="1164"/>
      <c r="U197" s="1164"/>
      <c r="V197" s="1164"/>
      <c r="W197" s="1164"/>
      <c r="X197" s="1164"/>
      <c r="Y197" s="1164"/>
      <c r="Z197" s="1164"/>
      <c r="AA197" s="1164"/>
      <c r="AB197" s="1164"/>
      <c r="AC197" s="1164"/>
      <c r="AD197" s="1164"/>
      <c r="AE197" s="1164"/>
    </row>
    <row r="198" ht="15.75" customHeight="1">
      <c r="A198" s="852"/>
      <c r="B198" s="852"/>
      <c r="C198" s="1156"/>
      <c r="D198" s="1164"/>
      <c r="E198" s="1164"/>
      <c r="F198" s="1164"/>
      <c r="G198" s="1164"/>
      <c r="H198" s="1164"/>
      <c r="I198" s="1164"/>
      <c r="J198" s="1164"/>
      <c r="K198" s="1164"/>
      <c r="L198" s="1164"/>
      <c r="M198" s="1164"/>
      <c r="N198" s="1164"/>
      <c r="O198" s="1164"/>
      <c r="P198" s="1164"/>
      <c r="Q198" s="1164"/>
      <c r="R198" s="1164"/>
      <c r="S198" s="1164"/>
      <c r="T198" s="1164"/>
      <c r="U198" s="1164"/>
      <c r="V198" s="1164"/>
      <c r="W198" s="1164"/>
      <c r="X198" s="1164"/>
      <c r="Y198" s="1164"/>
      <c r="Z198" s="1164"/>
      <c r="AA198" s="1164"/>
      <c r="AB198" s="1164"/>
      <c r="AC198" s="1164"/>
      <c r="AD198" s="1164"/>
      <c r="AE198" s="1164"/>
    </row>
    <row r="199" ht="15.75" customHeight="1">
      <c r="A199" s="852"/>
      <c r="B199" s="852"/>
      <c r="C199" s="1156"/>
      <c r="D199" s="1164"/>
      <c r="E199" s="1164"/>
      <c r="F199" s="1164"/>
      <c r="G199" s="1164"/>
      <c r="H199" s="1164"/>
      <c r="I199" s="1164"/>
      <c r="J199" s="1164"/>
      <c r="K199" s="1164"/>
      <c r="L199" s="1164"/>
      <c r="M199" s="1164"/>
      <c r="N199" s="1164"/>
      <c r="O199" s="1164"/>
      <c r="P199" s="1164"/>
      <c r="Q199" s="1164"/>
      <c r="R199" s="1164"/>
      <c r="S199" s="1164"/>
      <c r="T199" s="1164"/>
      <c r="U199" s="1164"/>
      <c r="V199" s="1164"/>
      <c r="W199" s="1164"/>
      <c r="X199" s="1164"/>
      <c r="Y199" s="1164"/>
      <c r="Z199" s="1164"/>
      <c r="AA199" s="1164"/>
      <c r="AB199" s="1164"/>
      <c r="AC199" s="1164"/>
      <c r="AD199" s="1164"/>
      <c r="AE199" s="1164"/>
    </row>
    <row r="200" ht="15.75" customHeight="1">
      <c r="A200" s="852"/>
      <c r="B200" s="852"/>
      <c r="C200" s="1156"/>
      <c r="D200" s="1164"/>
      <c r="E200" s="1164"/>
      <c r="F200" s="1164"/>
      <c r="G200" s="1164"/>
      <c r="H200" s="1164"/>
      <c r="I200" s="1164"/>
      <c r="J200" s="1164"/>
      <c r="K200" s="1164"/>
      <c r="L200" s="1164"/>
      <c r="M200" s="1164"/>
      <c r="N200" s="1164"/>
      <c r="O200" s="1164"/>
      <c r="P200" s="1164"/>
      <c r="Q200" s="1164"/>
      <c r="R200" s="1164"/>
      <c r="S200" s="1164"/>
      <c r="T200" s="1164"/>
      <c r="U200" s="1164"/>
      <c r="V200" s="1164"/>
      <c r="W200" s="1164"/>
      <c r="X200" s="1164"/>
      <c r="Y200" s="1164"/>
      <c r="Z200" s="1164"/>
      <c r="AA200" s="1164"/>
      <c r="AB200" s="1164"/>
      <c r="AC200" s="1164"/>
      <c r="AD200" s="1164"/>
      <c r="AE200" s="1164"/>
    </row>
    <row r="201" ht="15.75" customHeight="1">
      <c r="A201" s="852"/>
      <c r="B201" s="852"/>
      <c r="C201" s="1156"/>
      <c r="D201" s="1164"/>
      <c r="E201" s="1164"/>
      <c r="F201" s="1164"/>
      <c r="G201" s="1164"/>
      <c r="H201" s="1164"/>
      <c r="I201" s="1164"/>
      <c r="J201" s="1164"/>
      <c r="K201" s="1164"/>
      <c r="L201" s="1164"/>
      <c r="M201" s="1164"/>
      <c r="N201" s="1164"/>
      <c r="O201" s="1164"/>
      <c r="P201" s="1164"/>
      <c r="Q201" s="1164"/>
      <c r="R201" s="1164"/>
      <c r="S201" s="1164"/>
      <c r="T201" s="1164"/>
      <c r="U201" s="1164"/>
      <c r="V201" s="1164"/>
      <c r="W201" s="1164"/>
      <c r="X201" s="1164"/>
      <c r="Y201" s="1164"/>
      <c r="Z201" s="1164"/>
      <c r="AA201" s="1164"/>
      <c r="AB201" s="1164"/>
      <c r="AC201" s="1164"/>
      <c r="AD201" s="1164"/>
      <c r="AE201" s="1164"/>
    </row>
    <row r="202" ht="15.75" customHeight="1">
      <c r="A202" s="852"/>
      <c r="B202" s="852"/>
      <c r="C202" s="1156"/>
      <c r="D202" s="1164"/>
      <c r="E202" s="1164"/>
      <c r="F202" s="1164"/>
      <c r="G202" s="1164"/>
      <c r="H202" s="1164"/>
      <c r="I202" s="1164"/>
      <c r="J202" s="1164"/>
      <c r="K202" s="1164"/>
      <c r="L202" s="1164"/>
      <c r="M202" s="1164"/>
      <c r="N202" s="1164"/>
      <c r="O202" s="1164"/>
      <c r="P202" s="1164"/>
      <c r="Q202" s="1164"/>
      <c r="R202" s="1164"/>
      <c r="S202" s="1164"/>
      <c r="T202" s="1164"/>
      <c r="U202" s="1164"/>
      <c r="V202" s="1164"/>
      <c r="W202" s="1164"/>
      <c r="X202" s="1164"/>
      <c r="Y202" s="1164"/>
      <c r="Z202" s="1164"/>
      <c r="AA202" s="1164"/>
      <c r="AB202" s="1164"/>
      <c r="AC202" s="1164"/>
      <c r="AD202" s="1164"/>
      <c r="AE202" s="1164"/>
    </row>
    <row r="203" ht="15.75" customHeight="1">
      <c r="A203" s="852"/>
      <c r="B203" s="852"/>
      <c r="C203" s="1156"/>
      <c r="D203" s="1164"/>
      <c r="E203" s="1164"/>
      <c r="F203" s="1164"/>
      <c r="G203" s="1164"/>
      <c r="H203" s="1164"/>
      <c r="I203" s="1164"/>
      <c r="J203" s="1164"/>
      <c r="K203" s="1164"/>
      <c r="L203" s="1164"/>
      <c r="M203" s="1164"/>
      <c r="N203" s="1164"/>
      <c r="O203" s="1164"/>
      <c r="P203" s="1164"/>
      <c r="Q203" s="1164"/>
      <c r="R203" s="1164"/>
      <c r="S203" s="1164"/>
      <c r="T203" s="1164"/>
      <c r="U203" s="1164"/>
      <c r="V203" s="1164"/>
      <c r="W203" s="1164"/>
      <c r="X203" s="1164"/>
      <c r="Y203" s="1164"/>
      <c r="Z203" s="1164"/>
      <c r="AA203" s="1164"/>
      <c r="AB203" s="1164"/>
      <c r="AC203" s="1164"/>
      <c r="AD203" s="1164"/>
      <c r="AE203" s="1164"/>
    </row>
    <row r="204" ht="15.75" customHeight="1">
      <c r="A204" s="852"/>
      <c r="B204" s="852"/>
      <c r="C204" s="1156"/>
      <c r="D204" s="1164"/>
      <c r="E204" s="1164"/>
      <c r="F204" s="1164"/>
      <c r="G204" s="1164"/>
      <c r="H204" s="1164"/>
      <c r="I204" s="1164"/>
      <c r="J204" s="1164"/>
      <c r="K204" s="1164"/>
      <c r="L204" s="1164"/>
      <c r="M204" s="1164"/>
      <c r="N204" s="1164"/>
      <c r="O204" s="1164"/>
      <c r="P204" s="1164"/>
      <c r="Q204" s="1164"/>
      <c r="R204" s="1164"/>
      <c r="S204" s="1164"/>
      <c r="T204" s="1164"/>
      <c r="U204" s="1164"/>
      <c r="V204" s="1164"/>
      <c r="W204" s="1164"/>
      <c r="X204" s="1164"/>
      <c r="Y204" s="1164"/>
      <c r="Z204" s="1164"/>
      <c r="AA204" s="1164"/>
      <c r="AB204" s="1164"/>
      <c r="AC204" s="1164"/>
      <c r="AD204" s="1164"/>
      <c r="AE204" s="1164"/>
    </row>
    <row r="205" ht="15.75" customHeight="1">
      <c r="A205" s="852"/>
      <c r="B205" s="852"/>
      <c r="C205" s="1156"/>
      <c r="D205" s="1164"/>
      <c r="E205" s="1164"/>
      <c r="F205" s="1164"/>
      <c r="G205" s="1164"/>
      <c r="H205" s="1164"/>
      <c r="I205" s="1164"/>
      <c r="J205" s="1164"/>
      <c r="K205" s="1164"/>
      <c r="L205" s="1164"/>
      <c r="M205" s="1164"/>
      <c r="N205" s="1164"/>
      <c r="O205" s="1164"/>
      <c r="P205" s="1164"/>
      <c r="Q205" s="1164"/>
      <c r="R205" s="1164"/>
      <c r="S205" s="1164"/>
      <c r="T205" s="1164"/>
      <c r="U205" s="1164"/>
      <c r="V205" s="1164"/>
      <c r="W205" s="1164"/>
      <c r="X205" s="1164"/>
      <c r="Y205" s="1164"/>
      <c r="Z205" s="1164"/>
      <c r="AA205" s="1164"/>
      <c r="AB205" s="1164"/>
      <c r="AC205" s="1164"/>
      <c r="AD205" s="1164"/>
      <c r="AE205" s="1164"/>
    </row>
    <row r="206" ht="15.75" customHeight="1">
      <c r="A206" s="852"/>
      <c r="B206" s="852"/>
      <c r="C206" s="1156"/>
      <c r="D206" s="1164"/>
      <c r="E206" s="1164"/>
      <c r="F206" s="1164"/>
      <c r="G206" s="1164"/>
      <c r="H206" s="1164"/>
      <c r="I206" s="1164"/>
      <c r="J206" s="1164"/>
      <c r="K206" s="1164"/>
      <c r="L206" s="1164"/>
      <c r="M206" s="1164"/>
      <c r="N206" s="1164"/>
      <c r="O206" s="1164"/>
      <c r="P206" s="1164"/>
      <c r="Q206" s="1164"/>
      <c r="R206" s="1164"/>
      <c r="S206" s="1164"/>
      <c r="T206" s="1164"/>
      <c r="U206" s="1164"/>
      <c r="V206" s="1164"/>
      <c r="W206" s="1164"/>
      <c r="X206" s="1164"/>
      <c r="Y206" s="1164"/>
      <c r="Z206" s="1164"/>
      <c r="AA206" s="1164"/>
      <c r="AB206" s="1164"/>
      <c r="AC206" s="1164"/>
      <c r="AD206" s="1164"/>
      <c r="AE206" s="1164"/>
    </row>
    <row r="207" ht="15.75" customHeight="1">
      <c r="A207" s="852"/>
      <c r="B207" s="852"/>
      <c r="C207" s="1156"/>
      <c r="D207" s="1164"/>
      <c r="E207" s="1164"/>
      <c r="F207" s="1164"/>
      <c r="G207" s="1164"/>
      <c r="H207" s="1164"/>
      <c r="I207" s="1164"/>
      <c r="J207" s="1164"/>
      <c r="K207" s="1164"/>
      <c r="L207" s="1164"/>
      <c r="M207" s="1164"/>
      <c r="N207" s="1164"/>
      <c r="O207" s="1164"/>
      <c r="P207" s="1164"/>
      <c r="Q207" s="1164"/>
      <c r="R207" s="1164"/>
      <c r="S207" s="1164"/>
      <c r="T207" s="1164"/>
      <c r="U207" s="1164"/>
      <c r="V207" s="1164"/>
      <c r="W207" s="1164"/>
      <c r="X207" s="1164"/>
      <c r="Y207" s="1164"/>
      <c r="Z207" s="1164"/>
      <c r="AA207" s="1164"/>
      <c r="AB207" s="1164"/>
      <c r="AC207" s="1164"/>
      <c r="AD207" s="1164"/>
      <c r="AE207" s="1164"/>
    </row>
    <row r="208" ht="15.75" customHeight="1">
      <c r="A208" s="852"/>
      <c r="B208" s="852"/>
      <c r="C208" s="1156"/>
      <c r="D208" s="1164"/>
      <c r="E208" s="1164"/>
      <c r="F208" s="1164"/>
      <c r="G208" s="1164"/>
      <c r="H208" s="1164"/>
      <c r="I208" s="1164"/>
      <c r="J208" s="1164"/>
      <c r="K208" s="1164"/>
      <c r="L208" s="1164"/>
      <c r="M208" s="1164"/>
      <c r="N208" s="1164"/>
      <c r="O208" s="1164"/>
      <c r="P208" s="1164"/>
      <c r="Q208" s="1164"/>
      <c r="R208" s="1164"/>
      <c r="S208" s="1164"/>
      <c r="T208" s="1164"/>
      <c r="U208" s="1164"/>
      <c r="V208" s="1164"/>
      <c r="W208" s="1164"/>
      <c r="X208" s="1164"/>
      <c r="Y208" s="1164"/>
      <c r="Z208" s="1164"/>
      <c r="AA208" s="1164"/>
      <c r="AB208" s="1164"/>
      <c r="AC208" s="1164"/>
      <c r="AD208" s="1164"/>
      <c r="AE208" s="1164"/>
    </row>
    <row r="209" ht="15.75" customHeight="1">
      <c r="A209" s="852"/>
      <c r="B209" s="852"/>
      <c r="C209" s="1156"/>
      <c r="D209" s="1164"/>
      <c r="E209" s="1164"/>
      <c r="F209" s="1164"/>
      <c r="G209" s="1164"/>
      <c r="H209" s="1164"/>
      <c r="I209" s="1164"/>
      <c r="J209" s="1164"/>
      <c r="K209" s="1164"/>
      <c r="L209" s="1164"/>
      <c r="M209" s="1164"/>
      <c r="N209" s="1164"/>
      <c r="O209" s="1164"/>
      <c r="P209" s="1164"/>
      <c r="Q209" s="1164"/>
      <c r="R209" s="1164"/>
      <c r="S209" s="1164"/>
      <c r="T209" s="1164"/>
      <c r="U209" s="1164"/>
      <c r="V209" s="1164"/>
      <c r="W209" s="1164"/>
      <c r="X209" s="1164"/>
      <c r="Y209" s="1164"/>
      <c r="Z209" s="1164"/>
      <c r="AA209" s="1164"/>
      <c r="AB209" s="1164"/>
      <c r="AC209" s="1164"/>
      <c r="AD209" s="1164"/>
      <c r="AE209" s="1164"/>
    </row>
    <row r="210" ht="15.75" customHeight="1">
      <c r="A210" s="852"/>
      <c r="B210" s="852"/>
      <c r="C210" s="1156"/>
      <c r="D210" s="1164"/>
      <c r="E210" s="1164"/>
      <c r="F210" s="1164"/>
      <c r="G210" s="1164"/>
      <c r="H210" s="1164"/>
      <c r="I210" s="1164"/>
      <c r="J210" s="1164"/>
      <c r="K210" s="1164"/>
      <c r="L210" s="1164"/>
      <c r="M210" s="1164"/>
      <c r="N210" s="1164"/>
      <c r="O210" s="1164"/>
      <c r="P210" s="1164"/>
      <c r="Q210" s="1164"/>
      <c r="R210" s="1164"/>
      <c r="S210" s="1164"/>
      <c r="T210" s="1164"/>
      <c r="U210" s="1164"/>
      <c r="V210" s="1164"/>
      <c r="W210" s="1164"/>
      <c r="X210" s="1164"/>
      <c r="Y210" s="1164"/>
      <c r="Z210" s="1164"/>
      <c r="AA210" s="1164"/>
      <c r="AB210" s="1164"/>
      <c r="AC210" s="1164"/>
      <c r="AD210" s="1164"/>
      <c r="AE210" s="1164"/>
    </row>
    <row r="211" ht="15.75" customHeight="1">
      <c r="A211" s="852"/>
      <c r="B211" s="852"/>
      <c r="C211" s="1156"/>
      <c r="D211" s="1164"/>
      <c r="E211" s="1164"/>
      <c r="F211" s="1164"/>
      <c r="G211" s="1164"/>
      <c r="H211" s="1164"/>
      <c r="I211" s="1164"/>
      <c r="J211" s="1164"/>
      <c r="K211" s="1164"/>
      <c r="L211" s="1164"/>
      <c r="M211" s="1164"/>
      <c r="N211" s="1164"/>
      <c r="O211" s="1164"/>
      <c r="P211" s="1164"/>
      <c r="Q211" s="1164"/>
      <c r="R211" s="1164"/>
      <c r="S211" s="1164"/>
      <c r="T211" s="1164"/>
      <c r="U211" s="1164"/>
      <c r="V211" s="1164"/>
      <c r="W211" s="1164"/>
      <c r="X211" s="1164"/>
      <c r="Y211" s="1164"/>
      <c r="Z211" s="1164"/>
      <c r="AA211" s="1164"/>
      <c r="AB211" s="1164"/>
      <c r="AC211" s="1164"/>
      <c r="AD211" s="1164"/>
      <c r="AE211" s="1164"/>
    </row>
    <row r="212" ht="15.75" customHeight="1">
      <c r="A212" s="852"/>
      <c r="B212" s="852"/>
      <c r="C212" s="1156"/>
      <c r="D212" s="1164"/>
      <c r="E212" s="1164"/>
      <c r="F212" s="1164"/>
      <c r="G212" s="1164"/>
      <c r="H212" s="1164"/>
      <c r="I212" s="1164"/>
      <c r="J212" s="1164"/>
      <c r="K212" s="1164"/>
      <c r="L212" s="1164"/>
      <c r="M212" s="1164"/>
      <c r="N212" s="1164"/>
      <c r="O212" s="1164"/>
      <c r="P212" s="1164"/>
      <c r="Q212" s="1164"/>
      <c r="R212" s="1164"/>
      <c r="S212" s="1164"/>
      <c r="T212" s="1164"/>
      <c r="U212" s="1164"/>
      <c r="V212" s="1164"/>
      <c r="W212" s="1164"/>
      <c r="X212" s="1164"/>
      <c r="Y212" s="1164"/>
      <c r="Z212" s="1164"/>
      <c r="AA212" s="1164"/>
      <c r="AB212" s="1164"/>
      <c r="AC212" s="1164"/>
      <c r="AD212" s="1164"/>
      <c r="AE212" s="1164"/>
    </row>
    <row r="213" ht="15.75" customHeight="1">
      <c r="A213" s="852"/>
      <c r="B213" s="852"/>
      <c r="C213" s="1156"/>
      <c r="D213" s="1164"/>
      <c r="E213" s="1164"/>
      <c r="F213" s="1164"/>
      <c r="G213" s="1164"/>
      <c r="H213" s="1164"/>
      <c r="I213" s="1164"/>
      <c r="J213" s="1164"/>
      <c r="K213" s="1164"/>
      <c r="L213" s="1164"/>
      <c r="M213" s="1164"/>
      <c r="N213" s="1164"/>
      <c r="O213" s="1164"/>
      <c r="P213" s="1164"/>
      <c r="Q213" s="1164"/>
      <c r="R213" s="1164"/>
      <c r="S213" s="1164"/>
      <c r="T213" s="1164"/>
      <c r="U213" s="1164"/>
      <c r="V213" s="1164"/>
      <c r="W213" s="1164"/>
      <c r="X213" s="1164"/>
      <c r="Y213" s="1164"/>
      <c r="Z213" s="1164"/>
      <c r="AA213" s="1164"/>
      <c r="AB213" s="1164"/>
      <c r="AC213" s="1164"/>
      <c r="AD213" s="1164"/>
      <c r="AE213" s="1164"/>
    </row>
    <row r="214" ht="15.75" customHeight="1">
      <c r="A214" s="852"/>
      <c r="B214" s="852"/>
      <c r="C214" s="1156"/>
      <c r="D214" s="1164"/>
      <c r="E214" s="1164"/>
      <c r="F214" s="1164"/>
      <c r="G214" s="1164"/>
      <c r="H214" s="1164"/>
      <c r="I214" s="1164"/>
      <c r="J214" s="1164"/>
      <c r="K214" s="1164"/>
      <c r="L214" s="1164"/>
      <c r="M214" s="1164"/>
      <c r="N214" s="1164"/>
      <c r="O214" s="1164"/>
      <c r="P214" s="1164"/>
      <c r="Q214" s="1164"/>
      <c r="R214" s="1164"/>
      <c r="S214" s="1164"/>
      <c r="T214" s="1164"/>
      <c r="U214" s="1164"/>
      <c r="V214" s="1164"/>
      <c r="W214" s="1164"/>
      <c r="X214" s="1164"/>
      <c r="Y214" s="1164"/>
      <c r="Z214" s="1164"/>
      <c r="AA214" s="1164"/>
      <c r="AB214" s="1164"/>
      <c r="AC214" s="1164"/>
      <c r="AD214" s="1164"/>
      <c r="AE214" s="1164"/>
    </row>
    <row r="215" ht="15.75" customHeight="1">
      <c r="A215" s="852"/>
      <c r="B215" s="852"/>
      <c r="C215" s="1156"/>
      <c r="D215" s="1164"/>
      <c r="E215" s="1164"/>
      <c r="F215" s="1164"/>
      <c r="G215" s="1164"/>
      <c r="H215" s="1164"/>
      <c r="I215" s="1164"/>
      <c r="J215" s="1164"/>
      <c r="K215" s="1164"/>
      <c r="L215" s="1164"/>
      <c r="M215" s="1164"/>
      <c r="N215" s="1164"/>
      <c r="O215" s="1164"/>
      <c r="P215" s="1164"/>
      <c r="Q215" s="1164"/>
      <c r="R215" s="1164"/>
      <c r="S215" s="1164"/>
      <c r="T215" s="1164"/>
      <c r="U215" s="1164"/>
      <c r="V215" s="1164"/>
      <c r="W215" s="1164"/>
      <c r="X215" s="1164"/>
      <c r="Y215" s="1164"/>
      <c r="Z215" s="1164"/>
      <c r="AA215" s="1164"/>
      <c r="AB215" s="1164"/>
      <c r="AC215" s="1164"/>
      <c r="AD215" s="1164"/>
      <c r="AE215" s="1164"/>
    </row>
    <row r="216" ht="15.75" customHeight="1">
      <c r="A216" s="852"/>
      <c r="B216" s="852"/>
      <c r="C216" s="1156"/>
      <c r="D216" s="1164"/>
      <c r="E216" s="1164"/>
      <c r="F216" s="1164"/>
      <c r="G216" s="1164"/>
      <c r="H216" s="1164"/>
      <c r="I216" s="1164"/>
      <c r="J216" s="1164"/>
      <c r="K216" s="1164"/>
      <c r="L216" s="1164"/>
      <c r="M216" s="1164"/>
      <c r="N216" s="1164"/>
      <c r="O216" s="1164"/>
      <c r="P216" s="1164"/>
      <c r="Q216" s="1164"/>
      <c r="R216" s="1164"/>
      <c r="S216" s="1164"/>
      <c r="T216" s="1164"/>
      <c r="U216" s="1164"/>
      <c r="V216" s="1164"/>
      <c r="W216" s="1164"/>
      <c r="X216" s="1164"/>
      <c r="Y216" s="1164"/>
      <c r="Z216" s="1164"/>
      <c r="AA216" s="1164"/>
      <c r="AB216" s="1164"/>
      <c r="AC216" s="1164"/>
      <c r="AD216" s="1164"/>
      <c r="AE216" s="1164"/>
    </row>
    <row r="217" ht="15.75" customHeight="1">
      <c r="A217" s="852"/>
      <c r="B217" s="852"/>
      <c r="C217" s="1156"/>
      <c r="D217" s="1164"/>
      <c r="E217" s="1164"/>
      <c r="F217" s="1164"/>
      <c r="G217" s="1164"/>
      <c r="H217" s="1164"/>
      <c r="I217" s="1164"/>
      <c r="J217" s="1164"/>
      <c r="K217" s="1164"/>
      <c r="L217" s="1164"/>
      <c r="M217" s="1164"/>
      <c r="N217" s="1164"/>
      <c r="O217" s="1164"/>
      <c r="P217" s="1164"/>
      <c r="Q217" s="1164"/>
      <c r="R217" s="1164"/>
      <c r="S217" s="1164"/>
      <c r="T217" s="1164"/>
      <c r="U217" s="1164"/>
      <c r="V217" s="1164"/>
      <c r="W217" s="1164"/>
      <c r="X217" s="1164"/>
      <c r="Y217" s="1164"/>
      <c r="Z217" s="1164"/>
      <c r="AA217" s="1164"/>
      <c r="AB217" s="1164"/>
      <c r="AC217" s="1164"/>
      <c r="AD217" s="1164"/>
      <c r="AE217" s="1164"/>
    </row>
    <row r="218" ht="15.75" customHeight="1">
      <c r="A218" s="852"/>
      <c r="B218" s="852"/>
      <c r="C218" s="1156"/>
      <c r="D218" s="1164"/>
      <c r="E218" s="1164"/>
      <c r="F218" s="1164"/>
      <c r="G218" s="1164"/>
      <c r="H218" s="1164"/>
      <c r="I218" s="1164"/>
      <c r="J218" s="1164"/>
      <c r="K218" s="1164"/>
      <c r="L218" s="1164"/>
      <c r="M218" s="1164"/>
      <c r="N218" s="1164"/>
      <c r="O218" s="1164"/>
      <c r="P218" s="1164"/>
      <c r="Q218" s="1164"/>
      <c r="R218" s="1164"/>
      <c r="S218" s="1164"/>
      <c r="T218" s="1164"/>
      <c r="U218" s="1164"/>
      <c r="V218" s="1164"/>
      <c r="W218" s="1164"/>
      <c r="X218" s="1164"/>
      <c r="Y218" s="1164"/>
      <c r="Z218" s="1164"/>
      <c r="AA218" s="1164"/>
      <c r="AB218" s="1164"/>
      <c r="AC218" s="1164"/>
      <c r="AD218" s="1164"/>
      <c r="AE218" s="1164"/>
    </row>
    <row r="219" ht="15.75" customHeight="1">
      <c r="A219" s="852"/>
      <c r="B219" s="852"/>
      <c r="C219" s="1156"/>
      <c r="D219" s="1164"/>
      <c r="E219" s="1164"/>
      <c r="F219" s="1164"/>
      <c r="G219" s="1164"/>
      <c r="H219" s="1164"/>
      <c r="I219" s="1164"/>
      <c r="J219" s="1164"/>
      <c r="K219" s="1164"/>
      <c r="L219" s="1164"/>
      <c r="M219" s="1164"/>
      <c r="N219" s="1164"/>
      <c r="O219" s="1164"/>
      <c r="P219" s="1164"/>
      <c r="Q219" s="1164"/>
      <c r="R219" s="1164"/>
      <c r="S219" s="1164"/>
      <c r="T219" s="1164"/>
      <c r="U219" s="1164"/>
      <c r="V219" s="1164"/>
      <c r="W219" s="1164"/>
      <c r="X219" s="1164"/>
      <c r="Y219" s="1164"/>
      <c r="Z219" s="1164"/>
      <c r="AA219" s="1164"/>
      <c r="AB219" s="1164"/>
      <c r="AC219" s="1164"/>
      <c r="AD219" s="1164"/>
      <c r="AE219" s="1164"/>
    </row>
    <row r="220" ht="15.75" customHeight="1">
      <c r="A220" s="852"/>
      <c r="B220" s="852"/>
      <c r="C220" s="1156"/>
      <c r="D220" s="1164"/>
      <c r="E220" s="1164"/>
      <c r="F220" s="1164"/>
      <c r="G220" s="1164"/>
      <c r="H220" s="1164"/>
      <c r="I220" s="1164"/>
      <c r="J220" s="1164"/>
      <c r="K220" s="1164"/>
      <c r="L220" s="1164"/>
      <c r="M220" s="1164"/>
      <c r="N220" s="1164"/>
      <c r="O220" s="1164"/>
      <c r="P220" s="1164"/>
      <c r="Q220" s="1164"/>
      <c r="R220" s="1164"/>
      <c r="S220" s="1164"/>
      <c r="T220" s="1164"/>
      <c r="U220" s="1164"/>
      <c r="V220" s="1164"/>
      <c r="W220" s="1164"/>
      <c r="X220" s="1164"/>
      <c r="Y220" s="1164"/>
      <c r="Z220" s="1164"/>
      <c r="AA220" s="1164"/>
      <c r="AB220" s="1164"/>
      <c r="AC220" s="1164"/>
      <c r="AD220" s="1164"/>
      <c r="AE220" s="1164"/>
    </row>
    <row r="221" ht="15.75" customHeight="1">
      <c r="A221" s="852"/>
      <c r="B221" s="852"/>
      <c r="C221" s="1156"/>
      <c r="D221" s="1164"/>
      <c r="E221" s="1164"/>
      <c r="F221" s="1164"/>
      <c r="G221" s="1164"/>
      <c r="H221" s="1164"/>
      <c r="I221" s="1164"/>
      <c r="J221" s="1164"/>
      <c r="K221" s="1164"/>
      <c r="L221" s="1164"/>
      <c r="M221" s="1164"/>
      <c r="N221" s="1164"/>
      <c r="O221" s="1164"/>
      <c r="P221" s="1164"/>
      <c r="Q221" s="1164"/>
      <c r="R221" s="1164"/>
      <c r="S221" s="1164"/>
      <c r="T221" s="1164"/>
      <c r="U221" s="1164"/>
      <c r="V221" s="1164"/>
      <c r="W221" s="1164"/>
      <c r="X221" s="1164"/>
      <c r="Y221" s="1164"/>
      <c r="Z221" s="1164"/>
      <c r="AA221" s="1164"/>
      <c r="AB221" s="1164"/>
      <c r="AC221" s="1164"/>
      <c r="AD221" s="1164"/>
      <c r="AE221" s="1164"/>
    </row>
    <row r="222" ht="15.75" customHeight="1">
      <c r="A222" s="852"/>
      <c r="B222" s="852"/>
      <c r="C222" s="1156"/>
      <c r="D222" s="1164"/>
      <c r="E222" s="1164"/>
      <c r="F222" s="1164"/>
      <c r="G222" s="1164"/>
      <c r="H222" s="1164"/>
      <c r="I222" s="1164"/>
      <c r="J222" s="1164"/>
      <c r="K222" s="1164"/>
      <c r="L222" s="1164"/>
      <c r="M222" s="1164"/>
      <c r="N222" s="1164"/>
      <c r="O222" s="1164"/>
      <c r="P222" s="1164"/>
      <c r="Q222" s="1164"/>
      <c r="R222" s="1164"/>
      <c r="S222" s="1164"/>
      <c r="T222" s="1164"/>
      <c r="U222" s="1164"/>
      <c r="V222" s="1164"/>
      <c r="W222" s="1164"/>
      <c r="X222" s="1164"/>
      <c r="Y222" s="1164"/>
      <c r="Z222" s="1164"/>
      <c r="AA222" s="1164"/>
      <c r="AB222" s="1164"/>
      <c r="AC222" s="1164"/>
      <c r="AD222" s="1164"/>
      <c r="AE222" s="1164"/>
    </row>
    <row r="223" ht="15.75" customHeight="1">
      <c r="A223" s="852"/>
      <c r="B223" s="852"/>
      <c r="C223" s="1156"/>
      <c r="D223" s="1164"/>
      <c r="E223" s="1164"/>
      <c r="F223" s="1164"/>
      <c r="G223" s="1164"/>
      <c r="H223" s="1164"/>
      <c r="I223" s="1164"/>
      <c r="J223" s="1164"/>
      <c r="K223" s="1164"/>
      <c r="L223" s="1164"/>
      <c r="M223" s="1164"/>
      <c r="N223" s="1164"/>
      <c r="O223" s="1164"/>
      <c r="P223" s="1164"/>
      <c r="Q223" s="1164"/>
      <c r="R223" s="1164"/>
      <c r="S223" s="1164"/>
      <c r="T223" s="1164"/>
      <c r="U223" s="1164"/>
      <c r="V223" s="1164"/>
      <c r="W223" s="1164"/>
      <c r="X223" s="1164"/>
      <c r="Y223" s="1164"/>
      <c r="Z223" s="1164"/>
      <c r="AA223" s="1164"/>
      <c r="AB223" s="1164"/>
      <c r="AC223" s="1164"/>
      <c r="AD223" s="1164"/>
      <c r="AE223" s="1164"/>
    </row>
    <row r="224" ht="15.75" customHeight="1">
      <c r="A224" s="852"/>
      <c r="B224" s="852"/>
      <c r="C224" s="1156"/>
      <c r="D224" s="1164"/>
      <c r="E224" s="1164"/>
      <c r="F224" s="1164"/>
      <c r="G224" s="1164"/>
      <c r="H224" s="1164"/>
      <c r="I224" s="1164"/>
      <c r="J224" s="1164"/>
      <c r="K224" s="1164"/>
      <c r="L224" s="1164"/>
      <c r="M224" s="1164"/>
      <c r="N224" s="1164"/>
      <c r="O224" s="1164"/>
      <c r="P224" s="1164"/>
      <c r="Q224" s="1164"/>
      <c r="R224" s="1164"/>
      <c r="S224" s="1164"/>
      <c r="T224" s="1164"/>
      <c r="U224" s="1164"/>
      <c r="V224" s="1164"/>
      <c r="W224" s="1164"/>
      <c r="X224" s="1164"/>
      <c r="Y224" s="1164"/>
      <c r="Z224" s="1164"/>
      <c r="AA224" s="1164"/>
      <c r="AB224" s="1164"/>
      <c r="AC224" s="1164"/>
      <c r="AD224" s="1164"/>
      <c r="AE224" s="1164"/>
    </row>
    <row r="225" ht="15.75" customHeight="1">
      <c r="A225" s="852"/>
      <c r="B225" s="852"/>
      <c r="C225" s="1156"/>
      <c r="D225" s="1164"/>
      <c r="E225" s="1164"/>
      <c r="F225" s="1164"/>
      <c r="G225" s="1164"/>
      <c r="H225" s="1164"/>
      <c r="I225" s="1164"/>
      <c r="J225" s="1164"/>
      <c r="K225" s="1164"/>
      <c r="L225" s="1164"/>
      <c r="M225" s="1164"/>
      <c r="N225" s="1164"/>
      <c r="O225" s="1164"/>
      <c r="P225" s="1164"/>
      <c r="Q225" s="1164"/>
      <c r="R225" s="1164"/>
      <c r="S225" s="1164"/>
      <c r="T225" s="1164"/>
      <c r="U225" s="1164"/>
      <c r="V225" s="1164"/>
      <c r="W225" s="1164"/>
      <c r="X225" s="1164"/>
      <c r="Y225" s="1164"/>
      <c r="Z225" s="1164"/>
      <c r="AA225" s="1164"/>
      <c r="AB225" s="1164"/>
      <c r="AC225" s="1164"/>
      <c r="AD225" s="1164"/>
      <c r="AE225" s="1164"/>
    </row>
    <row r="226" ht="15.75" customHeight="1">
      <c r="A226" s="852"/>
      <c r="B226" s="852"/>
      <c r="C226" s="1156"/>
      <c r="D226" s="1164"/>
      <c r="E226" s="1164"/>
      <c r="F226" s="1164"/>
      <c r="G226" s="1164"/>
      <c r="H226" s="1164"/>
      <c r="I226" s="1164"/>
      <c r="J226" s="1164"/>
      <c r="K226" s="1164"/>
      <c r="L226" s="1164"/>
      <c r="M226" s="1164"/>
      <c r="N226" s="1164"/>
      <c r="O226" s="1164"/>
      <c r="P226" s="1164"/>
      <c r="Q226" s="1164"/>
      <c r="R226" s="1164"/>
      <c r="S226" s="1164"/>
      <c r="T226" s="1164"/>
      <c r="U226" s="1164"/>
      <c r="V226" s="1164"/>
      <c r="W226" s="1164"/>
      <c r="X226" s="1164"/>
      <c r="Y226" s="1164"/>
      <c r="Z226" s="1164"/>
      <c r="AA226" s="1164"/>
      <c r="AB226" s="1164"/>
      <c r="AC226" s="1164"/>
      <c r="AD226" s="1164"/>
      <c r="AE226" s="1164"/>
    </row>
    <row r="227" ht="15.75" customHeight="1">
      <c r="A227" s="852"/>
      <c r="B227" s="852"/>
      <c r="C227" s="1156"/>
      <c r="D227" s="1164"/>
      <c r="E227" s="1164"/>
      <c r="F227" s="1164"/>
      <c r="G227" s="1164"/>
      <c r="H227" s="1164"/>
      <c r="I227" s="1164"/>
      <c r="J227" s="1164"/>
      <c r="K227" s="1164"/>
      <c r="L227" s="1164"/>
      <c r="M227" s="1164"/>
      <c r="N227" s="1164"/>
      <c r="O227" s="1164"/>
      <c r="P227" s="1164"/>
      <c r="Q227" s="1164"/>
      <c r="R227" s="1164"/>
      <c r="S227" s="1164"/>
      <c r="T227" s="1164"/>
      <c r="U227" s="1164"/>
      <c r="V227" s="1164"/>
      <c r="W227" s="1164"/>
      <c r="X227" s="1164"/>
      <c r="Y227" s="1164"/>
      <c r="Z227" s="1164"/>
      <c r="AA227" s="1164"/>
      <c r="AB227" s="1164"/>
      <c r="AC227" s="1164"/>
      <c r="AD227" s="1164"/>
      <c r="AE227" s="1164"/>
    </row>
    <row r="228" ht="15.75" customHeight="1">
      <c r="A228" s="852"/>
      <c r="B228" s="852"/>
      <c r="C228" s="1156"/>
      <c r="D228" s="1164"/>
      <c r="E228" s="1164"/>
      <c r="F228" s="1164"/>
      <c r="G228" s="1164"/>
      <c r="H228" s="1164"/>
      <c r="I228" s="1164"/>
      <c r="J228" s="1164"/>
      <c r="K228" s="1164"/>
      <c r="L228" s="1164"/>
      <c r="M228" s="1164"/>
      <c r="N228" s="1164"/>
      <c r="O228" s="1164"/>
      <c r="P228" s="1164"/>
      <c r="Q228" s="1164"/>
      <c r="R228" s="1164"/>
      <c r="S228" s="1164"/>
      <c r="T228" s="1164"/>
      <c r="U228" s="1164"/>
      <c r="V228" s="1164"/>
      <c r="W228" s="1164"/>
      <c r="X228" s="1164"/>
      <c r="Y228" s="1164"/>
      <c r="Z228" s="1164"/>
      <c r="AA228" s="1164"/>
      <c r="AB228" s="1164"/>
      <c r="AC228" s="1164"/>
      <c r="AD228" s="1164"/>
      <c r="AE228" s="1164"/>
    </row>
    <row r="229" ht="15.75" customHeight="1">
      <c r="A229" s="852"/>
      <c r="B229" s="852"/>
      <c r="C229" s="1156"/>
      <c r="D229" s="1164"/>
      <c r="E229" s="1164"/>
      <c r="F229" s="1164"/>
      <c r="G229" s="1164"/>
      <c r="H229" s="1164"/>
      <c r="I229" s="1164"/>
      <c r="J229" s="1164"/>
      <c r="K229" s="1164"/>
      <c r="L229" s="1164"/>
      <c r="M229" s="1164"/>
      <c r="N229" s="1164"/>
      <c r="O229" s="1164"/>
      <c r="P229" s="1164"/>
      <c r="Q229" s="1164"/>
      <c r="R229" s="1164"/>
      <c r="S229" s="1164"/>
      <c r="T229" s="1164"/>
      <c r="U229" s="1164"/>
      <c r="V229" s="1164"/>
      <c r="W229" s="1164"/>
      <c r="X229" s="1164"/>
      <c r="Y229" s="1164"/>
      <c r="Z229" s="1164"/>
      <c r="AA229" s="1164"/>
      <c r="AB229" s="1164"/>
      <c r="AC229" s="1164"/>
      <c r="AD229" s="1164"/>
      <c r="AE229" s="1164"/>
    </row>
    <row r="230" ht="15.75" customHeight="1">
      <c r="A230" s="852"/>
      <c r="B230" s="852"/>
      <c r="C230" s="1156"/>
      <c r="D230" s="1164"/>
      <c r="E230" s="1164"/>
      <c r="F230" s="1164"/>
      <c r="G230" s="1164"/>
      <c r="H230" s="1164"/>
      <c r="I230" s="1164"/>
      <c r="J230" s="1164"/>
      <c r="K230" s="1164"/>
      <c r="L230" s="1164"/>
      <c r="M230" s="1164"/>
      <c r="N230" s="1164"/>
      <c r="O230" s="1164"/>
      <c r="P230" s="1164"/>
      <c r="Q230" s="1164"/>
      <c r="R230" s="1164"/>
      <c r="S230" s="1164"/>
      <c r="T230" s="1164"/>
      <c r="U230" s="1164"/>
      <c r="V230" s="1164"/>
      <c r="W230" s="1164"/>
      <c r="X230" s="1164"/>
      <c r="Y230" s="1164"/>
      <c r="Z230" s="1164"/>
      <c r="AA230" s="1164"/>
      <c r="AB230" s="1164"/>
      <c r="AC230" s="1164"/>
      <c r="AD230" s="1164"/>
      <c r="AE230" s="1164"/>
    </row>
    <row r="231" ht="15.75" customHeight="1">
      <c r="A231" s="852"/>
      <c r="B231" s="852"/>
      <c r="C231" s="1156"/>
      <c r="D231" s="1164"/>
      <c r="E231" s="1164"/>
      <c r="F231" s="1164"/>
      <c r="G231" s="1164"/>
      <c r="H231" s="1164"/>
      <c r="I231" s="1164"/>
      <c r="J231" s="1164"/>
      <c r="K231" s="1164"/>
      <c r="L231" s="1164"/>
      <c r="M231" s="1164"/>
      <c r="N231" s="1164"/>
      <c r="O231" s="1164"/>
      <c r="P231" s="1164"/>
      <c r="Q231" s="1164"/>
      <c r="R231" s="1164"/>
      <c r="S231" s="1164"/>
      <c r="T231" s="1164"/>
      <c r="U231" s="1164"/>
      <c r="V231" s="1164"/>
      <c r="W231" s="1164"/>
      <c r="X231" s="1164"/>
      <c r="Y231" s="1164"/>
      <c r="Z231" s="1164"/>
      <c r="AA231" s="1164"/>
      <c r="AB231" s="1164"/>
      <c r="AC231" s="1164"/>
      <c r="AD231" s="1164"/>
      <c r="AE231" s="1164"/>
    </row>
    <row r="232" ht="15.75" customHeight="1">
      <c r="A232" s="852"/>
      <c r="B232" s="852"/>
      <c r="C232" s="1156"/>
      <c r="D232" s="1164"/>
      <c r="E232" s="1164"/>
      <c r="F232" s="1164"/>
      <c r="G232" s="1164"/>
      <c r="H232" s="1164"/>
      <c r="I232" s="1164"/>
      <c r="J232" s="1164"/>
      <c r="K232" s="1164"/>
      <c r="L232" s="1164"/>
      <c r="M232" s="1164"/>
      <c r="N232" s="1164"/>
      <c r="O232" s="1164"/>
      <c r="P232" s="1164"/>
      <c r="Q232" s="1164"/>
      <c r="R232" s="1164"/>
      <c r="S232" s="1164"/>
      <c r="T232" s="1164"/>
      <c r="U232" s="1164"/>
      <c r="V232" s="1164"/>
      <c r="W232" s="1164"/>
      <c r="X232" s="1164"/>
      <c r="Y232" s="1164"/>
      <c r="Z232" s="1164"/>
      <c r="AA232" s="1164"/>
      <c r="AB232" s="1164"/>
      <c r="AC232" s="1164"/>
      <c r="AD232" s="1164"/>
      <c r="AE232" s="1164"/>
    </row>
    <row r="233" ht="15.75" customHeight="1">
      <c r="A233" s="852"/>
      <c r="B233" s="852"/>
      <c r="C233" s="1156"/>
      <c r="D233" s="1164"/>
      <c r="E233" s="1164"/>
      <c r="F233" s="1164"/>
      <c r="G233" s="1164"/>
      <c r="H233" s="1164"/>
      <c r="I233" s="1164"/>
      <c r="J233" s="1164"/>
      <c r="K233" s="1164"/>
      <c r="L233" s="1164"/>
      <c r="M233" s="1164"/>
      <c r="N233" s="1164"/>
      <c r="O233" s="1164"/>
      <c r="P233" s="1164"/>
      <c r="Q233" s="1164"/>
      <c r="R233" s="1164"/>
      <c r="S233" s="1164"/>
      <c r="T233" s="1164"/>
      <c r="U233" s="1164"/>
      <c r="V233" s="1164"/>
      <c r="W233" s="1164"/>
      <c r="X233" s="1164"/>
      <c r="Y233" s="1164"/>
      <c r="Z233" s="1164"/>
      <c r="AA233" s="1164"/>
      <c r="AB233" s="1164"/>
      <c r="AC233" s="1164"/>
      <c r="AD233" s="1164"/>
      <c r="AE233" s="1164"/>
    </row>
    <row r="234" ht="15.75" customHeight="1">
      <c r="A234" s="852"/>
      <c r="B234" s="852"/>
      <c r="C234" s="1156"/>
      <c r="D234" s="1164"/>
      <c r="E234" s="1164"/>
      <c r="F234" s="1164"/>
      <c r="G234" s="1164"/>
      <c r="H234" s="1164"/>
      <c r="I234" s="1164"/>
      <c r="J234" s="1164"/>
      <c r="K234" s="1164"/>
      <c r="L234" s="1164"/>
      <c r="M234" s="1164"/>
      <c r="N234" s="1164"/>
      <c r="O234" s="1164"/>
      <c r="P234" s="1164"/>
      <c r="Q234" s="1164"/>
      <c r="R234" s="1164"/>
      <c r="S234" s="1164"/>
      <c r="T234" s="1164"/>
      <c r="U234" s="1164"/>
      <c r="V234" s="1164"/>
      <c r="W234" s="1164"/>
      <c r="X234" s="1164"/>
      <c r="Y234" s="1164"/>
      <c r="Z234" s="1164"/>
      <c r="AA234" s="1164"/>
      <c r="AB234" s="1164"/>
      <c r="AC234" s="1164"/>
      <c r="AD234" s="1164"/>
      <c r="AE234" s="1164"/>
    </row>
    <row r="235" ht="15.75" customHeight="1">
      <c r="A235" s="852"/>
      <c r="B235" s="852"/>
      <c r="C235" s="1156"/>
      <c r="D235" s="1164"/>
      <c r="E235" s="1164"/>
      <c r="F235" s="1164"/>
      <c r="G235" s="1164"/>
      <c r="H235" s="1164"/>
      <c r="I235" s="1164"/>
      <c r="J235" s="1164"/>
      <c r="K235" s="1164"/>
      <c r="L235" s="1164"/>
      <c r="M235" s="1164"/>
      <c r="N235" s="1164"/>
      <c r="O235" s="1164"/>
      <c r="P235" s="1164"/>
      <c r="Q235" s="1164"/>
      <c r="R235" s="1164"/>
      <c r="S235" s="1164"/>
      <c r="T235" s="1164"/>
      <c r="U235" s="1164"/>
      <c r="V235" s="1164"/>
      <c r="W235" s="1164"/>
      <c r="X235" s="1164"/>
      <c r="Y235" s="1164"/>
      <c r="Z235" s="1164"/>
      <c r="AA235" s="1164"/>
      <c r="AB235" s="1164"/>
      <c r="AC235" s="1164"/>
      <c r="AD235" s="1164"/>
      <c r="AE235" s="1164"/>
    </row>
    <row r="236" ht="15.75" customHeight="1">
      <c r="A236" s="852"/>
      <c r="B236" s="852"/>
      <c r="C236" s="1156"/>
      <c r="D236" s="1164"/>
      <c r="E236" s="1164"/>
      <c r="F236" s="1164"/>
      <c r="G236" s="1164"/>
      <c r="H236" s="1164"/>
      <c r="I236" s="1164"/>
      <c r="J236" s="1164"/>
      <c r="K236" s="1164"/>
      <c r="L236" s="1164"/>
      <c r="M236" s="1164"/>
      <c r="N236" s="1164"/>
      <c r="O236" s="1164"/>
      <c r="P236" s="1164"/>
      <c r="Q236" s="1164"/>
      <c r="R236" s="1164"/>
      <c r="S236" s="1164"/>
      <c r="T236" s="1164"/>
      <c r="U236" s="1164"/>
      <c r="V236" s="1164"/>
      <c r="W236" s="1164"/>
      <c r="X236" s="1164"/>
      <c r="Y236" s="1164"/>
      <c r="Z236" s="1164"/>
      <c r="AA236" s="1164"/>
      <c r="AB236" s="1164"/>
      <c r="AC236" s="1164"/>
      <c r="AD236" s="1164"/>
      <c r="AE236" s="1164"/>
    </row>
    <row r="237" ht="15.75" customHeight="1">
      <c r="A237" s="852"/>
      <c r="B237" s="852"/>
      <c r="C237" s="1156"/>
      <c r="D237" s="1164"/>
      <c r="E237" s="1164"/>
      <c r="F237" s="1164"/>
      <c r="G237" s="1164"/>
      <c r="H237" s="1164"/>
      <c r="I237" s="1164"/>
      <c r="J237" s="1164"/>
      <c r="K237" s="1164"/>
      <c r="L237" s="1164"/>
      <c r="M237" s="1164"/>
      <c r="N237" s="1164"/>
      <c r="O237" s="1164"/>
      <c r="P237" s="1164"/>
      <c r="Q237" s="1164"/>
      <c r="R237" s="1164"/>
      <c r="S237" s="1164"/>
      <c r="T237" s="1164"/>
      <c r="U237" s="1164"/>
      <c r="V237" s="1164"/>
      <c r="W237" s="1164"/>
      <c r="X237" s="1164"/>
      <c r="Y237" s="1164"/>
      <c r="Z237" s="1164"/>
      <c r="AA237" s="1164"/>
      <c r="AB237" s="1164"/>
      <c r="AC237" s="1164"/>
      <c r="AD237" s="1164"/>
      <c r="AE237" s="1164"/>
    </row>
    <row r="238" ht="15.75" customHeight="1">
      <c r="A238" s="852"/>
      <c r="B238" s="852"/>
      <c r="C238" s="1156"/>
      <c r="D238" s="1164"/>
      <c r="E238" s="1164"/>
      <c r="F238" s="1164"/>
      <c r="G238" s="1164"/>
      <c r="H238" s="1164"/>
      <c r="I238" s="1164"/>
      <c r="J238" s="1164"/>
      <c r="K238" s="1164"/>
      <c r="L238" s="1164"/>
      <c r="M238" s="1164"/>
      <c r="N238" s="1164"/>
      <c r="O238" s="1164"/>
      <c r="P238" s="1164"/>
      <c r="Q238" s="1164"/>
      <c r="R238" s="1164"/>
      <c r="S238" s="1164"/>
      <c r="T238" s="1164"/>
      <c r="U238" s="1164"/>
      <c r="V238" s="1164"/>
      <c r="W238" s="1164"/>
      <c r="X238" s="1164"/>
      <c r="Y238" s="1164"/>
      <c r="Z238" s="1164"/>
      <c r="AA238" s="1164"/>
      <c r="AB238" s="1164"/>
      <c r="AC238" s="1164"/>
      <c r="AD238" s="1164"/>
      <c r="AE238" s="1164"/>
    </row>
    <row r="239" ht="15.75" customHeight="1">
      <c r="A239" s="852"/>
      <c r="B239" s="852"/>
      <c r="C239" s="1156"/>
      <c r="D239" s="1164"/>
      <c r="E239" s="1164"/>
      <c r="F239" s="1164"/>
      <c r="G239" s="1164"/>
      <c r="H239" s="1164"/>
      <c r="I239" s="1164"/>
      <c r="J239" s="1164"/>
      <c r="K239" s="1164"/>
      <c r="L239" s="1164"/>
      <c r="M239" s="1164"/>
      <c r="N239" s="1164"/>
      <c r="O239" s="1164"/>
      <c r="P239" s="1164"/>
      <c r="Q239" s="1164"/>
      <c r="R239" s="1164"/>
      <c r="S239" s="1164"/>
      <c r="T239" s="1164"/>
      <c r="U239" s="1164"/>
      <c r="V239" s="1164"/>
      <c r="W239" s="1164"/>
      <c r="X239" s="1164"/>
      <c r="Y239" s="1164"/>
      <c r="Z239" s="1164"/>
      <c r="AA239" s="1164"/>
      <c r="AB239" s="1164"/>
      <c r="AC239" s="1164"/>
      <c r="AD239" s="1164"/>
      <c r="AE239" s="1164"/>
    </row>
    <row r="240" ht="15.75" customHeight="1">
      <c r="A240" s="852"/>
      <c r="B240" s="852"/>
      <c r="C240" s="1156"/>
      <c r="D240" s="1164"/>
      <c r="E240" s="1164"/>
      <c r="F240" s="1164"/>
      <c r="G240" s="1164"/>
      <c r="H240" s="1164"/>
      <c r="I240" s="1164"/>
      <c r="J240" s="1164"/>
      <c r="K240" s="1164"/>
      <c r="L240" s="1164"/>
      <c r="M240" s="1164"/>
      <c r="N240" s="1164"/>
      <c r="O240" s="1164"/>
      <c r="P240" s="1164"/>
      <c r="Q240" s="1164"/>
      <c r="R240" s="1164"/>
      <c r="S240" s="1164"/>
      <c r="T240" s="1164"/>
      <c r="U240" s="1164"/>
      <c r="V240" s="1164"/>
      <c r="W240" s="1164"/>
      <c r="X240" s="1164"/>
      <c r="Y240" s="1164"/>
      <c r="Z240" s="1164"/>
      <c r="AA240" s="1164"/>
      <c r="AB240" s="1164"/>
      <c r="AC240" s="1164"/>
      <c r="AD240" s="1164"/>
      <c r="AE240" s="1164"/>
    </row>
    <row r="241" ht="15.75" customHeight="1">
      <c r="A241" s="852"/>
      <c r="B241" s="852"/>
      <c r="C241" s="1156"/>
      <c r="D241" s="1164"/>
      <c r="E241" s="1164"/>
      <c r="F241" s="1164"/>
      <c r="G241" s="1164"/>
      <c r="H241" s="1164"/>
      <c r="I241" s="1164"/>
      <c r="J241" s="1164"/>
      <c r="K241" s="1164"/>
      <c r="L241" s="1164"/>
      <c r="M241" s="1164"/>
      <c r="N241" s="1164"/>
      <c r="O241" s="1164"/>
      <c r="P241" s="1164"/>
      <c r="Q241" s="1164"/>
      <c r="R241" s="1164"/>
      <c r="S241" s="1164"/>
      <c r="T241" s="1164"/>
      <c r="U241" s="1164"/>
      <c r="V241" s="1164"/>
      <c r="W241" s="1164"/>
      <c r="X241" s="1164"/>
      <c r="Y241" s="1164"/>
      <c r="Z241" s="1164"/>
      <c r="AA241" s="1164"/>
      <c r="AB241" s="1164"/>
      <c r="AC241" s="1164"/>
      <c r="AD241" s="1164"/>
      <c r="AE241" s="1164"/>
    </row>
    <row r="242" ht="15.75" customHeight="1">
      <c r="A242" s="852"/>
      <c r="B242" s="852"/>
      <c r="C242" s="1156"/>
      <c r="D242" s="1164"/>
      <c r="E242" s="1164"/>
      <c r="F242" s="1164"/>
      <c r="G242" s="1164"/>
      <c r="H242" s="1164"/>
      <c r="I242" s="1164"/>
      <c r="J242" s="1164"/>
      <c r="K242" s="1164"/>
      <c r="L242" s="1164"/>
      <c r="M242" s="1164"/>
      <c r="N242" s="1164"/>
      <c r="O242" s="1164"/>
      <c r="P242" s="1164"/>
      <c r="Q242" s="1164"/>
      <c r="R242" s="1164"/>
      <c r="S242" s="1164"/>
      <c r="T242" s="1164"/>
      <c r="U242" s="1164"/>
      <c r="V242" s="1164"/>
      <c r="W242" s="1164"/>
      <c r="X242" s="1164"/>
      <c r="Y242" s="1164"/>
      <c r="Z242" s="1164"/>
      <c r="AA242" s="1164"/>
      <c r="AB242" s="1164"/>
      <c r="AC242" s="1164"/>
      <c r="AD242" s="1164"/>
      <c r="AE242" s="1164"/>
    </row>
    <row r="243" ht="15.75" customHeight="1">
      <c r="A243" s="852"/>
      <c r="B243" s="852"/>
      <c r="C243" s="1156"/>
      <c r="D243" s="1164"/>
      <c r="E243" s="1164"/>
      <c r="F243" s="1164"/>
      <c r="G243" s="1164"/>
      <c r="H243" s="1164"/>
      <c r="I243" s="1164"/>
      <c r="J243" s="1164"/>
      <c r="K243" s="1164"/>
      <c r="L243" s="1164"/>
      <c r="M243" s="1164"/>
      <c r="N243" s="1164"/>
      <c r="O243" s="1164"/>
      <c r="P243" s="1164"/>
      <c r="Q243" s="1164"/>
      <c r="R243" s="1164"/>
      <c r="S243" s="1164"/>
      <c r="T243" s="1164"/>
      <c r="U243" s="1164"/>
      <c r="V243" s="1164"/>
      <c r="W243" s="1164"/>
      <c r="X243" s="1164"/>
      <c r="Y243" s="1164"/>
      <c r="Z243" s="1164"/>
      <c r="AA243" s="1164"/>
      <c r="AB243" s="1164"/>
      <c r="AC243" s="1164"/>
      <c r="AD243" s="1164"/>
      <c r="AE243" s="1164"/>
    </row>
    <row r="244" ht="15.75" customHeight="1">
      <c r="A244" s="852"/>
      <c r="B244" s="852"/>
      <c r="C244" s="1156"/>
      <c r="D244" s="1164"/>
      <c r="E244" s="1164"/>
      <c r="F244" s="1164"/>
      <c r="G244" s="1164"/>
      <c r="H244" s="1164"/>
      <c r="I244" s="1164"/>
      <c r="J244" s="1164"/>
      <c r="K244" s="1164"/>
      <c r="L244" s="1164"/>
      <c r="M244" s="1164"/>
      <c r="N244" s="1164"/>
      <c r="O244" s="1164"/>
      <c r="P244" s="1164"/>
      <c r="Q244" s="1164"/>
      <c r="R244" s="1164"/>
      <c r="S244" s="1164"/>
      <c r="T244" s="1164"/>
      <c r="U244" s="1164"/>
      <c r="V244" s="1164"/>
      <c r="W244" s="1164"/>
      <c r="X244" s="1164"/>
      <c r="Y244" s="1164"/>
      <c r="Z244" s="1164"/>
      <c r="AA244" s="1164"/>
      <c r="AB244" s="1164"/>
      <c r="AC244" s="1164"/>
      <c r="AD244" s="1164"/>
      <c r="AE244" s="1164"/>
    </row>
    <row r="245" ht="15.75" customHeight="1">
      <c r="A245" s="852"/>
      <c r="B245" s="852"/>
      <c r="C245" s="1156"/>
      <c r="D245" s="1164"/>
      <c r="E245" s="1164"/>
      <c r="F245" s="1164"/>
      <c r="G245" s="1164"/>
      <c r="H245" s="1164"/>
      <c r="I245" s="1164"/>
      <c r="J245" s="1164"/>
      <c r="K245" s="1164"/>
      <c r="L245" s="1164"/>
      <c r="M245" s="1164"/>
      <c r="N245" s="1164"/>
      <c r="O245" s="1164"/>
      <c r="P245" s="1164"/>
      <c r="Q245" s="1164"/>
      <c r="R245" s="1164"/>
      <c r="S245" s="1164"/>
      <c r="T245" s="1164"/>
      <c r="U245" s="1164"/>
      <c r="V245" s="1164"/>
      <c r="W245" s="1164"/>
      <c r="X245" s="1164"/>
      <c r="Y245" s="1164"/>
      <c r="Z245" s="1164"/>
      <c r="AA245" s="1164"/>
      <c r="AB245" s="1164"/>
      <c r="AC245" s="1164"/>
      <c r="AD245" s="1164"/>
      <c r="AE245" s="1164"/>
    </row>
    <row r="246" ht="15.75" customHeight="1">
      <c r="A246" s="852"/>
      <c r="B246" s="852"/>
      <c r="C246" s="1156"/>
      <c r="D246" s="1164"/>
      <c r="E246" s="1164"/>
      <c r="F246" s="1164"/>
      <c r="G246" s="1164"/>
      <c r="H246" s="1164"/>
      <c r="I246" s="1164"/>
      <c r="J246" s="1164"/>
      <c r="K246" s="1164"/>
      <c r="L246" s="1164"/>
      <c r="M246" s="1164"/>
      <c r="N246" s="1164"/>
      <c r="O246" s="1164"/>
      <c r="P246" s="1164"/>
      <c r="Q246" s="1164"/>
      <c r="R246" s="1164"/>
      <c r="S246" s="1164"/>
      <c r="T246" s="1164"/>
      <c r="U246" s="1164"/>
      <c r="V246" s="1164"/>
      <c r="W246" s="1164"/>
      <c r="X246" s="1164"/>
      <c r="Y246" s="1164"/>
      <c r="Z246" s="1164"/>
      <c r="AA246" s="1164"/>
      <c r="AB246" s="1164"/>
      <c r="AC246" s="1164"/>
      <c r="AD246" s="1164"/>
      <c r="AE246" s="1164"/>
    </row>
    <row r="247" ht="15.75" customHeight="1">
      <c r="A247" s="852"/>
      <c r="B247" s="852"/>
      <c r="C247" s="1156"/>
      <c r="D247" s="1164"/>
      <c r="E247" s="1164"/>
      <c r="F247" s="1164"/>
      <c r="G247" s="1164"/>
      <c r="H247" s="1164"/>
      <c r="I247" s="1164"/>
      <c r="J247" s="1164"/>
      <c r="K247" s="1164"/>
      <c r="L247" s="1164"/>
      <c r="M247" s="1164"/>
      <c r="N247" s="1164"/>
      <c r="O247" s="1164"/>
      <c r="P247" s="1164"/>
      <c r="Q247" s="1164"/>
      <c r="R247" s="1164"/>
      <c r="S247" s="1164"/>
      <c r="T247" s="1164"/>
      <c r="U247" s="1164"/>
      <c r="V247" s="1164"/>
      <c r="W247" s="1164"/>
      <c r="X247" s="1164"/>
      <c r="Y247" s="1164"/>
      <c r="Z247" s="1164"/>
      <c r="AA247" s="1164"/>
      <c r="AB247" s="1164"/>
      <c r="AC247" s="1164"/>
      <c r="AD247" s="1164"/>
      <c r="AE247" s="1164"/>
    </row>
    <row r="248" ht="15.75" customHeight="1">
      <c r="A248" s="852"/>
      <c r="B248" s="852"/>
      <c r="C248" s="1156"/>
      <c r="D248" s="1164"/>
      <c r="E248" s="1164"/>
      <c r="F248" s="1164"/>
      <c r="G248" s="1164"/>
      <c r="H248" s="1164"/>
      <c r="I248" s="1164"/>
      <c r="J248" s="1164"/>
      <c r="K248" s="1164"/>
      <c r="L248" s="1164"/>
      <c r="M248" s="1164"/>
      <c r="N248" s="1164"/>
      <c r="O248" s="1164"/>
      <c r="P248" s="1164"/>
      <c r="Q248" s="1164"/>
      <c r="R248" s="1164"/>
      <c r="S248" s="1164"/>
      <c r="T248" s="1164"/>
      <c r="U248" s="1164"/>
      <c r="V248" s="1164"/>
      <c r="W248" s="1164"/>
      <c r="X248" s="1164"/>
      <c r="Y248" s="1164"/>
      <c r="Z248" s="1164"/>
      <c r="AA248" s="1164"/>
      <c r="AB248" s="1164"/>
      <c r="AC248" s="1164"/>
      <c r="AD248" s="1164"/>
      <c r="AE248" s="1164"/>
    </row>
    <row r="249" ht="15.75" customHeight="1">
      <c r="A249" s="852"/>
      <c r="B249" s="852"/>
      <c r="C249" s="1156"/>
      <c r="D249" s="1164"/>
      <c r="E249" s="1164"/>
      <c r="F249" s="1164"/>
      <c r="G249" s="1164"/>
      <c r="H249" s="1164"/>
      <c r="I249" s="1164"/>
      <c r="J249" s="1164"/>
      <c r="K249" s="1164"/>
      <c r="L249" s="1164"/>
      <c r="M249" s="1164"/>
      <c r="N249" s="1164"/>
      <c r="O249" s="1164"/>
      <c r="P249" s="1164"/>
      <c r="Q249" s="1164"/>
      <c r="R249" s="1164"/>
      <c r="S249" s="1164"/>
      <c r="T249" s="1164"/>
      <c r="U249" s="1164"/>
      <c r="V249" s="1164"/>
      <c r="W249" s="1164"/>
      <c r="X249" s="1164"/>
      <c r="Y249" s="1164"/>
      <c r="Z249" s="1164"/>
      <c r="AA249" s="1164"/>
      <c r="AB249" s="1164"/>
      <c r="AC249" s="1164"/>
      <c r="AD249" s="1164"/>
      <c r="AE249" s="1164"/>
    </row>
    <row r="250" ht="15.75" customHeight="1">
      <c r="A250" s="852"/>
      <c r="B250" s="852"/>
      <c r="C250" s="1156"/>
      <c r="D250" s="1164"/>
      <c r="E250" s="1164"/>
      <c r="F250" s="1164"/>
      <c r="G250" s="1164"/>
      <c r="H250" s="1164"/>
      <c r="I250" s="1164"/>
      <c r="J250" s="1164"/>
      <c r="K250" s="1164"/>
      <c r="L250" s="1164"/>
      <c r="M250" s="1164"/>
      <c r="N250" s="1164"/>
      <c r="O250" s="1164"/>
      <c r="P250" s="1164"/>
      <c r="Q250" s="1164"/>
      <c r="R250" s="1164"/>
      <c r="S250" s="1164"/>
      <c r="T250" s="1164"/>
      <c r="U250" s="1164"/>
      <c r="V250" s="1164"/>
      <c r="W250" s="1164"/>
      <c r="X250" s="1164"/>
      <c r="Y250" s="1164"/>
      <c r="Z250" s="1164"/>
      <c r="AA250" s="1164"/>
      <c r="AB250" s="1164"/>
      <c r="AC250" s="1164"/>
      <c r="AD250" s="1164"/>
      <c r="AE250" s="1164"/>
    </row>
    <row r="251" ht="15.75" customHeight="1">
      <c r="A251" s="852"/>
      <c r="B251" s="852"/>
      <c r="C251" s="1156"/>
      <c r="D251" s="1164"/>
      <c r="E251" s="1164"/>
      <c r="F251" s="1164"/>
      <c r="G251" s="1164"/>
      <c r="H251" s="1164"/>
      <c r="I251" s="1164"/>
      <c r="J251" s="1164"/>
      <c r="K251" s="1164"/>
      <c r="L251" s="1164"/>
      <c r="M251" s="1164"/>
      <c r="N251" s="1164"/>
      <c r="O251" s="1164"/>
      <c r="P251" s="1164"/>
      <c r="Q251" s="1164"/>
      <c r="R251" s="1164"/>
      <c r="S251" s="1164"/>
      <c r="T251" s="1164"/>
      <c r="U251" s="1164"/>
      <c r="V251" s="1164"/>
      <c r="W251" s="1164"/>
      <c r="X251" s="1164"/>
      <c r="Y251" s="1164"/>
      <c r="Z251" s="1164"/>
      <c r="AA251" s="1164"/>
      <c r="AB251" s="1164"/>
      <c r="AC251" s="1164"/>
      <c r="AD251" s="1164"/>
      <c r="AE251" s="1164"/>
    </row>
    <row r="252" ht="15.75" customHeight="1">
      <c r="A252" s="852"/>
      <c r="B252" s="852"/>
      <c r="C252" s="1156"/>
      <c r="D252" s="1164"/>
      <c r="E252" s="1164"/>
      <c r="F252" s="1164"/>
      <c r="G252" s="1164"/>
      <c r="H252" s="1164"/>
      <c r="I252" s="1164"/>
      <c r="J252" s="1164"/>
      <c r="K252" s="1164"/>
      <c r="L252" s="1164"/>
      <c r="M252" s="1164"/>
      <c r="N252" s="1164"/>
      <c r="O252" s="1164"/>
      <c r="P252" s="1164"/>
      <c r="Q252" s="1164"/>
      <c r="R252" s="1164"/>
      <c r="S252" s="1164"/>
      <c r="T252" s="1164"/>
      <c r="U252" s="1164"/>
      <c r="V252" s="1164"/>
      <c r="W252" s="1164"/>
      <c r="X252" s="1164"/>
      <c r="Y252" s="1164"/>
      <c r="Z252" s="1164"/>
      <c r="AA252" s="1164"/>
      <c r="AB252" s="1164"/>
      <c r="AC252" s="1164"/>
      <c r="AD252" s="1164"/>
      <c r="AE252" s="1164"/>
    </row>
    <row r="253" ht="15.75" customHeight="1">
      <c r="A253" s="852"/>
      <c r="B253" s="852"/>
      <c r="C253" s="1156"/>
      <c r="D253" s="1164"/>
      <c r="E253" s="1164"/>
      <c r="F253" s="1164"/>
      <c r="G253" s="1164"/>
      <c r="H253" s="1164"/>
      <c r="I253" s="1164"/>
      <c r="J253" s="1164"/>
      <c r="K253" s="1164"/>
      <c r="L253" s="1164"/>
      <c r="M253" s="1164"/>
      <c r="N253" s="1164"/>
      <c r="O253" s="1164"/>
      <c r="P253" s="1164"/>
      <c r="Q253" s="1164"/>
      <c r="R253" s="1164"/>
      <c r="S253" s="1164"/>
      <c r="T253" s="1164"/>
      <c r="U253" s="1164"/>
      <c r="V253" s="1164"/>
      <c r="W253" s="1164"/>
      <c r="X253" s="1164"/>
      <c r="Y253" s="1164"/>
      <c r="Z253" s="1164"/>
      <c r="AA253" s="1164"/>
      <c r="AB253" s="1164"/>
      <c r="AC253" s="1164"/>
      <c r="AD253" s="1164"/>
      <c r="AE253" s="1164"/>
    </row>
    <row r="254" ht="15.75" customHeight="1">
      <c r="A254" s="852"/>
      <c r="B254" s="852"/>
      <c r="C254" s="1156"/>
      <c r="D254" s="1164"/>
      <c r="E254" s="1164"/>
      <c r="F254" s="1164"/>
      <c r="G254" s="1164"/>
      <c r="H254" s="1164"/>
      <c r="I254" s="1164"/>
      <c r="J254" s="1164"/>
      <c r="K254" s="1164"/>
      <c r="L254" s="1164"/>
      <c r="M254" s="1164"/>
      <c r="N254" s="1164"/>
      <c r="O254" s="1164"/>
      <c r="P254" s="1164"/>
      <c r="Q254" s="1164"/>
      <c r="R254" s="1164"/>
      <c r="S254" s="1164"/>
      <c r="T254" s="1164"/>
      <c r="U254" s="1164"/>
      <c r="V254" s="1164"/>
      <c r="W254" s="1164"/>
      <c r="X254" s="1164"/>
      <c r="Y254" s="1164"/>
      <c r="Z254" s="1164"/>
      <c r="AA254" s="1164"/>
      <c r="AB254" s="1164"/>
      <c r="AC254" s="1164"/>
      <c r="AD254" s="1164"/>
      <c r="AE254" s="1164"/>
    </row>
    <row r="255" ht="15.75" customHeight="1">
      <c r="A255" s="852"/>
      <c r="B255" s="852"/>
      <c r="C255" s="1156"/>
      <c r="D255" s="1164"/>
      <c r="E255" s="1164"/>
      <c r="F255" s="1164"/>
      <c r="G255" s="1164"/>
      <c r="H255" s="1164"/>
      <c r="I255" s="1164"/>
      <c r="J255" s="1164"/>
      <c r="K255" s="1164"/>
      <c r="L255" s="1164"/>
      <c r="M255" s="1164"/>
      <c r="N255" s="1164"/>
      <c r="O255" s="1164"/>
      <c r="P255" s="1164"/>
      <c r="Q255" s="1164"/>
      <c r="R255" s="1164"/>
      <c r="S255" s="1164"/>
      <c r="T255" s="1164"/>
      <c r="U255" s="1164"/>
      <c r="V255" s="1164"/>
      <c r="W255" s="1164"/>
      <c r="X255" s="1164"/>
      <c r="Y255" s="1164"/>
      <c r="Z255" s="1164"/>
      <c r="AA255" s="1164"/>
      <c r="AB255" s="1164"/>
      <c r="AC255" s="1164"/>
      <c r="AD255" s="1164"/>
      <c r="AE255" s="1164"/>
    </row>
    <row r="256" ht="15.75" customHeight="1">
      <c r="A256" s="852"/>
      <c r="B256" s="852"/>
      <c r="C256" s="1156"/>
      <c r="D256" s="1164"/>
      <c r="E256" s="1164"/>
      <c r="F256" s="1164"/>
      <c r="G256" s="1164"/>
      <c r="H256" s="1164"/>
      <c r="I256" s="1164"/>
      <c r="J256" s="1164"/>
      <c r="K256" s="1164"/>
      <c r="L256" s="1164"/>
      <c r="M256" s="1164"/>
      <c r="N256" s="1164"/>
      <c r="O256" s="1164"/>
      <c r="P256" s="1164"/>
      <c r="Q256" s="1164"/>
      <c r="R256" s="1164"/>
      <c r="S256" s="1164"/>
      <c r="T256" s="1164"/>
      <c r="U256" s="1164"/>
      <c r="V256" s="1164"/>
      <c r="W256" s="1164"/>
      <c r="X256" s="1164"/>
      <c r="Y256" s="1164"/>
      <c r="Z256" s="1164"/>
      <c r="AA256" s="1164"/>
      <c r="AB256" s="1164"/>
      <c r="AC256" s="1164"/>
      <c r="AD256" s="1164"/>
      <c r="AE256" s="1164"/>
    </row>
    <row r="257" ht="15.75" customHeight="1">
      <c r="A257" s="852"/>
      <c r="B257" s="852"/>
      <c r="C257" s="1156"/>
      <c r="D257" s="1164"/>
      <c r="E257" s="1164"/>
      <c r="F257" s="1164"/>
      <c r="G257" s="1164"/>
      <c r="H257" s="1164"/>
      <c r="I257" s="1164"/>
      <c r="J257" s="1164"/>
      <c r="K257" s="1164"/>
      <c r="L257" s="1164"/>
      <c r="M257" s="1164"/>
      <c r="N257" s="1164"/>
      <c r="O257" s="1164"/>
      <c r="P257" s="1164"/>
      <c r="Q257" s="1164"/>
      <c r="R257" s="1164"/>
      <c r="S257" s="1164"/>
      <c r="T257" s="1164"/>
      <c r="U257" s="1164"/>
      <c r="V257" s="1164"/>
      <c r="W257" s="1164"/>
      <c r="X257" s="1164"/>
      <c r="Y257" s="1164"/>
      <c r="Z257" s="1164"/>
      <c r="AA257" s="1164"/>
      <c r="AB257" s="1164"/>
      <c r="AC257" s="1164"/>
      <c r="AD257" s="1164"/>
      <c r="AE257" s="1164"/>
    </row>
    <row r="258" ht="15.75" customHeight="1">
      <c r="A258" s="852"/>
      <c r="B258" s="852"/>
      <c r="C258" s="1156"/>
      <c r="D258" s="1164"/>
      <c r="E258" s="1164"/>
      <c r="F258" s="1164"/>
      <c r="G258" s="1164"/>
      <c r="H258" s="1164"/>
      <c r="I258" s="1164"/>
      <c r="J258" s="1164"/>
      <c r="K258" s="1164"/>
      <c r="L258" s="1164"/>
      <c r="M258" s="1164"/>
      <c r="N258" s="1164"/>
      <c r="O258" s="1164"/>
      <c r="P258" s="1164"/>
      <c r="Q258" s="1164"/>
      <c r="R258" s="1164"/>
      <c r="S258" s="1164"/>
      <c r="T258" s="1164"/>
      <c r="U258" s="1164"/>
      <c r="V258" s="1164"/>
      <c r="W258" s="1164"/>
      <c r="X258" s="1164"/>
      <c r="Y258" s="1164"/>
      <c r="Z258" s="1164"/>
      <c r="AA258" s="1164"/>
      <c r="AB258" s="1164"/>
      <c r="AC258" s="1164"/>
      <c r="AD258" s="1164"/>
      <c r="AE258" s="1164"/>
    </row>
    <row r="259" ht="15.75" customHeight="1">
      <c r="A259" s="852"/>
      <c r="B259" s="852"/>
      <c r="C259" s="1156"/>
      <c r="D259" s="1164"/>
      <c r="E259" s="1164"/>
      <c r="F259" s="1164"/>
      <c r="G259" s="1164"/>
      <c r="H259" s="1164"/>
      <c r="I259" s="1164"/>
      <c r="J259" s="1164"/>
      <c r="K259" s="1164"/>
      <c r="L259" s="1164"/>
      <c r="M259" s="1164"/>
      <c r="N259" s="1164"/>
      <c r="O259" s="1164"/>
      <c r="P259" s="1164"/>
      <c r="Q259" s="1164"/>
      <c r="R259" s="1164"/>
      <c r="S259" s="1164"/>
      <c r="T259" s="1164"/>
      <c r="U259" s="1164"/>
      <c r="V259" s="1164"/>
      <c r="W259" s="1164"/>
      <c r="X259" s="1164"/>
      <c r="Y259" s="1164"/>
      <c r="Z259" s="1164"/>
      <c r="AA259" s="1164"/>
      <c r="AB259" s="1164"/>
      <c r="AC259" s="1164"/>
      <c r="AD259" s="1164"/>
      <c r="AE259" s="1164"/>
    </row>
    <row r="260" ht="15.75" customHeight="1">
      <c r="A260" s="852"/>
      <c r="B260" s="852"/>
      <c r="C260" s="1156"/>
      <c r="D260" s="1164"/>
      <c r="E260" s="1164"/>
      <c r="F260" s="1164"/>
      <c r="G260" s="1164"/>
      <c r="H260" s="1164"/>
      <c r="I260" s="1164"/>
      <c r="J260" s="1164"/>
      <c r="K260" s="1164"/>
      <c r="L260" s="1164"/>
      <c r="M260" s="1164"/>
      <c r="N260" s="1164"/>
      <c r="O260" s="1164"/>
      <c r="P260" s="1164"/>
      <c r="Q260" s="1164"/>
      <c r="R260" s="1164"/>
      <c r="S260" s="1164"/>
      <c r="T260" s="1164"/>
      <c r="U260" s="1164"/>
      <c r="V260" s="1164"/>
      <c r="W260" s="1164"/>
      <c r="X260" s="1164"/>
      <c r="Y260" s="1164"/>
      <c r="Z260" s="1164"/>
      <c r="AA260" s="1164"/>
      <c r="AB260" s="1164"/>
      <c r="AC260" s="1164"/>
      <c r="AD260" s="1164"/>
      <c r="AE260" s="1164"/>
    </row>
    <row r="261" ht="15.75" customHeight="1">
      <c r="A261" s="852"/>
      <c r="B261" s="852"/>
      <c r="C261" s="1156"/>
      <c r="D261" s="1164"/>
      <c r="E261" s="1164"/>
      <c r="F261" s="1164"/>
      <c r="G261" s="1164"/>
      <c r="H261" s="1164"/>
      <c r="I261" s="1164"/>
      <c r="J261" s="1164"/>
      <c r="K261" s="1164"/>
      <c r="L261" s="1164"/>
      <c r="M261" s="1164"/>
      <c r="N261" s="1164"/>
      <c r="O261" s="1164"/>
      <c r="P261" s="1164"/>
      <c r="Q261" s="1164"/>
      <c r="R261" s="1164"/>
      <c r="S261" s="1164"/>
      <c r="T261" s="1164"/>
      <c r="U261" s="1164"/>
      <c r="V261" s="1164"/>
      <c r="W261" s="1164"/>
      <c r="X261" s="1164"/>
      <c r="Y261" s="1164"/>
      <c r="Z261" s="1164"/>
      <c r="AA261" s="1164"/>
      <c r="AB261" s="1164"/>
      <c r="AC261" s="1164"/>
      <c r="AD261" s="1164"/>
      <c r="AE261" s="1164"/>
    </row>
    <row r="262" ht="15.75" customHeight="1">
      <c r="A262" s="852"/>
      <c r="B262" s="852"/>
      <c r="C262" s="1156"/>
      <c r="D262" s="1164"/>
      <c r="E262" s="1164"/>
      <c r="F262" s="1164"/>
      <c r="G262" s="1164"/>
      <c r="H262" s="1164"/>
      <c r="I262" s="1164"/>
      <c r="J262" s="1164"/>
      <c r="K262" s="1164"/>
      <c r="L262" s="1164"/>
      <c r="M262" s="1164"/>
      <c r="N262" s="1164"/>
      <c r="O262" s="1164"/>
      <c r="P262" s="1164"/>
      <c r="Q262" s="1164"/>
      <c r="R262" s="1164"/>
      <c r="S262" s="1164"/>
      <c r="T262" s="1164"/>
      <c r="U262" s="1164"/>
      <c r="V262" s="1164"/>
      <c r="W262" s="1164"/>
      <c r="X262" s="1164"/>
      <c r="Y262" s="1164"/>
      <c r="Z262" s="1164"/>
      <c r="AA262" s="1164"/>
      <c r="AB262" s="1164"/>
      <c r="AC262" s="1164"/>
      <c r="AD262" s="1164"/>
      <c r="AE262" s="1164"/>
    </row>
    <row r="263" ht="15.75" customHeight="1">
      <c r="A263" s="852"/>
      <c r="B263" s="852"/>
      <c r="C263" s="1156"/>
      <c r="D263" s="1164"/>
      <c r="E263" s="1164"/>
      <c r="F263" s="1164"/>
      <c r="G263" s="1164"/>
      <c r="H263" s="1164"/>
      <c r="I263" s="1164"/>
      <c r="J263" s="1164"/>
      <c r="K263" s="1164"/>
      <c r="L263" s="1164"/>
      <c r="M263" s="1164"/>
      <c r="N263" s="1164"/>
      <c r="O263" s="1164"/>
      <c r="P263" s="1164"/>
      <c r="Q263" s="1164"/>
      <c r="R263" s="1164"/>
      <c r="S263" s="1164"/>
      <c r="T263" s="1164"/>
      <c r="U263" s="1164"/>
      <c r="V263" s="1164"/>
      <c r="W263" s="1164"/>
      <c r="X263" s="1164"/>
      <c r="Y263" s="1164"/>
      <c r="Z263" s="1164"/>
      <c r="AA263" s="1164"/>
      <c r="AB263" s="1164"/>
      <c r="AC263" s="1164"/>
      <c r="AD263" s="1164"/>
      <c r="AE263" s="1164"/>
    </row>
    <row r="264" ht="15.75" customHeight="1">
      <c r="A264" s="852"/>
      <c r="B264" s="852"/>
      <c r="C264" s="1156"/>
      <c r="D264" s="1164"/>
      <c r="E264" s="1164"/>
      <c r="F264" s="1164"/>
      <c r="G264" s="1164"/>
      <c r="H264" s="1164"/>
      <c r="I264" s="1164"/>
      <c r="J264" s="1164"/>
      <c r="K264" s="1164"/>
      <c r="L264" s="1164"/>
      <c r="M264" s="1164"/>
      <c r="N264" s="1164"/>
      <c r="O264" s="1164"/>
      <c r="P264" s="1164"/>
      <c r="Q264" s="1164"/>
      <c r="R264" s="1164"/>
      <c r="S264" s="1164"/>
      <c r="T264" s="1164"/>
      <c r="U264" s="1164"/>
      <c r="V264" s="1164"/>
      <c r="W264" s="1164"/>
      <c r="X264" s="1164"/>
      <c r="Y264" s="1164"/>
      <c r="Z264" s="1164"/>
      <c r="AA264" s="1164"/>
      <c r="AB264" s="1164"/>
      <c r="AC264" s="1164"/>
      <c r="AD264" s="1164"/>
      <c r="AE264" s="1164"/>
    </row>
    <row r="265" ht="15.75" customHeight="1">
      <c r="A265" s="852"/>
      <c r="B265" s="852"/>
      <c r="C265" s="1156"/>
      <c r="D265" s="1164"/>
      <c r="E265" s="1164"/>
      <c r="F265" s="1164"/>
      <c r="G265" s="1164"/>
      <c r="H265" s="1164"/>
      <c r="I265" s="1164"/>
      <c r="J265" s="1164"/>
      <c r="K265" s="1164"/>
      <c r="L265" s="1164"/>
      <c r="M265" s="1164"/>
      <c r="N265" s="1164"/>
      <c r="O265" s="1164"/>
      <c r="P265" s="1164"/>
      <c r="Q265" s="1164"/>
      <c r="R265" s="1164"/>
      <c r="S265" s="1164"/>
      <c r="T265" s="1164"/>
      <c r="U265" s="1164"/>
      <c r="V265" s="1164"/>
      <c r="W265" s="1164"/>
      <c r="X265" s="1164"/>
      <c r="Y265" s="1164"/>
      <c r="Z265" s="1164"/>
      <c r="AA265" s="1164"/>
      <c r="AB265" s="1164"/>
      <c r="AC265" s="1164"/>
      <c r="AD265" s="1164"/>
      <c r="AE265" s="1164"/>
    </row>
    <row r="266" ht="15.75" customHeight="1">
      <c r="A266" s="852"/>
      <c r="B266" s="852"/>
      <c r="C266" s="1156"/>
      <c r="D266" s="1164"/>
      <c r="E266" s="1164"/>
      <c r="F266" s="1164"/>
      <c r="G266" s="1164"/>
      <c r="H266" s="1164"/>
      <c r="I266" s="1164"/>
      <c r="J266" s="1164"/>
      <c r="K266" s="1164"/>
      <c r="L266" s="1164"/>
      <c r="M266" s="1164"/>
      <c r="N266" s="1164"/>
      <c r="O266" s="1164"/>
      <c r="P266" s="1164"/>
      <c r="Q266" s="1164"/>
      <c r="R266" s="1164"/>
      <c r="S266" s="1164"/>
      <c r="T266" s="1164"/>
      <c r="U266" s="1164"/>
      <c r="V266" s="1164"/>
      <c r="W266" s="1164"/>
      <c r="X266" s="1164"/>
      <c r="Y266" s="1164"/>
      <c r="Z266" s="1164"/>
      <c r="AA266" s="1164"/>
      <c r="AB266" s="1164"/>
      <c r="AC266" s="1164"/>
      <c r="AD266" s="1164"/>
      <c r="AE266" s="1164"/>
    </row>
    <row r="267" ht="15.75" customHeight="1">
      <c r="A267" s="852"/>
      <c r="B267" s="852"/>
      <c r="C267" s="1156"/>
      <c r="D267" s="1164"/>
      <c r="E267" s="1164"/>
      <c r="F267" s="1164"/>
      <c r="G267" s="1164"/>
      <c r="H267" s="1164"/>
      <c r="I267" s="1164"/>
      <c r="J267" s="1164"/>
      <c r="K267" s="1164"/>
      <c r="L267" s="1164"/>
      <c r="M267" s="1164"/>
      <c r="N267" s="1164"/>
      <c r="O267" s="1164"/>
      <c r="P267" s="1164"/>
      <c r="Q267" s="1164"/>
      <c r="R267" s="1164"/>
      <c r="S267" s="1164"/>
      <c r="T267" s="1164"/>
      <c r="U267" s="1164"/>
      <c r="V267" s="1164"/>
      <c r="W267" s="1164"/>
      <c r="X267" s="1164"/>
      <c r="Y267" s="1164"/>
      <c r="Z267" s="1164"/>
      <c r="AA267" s="1164"/>
      <c r="AB267" s="1164"/>
      <c r="AC267" s="1164"/>
      <c r="AD267" s="1164"/>
      <c r="AE267" s="1164"/>
    </row>
    <row r="268" ht="15.75" customHeight="1">
      <c r="A268" s="852"/>
      <c r="B268" s="852"/>
      <c r="C268" s="1156"/>
      <c r="D268" s="1164"/>
      <c r="E268" s="1164"/>
      <c r="F268" s="1164"/>
      <c r="G268" s="1164"/>
      <c r="H268" s="1164"/>
      <c r="I268" s="1164"/>
      <c r="J268" s="1164"/>
      <c r="K268" s="1164"/>
      <c r="L268" s="1164"/>
      <c r="M268" s="1164"/>
      <c r="N268" s="1164"/>
      <c r="O268" s="1164"/>
      <c r="P268" s="1164"/>
      <c r="Q268" s="1164"/>
      <c r="R268" s="1164"/>
      <c r="S268" s="1164"/>
      <c r="T268" s="1164"/>
      <c r="U268" s="1164"/>
      <c r="V268" s="1164"/>
      <c r="W268" s="1164"/>
      <c r="X268" s="1164"/>
      <c r="Y268" s="1164"/>
      <c r="Z268" s="1164"/>
      <c r="AA268" s="1164"/>
      <c r="AB268" s="1164"/>
      <c r="AC268" s="1164"/>
      <c r="AD268" s="1164"/>
      <c r="AE268" s="1164"/>
    </row>
    <row r="269" ht="15.75" customHeight="1">
      <c r="A269" s="852"/>
      <c r="B269" s="852"/>
      <c r="C269" s="1156"/>
      <c r="D269" s="1164"/>
      <c r="E269" s="1164"/>
      <c r="F269" s="1164"/>
      <c r="G269" s="1164"/>
      <c r="H269" s="1164"/>
      <c r="I269" s="1164"/>
      <c r="J269" s="1164"/>
      <c r="K269" s="1164"/>
      <c r="L269" s="1164"/>
      <c r="M269" s="1164"/>
      <c r="N269" s="1164"/>
      <c r="O269" s="1164"/>
      <c r="P269" s="1164"/>
      <c r="Q269" s="1164"/>
      <c r="R269" s="1164"/>
      <c r="S269" s="1164"/>
      <c r="T269" s="1164"/>
      <c r="U269" s="1164"/>
      <c r="V269" s="1164"/>
      <c r="W269" s="1164"/>
      <c r="X269" s="1164"/>
      <c r="Y269" s="1164"/>
      <c r="Z269" s="1164"/>
      <c r="AA269" s="1164"/>
      <c r="AB269" s="1164"/>
      <c r="AC269" s="1164"/>
      <c r="AD269" s="1164"/>
      <c r="AE269" s="1164"/>
    </row>
    <row r="270" ht="15.75" customHeight="1">
      <c r="A270" s="852"/>
      <c r="B270" s="852"/>
      <c r="C270" s="1156"/>
      <c r="D270" s="1164"/>
      <c r="E270" s="1164"/>
      <c r="F270" s="1164"/>
      <c r="G270" s="1164"/>
      <c r="H270" s="1164"/>
      <c r="I270" s="1164"/>
      <c r="J270" s="1164"/>
      <c r="K270" s="1164"/>
      <c r="L270" s="1164"/>
      <c r="M270" s="1164"/>
      <c r="N270" s="1164"/>
      <c r="O270" s="1164"/>
      <c r="P270" s="1164"/>
      <c r="Q270" s="1164"/>
      <c r="R270" s="1164"/>
      <c r="S270" s="1164"/>
      <c r="T270" s="1164"/>
      <c r="U270" s="1164"/>
      <c r="V270" s="1164"/>
      <c r="W270" s="1164"/>
      <c r="X270" s="1164"/>
      <c r="Y270" s="1164"/>
      <c r="Z270" s="1164"/>
      <c r="AA270" s="1164"/>
      <c r="AB270" s="1164"/>
      <c r="AC270" s="1164"/>
      <c r="AD270" s="1164"/>
      <c r="AE270" s="1164"/>
    </row>
    <row r="271" ht="15.75" customHeight="1">
      <c r="A271" s="852"/>
      <c r="B271" s="852"/>
      <c r="C271" s="1156"/>
      <c r="D271" s="1164"/>
      <c r="E271" s="1164"/>
      <c r="F271" s="1164"/>
      <c r="G271" s="1164"/>
      <c r="H271" s="1164"/>
      <c r="I271" s="1164"/>
      <c r="J271" s="1164"/>
      <c r="K271" s="1164"/>
      <c r="L271" s="1164"/>
      <c r="M271" s="1164"/>
      <c r="N271" s="1164"/>
      <c r="O271" s="1164"/>
      <c r="P271" s="1164"/>
      <c r="Q271" s="1164"/>
      <c r="R271" s="1164"/>
      <c r="S271" s="1164"/>
      <c r="T271" s="1164"/>
      <c r="U271" s="1164"/>
      <c r="V271" s="1164"/>
      <c r="W271" s="1164"/>
      <c r="X271" s="1164"/>
      <c r="Y271" s="1164"/>
      <c r="Z271" s="1164"/>
      <c r="AA271" s="1164"/>
      <c r="AB271" s="1164"/>
      <c r="AC271" s="1164"/>
      <c r="AD271" s="1164"/>
      <c r="AE271" s="1164"/>
    </row>
    <row r="272" ht="15.75" customHeight="1">
      <c r="A272" s="852"/>
      <c r="B272" s="852"/>
      <c r="C272" s="1156"/>
      <c r="D272" s="1164"/>
      <c r="E272" s="1164"/>
      <c r="F272" s="1164"/>
      <c r="G272" s="1164"/>
      <c r="H272" s="1164"/>
      <c r="I272" s="1164"/>
      <c r="J272" s="1164"/>
      <c r="K272" s="1164"/>
      <c r="L272" s="1164"/>
      <c r="M272" s="1164"/>
      <c r="N272" s="1164"/>
      <c r="O272" s="1164"/>
      <c r="P272" s="1164"/>
      <c r="Q272" s="1164"/>
      <c r="R272" s="1164"/>
      <c r="S272" s="1164"/>
      <c r="T272" s="1164"/>
      <c r="U272" s="1164"/>
      <c r="V272" s="1164"/>
      <c r="W272" s="1164"/>
      <c r="X272" s="1164"/>
      <c r="Y272" s="1164"/>
      <c r="Z272" s="1164"/>
      <c r="AA272" s="1164"/>
      <c r="AB272" s="1164"/>
      <c r="AC272" s="1164"/>
      <c r="AD272" s="1164"/>
      <c r="AE272" s="1164"/>
    </row>
    <row r="273" ht="15.75" customHeight="1">
      <c r="A273" s="852"/>
      <c r="B273" s="852"/>
      <c r="C273" s="1156"/>
      <c r="D273" s="1164"/>
      <c r="E273" s="1164"/>
      <c r="F273" s="1164"/>
      <c r="G273" s="1164"/>
      <c r="H273" s="1164"/>
      <c r="I273" s="1164"/>
      <c r="J273" s="1164"/>
      <c r="K273" s="1164"/>
      <c r="L273" s="1164"/>
      <c r="M273" s="1164"/>
      <c r="N273" s="1164"/>
      <c r="O273" s="1164"/>
      <c r="P273" s="1164"/>
      <c r="Q273" s="1164"/>
      <c r="R273" s="1164"/>
      <c r="S273" s="1164"/>
      <c r="T273" s="1164"/>
      <c r="U273" s="1164"/>
      <c r="V273" s="1164"/>
      <c r="W273" s="1164"/>
      <c r="X273" s="1164"/>
      <c r="Y273" s="1164"/>
      <c r="Z273" s="1164"/>
      <c r="AA273" s="1164"/>
      <c r="AB273" s="1164"/>
      <c r="AC273" s="1164"/>
      <c r="AD273" s="1164"/>
      <c r="AE273" s="1164"/>
    </row>
    <row r="274" ht="15.75" customHeight="1">
      <c r="A274" s="852"/>
      <c r="B274" s="852"/>
      <c r="C274" s="1156"/>
      <c r="D274" s="1164"/>
      <c r="E274" s="1164"/>
      <c r="F274" s="1164"/>
      <c r="G274" s="1164"/>
      <c r="H274" s="1164"/>
      <c r="I274" s="1164"/>
      <c r="J274" s="1164"/>
      <c r="K274" s="1164"/>
      <c r="L274" s="1164"/>
      <c r="M274" s="1164"/>
      <c r="N274" s="1164"/>
      <c r="O274" s="1164"/>
      <c r="P274" s="1164"/>
      <c r="Q274" s="1164"/>
      <c r="R274" s="1164"/>
      <c r="S274" s="1164"/>
      <c r="T274" s="1164"/>
      <c r="U274" s="1164"/>
      <c r="V274" s="1164"/>
      <c r="W274" s="1164"/>
      <c r="X274" s="1164"/>
      <c r="Y274" s="1164"/>
      <c r="Z274" s="1164"/>
      <c r="AA274" s="1164"/>
      <c r="AB274" s="1164"/>
      <c r="AC274" s="1164"/>
      <c r="AD274" s="1164"/>
      <c r="AE274" s="1164"/>
    </row>
    <row r="275" ht="15.75" customHeight="1">
      <c r="A275" s="852"/>
      <c r="B275" s="852"/>
      <c r="C275" s="1156"/>
      <c r="D275" s="1164"/>
      <c r="E275" s="1164"/>
      <c r="F275" s="1164"/>
      <c r="G275" s="1164"/>
      <c r="H275" s="1164"/>
      <c r="I275" s="1164"/>
      <c r="J275" s="1164"/>
      <c r="K275" s="1164"/>
      <c r="L275" s="1164"/>
      <c r="M275" s="1164"/>
      <c r="N275" s="1164"/>
      <c r="O275" s="1164"/>
      <c r="P275" s="1164"/>
      <c r="Q275" s="1164"/>
      <c r="R275" s="1164"/>
      <c r="S275" s="1164"/>
      <c r="T275" s="1164"/>
      <c r="U275" s="1164"/>
      <c r="V275" s="1164"/>
      <c r="W275" s="1164"/>
      <c r="X275" s="1164"/>
      <c r="Y275" s="1164"/>
      <c r="Z275" s="1164"/>
      <c r="AA275" s="1164"/>
      <c r="AB275" s="1164"/>
      <c r="AC275" s="1164"/>
      <c r="AD275" s="1164"/>
      <c r="AE275" s="1164"/>
    </row>
    <row r="276" ht="15.75" customHeight="1">
      <c r="A276" s="852"/>
      <c r="B276" s="852"/>
      <c r="C276" s="1156"/>
      <c r="D276" s="1164"/>
      <c r="E276" s="1164"/>
      <c r="F276" s="1164"/>
      <c r="G276" s="1164"/>
      <c r="H276" s="1164"/>
      <c r="I276" s="1164"/>
      <c r="J276" s="1164"/>
      <c r="K276" s="1164"/>
      <c r="L276" s="1164"/>
      <c r="M276" s="1164"/>
      <c r="N276" s="1164"/>
      <c r="O276" s="1164"/>
      <c r="P276" s="1164"/>
      <c r="Q276" s="1164"/>
      <c r="R276" s="1164"/>
      <c r="S276" s="1164"/>
      <c r="T276" s="1164"/>
      <c r="U276" s="1164"/>
      <c r="V276" s="1164"/>
      <c r="W276" s="1164"/>
      <c r="X276" s="1164"/>
      <c r="Y276" s="1164"/>
      <c r="Z276" s="1164"/>
      <c r="AA276" s="1164"/>
      <c r="AB276" s="1164"/>
      <c r="AC276" s="1164"/>
      <c r="AD276" s="1164"/>
      <c r="AE276" s="1164"/>
    </row>
    <row r="277" ht="15.75" customHeight="1">
      <c r="A277" s="852"/>
      <c r="B277" s="852"/>
      <c r="C277" s="1156"/>
      <c r="D277" s="1164"/>
      <c r="E277" s="1164"/>
      <c r="F277" s="1164"/>
      <c r="G277" s="1164"/>
      <c r="H277" s="1164"/>
      <c r="I277" s="1164"/>
      <c r="J277" s="1164"/>
      <c r="K277" s="1164"/>
      <c r="L277" s="1164"/>
      <c r="M277" s="1164"/>
      <c r="N277" s="1164"/>
      <c r="O277" s="1164"/>
      <c r="P277" s="1164"/>
      <c r="Q277" s="1164"/>
      <c r="R277" s="1164"/>
      <c r="S277" s="1164"/>
      <c r="T277" s="1164"/>
      <c r="U277" s="1164"/>
      <c r="V277" s="1164"/>
      <c r="W277" s="1164"/>
      <c r="X277" s="1164"/>
      <c r="Y277" s="1164"/>
      <c r="Z277" s="1164"/>
      <c r="AA277" s="1164"/>
      <c r="AB277" s="1164"/>
      <c r="AC277" s="1164"/>
      <c r="AD277" s="1164"/>
      <c r="AE277" s="1164"/>
    </row>
    <row r="278" ht="15.75" customHeight="1">
      <c r="A278" s="852"/>
      <c r="B278" s="852"/>
      <c r="C278" s="1156"/>
      <c r="D278" s="1164"/>
      <c r="E278" s="1164"/>
      <c r="F278" s="1164"/>
      <c r="G278" s="1164"/>
      <c r="H278" s="1164"/>
      <c r="I278" s="1164"/>
      <c r="J278" s="1164"/>
      <c r="K278" s="1164"/>
      <c r="L278" s="1164"/>
      <c r="M278" s="1164"/>
      <c r="N278" s="1164"/>
      <c r="O278" s="1164"/>
      <c r="P278" s="1164"/>
      <c r="Q278" s="1164"/>
      <c r="R278" s="1164"/>
      <c r="S278" s="1164"/>
      <c r="T278" s="1164"/>
      <c r="U278" s="1164"/>
      <c r="V278" s="1164"/>
      <c r="W278" s="1164"/>
      <c r="X278" s="1164"/>
      <c r="Y278" s="1164"/>
      <c r="Z278" s="1164"/>
      <c r="AA278" s="1164"/>
      <c r="AB278" s="1164"/>
      <c r="AC278" s="1164"/>
      <c r="AD278" s="1164"/>
      <c r="AE278" s="1164"/>
    </row>
    <row r="279" ht="15.75" customHeight="1">
      <c r="A279" s="852"/>
      <c r="B279" s="852"/>
      <c r="C279" s="1156"/>
      <c r="D279" s="1164"/>
      <c r="E279" s="1164"/>
      <c r="F279" s="1164"/>
      <c r="G279" s="1164"/>
      <c r="H279" s="1164"/>
      <c r="I279" s="1164"/>
      <c r="J279" s="1164"/>
      <c r="K279" s="1164"/>
      <c r="L279" s="1164"/>
      <c r="M279" s="1164"/>
      <c r="N279" s="1164"/>
      <c r="O279" s="1164"/>
      <c r="P279" s="1164"/>
      <c r="Q279" s="1164"/>
      <c r="R279" s="1164"/>
      <c r="S279" s="1164"/>
      <c r="T279" s="1164"/>
      <c r="U279" s="1164"/>
      <c r="V279" s="1164"/>
      <c r="W279" s="1164"/>
      <c r="X279" s="1164"/>
      <c r="Y279" s="1164"/>
      <c r="Z279" s="1164"/>
      <c r="AA279" s="1164"/>
      <c r="AB279" s="1164"/>
      <c r="AC279" s="1164"/>
      <c r="AD279" s="1164"/>
      <c r="AE279" s="1164"/>
    </row>
    <row r="280" ht="15.75" customHeight="1">
      <c r="A280" s="852"/>
      <c r="B280" s="852"/>
      <c r="C280" s="1156"/>
      <c r="D280" s="1164"/>
      <c r="E280" s="1164"/>
      <c r="F280" s="1164"/>
      <c r="G280" s="1164"/>
      <c r="H280" s="1164"/>
      <c r="I280" s="1164"/>
      <c r="J280" s="1164"/>
      <c r="K280" s="1164"/>
      <c r="L280" s="1164"/>
      <c r="M280" s="1164"/>
      <c r="N280" s="1164"/>
      <c r="O280" s="1164"/>
      <c r="P280" s="1164"/>
      <c r="Q280" s="1164"/>
      <c r="R280" s="1164"/>
      <c r="S280" s="1164"/>
      <c r="T280" s="1164"/>
      <c r="U280" s="1164"/>
      <c r="V280" s="1164"/>
      <c r="W280" s="1164"/>
      <c r="X280" s="1164"/>
      <c r="Y280" s="1164"/>
      <c r="Z280" s="1164"/>
      <c r="AA280" s="1164"/>
      <c r="AB280" s="1164"/>
      <c r="AC280" s="1164"/>
      <c r="AD280" s="1164"/>
      <c r="AE280" s="1164"/>
    </row>
    <row r="281" ht="15.75" customHeight="1">
      <c r="A281" s="852"/>
      <c r="B281" s="852"/>
      <c r="C281" s="1156"/>
      <c r="D281" s="1164"/>
      <c r="E281" s="1164"/>
      <c r="F281" s="1164"/>
      <c r="G281" s="1164"/>
      <c r="H281" s="1164"/>
      <c r="I281" s="1164"/>
      <c r="J281" s="1164"/>
      <c r="K281" s="1164"/>
      <c r="L281" s="1164"/>
      <c r="M281" s="1164"/>
      <c r="N281" s="1164"/>
      <c r="O281" s="1164"/>
      <c r="P281" s="1164"/>
      <c r="Q281" s="1164"/>
      <c r="R281" s="1164"/>
      <c r="S281" s="1164"/>
      <c r="T281" s="1164"/>
      <c r="U281" s="1164"/>
      <c r="V281" s="1164"/>
      <c r="W281" s="1164"/>
      <c r="X281" s="1164"/>
      <c r="Y281" s="1164"/>
      <c r="Z281" s="1164"/>
      <c r="AA281" s="1164"/>
      <c r="AB281" s="1164"/>
      <c r="AC281" s="1164"/>
      <c r="AD281" s="1164"/>
      <c r="AE281" s="1164"/>
    </row>
    <row r="282" ht="15.75" customHeight="1">
      <c r="A282" s="852"/>
      <c r="B282" s="852"/>
      <c r="C282" s="1156"/>
      <c r="D282" s="1164"/>
      <c r="E282" s="1164"/>
      <c r="F282" s="1164"/>
      <c r="G282" s="1164"/>
      <c r="H282" s="1164"/>
      <c r="I282" s="1164"/>
      <c r="J282" s="1164"/>
      <c r="K282" s="1164"/>
      <c r="L282" s="1164"/>
      <c r="M282" s="1164"/>
      <c r="N282" s="1164"/>
      <c r="O282" s="1164"/>
      <c r="P282" s="1164"/>
      <c r="Q282" s="1164"/>
      <c r="R282" s="1164"/>
      <c r="S282" s="1164"/>
      <c r="T282" s="1164"/>
      <c r="U282" s="1164"/>
      <c r="V282" s="1164"/>
      <c r="W282" s="1164"/>
      <c r="X282" s="1164"/>
      <c r="Y282" s="1164"/>
      <c r="Z282" s="1164"/>
      <c r="AA282" s="1164"/>
      <c r="AB282" s="1164"/>
      <c r="AC282" s="1164"/>
      <c r="AD282" s="1164"/>
      <c r="AE282" s="1164"/>
    </row>
    <row r="283" ht="15.75" customHeight="1">
      <c r="A283" s="852"/>
      <c r="B283" s="852"/>
      <c r="C283" s="1156"/>
      <c r="D283" s="1164"/>
      <c r="E283" s="1164"/>
      <c r="F283" s="1164"/>
      <c r="G283" s="1164"/>
      <c r="H283" s="1164"/>
      <c r="I283" s="1164"/>
      <c r="J283" s="1164"/>
      <c r="K283" s="1164"/>
      <c r="L283" s="1164"/>
      <c r="M283" s="1164"/>
      <c r="N283" s="1164"/>
      <c r="O283" s="1164"/>
      <c r="P283" s="1164"/>
      <c r="Q283" s="1164"/>
      <c r="R283" s="1164"/>
      <c r="S283" s="1164"/>
      <c r="T283" s="1164"/>
      <c r="U283" s="1164"/>
      <c r="V283" s="1164"/>
      <c r="W283" s="1164"/>
      <c r="X283" s="1164"/>
      <c r="Y283" s="1164"/>
      <c r="Z283" s="1164"/>
      <c r="AA283" s="1164"/>
      <c r="AB283" s="1164"/>
      <c r="AC283" s="1164"/>
      <c r="AD283" s="1164"/>
      <c r="AE283" s="1164"/>
    </row>
    <row r="284" ht="15.75" customHeight="1">
      <c r="A284" s="852"/>
      <c r="B284" s="852"/>
      <c r="C284" s="1156"/>
      <c r="D284" s="1164"/>
      <c r="E284" s="1164"/>
      <c r="F284" s="1164"/>
      <c r="G284" s="1164"/>
      <c r="H284" s="1164"/>
      <c r="I284" s="1164"/>
      <c r="J284" s="1164"/>
      <c r="K284" s="1164"/>
      <c r="L284" s="1164"/>
      <c r="M284" s="1164"/>
      <c r="N284" s="1164"/>
      <c r="O284" s="1164"/>
      <c r="P284" s="1164"/>
      <c r="Q284" s="1164"/>
      <c r="R284" s="1164"/>
      <c r="S284" s="1164"/>
      <c r="T284" s="1164"/>
      <c r="U284" s="1164"/>
      <c r="V284" s="1164"/>
      <c r="W284" s="1164"/>
      <c r="X284" s="1164"/>
      <c r="Y284" s="1164"/>
      <c r="Z284" s="1164"/>
      <c r="AA284" s="1164"/>
      <c r="AB284" s="1164"/>
      <c r="AC284" s="1164"/>
      <c r="AD284" s="1164"/>
      <c r="AE284" s="1164"/>
    </row>
    <row r="285" ht="15.75" customHeight="1">
      <c r="A285" s="852"/>
      <c r="B285" s="852"/>
      <c r="C285" s="1156"/>
      <c r="D285" s="1164"/>
      <c r="E285" s="1164"/>
      <c r="F285" s="1164"/>
      <c r="G285" s="1164"/>
      <c r="H285" s="1164"/>
      <c r="I285" s="1164"/>
      <c r="J285" s="1164"/>
      <c r="K285" s="1164"/>
      <c r="L285" s="1164"/>
      <c r="M285" s="1164"/>
      <c r="N285" s="1164"/>
      <c r="O285" s="1164"/>
      <c r="P285" s="1164"/>
      <c r="Q285" s="1164"/>
      <c r="R285" s="1164"/>
      <c r="S285" s="1164"/>
      <c r="T285" s="1164"/>
      <c r="U285" s="1164"/>
      <c r="V285" s="1164"/>
      <c r="W285" s="1164"/>
      <c r="X285" s="1164"/>
      <c r="Y285" s="1164"/>
      <c r="Z285" s="1164"/>
      <c r="AA285" s="1164"/>
      <c r="AB285" s="1164"/>
      <c r="AC285" s="1164"/>
      <c r="AD285" s="1164"/>
      <c r="AE285" s="1164"/>
    </row>
    <row r="286" ht="15.75" customHeight="1">
      <c r="A286" s="852"/>
      <c r="B286" s="852"/>
      <c r="C286" s="1156"/>
      <c r="D286" s="1164"/>
      <c r="E286" s="1164"/>
      <c r="F286" s="1164"/>
      <c r="G286" s="1164"/>
      <c r="H286" s="1164"/>
      <c r="I286" s="1164"/>
      <c r="J286" s="1164"/>
      <c r="K286" s="1164"/>
      <c r="L286" s="1164"/>
      <c r="M286" s="1164"/>
      <c r="N286" s="1164"/>
      <c r="O286" s="1164"/>
      <c r="P286" s="1164"/>
      <c r="Q286" s="1164"/>
      <c r="R286" s="1164"/>
      <c r="S286" s="1164"/>
      <c r="T286" s="1164"/>
      <c r="U286" s="1164"/>
      <c r="V286" s="1164"/>
      <c r="W286" s="1164"/>
      <c r="X286" s="1164"/>
      <c r="Y286" s="1164"/>
      <c r="Z286" s="1164"/>
      <c r="AA286" s="1164"/>
      <c r="AB286" s="1164"/>
      <c r="AC286" s="1164"/>
      <c r="AD286" s="1164"/>
      <c r="AE286" s="1164"/>
    </row>
    <row r="287" ht="15.75" customHeight="1">
      <c r="A287" s="852"/>
      <c r="B287" s="852"/>
      <c r="C287" s="1156"/>
      <c r="D287" s="1164"/>
      <c r="E287" s="1164"/>
      <c r="F287" s="1164"/>
      <c r="G287" s="1164"/>
      <c r="H287" s="1164"/>
      <c r="I287" s="1164"/>
      <c r="J287" s="1164"/>
      <c r="K287" s="1164"/>
      <c r="L287" s="1164"/>
      <c r="M287" s="1164"/>
      <c r="N287" s="1164"/>
      <c r="O287" s="1164"/>
      <c r="P287" s="1164"/>
      <c r="Q287" s="1164"/>
      <c r="R287" s="1164"/>
      <c r="S287" s="1164"/>
      <c r="T287" s="1164"/>
      <c r="U287" s="1164"/>
      <c r="V287" s="1164"/>
      <c r="W287" s="1164"/>
      <c r="X287" s="1164"/>
      <c r="Y287" s="1164"/>
      <c r="Z287" s="1164"/>
      <c r="AA287" s="1164"/>
      <c r="AB287" s="1164"/>
      <c r="AC287" s="1164"/>
      <c r="AD287" s="1164"/>
      <c r="AE287" s="1164"/>
    </row>
    <row r="288" ht="15.75" customHeight="1">
      <c r="A288" s="852"/>
      <c r="B288" s="852"/>
      <c r="C288" s="1156"/>
      <c r="D288" s="1164"/>
      <c r="E288" s="1164"/>
      <c r="F288" s="1164"/>
      <c r="G288" s="1164"/>
      <c r="H288" s="1164"/>
      <c r="I288" s="1164"/>
      <c r="J288" s="1164"/>
      <c r="K288" s="1164"/>
      <c r="L288" s="1164"/>
      <c r="M288" s="1164"/>
      <c r="N288" s="1164"/>
      <c r="O288" s="1164"/>
      <c r="P288" s="1164"/>
      <c r="Q288" s="1164"/>
      <c r="R288" s="1164"/>
      <c r="S288" s="1164"/>
      <c r="T288" s="1164"/>
      <c r="U288" s="1164"/>
      <c r="V288" s="1164"/>
      <c r="W288" s="1164"/>
      <c r="X288" s="1164"/>
      <c r="Y288" s="1164"/>
      <c r="Z288" s="1164"/>
      <c r="AA288" s="1164"/>
      <c r="AB288" s="1164"/>
      <c r="AC288" s="1164"/>
      <c r="AD288" s="1164"/>
      <c r="AE288" s="1164"/>
    </row>
    <row r="289" ht="15.75" customHeight="1">
      <c r="A289" s="852"/>
      <c r="B289" s="852"/>
      <c r="C289" s="1156"/>
      <c r="D289" s="1164"/>
      <c r="E289" s="1164"/>
      <c r="F289" s="1164"/>
      <c r="G289" s="1164"/>
      <c r="H289" s="1164"/>
      <c r="I289" s="1164"/>
      <c r="J289" s="1164"/>
      <c r="K289" s="1164"/>
      <c r="L289" s="1164"/>
      <c r="M289" s="1164"/>
      <c r="N289" s="1164"/>
      <c r="O289" s="1164"/>
      <c r="P289" s="1164"/>
      <c r="Q289" s="1164"/>
      <c r="R289" s="1164"/>
      <c r="S289" s="1164"/>
      <c r="T289" s="1164"/>
      <c r="U289" s="1164"/>
      <c r="V289" s="1164"/>
      <c r="W289" s="1164"/>
      <c r="X289" s="1164"/>
      <c r="Y289" s="1164"/>
      <c r="Z289" s="1164"/>
      <c r="AA289" s="1164"/>
      <c r="AB289" s="1164"/>
      <c r="AC289" s="1164"/>
      <c r="AD289" s="1164"/>
      <c r="AE289" s="1164"/>
    </row>
    <row r="290" ht="15.75" customHeight="1">
      <c r="A290" s="852"/>
      <c r="B290" s="852"/>
      <c r="C290" s="1156"/>
      <c r="D290" s="1164"/>
      <c r="E290" s="1164"/>
      <c r="F290" s="1164"/>
      <c r="G290" s="1164"/>
      <c r="H290" s="1164"/>
      <c r="I290" s="1164"/>
      <c r="J290" s="1164"/>
      <c r="K290" s="1164"/>
      <c r="L290" s="1164"/>
      <c r="M290" s="1164"/>
      <c r="N290" s="1164"/>
      <c r="O290" s="1164"/>
      <c r="P290" s="1164"/>
      <c r="Q290" s="1164"/>
      <c r="R290" s="1164"/>
      <c r="S290" s="1164"/>
      <c r="T290" s="1164"/>
      <c r="U290" s="1164"/>
      <c r="V290" s="1164"/>
      <c r="W290" s="1164"/>
      <c r="X290" s="1164"/>
      <c r="Y290" s="1164"/>
      <c r="Z290" s="1164"/>
      <c r="AA290" s="1164"/>
      <c r="AB290" s="1164"/>
      <c r="AC290" s="1164"/>
      <c r="AD290" s="1164"/>
      <c r="AE290" s="1164"/>
    </row>
    <row r="291" ht="15.75" customHeight="1">
      <c r="A291" s="852"/>
      <c r="B291" s="852"/>
      <c r="C291" s="1156"/>
      <c r="D291" s="1164"/>
      <c r="E291" s="1164"/>
      <c r="F291" s="1164"/>
      <c r="G291" s="1164"/>
      <c r="H291" s="1164"/>
      <c r="I291" s="1164"/>
      <c r="J291" s="1164"/>
      <c r="K291" s="1164"/>
      <c r="L291" s="1164"/>
      <c r="M291" s="1164"/>
      <c r="N291" s="1164"/>
      <c r="O291" s="1164"/>
      <c r="P291" s="1164"/>
      <c r="Q291" s="1164"/>
      <c r="R291" s="1164"/>
      <c r="S291" s="1164"/>
      <c r="T291" s="1164"/>
      <c r="U291" s="1164"/>
      <c r="V291" s="1164"/>
      <c r="W291" s="1164"/>
      <c r="X291" s="1164"/>
      <c r="Y291" s="1164"/>
      <c r="Z291" s="1164"/>
      <c r="AA291" s="1164"/>
      <c r="AB291" s="1164"/>
      <c r="AC291" s="1164"/>
      <c r="AD291" s="1164"/>
      <c r="AE291" s="1164"/>
    </row>
    <row r="292" ht="15.75" customHeight="1">
      <c r="A292" s="852"/>
      <c r="B292" s="852"/>
      <c r="C292" s="1156"/>
      <c r="D292" s="1164"/>
      <c r="E292" s="1164"/>
      <c r="F292" s="1164"/>
      <c r="G292" s="1164"/>
      <c r="H292" s="1164"/>
      <c r="I292" s="1164"/>
      <c r="J292" s="1164"/>
      <c r="K292" s="1164"/>
      <c r="L292" s="1164"/>
      <c r="M292" s="1164"/>
      <c r="N292" s="1164"/>
      <c r="O292" s="1164"/>
      <c r="P292" s="1164"/>
      <c r="Q292" s="1164"/>
      <c r="R292" s="1164"/>
      <c r="S292" s="1164"/>
      <c r="T292" s="1164"/>
      <c r="U292" s="1164"/>
      <c r="V292" s="1164"/>
      <c r="W292" s="1164"/>
      <c r="X292" s="1164"/>
      <c r="Y292" s="1164"/>
      <c r="Z292" s="1164"/>
      <c r="AA292" s="1164"/>
      <c r="AB292" s="1164"/>
      <c r="AC292" s="1164"/>
      <c r="AD292" s="1164"/>
      <c r="AE292" s="1164"/>
    </row>
    <row r="293" ht="15.75" customHeight="1">
      <c r="A293" s="852"/>
      <c r="B293" s="852"/>
      <c r="C293" s="1156"/>
      <c r="D293" s="1164"/>
      <c r="E293" s="1164"/>
      <c r="F293" s="1164"/>
      <c r="G293" s="1164"/>
      <c r="H293" s="1164"/>
      <c r="I293" s="1164"/>
      <c r="J293" s="1164"/>
      <c r="K293" s="1164"/>
      <c r="L293" s="1164"/>
      <c r="M293" s="1164"/>
      <c r="N293" s="1164"/>
      <c r="O293" s="1164"/>
      <c r="P293" s="1164"/>
      <c r="Q293" s="1164"/>
      <c r="R293" s="1164"/>
      <c r="S293" s="1164"/>
      <c r="T293" s="1164"/>
      <c r="U293" s="1164"/>
      <c r="V293" s="1164"/>
      <c r="W293" s="1164"/>
      <c r="X293" s="1164"/>
      <c r="Y293" s="1164"/>
      <c r="Z293" s="1164"/>
      <c r="AA293" s="1164"/>
      <c r="AB293" s="1164"/>
      <c r="AC293" s="1164"/>
      <c r="AD293" s="1164"/>
      <c r="AE293" s="1164"/>
    </row>
    <row r="294" ht="15.75" customHeight="1">
      <c r="A294" s="852"/>
      <c r="B294" s="852"/>
      <c r="C294" s="1156"/>
      <c r="D294" s="1164"/>
      <c r="E294" s="1164"/>
      <c r="F294" s="1164"/>
      <c r="G294" s="1164"/>
      <c r="H294" s="1164"/>
      <c r="I294" s="1164"/>
      <c r="J294" s="1164"/>
      <c r="K294" s="1164"/>
      <c r="L294" s="1164"/>
      <c r="M294" s="1164"/>
      <c r="N294" s="1164"/>
      <c r="O294" s="1164"/>
      <c r="P294" s="1164"/>
      <c r="Q294" s="1164"/>
      <c r="R294" s="1164"/>
      <c r="S294" s="1164"/>
      <c r="T294" s="1164"/>
      <c r="U294" s="1164"/>
      <c r="V294" s="1164"/>
      <c r="W294" s="1164"/>
      <c r="X294" s="1164"/>
      <c r="Y294" s="1164"/>
      <c r="Z294" s="1164"/>
      <c r="AA294" s="1164"/>
      <c r="AB294" s="1164"/>
      <c r="AC294" s="1164"/>
      <c r="AD294" s="1164"/>
      <c r="AE294" s="1164"/>
    </row>
    <row r="295" ht="15.75" customHeight="1">
      <c r="A295" s="852"/>
      <c r="B295" s="852"/>
      <c r="C295" s="1156"/>
      <c r="D295" s="1164"/>
      <c r="E295" s="1164"/>
      <c r="F295" s="1164"/>
      <c r="G295" s="1164"/>
      <c r="H295" s="1164"/>
      <c r="I295" s="1164"/>
      <c r="J295" s="1164"/>
      <c r="K295" s="1164"/>
      <c r="L295" s="1164"/>
      <c r="M295" s="1164"/>
      <c r="N295" s="1164"/>
      <c r="O295" s="1164"/>
      <c r="P295" s="1164"/>
      <c r="Q295" s="1164"/>
      <c r="R295" s="1164"/>
      <c r="S295" s="1164"/>
      <c r="T295" s="1164"/>
      <c r="U295" s="1164"/>
      <c r="V295" s="1164"/>
      <c r="W295" s="1164"/>
      <c r="X295" s="1164"/>
      <c r="Y295" s="1164"/>
      <c r="Z295" s="1164"/>
      <c r="AA295" s="1164"/>
      <c r="AB295" s="1164"/>
      <c r="AC295" s="1164"/>
      <c r="AD295" s="1164"/>
      <c r="AE295" s="1164"/>
    </row>
    <row r="296" ht="15.75" customHeight="1">
      <c r="A296" s="852"/>
      <c r="B296" s="852"/>
      <c r="C296" s="1156"/>
      <c r="D296" s="1164"/>
      <c r="E296" s="1164"/>
      <c r="F296" s="1164"/>
      <c r="G296" s="1164"/>
      <c r="H296" s="1164"/>
      <c r="I296" s="1164"/>
      <c r="J296" s="1164"/>
      <c r="K296" s="1164"/>
      <c r="L296" s="1164"/>
      <c r="M296" s="1164"/>
      <c r="N296" s="1164"/>
      <c r="O296" s="1164"/>
      <c r="P296" s="1164"/>
      <c r="Q296" s="1164"/>
      <c r="R296" s="1164"/>
      <c r="S296" s="1164"/>
      <c r="T296" s="1164"/>
      <c r="U296" s="1164"/>
      <c r="V296" s="1164"/>
      <c r="W296" s="1164"/>
      <c r="X296" s="1164"/>
      <c r="Y296" s="1164"/>
      <c r="Z296" s="1164"/>
      <c r="AA296" s="1164"/>
      <c r="AB296" s="1164"/>
      <c r="AC296" s="1164"/>
      <c r="AD296" s="1164"/>
      <c r="AE296" s="1164"/>
    </row>
    <row r="297" ht="15.75" customHeight="1">
      <c r="A297" s="852"/>
      <c r="B297" s="852"/>
      <c r="C297" s="1156"/>
      <c r="D297" s="1164"/>
      <c r="E297" s="1164"/>
      <c r="F297" s="1164"/>
      <c r="G297" s="1164"/>
      <c r="H297" s="1164"/>
      <c r="I297" s="1164"/>
      <c r="J297" s="1164"/>
      <c r="K297" s="1164"/>
      <c r="L297" s="1164"/>
      <c r="M297" s="1164"/>
      <c r="N297" s="1164"/>
      <c r="O297" s="1164"/>
      <c r="P297" s="1164"/>
      <c r="Q297" s="1164"/>
      <c r="R297" s="1164"/>
      <c r="S297" s="1164"/>
      <c r="T297" s="1164"/>
      <c r="U297" s="1164"/>
      <c r="V297" s="1164"/>
      <c r="W297" s="1164"/>
      <c r="X297" s="1164"/>
      <c r="Y297" s="1164"/>
      <c r="Z297" s="1164"/>
      <c r="AA297" s="1164"/>
      <c r="AB297" s="1164"/>
      <c r="AC297" s="1164"/>
      <c r="AD297" s="1164"/>
      <c r="AE297" s="1164"/>
    </row>
    <row r="298" ht="15.75" customHeight="1">
      <c r="A298" s="852"/>
      <c r="B298" s="852"/>
      <c r="C298" s="1156"/>
      <c r="D298" s="1164"/>
      <c r="E298" s="1164"/>
      <c r="F298" s="1164"/>
      <c r="G298" s="1164"/>
      <c r="H298" s="1164"/>
      <c r="I298" s="1164"/>
      <c r="J298" s="1164"/>
      <c r="K298" s="1164"/>
      <c r="L298" s="1164"/>
      <c r="M298" s="1164"/>
      <c r="N298" s="1164"/>
      <c r="O298" s="1164"/>
      <c r="P298" s="1164"/>
      <c r="Q298" s="1164"/>
      <c r="R298" s="1164"/>
      <c r="S298" s="1164"/>
      <c r="T298" s="1164"/>
      <c r="U298" s="1164"/>
      <c r="V298" s="1164"/>
      <c r="W298" s="1164"/>
      <c r="X298" s="1164"/>
      <c r="Y298" s="1164"/>
      <c r="Z298" s="1164"/>
      <c r="AA298" s="1164"/>
      <c r="AB298" s="1164"/>
      <c r="AC298" s="1164"/>
      <c r="AD298" s="1164"/>
      <c r="AE298" s="1164"/>
    </row>
    <row r="299" ht="15.75" customHeight="1">
      <c r="A299" s="852"/>
      <c r="B299" s="852"/>
      <c r="C299" s="1156"/>
      <c r="D299" s="1164"/>
      <c r="E299" s="1164"/>
      <c r="F299" s="1164"/>
      <c r="G299" s="1164"/>
      <c r="H299" s="1164"/>
      <c r="I299" s="1164"/>
      <c r="J299" s="1164"/>
      <c r="K299" s="1164"/>
      <c r="L299" s="1164"/>
      <c r="M299" s="1164"/>
      <c r="N299" s="1164"/>
      <c r="O299" s="1164"/>
      <c r="P299" s="1164"/>
      <c r="Q299" s="1164"/>
      <c r="R299" s="1164"/>
      <c r="S299" s="1164"/>
      <c r="T299" s="1164"/>
      <c r="U299" s="1164"/>
      <c r="V299" s="1164"/>
      <c r="W299" s="1164"/>
      <c r="X299" s="1164"/>
      <c r="Y299" s="1164"/>
      <c r="Z299" s="1164"/>
      <c r="AA299" s="1164"/>
      <c r="AB299" s="1164"/>
      <c r="AC299" s="1164"/>
      <c r="AD299" s="1164"/>
      <c r="AE299" s="1164"/>
    </row>
    <row r="300" ht="15.75" customHeight="1">
      <c r="A300" s="852"/>
      <c r="B300" s="852"/>
      <c r="C300" s="1156"/>
      <c r="D300" s="1164"/>
      <c r="E300" s="1164"/>
      <c r="F300" s="1164"/>
      <c r="G300" s="1164"/>
      <c r="H300" s="1164"/>
      <c r="I300" s="1164"/>
      <c r="J300" s="1164"/>
      <c r="K300" s="1164"/>
      <c r="L300" s="1164"/>
      <c r="M300" s="1164"/>
      <c r="N300" s="1164"/>
      <c r="O300" s="1164"/>
      <c r="P300" s="1164"/>
      <c r="Q300" s="1164"/>
      <c r="R300" s="1164"/>
      <c r="S300" s="1164"/>
      <c r="T300" s="1164"/>
      <c r="U300" s="1164"/>
      <c r="V300" s="1164"/>
      <c r="W300" s="1164"/>
      <c r="X300" s="1164"/>
      <c r="Y300" s="1164"/>
      <c r="Z300" s="1164"/>
      <c r="AA300" s="1164"/>
      <c r="AB300" s="1164"/>
      <c r="AC300" s="1164"/>
      <c r="AD300" s="1164"/>
      <c r="AE300" s="1164"/>
    </row>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Y59:Y74"/>
    <mergeCell ref="Z59:Z74"/>
    <mergeCell ref="AA59:AA74"/>
    <mergeCell ref="AB59:AB74"/>
    <mergeCell ref="AC59:AC74"/>
    <mergeCell ref="AD59:AD74"/>
    <mergeCell ref="AE59:AE74"/>
    <mergeCell ref="R45:R46"/>
    <mergeCell ref="S45:S46"/>
    <mergeCell ref="T45:T46"/>
    <mergeCell ref="U45:U46"/>
    <mergeCell ref="V45:V46"/>
    <mergeCell ref="W59:W74"/>
    <mergeCell ref="X59:X74"/>
    <mergeCell ref="Z75:Z95"/>
    <mergeCell ref="AA75:AA95"/>
    <mergeCell ref="AB75:AB95"/>
    <mergeCell ref="AC75:AC95"/>
    <mergeCell ref="AD75:AD95"/>
    <mergeCell ref="AE75:AE95"/>
    <mergeCell ref="S75:S95"/>
    <mergeCell ref="T75:T95"/>
    <mergeCell ref="U75:U95"/>
    <mergeCell ref="V75:V95"/>
    <mergeCell ref="W75:W95"/>
    <mergeCell ref="X75:X95"/>
    <mergeCell ref="Y75:Y95"/>
    <mergeCell ref="AA3:AA16"/>
    <mergeCell ref="AB3:AB16"/>
    <mergeCell ref="AA17:AA18"/>
    <mergeCell ref="AB17:AB18"/>
    <mergeCell ref="AC3:AC16"/>
    <mergeCell ref="AD3:AD16"/>
    <mergeCell ref="AC17:AC18"/>
    <mergeCell ref="AD17:AD18"/>
    <mergeCell ref="AE17:AE18"/>
    <mergeCell ref="D1:M1"/>
    <mergeCell ref="N1:V1"/>
    <mergeCell ref="W1:AE1"/>
    <mergeCell ref="X3:X16"/>
    <mergeCell ref="Y3:Y16"/>
    <mergeCell ref="Z3:Z16"/>
    <mergeCell ref="AE3:AE16"/>
    <mergeCell ref="Y20:Y21"/>
    <mergeCell ref="Z20:Z21"/>
    <mergeCell ref="AA20:AA21"/>
    <mergeCell ref="AB20:AB21"/>
    <mergeCell ref="AC20:AC21"/>
    <mergeCell ref="AD20:AD21"/>
    <mergeCell ref="AE20:AE21"/>
    <mergeCell ref="W3:W16"/>
    <mergeCell ref="W17:W18"/>
    <mergeCell ref="X17:X18"/>
    <mergeCell ref="Y17:Y18"/>
    <mergeCell ref="Z17:Z18"/>
    <mergeCell ref="W20:W21"/>
    <mergeCell ref="X20:X21"/>
    <mergeCell ref="AD27:AD38"/>
    <mergeCell ref="AE27:AE38"/>
    <mergeCell ref="W27:W38"/>
    <mergeCell ref="X27:X38"/>
    <mergeCell ref="Y27:Y38"/>
    <mergeCell ref="Z27:Z38"/>
    <mergeCell ref="AA27:AA38"/>
    <mergeCell ref="AB27:AB38"/>
    <mergeCell ref="AC27:AC38"/>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94" t="str">
        <f>IFERROR(__xludf.DUMMYFUNCTION("IMPORTRANGE(""1mMvdap33JJbstblfST0yqcbEK7Gd_ISmsOKHLtkl4QM"",""реестр!A1169:G"")"),"WS E 1202")</f>
        <v>WS E 1202</v>
      </c>
      <c r="B1" s="94"/>
      <c r="C1" s="94"/>
      <c r="D1" s="94"/>
      <c r="E1" s="1429">
        <f>IFERROR(__xludf.DUMMYFUNCTION("""COMPUTED_VALUE"""),45748.0)</f>
        <v>45748</v>
      </c>
      <c r="F1" s="1429">
        <f>IFERROR(__xludf.DUMMYFUNCTION("""COMPUTED_VALUE"""),45774.0)</f>
        <v>45774</v>
      </c>
      <c r="G1" s="1430">
        <f>IFERROR(__xludf.DUMMYFUNCTION("""COMPUTED_VALUE"""),26.0)</f>
        <v>26</v>
      </c>
      <c r="H1" s="94">
        <f t="shared" ref="H1:H1766" si="1">MONTH(E1)</f>
        <v>4</v>
      </c>
    </row>
    <row r="2" ht="15.75" customHeight="1">
      <c r="A2" s="94" t="str">
        <f>IFERROR(__xludf.DUMMYFUNCTION("""COMPUTED_VALUE"""),"Int 2905")</f>
        <v>Int 2905</v>
      </c>
      <c r="B2" s="94"/>
      <c r="C2" s="94"/>
      <c r="D2" s="94"/>
      <c r="E2" s="1429">
        <f>IFERROR(__xludf.DUMMYFUNCTION("""COMPUTED_VALUE"""),45748.0)</f>
        <v>45748</v>
      </c>
      <c r="F2" s="1429">
        <f>IFERROR(__xludf.DUMMYFUNCTION("""COMPUTED_VALUE"""),45777.0)</f>
        <v>45777</v>
      </c>
      <c r="G2" s="1430">
        <f>IFERROR(__xludf.DUMMYFUNCTION("""COMPUTED_VALUE"""),29.0)</f>
        <v>29</v>
      </c>
      <c r="H2" s="94">
        <f t="shared" si="1"/>
        <v>4</v>
      </c>
    </row>
    <row r="3" ht="15.75" customHeight="1">
      <c r="A3" s="94" t="str">
        <f>IFERROR(__xludf.DUMMYFUNCTION("""COMPUTED_VALUE"""),"CM 1606")</f>
        <v>CM 1606</v>
      </c>
      <c r="B3" s="94"/>
      <c r="C3" s="94"/>
      <c r="D3" s="94"/>
      <c r="E3" s="1429">
        <f>IFERROR(__xludf.DUMMYFUNCTION("""COMPUTED_VALUE"""),45748.0)</f>
        <v>45748</v>
      </c>
      <c r="F3" s="1429">
        <f>IFERROR(__xludf.DUMMYFUNCTION("""COMPUTED_VALUE"""),45751.0)</f>
        <v>45751</v>
      </c>
      <c r="G3" s="1430">
        <f>IFERROR(__xludf.DUMMYFUNCTION("""COMPUTED_VALUE"""),3.0)</f>
        <v>3</v>
      </c>
      <c r="H3" s="94">
        <f t="shared" si="1"/>
        <v>4</v>
      </c>
    </row>
    <row r="4" ht="15.75" customHeight="1">
      <c r="A4" s="94" t="str">
        <f>IFERROR(__xludf.DUMMYFUNCTION("""COMPUTED_VALUE"""),"Pollo 2-2")</f>
        <v>Pollo 2-2</v>
      </c>
      <c r="B4" s="94"/>
      <c r="C4" s="94"/>
      <c r="D4" s="94"/>
      <c r="E4" s="1429">
        <f>IFERROR(__xludf.DUMMYFUNCTION("""COMPUTED_VALUE"""),45748.0)</f>
        <v>45748</v>
      </c>
      <c r="F4" s="1429">
        <f>IFERROR(__xludf.DUMMYFUNCTION("""COMPUTED_VALUE"""),45759.0)</f>
        <v>45759</v>
      </c>
      <c r="G4" s="1430">
        <f>IFERROR(__xludf.DUMMYFUNCTION("""COMPUTED_VALUE"""),11.0)</f>
        <v>11</v>
      </c>
      <c r="H4" s="94">
        <f t="shared" si="1"/>
        <v>4</v>
      </c>
    </row>
    <row r="5" ht="15.75" customHeight="1">
      <c r="A5" s="94" t="str">
        <f>IFERROR(__xludf.DUMMYFUNCTION("""COMPUTED_VALUE"""),"С 2756")</f>
        <v>С 2756</v>
      </c>
      <c r="B5" s="94"/>
      <c r="C5" s="94"/>
      <c r="D5" s="94"/>
      <c r="E5" s="1429">
        <f>IFERROR(__xludf.DUMMYFUNCTION("""COMPUTED_VALUE"""),45744.0)</f>
        <v>45744</v>
      </c>
      <c r="F5" s="1429">
        <f>IFERROR(__xludf.DUMMYFUNCTION("""COMPUTED_VALUE"""),45774.0)</f>
        <v>45774</v>
      </c>
      <c r="G5" s="1430">
        <f>IFERROR(__xludf.DUMMYFUNCTION("""COMPUTED_VALUE"""),30.0)</f>
        <v>30</v>
      </c>
      <c r="H5" s="94">
        <f t="shared" si="1"/>
        <v>3</v>
      </c>
    </row>
    <row r="6" ht="15.75" customHeight="1">
      <c r="A6" s="94" t="str">
        <f>IFERROR(__xludf.DUMMYFUNCTION("""COMPUTED_VALUE"""),"А 4049")</f>
        <v>А 4049</v>
      </c>
      <c r="B6" s="94"/>
      <c r="C6" s="94"/>
      <c r="D6" s="94"/>
      <c r="E6" s="1429">
        <f>IFERROR(__xludf.DUMMYFUNCTION("""COMPUTED_VALUE"""),45748.0)</f>
        <v>45748</v>
      </c>
      <c r="F6" s="1429">
        <f>IFERROR(__xludf.DUMMYFUNCTION("""COMPUTED_VALUE"""),45757.0)</f>
        <v>45757</v>
      </c>
      <c r="G6" s="1430">
        <f>IFERROR(__xludf.DUMMYFUNCTION("""COMPUTED_VALUE"""),9.0)</f>
        <v>9</v>
      </c>
      <c r="H6" s="94">
        <f t="shared" si="1"/>
        <v>4</v>
      </c>
    </row>
    <row r="7" ht="15.75" customHeight="1">
      <c r="A7" s="94" t="str">
        <f>IFERROR(__xludf.DUMMYFUNCTION("""COMPUTED_VALUE"""),"Steps1123")</f>
        <v>Steps1123</v>
      </c>
      <c r="B7" s="94"/>
      <c r="C7" s="94"/>
      <c r="D7" s="94"/>
      <c r="E7" s="1429">
        <f>IFERROR(__xludf.DUMMYFUNCTION("""COMPUTED_VALUE"""),45747.0)</f>
        <v>45747</v>
      </c>
      <c r="F7" s="1429">
        <f>IFERROR(__xludf.DUMMYFUNCTION("""COMPUTED_VALUE"""),45761.0)</f>
        <v>45761</v>
      </c>
      <c r="G7" s="1430">
        <f>IFERROR(__xludf.DUMMYFUNCTION("""COMPUTED_VALUE"""),14.0)</f>
        <v>14</v>
      </c>
      <c r="H7" s="94">
        <f t="shared" si="1"/>
        <v>3</v>
      </c>
    </row>
    <row r="8" ht="15.75" customHeight="1">
      <c r="A8" s="94" t="str">
        <f>IFERROR(__xludf.DUMMYFUNCTION("""COMPUTED_VALUE"""),"WS E704")</f>
        <v>WS E704</v>
      </c>
      <c r="B8" s="94"/>
      <c r="C8" s="94"/>
      <c r="D8" s="94"/>
      <c r="E8" s="1429">
        <f>IFERROR(__xludf.DUMMYFUNCTION("""COMPUTED_VALUE"""),45748.0)</f>
        <v>45748</v>
      </c>
      <c r="F8" s="1429">
        <f>IFERROR(__xludf.DUMMYFUNCTION("""COMPUTED_VALUE"""),45778.0)</f>
        <v>45778</v>
      </c>
      <c r="G8" s="1430">
        <f>IFERROR(__xludf.DUMMYFUNCTION("""COMPUTED_VALUE"""),30.0)</f>
        <v>30</v>
      </c>
      <c r="H8" s="94">
        <f t="shared" si="1"/>
        <v>4</v>
      </c>
    </row>
    <row r="9" ht="15.75" customHeight="1">
      <c r="A9" s="94" t="str">
        <f>IFERROR(__xludf.DUMMYFUNCTION("""COMPUTED_VALUE"""),"WS A 409")</f>
        <v>WS A 409</v>
      </c>
      <c r="B9" s="94"/>
      <c r="C9" s="94"/>
      <c r="D9" s="94"/>
      <c r="E9" s="1429">
        <f>IFERROR(__xludf.DUMMYFUNCTION("""COMPUTED_VALUE"""),45748.0)</f>
        <v>45748</v>
      </c>
      <c r="F9" s="1429">
        <f>IFERROR(__xludf.DUMMYFUNCTION("""COMPUTED_VALUE"""),45777.0)</f>
        <v>45777</v>
      </c>
      <c r="G9" s="1430">
        <f>IFERROR(__xludf.DUMMYFUNCTION("""COMPUTED_VALUE"""),29.0)</f>
        <v>29</v>
      </c>
      <c r="H9" s="94">
        <f t="shared" si="1"/>
        <v>4</v>
      </c>
    </row>
    <row r="10" ht="15.75" customHeight="1">
      <c r="A10" s="94" t="str">
        <f>IFERROR(__xludf.DUMMYFUNCTION("""COMPUTED_VALUE"""),"D 3629")</f>
        <v>D 3629</v>
      </c>
      <c r="B10" s="94"/>
      <c r="C10" s="94"/>
      <c r="D10" s="94"/>
      <c r="E10" s="1429">
        <f>IFERROR(__xludf.DUMMYFUNCTION("""COMPUTED_VALUE"""),45749.0)</f>
        <v>45749</v>
      </c>
      <c r="F10" s="1429">
        <f>IFERROR(__xludf.DUMMYFUNCTION("""COMPUTED_VALUE"""),45751.0)</f>
        <v>45751</v>
      </c>
      <c r="G10" s="1430">
        <f>IFERROR(__xludf.DUMMYFUNCTION("""COMPUTED_VALUE"""),2.0)</f>
        <v>2</v>
      </c>
      <c r="H10" s="94">
        <f t="shared" si="1"/>
        <v>4</v>
      </c>
    </row>
    <row r="11" ht="15.75" customHeight="1">
      <c r="A11" s="94" t="str">
        <f>IFERROR(__xludf.DUMMYFUNCTION("""COMPUTED_VALUE"""),"WS A907")</f>
        <v>WS A907</v>
      </c>
      <c r="B11" s="94"/>
      <c r="C11" s="94"/>
      <c r="D11" s="94"/>
      <c r="E11" s="1429">
        <f>IFERROR(__xludf.DUMMYFUNCTION("""COMPUTED_VALUE"""),45749.0)</f>
        <v>45749</v>
      </c>
      <c r="F11" s="1429">
        <f>IFERROR(__xludf.DUMMYFUNCTION("""COMPUTED_VALUE"""),45777.0)</f>
        <v>45777</v>
      </c>
      <c r="G11" s="1430">
        <f>IFERROR(__xludf.DUMMYFUNCTION("""COMPUTED_VALUE"""),28.0)</f>
        <v>28</v>
      </c>
      <c r="H11" s="94">
        <f t="shared" si="1"/>
        <v>4</v>
      </c>
    </row>
    <row r="12" ht="15.75" customHeight="1">
      <c r="A12" s="94" t="str">
        <f>IFERROR(__xludf.DUMMYFUNCTION("""COMPUTED_VALUE"""),"WS В 212")</f>
        <v>WS В 212</v>
      </c>
      <c r="B12" s="94"/>
      <c r="C12" s="94"/>
      <c r="D12" s="94"/>
      <c r="E12" s="1429">
        <f>IFERROR(__xludf.DUMMYFUNCTION("""COMPUTED_VALUE"""),45751.0)</f>
        <v>45751</v>
      </c>
      <c r="F12" s="1429">
        <f>IFERROR(__xludf.DUMMYFUNCTION("""COMPUTED_VALUE"""),45754.0)</f>
        <v>45754</v>
      </c>
      <c r="G12" s="1430">
        <f>IFERROR(__xludf.DUMMYFUNCTION("""COMPUTED_VALUE"""),3.0)</f>
        <v>3</v>
      </c>
      <c r="H12" s="94">
        <f t="shared" si="1"/>
        <v>4</v>
      </c>
    </row>
    <row r="13" ht="15.75" customHeight="1">
      <c r="A13" s="94" t="str">
        <f>IFERROR(__xludf.DUMMYFUNCTION("""COMPUTED_VALUE"""),"WS F 907")</f>
        <v>WS F 907</v>
      </c>
      <c r="B13" s="94"/>
      <c r="C13" s="94"/>
      <c r="D13" s="94"/>
      <c r="E13" s="1429">
        <f>IFERROR(__xludf.DUMMYFUNCTION("""COMPUTED_VALUE"""),45751.0)</f>
        <v>45751</v>
      </c>
      <c r="F13" s="1429">
        <f>IFERROR(__xludf.DUMMYFUNCTION("""COMPUTED_VALUE"""),45754.0)</f>
        <v>45754</v>
      </c>
      <c r="G13" s="1430">
        <f>IFERROR(__xludf.DUMMYFUNCTION("""COMPUTED_VALUE"""),3.0)</f>
        <v>3</v>
      </c>
      <c r="H13" s="94">
        <f t="shared" si="1"/>
        <v>4</v>
      </c>
    </row>
    <row r="14" ht="15.75" customHeight="1">
      <c r="A14" s="94" t="str">
        <f>IFERROR(__xludf.DUMMYFUNCTION("""COMPUTED_VALUE"""),"D 3629")</f>
        <v>D 3629</v>
      </c>
      <c r="B14" s="94"/>
      <c r="C14" s="94"/>
      <c r="D14" s="94"/>
      <c r="E14" s="1429">
        <f>IFERROR(__xludf.DUMMYFUNCTION("""COMPUTED_VALUE"""),45751.0)</f>
        <v>45751</v>
      </c>
      <c r="F14" s="1429">
        <f>IFERROR(__xludf.DUMMYFUNCTION("""COMPUTED_VALUE"""),45781.0)</f>
        <v>45781</v>
      </c>
      <c r="G14" s="1430">
        <f>IFERROR(__xludf.DUMMYFUNCTION("""COMPUTED_VALUE"""),30.0)</f>
        <v>30</v>
      </c>
      <c r="H14" s="94">
        <f t="shared" si="1"/>
        <v>4</v>
      </c>
    </row>
    <row r="15" ht="15.75" customHeight="1">
      <c r="A15" s="94" t="str">
        <f>IFERROR(__xludf.DUMMYFUNCTION("""COMPUTED_VALUE"""),"WS Е804")</f>
        <v>WS Е804</v>
      </c>
      <c r="B15" s="94"/>
      <c r="C15" s="94"/>
      <c r="D15" s="94"/>
      <c r="E15" s="1429">
        <f>IFERROR(__xludf.DUMMYFUNCTION("""COMPUTED_VALUE"""),45751.0)</f>
        <v>45751</v>
      </c>
      <c r="F15" s="1429">
        <f>IFERROR(__xludf.DUMMYFUNCTION("""COMPUTED_VALUE"""),45753.0)</f>
        <v>45753</v>
      </c>
      <c r="G15" s="1430">
        <f>IFERROR(__xludf.DUMMYFUNCTION("""COMPUTED_VALUE"""),2.0)</f>
        <v>2</v>
      </c>
      <c r="H15" s="94">
        <f t="shared" si="1"/>
        <v>4</v>
      </c>
    </row>
    <row r="16" ht="15.75" customHeight="1">
      <c r="A16" s="94" t="str">
        <f>IFERROR(__xludf.DUMMYFUNCTION("""COMPUTED_VALUE"""),"D2 1625")</f>
        <v>D2 1625</v>
      </c>
      <c r="B16" s="94"/>
      <c r="C16" s="94"/>
      <c r="D16" s="94"/>
      <c r="E16" s="1429">
        <f>IFERROR(__xludf.DUMMYFUNCTION("""COMPUTED_VALUE"""),45753.0)</f>
        <v>45753</v>
      </c>
      <c r="F16" s="1429">
        <f>IFERROR(__xludf.DUMMYFUNCTION("""COMPUTED_VALUE"""),45763.0)</f>
        <v>45763</v>
      </c>
      <c r="G16" s="1430">
        <f>IFERROR(__xludf.DUMMYFUNCTION("""COMPUTED_VALUE"""),10.0)</f>
        <v>10</v>
      </c>
      <c r="H16" s="94">
        <f t="shared" si="1"/>
        <v>4</v>
      </c>
    </row>
    <row r="17" ht="15.75" customHeight="1">
      <c r="A17" s="94" t="str">
        <f>IFERROR(__xludf.DUMMYFUNCTION("""COMPUTED_VALUE"""),"PT2704")</f>
        <v>PT2704</v>
      </c>
      <c r="B17" s="94"/>
      <c r="C17" s="94"/>
      <c r="D17" s="94"/>
      <c r="E17" s="1429">
        <f>IFERROR(__xludf.DUMMYFUNCTION("""COMPUTED_VALUE"""),45753.0)</f>
        <v>45753</v>
      </c>
      <c r="F17" s="1429">
        <f>IFERROR(__xludf.DUMMYFUNCTION("""COMPUTED_VALUE"""),45755.0)</f>
        <v>45755</v>
      </c>
      <c r="G17" s="1430">
        <f>IFERROR(__xludf.DUMMYFUNCTION("""COMPUTED_VALUE"""),2.0)</f>
        <v>2</v>
      </c>
      <c r="H17" s="94">
        <f t="shared" si="1"/>
        <v>4</v>
      </c>
    </row>
    <row r="18" ht="15.75" customHeight="1">
      <c r="A18" s="94" t="str">
        <f>IFERROR(__xludf.DUMMYFUNCTION("""COMPUTED_VALUE"""),"C 4245")</f>
        <v>C 4245</v>
      </c>
      <c r="B18" s="94"/>
      <c r="C18" s="94"/>
      <c r="D18" s="94"/>
      <c r="E18" s="1429">
        <f>IFERROR(__xludf.DUMMYFUNCTION("""COMPUTED_VALUE"""),45753.0)</f>
        <v>45753</v>
      </c>
      <c r="F18" s="1429">
        <f>IFERROR(__xludf.DUMMYFUNCTION("""COMPUTED_VALUE"""),45760.0)</f>
        <v>45760</v>
      </c>
      <c r="G18" s="1430">
        <f>IFERROR(__xludf.DUMMYFUNCTION("""COMPUTED_VALUE"""),7.0)</f>
        <v>7</v>
      </c>
      <c r="H18" s="94">
        <f t="shared" si="1"/>
        <v>4</v>
      </c>
    </row>
    <row r="19" ht="15.75" customHeight="1">
      <c r="A19" s="94" t="str">
        <f>IFERROR(__xludf.DUMMYFUNCTION("""COMPUTED_VALUE"""),"Пиросмани 181")</f>
        <v>Пиросмани 181</v>
      </c>
      <c r="B19" s="94"/>
      <c r="C19" s="94"/>
      <c r="D19" s="94"/>
      <c r="E19" s="1429">
        <f>IFERROR(__xludf.DUMMYFUNCTION("""COMPUTED_VALUE"""),45754.0)</f>
        <v>45754</v>
      </c>
      <c r="F19" s="1429">
        <f>IFERROR(__xludf.DUMMYFUNCTION("""COMPUTED_VALUE"""),45783.0)</f>
        <v>45783</v>
      </c>
      <c r="G19" s="1430">
        <f>IFERROR(__xludf.DUMMYFUNCTION("""COMPUTED_VALUE"""),31.0)</f>
        <v>31</v>
      </c>
      <c r="H19" s="94">
        <f t="shared" si="1"/>
        <v>4</v>
      </c>
    </row>
    <row r="20" ht="15.75" customHeight="1">
      <c r="A20" s="94" t="str">
        <f>IFERROR(__xludf.DUMMYFUNCTION("""COMPUTED_VALUE"""),"WS В 1510")</f>
        <v>WS В 1510</v>
      </c>
      <c r="B20" s="94"/>
      <c r="C20" s="94"/>
      <c r="D20" s="94"/>
      <c r="E20" s="1434">
        <f>IFERROR(__xludf.DUMMYFUNCTION("""COMPUTED_VALUE"""),45756.0)</f>
        <v>45756</v>
      </c>
      <c r="F20" s="1429">
        <f>IFERROR(__xludf.DUMMYFUNCTION("""COMPUTED_VALUE"""),45785.0)</f>
        <v>45785</v>
      </c>
      <c r="G20" s="1430">
        <f>IFERROR(__xludf.DUMMYFUNCTION("""COMPUTED_VALUE"""),29.0)</f>
        <v>29</v>
      </c>
      <c r="H20" s="94">
        <f t="shared" si="1"/>
        <v>4</v>
      </c>
    </row>
    <row r="21" ht="15.75" customHeight="1">
      <c r="A21" s="94" t="str">
        <f>IFERROR(__xludf.DUMMYFUNCTION("""COMPUTED_VALUE"""),"CM 1604")</f>
        <v>CM 1604</v>
      </c>
      <c r="B21" s="94"/>
      <c r="C21" s="94"/>
      <c r="D21" s="94"/>
      <c r="E21" s="1429">
        <f>IFERROR(__xludf.DUMMYFUNCTION("""COMPUTED_VALUE"""),45756.0)</f>
        <v>45756</v>
      </c>
      <c r="F21" s="1429">
        <f>IFERROR(__xludf.DUMMYFUNCTION("""COMPUTED_VALUE"""),45762.0)</f>
        <v>45762</v>
      </c>
      <c r="G21" s="1430">
        <f>IFERROR(__xludf.DUMMYFUNCTION("""COMPUTED_VALUE"""),6.0)</f>
        <v>6</v>
      </c>
      <c r="H21" s="94">
        <f t="shared" si="1"/>
        <v>4</v>
      </c>
    </row>
    <row r="22" ht="15.75" customHeight="1">
      <c r="A22" s="94" t="str">
        <f>IFERROR(__xludf.DUMMYFUNCTION("""COMPUTED_VALUE"""),"Пиросмани 162")</f>
        <v>Пиросмани 162</v>
      </c>
      <c r="B22" s="94"/>
      <c r="C22" s="94"/>
      <c r="D22" s="94"/>
      <c r="E22" s="1429">
        <f>IFERROR(__xludf.DUMMYFUNCTION("""COMPUTED_VALUE"""),45757.0)</f>
        <v>45757</v>
      </c>
      <c r="F22" s="1429">
        <f>IFERROR(__xludf.DUMMYFUNCTION("""COMPUTED_VALUE"""),45786.0)</f>
        <v>45786</v>
      </c>
      <c r="G22" s="1430">
        <f>IFERROR(__xludf.DUMMYFUNCTION("""COMPUTED_VALUE"""),29.0)</f>
        <v>29</v>
      </c>
      <c r="H22" s="94">
        <f t="shared" si="1"/>
        <v>4</v>
      </c>
    </row>
    <row r="23" ht="15.75" customHeight="1">
      <c r="A23" s="94" t="str">
        <f>IFERROR(__xludf.DUMMYFUNCTION("""COMPUTED_VALUE"""),"WS В 212")</f>
        <v>WS В 212</v>
      </c>
      <c r="B23" s="94"/>
      <c r="C23" s="94"/>
      <c r="D23" s="94"/>
      <c r="E23" s="1429">
        <f>IFERROR(__xludf.DUMMYFUNCTION("""COMPUTED_VALUE"""),45756.0)</f>
        <v>45756</v>
      </c>
      <c r="F23" s="1429">
        <f>IFERROR(__xludf.DUMMYFUNCTION("""COMPUTED_VALUE"""),45764.0)</f>
        <v>45764</v>
      </c>
      <c r="G23" s="1430">
        <f>IFERROR(__xludf.DUMMYFUNCTION("""COMPUTED_VALUE"""),8.0)</f>
        <v>8</v>
      </c>
      <c r="H23" s="94">
        <f t="shared" si="1"/>
        <v>4</v>
      </c>
    </row>
    <row r="24" ht="15.75" customHeight="1">
      <c r="A24" s="94" t="str">
        <f>IFERROR(__xludf.DUMMYFUNCTION("""COMPUTED_VALUE"""),"CM 1606")</f>
        <v>CM 1606</v>
      </c>
      <c r="B24" s="94"/>
      <c r="C24" s="94"/>
      <c r="D24" s="94"/>
      <c r="E24" s="1429">
        <f>IFERROR(__xludf.DUMMYFUNCTION("""COMPUTED_VALUE"""),45757.0)</f>
        <v>45757</v>
      </c>
      <c r="F24" s="1429">
        <f>IFERROR(__xludf.DUMMYFUNCTION("""COMPUTED_VALUE"""),45762.0)</f>
        <v>45762</v>
      </c>
      <c r="G24" s="1430">
        <f>IFERROR(__xludf.DUMMYFUNCTION("""COMPUTED_VALUE"""),5.0)</f>
        <v>5</v>
      </c>
      <c r="H24" s="94">
        <f t="shared" si="1"/>
        <v>4</v>
      </c>
    </row>
    <row r="25" ht="15.75" customHeight="1">
      <c r="A25" s="94" t="str">
        <f>IFERROR(__xludf.DUMMYFUNCTION("""COMPUTED_VALUE"""),"CM 1931")</f>
        <v>CM 1931</v>
      </c>
      <c r="B25" s="94"/>
      <c r="C25" s="94"/>
      <c r="D25" s="94"/>
      <c r="E25" s="1429">
        <f>IFERROR(__xludf.DUMMYFUNCTION("""COMPUTED_VALUE"""),45754.0)</f>
        <v>45754</v>
      </c>
      <c r="F25" s="1429">
        <f>IFERROR(__xludf.DUMMYFUNCTION("""COMPUTED_VALUE"""),45757.0)</f>
        <v>45757</v>
      </c>
      <c r="G25" s="1430">
        <f>IFERROR(__xludf.DUMMYFUNCTION("""COMPUTED_VALUE"""),3.0)</f>
        <v>3</v>
      </c>
      <c r="H25" s="94">
        <f t="shared" si="1"/>
        <v>4</v>
      </c>
    </row>
    <row r="26" ht="15.75" customHeight="1">
      <c r="A26" s="94" t="str">
        <f>IFERROR(__xludf.DUMMYFUNCTION("""COMPUTED_VALUE"""),"Вилла Ева")</f>
        <v>Вилла Ева</v>
      </c>
      <c r="B26" s="94"/>
      <c r="C26" s="94"/>
      <c r="D26" s="94"/>
      <c r="E26" s="1429">
        <f>IFERROR(__xludf.DUMMYFUNCTION("""COMPUTED_VALUE"""),45758.0)</f>
        <v>45758</v>
      </c>
      <c r="F26" s="1429">
        <f>IFERROR(__xludf.DUMMYFUNCTION("""COMPUTED_VALUE"""),45767.0)</f>
        <v>45767</v>
      </c>
      <c r="G26" s="1430">
        <f>IFERROR(__xludf.DUMMYFUNCTION("""COMPUTED_VALUE"""),9.0)</f>
        <v>9</v>
      </c>
      <c r="H26" s="94">
        <f t="shared" si="1"/>
        <v>4</v>
      </c>
    </row>
    <row r="27" ht="15.75" customHeight="1">
      <c r="A27" s="94" t="str">
        <f>IFERROR(__xludf.DUMMYFUNCTION("""COMPUTED_VALUE"""),"А 4049")</f>
        <v>А 4049</v>
      </c>
      <c r="B27" s="94"/>
      <c r="C27" s="94"/>
      <c r="D27" s="94"/>
      <c r="E27" s="1429">
        <f>IFERROR(__xludf.DUMMYFUNCTION("""COMPUTED_VALUE"""),45759.0)</f>
        <v>45759</v>
      </c>
      <c r="F27" s="1429">
        <f>IFERROR(__xludf.DUMMYFUNCTION("""COMPUTED_VALUE"""),45761.0)</f>
        <v>45761</v>
      </c>
      <c r="G27" s="1430">
        <f>IFERROR(__xludf.DUMMYFUNCTION("""COMPUTED_VALUE"""),2.0)</f>
        <v>2</v>
      </c>
      <c r="H27" s="94">
        <f t="shared" si="1"/>
        <v>4</v>
      </c>
    </row>
    <row r="28" ht="15.75" customHeight="1">
      <c r="A28" s="94" t="str">
        <f>IFERROR(__xludf.DUMMYFUNCTION("""COMPUTED_VALUE"""),"PT2704")</f>
        <v>PT2704</v>
      </c>
      <c r="B28" s="94"/>
      <c r="C28" s="94"/>
      <c r="D28" s="94"/>
      <c r="E28" s="1429">
        <f>IFERROR(__xludf.DUMMYFUNCTION("""COMPUTED_VALUE"""),45759.0)</f>
        <v>45759</v>
      </c>
      <c r="F28" s="1429">
        <f>IFERROR(__xludf.DUMMYFUNCTION("""COMPUTED_VALUE"""),45761.0)</f>
        <v>45761</v>
      </c>
      <c r="G28" s="1430">
        <f>IFERROR(__xludf.DUMMYFUNCTION("""COMPUTED_VALUE"""),2.0)</f>
        <v>2</v>
      </c>
      <c r="H28" s="94">
        <f t="shared" si="1"/>
        <v>4</v>
      </c>
    </row>
    <row r="29" ht="15.75" customHeight="1">
      <c r="A29" s="94" t="str">
        <f>IFERROR(__xludf.DUMMYFUNCTION("""COMPUTED_VALUE"""),"PT2604")</f>
        <v>PT2604</v>
      </c>
      <c r="B29" s="94"/>
      <c r="C29" s="94"/>
      <c r="D29" s="94"/>
      <c r="E29" s="1429">
        <f>IFERROR(__xludf.DUMMYFUNCTION("""COMPUTED_VALUE"""),45757.0)</f>
        <v>45757</v>
      </c>
      <c r="F29" s="1429">
        <f>IFERROR(__xludf.DUMMYFUNCTION("""COMPUTED_VALUE"""),45759.0)</f>
        <v>45759</v>
      </c>
      <c r="G29" s="1430">
        <f>IFERROR(__xludf.DUMMYFUNCTION("""COMPUTED_VALUE"""),2.0)</f>
        <v>2</v>
      </c>
      <c r="H29" s="94">
        <f t="shared" si="1"/>
        <v>4</v>
      </c>
    </row>
    <row r="30" ht="15.75" customHeight="1">
      <c r="A30" s="94" t="str">
        <f>IFERROR(__xludf.DUMMYFUNCTION("""COMPUTED_VALUE"""),"Шар 2505")</f>
        <v>Шар 2505</v>
      </c>
      <c r="B30" s="94"/>
      <c r="C30" s="94"/>
      <c r="D30" s="94"/>
      <c r="E30" s="1429">
        <f>IFERROR(__xludf.DUMMYFUNCTION("""COMPUTED_VALUE"""),45760.0)</f>
        <v>45760</v>
      </c>
      <c r="F30" s="1429">
        <f>IFERROR(__xludf.DUMMYFUNCTION("""COMPUTED_VALUE"""),45770.0)</f>
        <v>45770</v>
      </c>
      <c r="G30" s="1430">
        <f>IFERROR(__xludf.DUMMYFUNCTION("""COMPUTED_VALUE"""),10.0)</f>
        <v>10</v>
      </c>
      <c r="H30" s="94">
        <f t="shared" si="1"/>
        <v>4</v>
      </c>
    </row>
    <row r="31" ht="15.75" customHeight="1">
      <c r="A31" s="94" t="str">
        <f>IFERROR(__xludf.DUMMYFUNCTION("""COMPUTED_VALUE"""),"C 4245")</f>
        <v>C 4245</v>
      </c>
      <c r="B31" s="94"/>
      <c r="C31" s="94"/>
      <c r="D31" s="94"/>
      <c r="E31" s="1429">
        <f>IFERROR(__xludf.DUMMYFUNCTION("""COMPUTED_VALUE"""),45761.0)</f>
        <v>45761</v>
      </c>
      <c r="F31" s="1429">
        <f>IFERROR(__xludf.DUMMYFUNCTION("""COMPUTED_VALUE"""),45765.0)</f>
        <v>45765</v>
      </c>
      <c r="G31" s="1430">
        <f>IFERROR(__xludf.DUMMYFUNCTION("""COMPUTED_VALUE"""),4.0)</f>
        <v>4</v>
      </c>
      <c r="H31" s="94">
        <f t="shared" si="1"/>
        <v>4</v>
      </c>
    </row>
    <row r="32" ht="15.75" customHeight="1">
      <c r="A32" s="94" t="str">
        <f>IFERROR(__xludf.DUMMYFUNCTION("""COMPUTED_VALUE"""),"А 4049")</f>
        <v>А 4049</v>
      </c>
      <c r="B32" s="94"/>
      <c r="C32" s="94"/>
      <c r="D32" s="94"/>
      <c r="E32" s="1429">
        <f>IFERROR(__xludf.DUMMYFUNCTION("""COMPUTED_VALUE"""),45761.0)</f>
        <v>45761</v>
      </c>
      <c r="F32" s="1429">
        <f>IFERROR(__xludf.DUMMYFUNCTION("""COMPUTED_VALUE"""),45767.0)</f>
        <v>45767</v>
      </c>
      <c r="G32" s="1430">
        <f>IFERROR(__xludf.DUMMYFUNCTION("""COMPUTED_VALUE"""),6.0)</f>
        <v>6</v>
      </c>
      <c r="H32" s="94">
        <f t="shared" si="1"/>
        <v>4</v>
      </c>
    </row>
    <row r="33" ht="15.75" customHeight="1">
      <c r="A33" s="94" t="str">
        <f>IFERROR(__xludf.DUMMYFUNCTION("""COMPUTED_VALUE"""),"WS А 908")</f>
        <v>WS А 908</v>
      </c>
      <c r="B33" s="94"/>
      <c r="C33" s="94"/>
      <c r="D33" s="94"/>
      <c r="E33" s="1429">
        <f>IFERROR(__xludf.DUMMYFUNCTION("""COMPUTED_VALUE"""),45761.0)</f>
        <v>45761</v>
      </c>
      <c r="F33" s="1429">
        <f>IFERROR(__xludf.DUMMYFUNCTION("""COMPUTED_VALUE"""),45764.0)</f>
        <v>45764</v>
      </c>
      <c r="G33" s="1430">
        <f>IFERROR(__xludf.DUMMYFUNCTION("""COMPUTED_VALUE"""),3.0)</f>
        <v>3</v>
      </c>
      <c r="H33" s="94">
        <f t="shared" si="1"/>
        <v>4</v>
      </c>
    </row>
    <row r="34" ht="15.75" customHeight="1">
      <c r="A34" s="94" t="str">
        <f>IFERROR(__xludf.DUMMYFUNCTION("""COMPUTED_VALUE"""),"PT2704")</f>
        <v>PT2704</v>
      </c>
      <c r="B34" s="94"/>
      <c r="C34" s="94"/>
      <c r="D34" s="94"/>
      <c r="E34" s="1429">
        <f>IFERROR(__xludf.DUMMYFUNCTION("""COMPUTED_VALUE"""),45762.0)</f>
        <v>45762</v>
      </c>
      <c r="F34" s="1429">
        <f>IFERROR(__xludf.DUMMYFUNCTION("""COMPUTED_VALUE"""),45765.0)</f>
        <v>45765</v>
      </c>
      <c r="G34" s="1430">
        <f>IFERROR(__xludf.DUMMYFUNCTION("""COMPUTED_VALUE"""),3.0)</f>
        <v>3</v>
      </c>
      <c r="H34" s="94">
        <f t="shared" si="1"/>
        <v>4</v>
      </c>
    </row>
    <row r="35" ht="15.75" customHeight="1">
      <c r="A35" s="94" t="str">
        <f>IFERROR(__xludf.DUMMYFUNCTION("""COMPUTED_VALUE"""),"PT2604")</f>
        <v>PT2604</v>
      </c>
      <c r="B35" s="94"/>
      <c r="C35" s="94"/>
      <c r="D35" s="94"/>
      <c r="E35" s="1429">
        <f>IFERROR(__xludf.DUMMYFUNCTION("""COMPUTED_VALUE"""),45762.0)</f>
        <v>45762</v>
      </c>
      <c r="F35" s="1429">
        <f>IFERROR(__xludf.DUMMYFUNCTION("""COMPUTED_VALUE"""),45768.0)</f>
        <v>45768</v>
      </c>
      <c r="G35" s="1430">
        <f>IFERROR(__xludf.DUMMYFUNCTION("""COMPUTED_VALUE"""),6.0)</f>
        <v>6</v>
      </c>
      <c r="H35" s="94">
        <f t="shared" si="1"/>
        <v>4</v>
      </c>
    </row>
    <row r="36" ht="15.75" customHeight="1">
      <c r="A36" s="94" t="str">
        <f>IFERROR(__xludf.DUMMYFUNCTION("""COMPUTED_VALUE"""),"CM 1606")</f>
        <v>CM 1606</v>
      </c>
      <c r="B36" s="94"/>
      <c r="C36" s="94"/>
      <c r="D36" s="94"/>
      <c r="E36" s="1429">
        <f>IFERROR(__xludf.DUMMYFUNCTION("""COMPUTED_VALUE"""),45763.0)</f>
        <v>45763</v>
      </c>
      <c r="F36" s="1429">
        <f>IFERROR(__xludf.DUMMYFUNCTION("""COMPUTED_VALUE"""),45765.0)</f>
        <v>45765</v>
      </c>
      <c r="G36" s="1430">
        <f>IFERROR(__xludf.DUMMYFUNCTION("""COMPUTED_VALUE"""),2.0)</f>
        <v>2</v>
      </c>
      <c r="H36" s="94">
        <f t="shared" si="1"/>
        <v>4</v>
      </c>
    </row>
    <row r="37" ht="15.75" customHeight="1">
      <c r="A37" s="94" t="str">
        <f>IFERROR(__xludf.DUMMYFUNCTION("""COMPUTED_VALUE"""),"CM 1604")</f>
        <v>CM 1604</v>
      </c>
      <c r="B37" s="94"/>
      <c r="C37" s="94"/>
      <c r="D37" s="94"/>
      <c r="E37" s="1429">
        <f>IFERROR(__xludf.DUMMYFUNCTION("""COMPUTED_VALUE"""),45764.0)</f>
        <v>45764</v>
      </c>
      <c r="F37" s="1429">
        <f>IFERROR(__xludf.DUMMYFUNCTION("""COMPUTED_VALUE"""),45768.0)</f>
        <v>45768</v>
      </c>
      <c r="G37" s="1430">
        <f>IFERROR(__xludf.DUMMYFUNCTION("""COMPUTED_VALUE"""),4.0)</f>
        <v>4</v>
      </c>
      <c r="H37" s="94">
        <f t="shared" si="1"/>
        <v>4</v>
      </c>
    </row>
    <row r="38" ht="15.75" customHeight="1">
      <c r="A38" s="94" t="str">
        <f>IFERROR(__xludf.DUMMYFUNCTION("""COMPUTED_VALUE"""),"WS А 908")</f>
        <v>WS А 908</v>
      </c>
      <c r="B38" s="94"/>
      <c r="C38" s="94"/>
      <c r="D38" s="94"/>
      <c r="E38" s="1429">
        <f>IFERROR(__xludf.DUMMYFUNCTION("""COMPUTED_VALUE"""),45764.0)</f>
        <v>45764</v>
      </c>
      <c r="F38" s="1436">
        <f>IFERROR(__xludf.DUMMYFUNCTION("""COMPUTED_VALUE"""),45769.0)</f>
        <v>45769</v>
      </c>
      <c r="G38" s="1430">
        <f>IFERROR(__xludf.DUMMYFUNCTION("""COMPUTED_VALUE"""),5.0)</f>
        <v>5</v>
      </c>
      <c r="H38" s="94">
        <f t="shared" si="1"/>
        <v>4</v>
      </c>
    </row>
    <row r="39" ht="15.75" customHeight="1">
      <c r="A39" s="94" t="str">
        <f>IFERROR(__xludf.DUMMYFUNCTION("""COMPUTED_VALUE"""),"WS Е804")</f>
        <v>WS Е804</v>
      </c>
      <c r="B39" s="94"/>
      <c r="C39" s="94"/>
      <c r="D39" s="94"/>
      <c r="E39" s="1429">
        <f>IFERROR(__xludf.DUMMYFUNCTION("""COMPUTED_VALUE"""),45764.0)</f>
        <v>45764</v>
      </c>
      <c r="F39" s="1436">
        <f>IFERROR(__xludf.DUMMYFUNCTION("""COMPUTED_VALUE"""),45791.0)</f>
        <v>45791</v>
      </c>
      <c r="G39" s="1430">
        <f>IFERROR(__xludf.DUMMYFUNCTION("""COMPUTED_VALUE"""),27.0)</f>
        <v>27</v>
      </c>
      <c r="H39" s="94">
        <f t="shared" si="1"/>
        <v>4</v>
      </c>
    </row>
    <row r="40" ht="15.75" customHeight="1">
      <c r="A40" s="94" t="str">
        <f>IFERROR(__xludf.DUMMYFUNCTION("""COMPUTED_VALUE"""),"CM 1606")</f>
        <v>CM 1606</v>
      </c>
      <c r="B40" s="94"/>
      <c r="C40" s="94"/>
      <c r="D40" s="94"/>
      <c r="E40" s="1429">
        <f>IFERROR(__xludf.DUMMYFUNCTION("""COMPUTED_VALUE"""),45765.0)</f>
        <v>45765</v>
      </c>
      <c r="F40" s="1436">
        <f>IFERROR(__xludf.DUMMYFUNCTION("""COMPUTED_VALUE"""),45769.0)</f>
        <v>45769</v>
      </c>
      <c r="G40" s="1430">
        <f>IFERROR(__xludf.DUMMYFUNCTION("""COMPUTED_VALUE"""),4.0)</f>
        <v>4</v>
      </c>
      <c r="H40" s="94">
        <f t="shared" si="1"/>
        <v>4</v>
      </c>
    </row>
    <row r="41" ht="15.75" customHeight="1">
      <c r="A41" s="94" t="str">
        <f>IFERROR(__xludf.DUMMYFUNCTION("""COMPUTED_VALUE"""),"PT2704")</f>
        <v>PT2704</v>
      </c>
      <c r="B41" s="94"/>
      <c r="C41" s="94"/>
      <c r="D41" s="94"/>
      <c r="E41" s="1429">
        <f>IFERROR(__xludf.DUMMYFUNCTION("""COMPUTED_VALUE"""),45765.0)</f>
        <v>45765</v>
      </c>
      <c r="F41" s="1436">
        <f>IFERROR(__xludf.DUMMYFUNCTION("""COMPUTED_VALUE"""),45768.0)</f>
        <v>45768</v>
      </c>
      <c r="G41" s="1430">
        <f>IFERROR(__xludf.DUMMYFUNCTION("""COMPUTED_VALUE"""),3.0)</f>
        <v>3</v>
      </c>
      <c r="H41" s="94">
        <f t="shared" si="1"/>
        <v>4</v>
      </c>
    </row>
    <row r="42" ht="15.75" customHeight="1">
      <c r="A42" s="94" t="str">
        <f>IFERROR(__xludf.DUMMYFUNCTION("""COMPUTED_VALUE"""),"WS В 212")</f>
        <v>WS В 212</v>
      </c>
      <c r="B42" s="94"/>
      <c r="C42" s="94"/>
      <c r="D42" s="94"/>
      <c r="E42" s="1429">
        <f>IFERROR(__xludf.DUMMYFUNCTION("""COMPUTED_VALUE"""),45767.0)</f>
        <v>45767</v>
      </c>
      <c r="F42" s="1436">
        <f>IFERROR(__xludf.DUMMYFUNCTION("""COMPUTED_VALUE"""),45771.0)</f>
        <v>45771</v>
      </c>
      <c r="G42" s="1430">
        <f>IFERROR(__xludf.DUMMYFUNCTION("""COMPUTED_VALUE"""),4.0)</f>
        <v>4</v>
      </c>
      <c r="H42" s="94">
        <f t="shared" si="1"/>
        <v>4</v>
      </c>
    </row>
    <row r="43" ht="15.75" customHeight="1">
      <c r="A43" s="94" t="str">
        <f>IFERROR(__xludf.DUMMYFUNCTION("""COMPUTED_VALUE"""),"А 4049")</f>
        <v>А 4049</v>
      </c>
      <c r="B43" s="94"/>
      <c r="C43" s="94"/>
      <c r="D43" s="94"/>
      <c r="E43" s="1429">
        <f>IFERROR(__xludf.DUMMYFUNCTION("""COMPUTED_VALUE"""),45767.0)</f>
        <v>45767</v>
      </c>
      <c r="F43" s="1436">
        <f>IFERROR(__xludf.DUMMYFUNCTION("""COMPUTED_VALUE"""),45770.0)</f>
        <v>45770</v>
      </c>
      <c r="G43" s="1430">
        <f>IFERROR(__xludf.DUMMYFUNCTION("""COMPUTED_VALUE"""),3.0)</f>
        <v>3</v>
      </c>
      <c r="H43" s="94">
        <f t="shared" si="1"/>
        <v>4</v>
      </c>
    </row>
    <row r="44" ht="15.75" customHeight="1">
      <c r="A44" s="94" t="str">
        <f>IFERROR(__xludf.DUMMYFUNCTION("""COMPUTED_VALUE"""),"WS F 907")</f>
        <v>WS F 907</v>
      </c>
      <c r="B44" s="94"/>
      <c r="C44" s="94"/>
      <c r="D44" s="94"/>
      <c r="E44" s="1429">
        <f>IFERROR(__xludf.DUMMYFUNCTION("""COMPUTED_VALUE"""),45768.0)</f>
        <v>45768</v>
      </c>
      <c r="F44" s="1436">
        <f>IFERROR(__xludf.DUMMYFUNCTION("""COMPUTED_VALUE"""),45771.0)</f>
        <v>45771</v>
      </c>
      <c r="G44" s="1430">
        <f>IFERROR(__xludf.DUMMYFUNCTION("""COMPUTED_VALUE"""),3.0)</f>
        <v>3</v>
      </c>
      <c r="H44" s="94">
        <f t="shared" si="1"/>
        <v>4</v>
      </c>
    </row>
    <row r="45" ht="15.75" customHeight="1">
      <c r="A45" s="94" t="str">
        <f>IFERROR(__xludf.DUMMYFUNCTION("""COMPUTED_VALUE"""),"PT2604")</f>
        <v>PT2604</v>
      </c>
      <c r="B45" s="94"/>
      <c r="C45" s="94"/>
      <c r="D45" s="94"/>
      <c r="E45" s="1429">
        <f>IFERROR(__xludf.DUMMYFUNCTION("""COMPUTED_VALUE"""),45768.0)</f>
        <v>45768</v>
      </c>
      <c r="F45" s="1436">
        <f>IFERROR(__xludf.DUMMYFUNCTION("""COMPUTED_VALUE"""),45775.0)</f>
        <v>45775</v>
      </c>
      <c r="G45" s="1430">
        <f>IFERROR(__xludf.DUMMYFUNCTION("""COMPUTED_VALUE"""),7.0)</f>
        <v>7</v>
      </c>
      <c r="H45" s="94">
        <f t="shared" si="1"/>
        <v>4</v>
      </c>
    </row>
    <row r="46" ht="15.75" customHeight="1">
      <c r="A46" s="94" t="str">
        <f>IFERROR(__xludf.DUMMYFUNCTION("""COMPUTED_VALUE"""),"PT2704")</f>
        <v>PT2704</v>
      </c>
      <c r="B46" s="94"/>
      <c r="C46" s="94"/>
      <c r="D46" s="94"/>
      <c r="E46" s="1429">
        <f>IFERROR(__xludf.DUMMYFUNCTION("""COMPUTED_VALUE"""),45769.0)</f>
        <v>45769</v>
      </c>
      <c r="F46" s="1436">
        <f>IFERROR(__xludf.DUMMYFUNCTION("""COMPUTED_VALUE"""),45771.0)</f>
        <v>45771</v>
      </c>
      <c r="G46" s="1430">
        <f>IFERROR(__xludf.DUMMYFUNCTION("""COMPUTED_VALUE"""),2.0)</f>
        <v>2</v>
      </c>
      <c r="H46" s="94">
        <f t="shared" si="1"/>
        <v>4</v>
      </c>
    </row>
    <row r="47" ht="15.75" customHeight="1">
      <c r="A47" s="94" t="str">
        <f>IFERROR(__xludf.DUMMYFUNCTION("""COMPUTED_VALUE"""),"CM 1606")</f>
        <v>CM 1606</v>
      </c>
      <c r="B47" s="94"/>
      <c r="C47" s="94"/>
      <c r="D47" s="94"/>
      <c r="E47" s="1429">
        <f>IFERROR(__xludf.DUMMYFUNCTION("""COMPUTED_VALUE"""),45769.0)</f>
        <v>45769</v>
      </c>
      <c r="F47" s="1436">
        <f>IFERROR(__xludf.DUMMYFUNCTION("""COMPUTED_VALUE"""),45773.0)</f>
        <v>45773</v>
      </c>
      <c r="G47" s="1430">
        <f>IFERROR(__xludf.DUMMYFUNCTION("""COMPUTED_VALUE"""),4.0)</f>
        <v>4</v>
      </c>
      <c r="H47" s="94">
        <f t="shared" si="1"/>
        <v>4</v>
      </c>
    </row>
    <row r="48" ht="15.75" customHeight="1">
      <c r="A48" s="94" t="str">
        <f>IFERROR(__xludf.DUMMYFUNCTION("""COMPUTED_VALUE"""),"Pollo 3-5")</f>
        <v>Pollo 3-5</v>
      </c>
      <c r="B48" s="94"/>
      <c r="C48" s="94"/>
      <c r="D48" s="94"/>
      <c r="E48" s="1429">
        <f>IFERROR(__xludf.DUMMYFUNCTION("""COMPUTED_VALUE"""),45769.0)</f>
        <v>45769</v>
      </c>
      <c r="F48" s="1436">
        <f>IFERROR(__xludf.DUMMYFUNCTION("""COMPUTED_VALUE"""),45798.0)</f>
        <v>45798</v>
      </c>
      <c r="G48" s="1430">
        <f>IFERROR(__xludf.DUMMYFUNCTION("""COMPUTED_VALUE"""),29.0)</f>
        <v>29</v>
      </c>
      <c r="H48" s="94">
        <f t="shared" si="1"/>
        <v>4</v>
      </c>
    </row>
    <row r="49" ht="15.75" customHeight="1">
      <c r="A49" s="94" t="str">
        <f>IFERROR(__xludf.DUMMYFUNCTION("""COMPUTED_VALUE"""),"WS A 608")</f>
        <v>WS A 608</v>
      </c>
      <c r="B49" s="94"/>
      <c r="C49" s="94"/>
      <c r="D49" s="94"/>
      <c r="E49" s="1429">
        <f>IFERROR(__xludf.DUMMYFUNCTION("""COMPUTED_VALUE"""),45770.0)</f>
        <v>45770</v>
      </c>
      <c r="F49" s="1436">
        <f>IFERROR(__xludf.DUMMYFUNCTION("""COMPUTED_VALUE"""),45773.0)</f>
        <v>45773</v>
      </c>
      <c r="G49" s="1430">
        <f>IFERROR(__xludf.DUMMYFUNCTION("""COMPUTED_VALUE"""),3.0)</f>
        <v>3</v>
      </c>
      <c r="H49" s="94">
        <f t="shared" si="1"/>
        <v>4</v>
      </c>
    </row>
    <row r="50" ht="15.75" customHeight="1">
      <c r="A50" s="94" t="str">
        <f>IFERROR(__xludf.DUMMYFUNCTION("""COMPUTED_VALUE"""),"WS А 908")</f>
        <v>WS А 908</v>
      </c>
      <c r="B50" s="94"/>
      <c r="C50" s="94"/>
      <c r="D50" s="94"/>
      <c r="E50" s="1429">
        <f>IFERROR(__xludf.DUMMYFUNCTION("""COMPUTED_VALUE"""),45770.0)</f>
        <v>45770</v>
      </c>
      <c r="F50" s="1436">
        <f>IFERROR(__xludf.DUMMYFUNCTION("""COMPUTED_VALUE"""),45774.0)</f>
        <v>45774</v>
      </c>
      <c r="G50" s="1430">
        <f>IFERROR(__xludf.DUMMYFUNCTION("""COMPUTED_VALUE"""),4.0)</f>
        <v>4</v>
      </c>
      <c r="H50" s="94">
        <f t="shared" si="1"/>
        <v>4</v>
      </c>
    </row>
    <row r="51" ht="15.75" customHeight="1">
      <c r="A51" s="94" t="str">
        <f>IFERROR(__xludf.DUMMYFUNCTION("""COMPUTED_VALUE"""),"Шар 2505")</f>
        <v>Шар 2505</v>
      </c>
      <c r="B51" s="94"/>
      <c r="C51" s="94"/>
      <c r="D51" s="94"/>
      <c r="E51" s="1429">
        <f>IFERROR(__xludf.DUMMYFUNCTION("""COMPUTED_VALUE"""),45770.0)</f>
        <v>45770</v>
      </c>
      <c r="F51" s="1436">
        <f>IFERROR(__xludf.DUMMYFUNCTION("""COMPUTED_VALUE"""),45778.0)</f>
        <v>45778</v>
      </c>
      <c r="G51" s="1430">
        <f>IFERROR(__xludf.DUMMYFUNCTION("""COMPUTED_VALUE"""),8.0)</f>
        <v>8</v>
      </c>
      <c r="H51" s="94">
        <f t="shared" si="1"/>
        <v>4</v>
      </c>
    </row>
    <row r="52" ht="15.75" customHeight="1">
      <c r="A52" s="94" t="str">
        <f>IFERROR(__xludf.DUMMYFUNCTION("""COMPUTED_VALUE"""),"шартава 16/18")</f>
        <v>шартава 16/18</v>
      </c>
      <c r="B52" s="94"/>
      <c r="C52" s="94"/>
      <c r="D52" s="94"/>
      <c r="E52" s="1429">
        <f>IFERROR(__xludf.DUMMYFUNCTION("""COMPUTED_VALUE"""),45772.0)</f>
        <v>45772</v>
      </c>
      <c r="F52" s="1436">
        <f>IFERROR(__xludf.DUMMYFUNCTION("""COMPUTED_VALUE"""),45801.0)</f>
        <v>45801</v>
      </c>
      <c r="G52" s="1430">
        <f>IFERROR(__xludf.DUMMYFUNCTION("""COMPUTED_VALUE"""),29.0)</f>
        <v>29</v>
      </c>
      <c r="H52" s="94">
        <f t="shared" si="1"/>
        <v>4</v>
      </c>
    </row>
    <row r="53" ht="15.75" customHeight="1">
      <c r="A53" s="94" t="str">
        <f>IFERROR(__xludf.DUMMYFUNCTION("""COMPUTED_VALUE"""),"А 4049")</f>
        <v>А 4049</v>
      </c>
      <c r="B53" s="94"/>
      <c r="C53" s="94"/>
      <c r="D53" s="94"/>
      <c r="E53" s="1429">
        <f>IFERROR(__xludf.DUMMYFUNCTION("""COMPUTED_VALUE"""),45772.0)</f>
        <v>45772</v>
      </c>
      <c r="F53" s="1436">
        <f>IFERROR(__xludf.DUMMYFUNCTION("""COMPUTED_VALUE"""),45779.0)</f>
        <v>45779</v>
      </c>
      <c r="G53" s="1430">
        <f>IFERROR(__xludf.DUMMYFUNCTION("""COMPUTED_VALUE"""),7.0)</f>
        <v>7</v>
      </c>
      <c r="H53" s="94">
        <f t="shared" si="1"/>
        <v>4</v>
      </c>
    </row>
    <row r="54" ht="15.75" customHeight="1">
      <c r="A54" s="94" t="str">
        <f>IFERROR(__xludf.DUMMYFUNCTION("""COMPUTED_VALUE"""),"C 4245")</f>
        <v>C 4245</v>
      </c>
      <c r="B54" s="94"/>
      <c r="C54" s="94"/>
      <c r="D54" s="94"/>
      <c r="E54" s="1429">
        <f>IFERROR(__xludf.DUMMYFUNCTION("""COMPUTED_VALUE"""),45772.0)</f>
        <v>45772</v>
      </c>
      <c r="F54" s="1436">
        <f>IFERROR(__xludf.DUMMYFUNCTION("""COMPUTED_VALUE"""),45775.0)</f>
        <v>45775</v>
      </c>
      <c r="G54" s="1430">
        <f>IFERROR(__xludf.DUMMYFUNCTION("""COMPUTED_VALUE"""),3.0)</f>
        <v>3</v>
      </c>
      <c r="H54" s="94">
        <f t="shared" si="1"/>
        <v>4</v>
      </c>
    </row>
    <row r="55" ht="15.75" customHeight="1">
      <c r="A55" s="94" t="str">
        <f>IFERROR(__xludf.DUMMYFUNCTION("""COMPUTED_VALUE"""),"WS В 212")</f>
        <v>WS В 212</v>
      </c>
      <c r="B55" s="94"/>
      <c r="C55" s="94"/>
      <c r="D55" s="94"/>
      <c r="E55" s="1429">
        <f>IFERROR(__xludf.DUMMYFUNCTION("""COMPUTED_VALUE"""),45773.0)</f>
        <v>45773</v>
      </c>
      <c r="F55" s="1436">
        <f>IFERROR(__xludf.DUMMYFUNCTION("""COMPUTED_VALUE"""),45781.0)</f>
        <v>45781</v>
      </c>
      <c r="G55" s="1430">
        <f>IFERROR(__xludf.DUMMYFUNCTION("""COMPUTED_VALUE"""),8.0)</f>
        <v>8</v>
      </c>
      <c r="H55" s="94">
        <f t="shared" si="1"/>
        <v>4</v>
      </c>
    </row>
    <row r="56" ht="15.75" customHeight="1">
      <c r="A56" s="94" t="str">
        <f>IFERROR(__xludf.DUMMYFUNCTION("""COMPUTED_VALUE"""),"PT2704")</f>
        <v>PT2704</v>
      </c>
      <c r="B56" s="94"/>
      <c r="C56" s="94"/>
      <c r="D56" s="94"/>
      <c r="E56" s="1429">
        <f>IFERROR(__xludf.DUMMYFUNCTION("""COMPUTED_VALUE"""),45773.0)</f>
        <v>45773</v>
      </c>
      <c r="F56" s="1436">
        <f>IFERROR(__xludf.DUMMYFUNCTION("""COMPUTED_VALUE"""),45775.0)</f>
        <v>45775</v>
      </c>
      <c r="G56" s="1430">
        <f>IFERROR(__xludf.DUMMYFUNCTION("""COMPUTED_VALUE"""),2.0)</f>
        <v>2</v>
      </c>
      <c r="H56" s="94">
        <f t="shared" si="1"/>
        <v>4</v>
      </c>
    </row>
    <row r="57" ht="15.75" customHeight="1">
      <c r="A57" s="94" t="str">
        <f>IFERROR(__xludf.DUMMYFUNCTION("""COMPUTED_VALUE"""),"D2 1625")</f>
        <v>D2 1625</v>
      </c>
      <c r="B57" s="94"/>
      <c r="C57" s="94"/>
      <c r="D57" s="94"/>
      <c r="E57" s="1429">
        <f>IFERROR(__xludf.DUMMYFUNCTION("""COMPUTED_VALUE"""),45773.0)</f>
        <v>45773</v>
      </c>
      <c r="F57" s="1436">
        <f>IFERROR(__xludf.DUMMYFUNCTION("""COMPUTED_VALUE"""),45779.0)</f>
        <v>45779</v>
      </c>
      <c r="G57" s="1430">
        <f>IFERROR(__xludf.DUMMYFUNCTION("""COMPUTED_VALUE"""),6.0)</f>
        <v>6</v>
      </c>
      <c r="H57" s="94">
        <f t="shared" si="1"/>
        <v>4</v>
      </c>
    </row>
    <row r="58" ht="15.75" customHeight="1">
      <c r="A58" s="94" t="str">
        <f>IFERROR(__xludf.DUMMYFUNCTION("""COMPUTED_VALUE"""),"TGA3")</f>
        <v>TGA3</v>
      </c>
      <c r="B58" s="94"/>
      <c r="C58" s="94"/>
      <c r="D58" s="94"/>
      <c r="E58" s="1429">
        <f>IFERROR(__xludf.DUMMYFUNCTION("""COMPUTED_VALUE"""),45774.0)</f>
        <v>45774</v>
      </c>
      <c r="F58" s="1436">
        <f>IFERROR(__xludf.DUMMYFUNCTION("""COMPUTED_VALUE"""),45781.0)</f>
        <v>45781</v>
      </c>
      <c r="G58" s="1430">
        <f>IFERROR(__xludf.DUMMYFUNCTION("""COMPUTED_VALUE"""),7.0)</f>
        <v>7</v>
      </c>
      <c r="H58" s="94">
        <f t="shared" si="1"/>
        <v>4</v>
      </c>
    </row>
    <row r="59" ht="15.75" customHeight="1">
      <c r="A59" s="94" t="str">
        <f>IFERROR(__xludf.DUMMYFUNCTION("""COMPUTED_VALUE"""),"CM 1604")</f>
        <v>CM 1604</v>
      </c>
      <c r="B59" s="94"/>
      <c r="C59" s="94"/>
      <c r="D59" s="94"/>
      <c r="E59" s="1429">
        <f>IFERROR(__xludf.DUMMYFUNCTION("""COMPUTED_VALUE"""),45774.0)</f>
        <v>45774</v>
      </c>
      <c r="F59" s="1436">
        <f>IFERROR(__xludf.DUMMYFUNCTION("""COMPUTED_VALUE"""),45777.0)</f>
        <v>45777</v>
      </c>
      <c r="G59" s="1430">
        <f>IFERROR(__xludf.DUMMYFUNCTION("""COMPUTED_VALUE"""),3.0)</f>
        <v>3</v>
      </c>
      <c r="H59" s="94">
        <f t="shared" si="1"/>
        <v>4</v>
      </c>
    </row>
    <row r="60" ht="15.75" customHeight="1">
      <c r="A60" s="94" t="str">
        <f>IFERROR(__xludf.DUMMYFUNCTION("""COMPUTED_VALUE"""),"WS E 1202")</f>
        <v>WS E 1202</v>
      </c>
      <c r="B60" s="94"/>
      <c r="C60" s="94"/>
      <c r="D60" s="94"/>
      <c r="E60" s="1429">
        <f>IFERROR(__xludf.DUMMYFUNCTION("""COMPUTED_VALUE"""),45775.0)</f>
        <v>45775</v>
      </c>
      <c r="F60" s="1436">
        <f>IFERROR(__xludf.DUMMYFUNCTION("""COMPUTED_VALUE"""),45783.0)</f>
        <v>45783</v>
      </c>
      <c r="G60" s="1430">
        <f>IFERROR(__xludf.DUMMYFUNCTION("""COMPUTED_VALUE"""),8.0)</f>
        <v>8</v>
      </c>
      <c r="H60" s="94">
        <f t="shared" si="1"/>
        <v>4</v>
      </c>
    </row>
    <row r="61" ht="15.75" customHeight="1">
      <c r="A61" s="94" t="str">
        <f>IFERROR(__xludf.DUMMYFUNCTION("""COMPUTED_VALUE"""),"WS A 608")</f>
        <v>WS A 608</v>
      </c>
      <c r="B61" s="94"/>
      <c r="C61" s="94"/>
      <c r="D61" s="94"/>
      <c r="E61" s="94"/>
      <c r="F61" s="94"/>
      <c r="G61" s="94"/>
      <c r="H61" s="94">
        <f t="shared" si="1"/>
        <v>12</v>
      </c>
    </row>
    <row r="62" ht="15.75" customHeight="1">
      <c r="A62" s="94" t="str">
        <f>IFERROR(__xludf.DUMMYFUNCTION("""COMPUTED_VALUE"""),"WS F 907")</f>
        <v>WS F 907</v>
      </c>
      <c r="B62" s="94"/>
      <c r="C62" s="94"/>
      <c r="D62" s="94"/>
      <c r="E62" s="1429">
        <f>IFERROR(__xludf.DUMMYFUNCTION("""COMPUTED_VALUE"""),45775.0)</f>
        <v>45775</v>
      </c>
      <c r="F62" s="1436">
        <f>IFERROR(__xludf.DUMMYFUNCTION("""COMPUTED_VALUE"""),45778.0)</f>
        <v>45778</v>
      </c>
      <c r="G62" s="1430">
        <f>IFERROR(__xludf.DUMMYFUNCTION("""COMPUTED_VALUE"""),3.0)</f>
        <v>3</v>
      </c>
      <c r="H62" s="94">
        <f t="shared" si="1"/>
        <v>4</v>
      </c>
    </row>
    <row r="63" ht="15.75" customHeight="1">
      <c r="A63" s="94" t="str">
        <f>IFERROR(__xludf.DUMMYFUNCTION("""COMPUTED_VALUE"""),"PT2604")</f>
        <v>PT2604</v>
      </c>
      <c r="B63" s="94"/>
      <c r="C63" s="94"/>
      <c r="D63" s="94"/>
      <c r="E63" s="1429">
        <f>IFERROR(__xludf.DUMMYFUNCTION("""COMPUTED_VALUE"""),45775.0)</f>
        <v>45775</v>
      </c>
      <c r="F63" s="1436">
        <f>IFERROR(__xludf.DUMMYFUNCTION("""COMPUTED_VALUE"""),45778.0)</f>
        <v>45778</v>
      </c>
      <c r="G63" s="1430">
        <f>IFERROR(__xludf.DUMMYFUNCTION("""COMPUTED_VALUE"""),3.0)</f>
        <v>3</v>
      </c>
      <c r="H63" s="94">
        <f t="shared" si="1"/>
        <v>4</v>
      </c>
    </row>
    <row r="64" ht="15.75" customHeight="1">
      <c r="A64" s="94" t="str">
        <f>IFERROR(__xludf.DUMMYFUNCTION("""COMPUTED_VALUE"""),"PT2704")</f>
        <v>PT2704</v>
      </c>
      <c r="B64" s="94"/>
      <c r="C64" s="94"/>
      <c r="D64" s="94"/>
      <c r="E64" s="1429">
        <f>IFERROR(__xludf.DUMMYFUNCTION("""COMPUTED_VALUE"""),45775.0)</f>
        <v>45775</v>
      </c>
      <c r="F64" s="1436">
        <f>IFERROR(__xludf.DUMMYFUNCTION("""COMPUTED_VALUE"""),45778.0)</f>
        <v>45778</v>
      </c>
      <c r="G64" s="1430">
        <f>IFERROR(__xludf.DUMMYFUNCTION("""COMPUTED_VALUE"""),3.0)</f>
        <v>3</v>
      </c>
      <c r="H64" s="94">
        <f t="shared" si="1"/>
        <v>4</v>
      </c>
    </row>
    <row r="65" ht="15.75" customHeight="1">
      <c r="A65" s="94" t="str">
        <f>IFERROR(__xludf.DUMMYFUNCTION("""COMPUTED_VALUE"""),"С 2756")</f>
        <v>С 2756</v>
      </c>
      <c r="B65" s="94"/>
      <c r="C65" s="94"/>
      <c r="D65" s="94"/>
      <c r="E65" s="1429">
        <f>IFERROR(__xludf.DUMMYFUNCTION("""COMPUTED_VALUE"""),45775.0)</f>
        <v>45775</v>
      </c>
      <c r="F65" s="1429">
        <f>IFERROR(__xludf.DUMMYFUNCTION("""COMPUTED_VALUE"""),45804.0)</f>
        <v>45804</v>
      </c>
      <c r="G65" s="1430">
        <f>IFERROR(__xludf.DUMMYFUNCTION("""COMPUTED_VALUE"""),29.0)</f>
        <v>29</v>
      </c>
      <c r="H65" s="94">
        <f t="shared" si="1"/>
        <v>4</v>
      </c>
    </row>
    <row r="66" ht="15.75" customHeight="1">
      <c r="A66" s="94" t="str">
        <f>IFERROR(__xludf.DUMMYFUNCTION("""COMPUTED_VALUE"""),"WS В 503")</f>
        <v>WS В 503</v>
      </c>
      <c r="B66" s="94"/>
      <c r="C66" s="94"/>
      <c r="D66" s="94"/>
      <c r="E66" s="1429">
        <f>IFERROR(__xludf.DUMMYFUNCTION("""COMPUTED_VALUE"""),45776.0)</f>
        <v>45776</v>
      </c>
      <c r="F66" s="1436">
        <f>IFERROR(__xludf.DUMMYFUNCTION("""COMPUTED_VALUE"""),45806.0)</f>
        <v>45806</v>
      </c>
      <c r="G66" s="1430">
        <f>IFERROR(__xludf.DUMMYFUNCTION("""COMPUTED_VALUE"""),30.0)</f>
        <v>30</v>
      </c>
      <c r="H66" s="94">
        <f t="shared" si="1"/>
        <v>4</v>
      </c>
    </row>
    <row r="67" ht="15.75" customHeight="1">
      <c r="A67" s="94" t="str">
        <f>IFERROR(__xludf.DUMMYFUNCTION("""COMPUTED_VALUE"""),"CM 1606")</f>
        <v>CM 1606</v>
      </c>
      <c r="B67" s="94"/>
      <c r="C67" s="94"/>
      <c r="D67" s="94"/>
      <c r="E67" s="1429">
        <f>IFERROR(__xludf.DUMMYFUNCTION("""COMPUTED_VALUE"""),45777.0)</f>
        <v>45777</v>
      </c>
      <c r="F67" s="1436">
        <f>IFERROR(__xludf.DUMMYFUNCTION("""COMPUTED_VALUE"""),45782.0)</f>
        <v>45782</v>
      </c>
      <c r="G67" s="1430">
        <f>IFERROR(__xludf.DUMMYFUNCTION("""COMPUTED_VALUE"""),5.0)</f>
        <v>5</v>
      </c>
      <c r="H67" s="94">
        <f t="shared" si="1"/>
        <v>4</v>
      </c>
    </row>
    <row r="68" ht="15.75" customHeight="1">
      <c r="A68" s="94" t="str">
        <f>IFERROR(__xludf.DUMMYFUNCTION("""COMPUTED_VALUE"""),"CM 1604")</f>
        <v>CM 1604</v>
      </c>
      <c r="B68" s="94"/>
      <c r="C68" s="94"/>
      <c r="D68" s="94"/>
      <c r="E68" s="1429">
        <f>IFERROR(__xludf.DUMMYFUNCTION("""COMPUTED_VALUE"""),45777.0)</f>
        <v>45777</v>
      </c>
      <c r="F68" s="1436">
        <f>IFERROR(__xludf.DUMMYFUNCTION("""COMPUTED_VALUE"""),45782.0)</f>
        <v>45782</v>
      </c>
      <c r="G68" s="1430">
        <f>IFERROR(__xludf.DUMMYFUNCTION("""COMPUTED_VALUE"""),5.0)</f>
        <v>5</v>
      </c>
      <c r="H68" s="94">
        <f t="shared" si="1"/>
        <v>4</v>
      </c>
    </row>
    <row r="69" ht="15.75" customHeight="1">
      <c r="A69" s="94" t="str">
        <f>IFERROR(__xludf.DUMMYFUNCTION("""COMPUTED_VALUE"""),"CM 1931")</f>
        <v>CM 1931</v>
      </c>
      <c r="B69" s="94"/>
      <c r="C69" s="94"/>
      <c r="D69" s="94"/>
      <c r="E69" s="1429">
        <f>IFERROR(__xludf.DUMMYFUNCTION("""COMPUTED_VALUE"""),45777.0)</f>
        <v>45777</v>
      </c>
      <c r="F69" s="1436">
        <f>IFERROR(__xludf.DUMMYFUNCTION("""COMPUTED_VALUE"""),45778.0)</f>
        <v>45778</v>
      </c>
      <c r="G69" s="1430">
        <f>IFERROR(__xludf.DUMMYFUNCTION("""COMPUTED_VALUE"""),1.0)</f>
        <v>1</v>
      </c>
      <c r="H69" s="94">
        <f t="shared" si="1"/>
        <v>4</v>
      </c>
    </row>
    <row r="70" ht="15.75" customHeight="1">
      <c r="A70" s="94" t="str">
        <f>IFERROR(__xludf.DUMMYFUNCTION("""COMPUTED_VALUE"""),"WS А 908")</f>
        <v>WS А 908</v>
      </c>
      <c r="B70" s="94"/>
      <c r="C70" s="94"/>
      <c r="D70" s="94"/>
      <c r="E70" s="1429">
        <f>IFERROR(__xludf.DUMMYFUNCTION("""COMPUTED_VALUE"""),45778.0)</f>
        <v>45778</v>
      </c>
      <c r="F70" s="1436">
        <f>IFERROR(__xludf.DUMMYFUNCTION("""COMPUTED_VALUE"""),45808.0)</f>
        <v>45808</v>
      </c>
      <c r="G70" s="1430">
        <f>IFERROR(__xludf.DUMMYFUNCTION("""COMPUTED_VALUE"""),30.0)</f>
        <v>30</v>
      </c>
      <c r="H70" s="94">
        <f t="shared" si="1"/>
        <v>5</v>
      </c>
    </row>
    <row r="71" ht="15.75" customHeight="1">
      <c r="A71" s="94" t="str">
        <f>IFERROR(__xludf.DUMMYFUNCTION("""COMPUTED_VALUE"""),"WS A 608")</f>
        <v>WS A 608</v>
      </c>
      <c r="B71" s="94"/>
      <c r="C71" s="94"/>
      <c r="D71" s="94"/>
      <c r="E71" s="1429">
        <f>IFERROR(__xludf.DUMMYFUNCTION("""COMPUTED_VALUE"""),45778.0)</f>
        <v>45778</v>
      </c>
      <c r="F71" s="1436">
        <f>IFERROR(__xludf.DUMMYFUNCTION("""COMPUTED_VALUE"""),45788.0)</f>
        <v>45788</v>
      </c>
      <c r="G71" s="1430">
        <f>IFERROR(__xludf.DUMMYFUNCTION("""COMPUTED_VALUE"""),10.0)</f>
        <v>10</v>
      </c>
      <c r="H71" s="94">
        <f t="shared" si="1"/>
        <v>5</v>
      </c>
    </row>
    <row r="72" ht="15.75" customHeight="1">
      <c r="A72" s="94" t="str">
        <f>IFERROR(__xludf.DUMMYFUNCTION("""COMPUTED_VALUE"""),"Steps1123")</f>
        <v>Steps1123</v>
      </c>
      <c r="B72" s="94"/>
      <c r="C72" s="94"/>
      <c r="D72" s="94"/>
      <c r="E72" s="1429">
        <f>IFERROR(__xludf.DUMMYFUNCTION("""COMPUTED_VALUE"""),45778.0)</f>
        <v>45778</v>
      </c>
      <c r="F72" s="1436">
        <f>IFERROR(__xludf.DUMMYFUNCTION("""COMPUTED_VALUE"""),45781.0)</f>
        <v>45781</v>
      </c>
      <c r="G72" s="1430">
        <f>IFERROR(__xludf.DUMMYFUNCTION("""COMPUTED_VALUE"""),3.0)</f>
        <v>3</v>
      </c>
      <c r="H72" s="94">
        <f t="shared" si="1"/>
        <v>5</v>
      </c>
    </row>
    <row r="73" ht="15.75" customHeight="1">
      <c r="A73" s="94" t="str">
        <f>IFERROR(__xludf.DUMMYFUNCTION("""COMPUTED_VALUE"""),"TG B2")</f>
        <v>TG B2</v>
      </c>
      <c r="B73" s="94"/>
      <c r="C73" s="94"/>
      <c r="D73" s="94"/>
      <c r="E73" s="1429">
        <f>IFERROR(__xludf.DUMMYFUNCTION("""COMPUTED_VALUE"""),45777.0)</f>
        <v>45777</v>
      </c>
      <c r="F73" s="1436">
        <f>IFERROR(__xludf.DUMMYFUNCTION("""COMPUTED_VALUE"""),45784.0)</f>
        <v>45784</v>
      </c>
      <c r="G73" s="1430">
        <f>IFERROR(__xludf.DUMMYFUNCTION("""COMPUTED_VALUE"""),7.0)</f>
        <v>7</v>
      </c>
      <c r="H73" s="94">
        <f t="shared" si="1"/>
        <v>4</v>
      </c>
    </row>
    <row r="74" ht="15.75" customHeight="1">
      <c r="A74" s="94" t="str">
        <f>IFERROR(__xludf.DUMMYFUNCTION("""COMPUTED_VALUE"""),"Int 2905")</f>
        <v>Int 2905</v>
      </c>
      <c r="B74" s="94"/>
      <c r="C74" s="94"/>
      <c r="D74" s="94"/>
      <c r="E74" s="1429">
        <f>IFERROR(__xludf.DUMMYFUNCTION("""COMPUTED_VALUE"""),45778.0)</f>
        <v>45778</v>
      </c>
      <c r="F74" s="1436">
        <f>IFERROR(__xludf.DUMMYFUNCTION("""COMPUTED_VALUE"""),45808.0)</f>
        <v>45808</v>
      </c>
      <c r="G74" s="1430">
        <f>IFERROR(__xludf.DUMMYFUNCTION("""COMPUTED_VALUE"""),30.0)</f>
        <v>30</v>
      </c>
      <c r="H74" s="94">
        <f t="shared" si="1"/>
        <v>5</v>
      </c>
    </row>
    <row r="75" ht="15.75" customHeight="1">
      <c r="A75" s="94" t="str">
        <f>IFERROR(__xludf.DUMMYFUNCTION("""COMPUTED_VALUE"""),"PT2704")</f>
        <v>PT2704</v>
      </c>
      <c r="B75" s="94"/>
      <c r="C75" s="94"/>
      <c r="D75" s="94"/>
      <c r="E75" s="1429">
        <f>IFERROR(__xludf.DUMMYFUNCTION("""COMPUTED_VALUE"""),45778.0)</f>
        <v>45778</v>
      </c>
      <c r="F75" s="1436">
        <f>IFERROR(__xludf.DUMMYFUNCTION("""COMPUTED_VALUE"""),45781.0)</f>
        <v>45781</v>
      </c>
      <c r="G75" s="1430">
        <f>IFERROR(__xludf.DUMMYFUNCTION("""COMPUTED_VALUE"""),3.0)</f>
        <v>3</v>
      </c>
      <c r="H75" s="94">
        <f t="shared" si="1"/>
        <v>5</v>
      </c>
    </row>
    <row r="76" ht="15.75" customHeight="1">
      <c r="A76" s="94" t="str">
        <f>IFERROR(__xludf.DUMMYFUNCTION("""COMPUTED_VALUE"""),"С 1443")</f>
        <v>С 1443</v>
      </c>
      <c r="B76" s="94"/>
      <c r="C76" s="94"/>
      <c r="D76" s="94"/>
      <c r="E76" s="1429">
        <f>IFERROR(__xludf.DUMMYFUNCTION("""COMPUTED_VALUE"""),45778.0)</f>
        <v>45778</v>
      </c>
      <c r="F76" s="1436">
        <f>IFERROR(__xludf.DUMMYFUNCTION("""COMPUTED_VALUE"""),45808.0)</f>
        <v>45808</v>
      </c>
      <c r="G76" s="1430">
        <f>IFERROR(__xludf.DUMMYFUNCTION("""COMPUTED_VALUE"""),30.0)</f>
        <v>30</v>
      </c>
      <c r="H76" s="94">
        <f t="shared" si="1"/>
        <v>5</v>
      </c>
    </row>
    <row r="77" ht="15.75" customHeight="1">
      <c r="A77" s="94" t="str">
        <f>IFERROR(__xludf.DUMMYFUNCTION("""COMPUTED_VALUE"""),"TGA5")</f>
        <v>TGA5</v>
      </c>
      <c r="B77" s="94"/>
      <c r="C77" s="94"/>
      <c r="D77" s="94"/>
      <c r="E77" s="1429">
        <f>IFERROR(__xludf.DUMMYFUNCTION("""COMPUTED_VALUE"""),45779.0)</f>
        <v>45779</v>
      </c>
      <c r="F77" s="1436">
        <f>IFERROR(__xludf.DUMMYFUNCTION("""COMPUTED_VALUE"""),45785.0)</f>
        <v>45785</v>
      </c>
      <c r="G77" s="1430">
        <f>IFERROR(__xludf.DUMMYFUNCTION("""COMPUTED_VALUE"""),6.0)</f>
        <v>6</v>
      </c>
      <c r="H77" s="94">
        <f t="shared" si="1"/>
        <v>5</v>
      </c>
    </row>
    <row r="78" ht="15.75" customHeight="1">
      <c r="A78" s="94" t="str">
        <f>IFERROR(__xludf.DUMMYFUNCTION("""COMPUTED_VALUE"""),"TGA6")</f>
        <v>TGA6</v>
      </c>
      <c r="B78" s="94"/>
      <c r="C78" s="94"/>
      <c r="D78" s="94"/>
      <c r="E78" s="1429">
        <f>IFERROR(__xludf.DUMMYFUNCTION("""COMPUTED_VALUE"""),45780.0)</f>
        <v>45780</v>
      </c>
      <c r="F78" s="1436">
        <f>IFERROR(__xludf.DUMMYFUNCTION("""COMPUTED_VALUE"""),45786.0)</f>
        <v>45786</v>
      </c>
      <c r="G78" s="1430">
        <f>IFERROR(__xludf.DUMMYFUNCTION("""COMPUTED_VALUE"""),6.0)</f>
        <v>6</v>
      </c>
      <c r="H78" s="94">
        <f t="shared" si="1"/>
        <v>5</v>
      </c>
    </row>
    <row r="79" ht="15.75" customHeight="1">
      <c r="A79" s="94" t="str">
        <f>IFERROR(__xludf.DUMMYFUNCTION("""COMPUTED_VALUE"""),"Шар 2505")</f>
        <v>Шар 2505</v>
      </c>
      <c r="B79" s="94"/>
      <c r="C79" s="94"/>
      <c r="D79" s="94"/>
      <c r="E79" s="1429">
        <f>IFERROR(__xludf.DUMMYFUNCTION("""COMPUTED_VALUE"""),45780.0)</f>
        <v>45780</v>
      </c>
      <c r="F79" s="1436">
        <f>IFERROR(__xludf.DUMMYFUNCTION("""COMPUTED_VALUE"""),45785.0)</f>
        <v>45785</v>
      </c>
      <c r="G79" s="1430">
        <f>IFERROR(__xludf.DUMMYFUNCTION("""COMPUTED_VALUE"""),5.0)</f>
        <v>5</v>
      </c>
      <c r="H79" s="94">
        <f t="shared" si="1"/>
        <v>5</v>
      </c>
    </row>
    <row r="80" ht="15.75" customHeight="1">
      <c r="A80" s="94" t="str">
        <f>IFERROR(__xludf.DUMMYFUNCTION("""COMPUTED_VALUE"""),"MZ 913")</f>
        <v>MZ 913</v>
      </c>
      <c r="B80" s="94"/>
      <c r="C80" s="94"/>
      <c r="D80" s="94"/>
      <c r="E80" s="1434">
        <f>IFERROR(__xludf.DUMMYFUNCTION("""COMPUTED_VALUE"""),45780.0)</f>
        <v>45780</v>
      </c>
      <c r="F80" s="1429">
        <f>IFERROR(__xludf.DUMMYFUNCTION("""COMPUTED_VALUE"""),45788.0)</f>
        <v>45788</v>
      </c>
      <c r="G80" s="1430">
        <f>IFERROR(__xludf.DUMMYFUNCTION("""COMPUTED_VALUE"""),8.0)</f>
        <v>8</v>
      </c>
      <c r="H80" s="94">
        <f t="shared" si="1"/>
        <v>5</v>
      </c>
    </row>
    <row r="81" ht="15.75" customHeight="1">
      <c r="A81" s="94" t="str">
        <f>IFERROR(__xludf.DUMMYFUNCTION("""COMPUTED_VALUE"""),"А 4049")</f>
        <v>А 4049</v>
      </c>
      <c r="B81" s="94"/>
      <c r="C81" s="94"/>
      <c r="D81" s="94"/>
      <c r="E81" s="1434">
        <f>IFERROR(__xludf.DUMMYFUNCTION("""COMPUTED_VALUE"""),45780.0)</f>
        <v>45780</v>
      </c>
      <c r="F81" s="1429">
        <f>IFERROR(__xludf.DUMMYFUNCTION("""COMPUTED_VALUE"""),45783.0)</f>
        <v>45783</v>
      </c>
      <c r="G81" s="1430">
        <f>IFERROR(__xludf.DUMMYFUNCTION("""COMPUTED_VALUE"""),3.0)</f>
        <v>3</v>
      </c>
      <c r="H81" s="94">
        <f t="shared" si="1"/>
        <v>5</v>
      </c>
    </row>
    <row r="82" ht="15.75" customHeight="1">
      <c r="A82" s="94" t="str">
        <f>IFERROR(__xludf.DUMMYFUNCTION("""COMPUTED_VALUE"""),"D2 1625")</f>
        <v>D2 1625</v>
      </c>
      <c r="B82" s="94"/>
      <c r="C82" s="94"/>
      <c r="D82" s="94"/>
      <c r="E82" s="1434">
        <f>IFERROR(__xludf.DUMMYFUNCTION("""COMPUTED_VALUE"""),45780.0)</f>
        <v>45780</v>
      </c>
      <c r="F82" s="1429">
        <f>IFERROR(__xludf.DUMMYFUNCTION("""COMPUTED_VALUE"""),45784.0)</f>
        <v>45784</v>
      </c>
      <c r="G82" s="1430">
        <f>IFERROR(__xludf.DUMMYFUNCTION("""COMPUTED_VALUE"""),4.0)</f>
        <v>4</v>
      </c>
      <c r="H82" s="94">
        <f t="shared" si="1"/>
        <v>5</v>
      </c>
    </row>
    <row r="83" ht="15.75" customHeight="1">
      <c r="A83" s="94" t="str">
        <f>IFERROR(__xludf.DUMMYFUNCTION("""COMPUTED_VALUE"""),"WS A 409")</f>
        <v>WS A 409</v>
      </c>
      <c r="B83" s="94"/>
      <c r="C83" s="94"/>
      <c r="D83" s="94"/>
      <c r="E83" s="1434">
        <f>IFERROR(__xludf.DUMMYFUNCTION("""COMPUTED_VALUE"""),45780.0)</f>
        <v>45780</v>
      </c>
      <c r="F83" s="1429">
        <f>IFERROR(__xludf.DUMMYFUNCTION("""COMPUTED_VALUE"""),45782.0)</f>
        <v>45782</v>
      </c>
      <c r="G83" s="1430">
        <f>IFERROR(__xludf.DUMMYFUNCTION("""COMPUTED_VALUE"""),2.0)</f>
        <v>2</v>
      </c>
      <c r="H83" s="94">
        <f t="shared" si="1"/>
        <v>5</v>
      </c>
    </row>
    <row r="84" ht="15.75" customHeight="1">
      <c r="A84" s="94" t="str">
        <f>IFERROR(__xludf.DUMMYFUNCTION("""COMPUTED_VALUE"""),"WS A907")</f>
        <v>WS A907</v>
      </c>
      <c r="B84" s="94"/>
      <c r="C84" s="94"/>
      <c r="D84" s="94"/>
      <c r="E84" s="1434">
        <f>IFERROR(__xludf.DUMMYFUNCTION("""COMPUTED_VALUE"""),45780.0)</f>
        <v>45780</v>
      </c>
      <c r="F84" s="1429">
        <f>IFERROR(__xludf.DUMMYFUNCTION("""COMPUTED_VALUE"""),45782.0)</f>
        <v>45782</v>
      </c>
      <c r="G84" s="1430">
        <f>IFERROR(__xludf.DUMMYFUNCTION("""COMPUTED_VALUE"""),2.0)</f>
        <v>2</v>
      </c>
      <c r="H84" s="94">
        <f t="shared" si="1"/>
        <v>5</v>
      </c>
    </row>
    <row r="85" ht="15.75" customHeight="1">
      <c r="A85" s="94" t="str">
        <f>IFERROR(__xludf.DUMMYFUNCTION("""COMPUTED_VALUE"""),"WS E704")</f>
        <v>WS E704</v>
      </c>
      <c r="B85" s="94"/>
      <c r="C85" s="94"/>
      <c r="D85" s="94"/>
      <c r="E85" s="1434">
        <f>IFERROR(__xludf.DUMMYFUNCTION("""COMPUTED_VALUE"""),45780.0)</f>
        <v>45780</v>
      </c>
      <c r="F85" s="1429">
        <f>IFERROR(__xludf.DUMMYFUNCTION("""COMPUTED_VALUE"""),45782.0)</f>
        <v>45782</v>
      </c>
      <c r="G85" s="1430">
        <f>IFERROR(__xludf.DUMMYFUNCTION("""COMPUTED_VALUE"""),2.0)</f>
        <v>2</v>
      </c>
      <c r="H85" s="94">
        <f t="shared" si="1"/>
        <v>5</v>
      </c>
    </row>
    <row r="86" ht="15.75" customHeight="1">
      <c r="A86" s="94" t="str">
        <f>IFERROR(__xludf.DUMMYFUNCTION("""COMPUTED_VALUE"""),"TGA3")</f>
        <v>TGA3</v>
      </c>
      <c r="B86" s="94"/>
      <c r="C86" s="94"/>
      <c r="D86" s="94"/>
      <c r="E86" s="1434">
        <f>IFERROR(__xludf.DUMMYFUNCTION("""COMPUTED_VALUE"""),45781.0)</f>
        <v>45781</v>
      </c>
      <c r="F86" s="1429">
        <f>IFERROR(__xludf.DUMMYFUNCTION("""COMPUTED_VALUE"""),45782.0)</f>
        <v>45782</v>
      </c>
      <c r="G86" s="1430">
        <f>IFERROR(__xludf.DUMMYFUNCTION("""COMPUTED_VALUE"""),1.0)</f>
        <v>1</v>
      </c>
      <c r="H86" s="94">
        <f t="shared" si="1"/>
        <v>5</v>
      </c>
    </row>
    <row r="87" ht="15.75" customHeight="1">
      <c r="A87" s="94" t="str">
        <f>IFERROR(__xludf.DUMMYFUNCTION("""COMPUTED_VALUE"""),"D 3629")</f>
        <v>D 3629</v>
      </c>
      <c r="B87" s="94"/>
      <c r="C87" s="94"/>
      <c r="D87" s="94"/>
      <c r="E87" s="1434">
        <f>IFERROR(__xludf.DUMMYFUNCTION("""COMPUTED_VALUE"""),45781.0)</f>
        <v>45781</v>
      </c>
      <c r="F87" s="1429">
        <f>IFERROR(__xludf.DUMMYFUNCTION("""COMPUTED_VALUE"""),45784.0)</f>
        <v>45784</v>
      </c>
      <c r="G87" s="1430">
        <f>IFERROR(__xludf.DUMMYFUNCTION("""COMPUTED_VALUE"""),3.0)</f>
        <v>3</v>
      </c>
      <c r="H87" s="94">
        <f t="shared" si="1"/>
        <v>5</v>
      </c>
    </row>
    <row r="88" ht="15.75" customHeight="1">
      <c r="A88" s="94" t="str">
        <f>IFERROR(__xludf.DUMMYFUNCTION("""COMPUTED_VALUE"""),"WS F 907")</f>
        <v>WS F 907</v>
      </c>
      <c r="B88" s="94"/>
      <c r="C88" s="94"/>
      <c r="D88" s="94"/>
      <c r="E88" s="1434">
        <f>IFERROR(__xludf.DUMMYFUNCTION("""COMPUTED_VALUE"""),45781.0)</f>
        <v>45781</v>
      </c>
      <c r="F88" s="1429">
        <f>IFERROR(__xludf.DUMMYFUNCTION("""COMPUTED_VALUE"""),45787.0)</f>
        <v>45787</v>
      </c>
      <c r="G88" s="1430">
        <f>IFERROR(__xludf.DUMMYFUNCTION("""COMPUTED_VALUE"""),6.0)</f>
        <v>6</v>
      </c>
      <c r="H88" s="94">
        <f t="shared" si="1"/>
        <v>5</v>
      </c>
    </row>
    <row r="89" ht="15.75" customHeight="1">
      <c r="A89" s="94" t="str">
        <f>IFERROR(__xludf.DUMMYFUNCTION("""COMPUTED_VALUE"""),"D2 3216")</f>
        <v>D2 3216</v>
      </c>
      <c r="B89" s="94"/>
      <c r="C89" s="94"/>
      <c r="D89" s="94"/>
      <c r="E89" s="1429">
        <f>IFERROR(__xludf.DUMMYFUNCTION("""COMPUTED_VALUE"""),45781.0)</f>
        <v>45781</v>
      </c>
      <c r="F89" s="1429">
        <f>IFERROR(__xludf.DUMMYFUNCTION("""COMPUTED_VALUE"""),45793.0)</f>
        <v>45793</v>
      </c>
      <c r="G89" s="1430">
        <f>IFERROR(__xludf.DUMMYFUNCTION("""COMPUTED_VALUE"""),12.0)</f>
        <v>12</v>
      </c>
      <c r="H89" s="94">
        <f t="shared" si="1"/>
        <v>5</v>
      </c>
    </row>
    <row r="90" ht="15.75" customHeight="1">
      <c r="A90" s="94" t="str">
        <f>IFERROR(__xludf.DUMMYFUNCTION("""COMPUTED_VALUE"""),"DL 14-516")</f>
        <v>DL 14-516</v>
      </c>
      <c r="B90" s="94"/>
      <c r="C90" s="94"/>
      <c r="D90" s="94"/>
      <c r="E90" s="1429">
        <f>IFERROR(__xludf.DUMMYFUNCTION("""COMPUTED_VALUE"""),45782.0)</f>
        <v>45782</v>
      </c>
      <c r="F90" s="1429">
        <f>IFERROR(__xludf.DUMMYFUNCTION("""COMPUTED_VALUE"""),45793.0)</f>
        <v>45793</v>
      </c>
      <c r="G90" s="1430">
        <f>IFERROR(__xludf.DUMMYFUNCTION("""COMPUTED_VALUE"""),11.0)</f>
        <v>11</v>
      </c>
      <c r="H90" s="94">
        <f t="shared" si="1"/>
        <v>5</v>
      </c>
    </row>
    <row r="91" ht="15.75" customHeight="1">
      <c r="A91" s="94" t="str">
        <f>IFERROR(__xludf.DUMMYFUNCTION("""COMPUTED_VALUE"""),"TGA1")</f>
        <v>TGA1</v>
      </c>
      <c r="B91" s="94"/>
      <c r="C91" s="94"/>
      <c r="D91" s="94"/>
      <c r="E91" s="1429">
        <f>IFERROR(__xludf.DUMMYFUNCTION("""COMPUTED_VALUE"""),45782.0)</f>
        <v>45782</v>
      </c>
      <c r="F91" s="1434">
        <f>IFERROR(__xludf.DUMMYFUNCTION("""COMPUTED_VALUE"""),45784.0)</f>
        <v>45784</v>
      </c>
      <c r="G91" s="1430">
        <f>IFERROR(__xludf.DUMMYFUNCTION("""COMPUTED_VALUE"""),2.0)</f>
        <v>2</v>
      </c>
      <c r="H91" s="94">
        <f t="shared" si="1"/>
        <v>5</v>
      </c>
    </row>
    <row r="92" ht="15.75" customHeight="1">
      <c r="A92" s="94" t="str">
        <f>IFERROR(__xludf.DUMMYFUNCTION("""COMPUTED_VALUE"""),"А 4049")</f>
        <v>А 4049</v>
      </c>
      <c r="B92" s="94"/>
      <c r="C92" s="94"/>
      <c r="D92" s="94"/>
      <c r="E92" s="1429">
        <f>IFERROR(__xludf.DUMMYFUNCTION("""COMPUTED_VALUE"""),45783.0)</f>
        <v>45783</v>
      </c>
      <c r="F92" s="1434">
        <f>IFERROR(__xludf.DUMMYFUNCTION("""COMPUTED_VALUE"""),45789.0)</f>
        <v>45789</v>
      </c>
      <c r="G92" s="1430">
        <f>IFERROR(__xludf.DUMMYFUNCTION("""COMPUTED_VALUE"""),6.0)</f>
        <v>6</v>
      </c>
      <c r="H92" s="94">
        <f t="shared" si="1"/>
        <v>5</v>
      </c>
    </row>
    <row r="93" ht="15.75" customHeight="1">
      <c r="A93" s="94" t="str">
        <f>IFERROR(__xludf.DUMMYFUNCTION("""COMPUTED_VALUE"""),"PT2604")</f>
        <v>PT2604</v>
      </c>
      <c r="B93" s="94"/>
      <c r="C93" s="94"/>
      <c r="D93" s="94"/>
      <c r="E93" s="1429">
        <f>IFERROR(__xludf.DUMMYFUNCTION("""COMPUTED_VALUE"""),45783.0)</f>
        <v>45783</v>
      </c>
      <c r="F93" s="1429">
        <f>IFERROR(__xludf.DUMMYFUNCTION("""COMPUTED_VALUE"""),45790.0)</f>
        <v>45790</v>
      </c>
      <c r="G93" s="1430">
        <f>IFERROR(__xludf.DUMMYFUNCTION("""COMPUTED_VALUE"""),7.0)</f>
        <v>7</v>
      </c>
      <c r="H93" s="94">
        <f t="shared" si="1"/>
        <v>5</v>
      </c>
    </row>
    <row r="94" ht="15.75" customHeight="1">
      <c r="A94" s="94" t="str">
        <f>IFERROR(__xludf.DUMMYFUNCTION("""COMPUTED_VALUE"""),"WS E 1202")</f>
        <v>WS E 1202</v>
      </c>
      <c r="B94" s="94"/>
      <c r="C94" s="94"/>
      <c r="D94" s="94"/>
      <c r="E94" s="1429">
        <f>IFERROR(__xludf.DUMMYFUNCTION("""COMPUTED_VALUE"""),45783.0)</f>
        <v>45783</v>
      </c>
      <c r="F94" s="1429">
        <f>IFERROR(__xludf.DUMMYFUNCTION("""COMPUTED_VALUE"""),45785.0)</f>
        <v>45785</v>
      </c>
      <c r="G94" s="1430">
        <f>IFERROR(__xludf.DUMMYFUNCTION("""COMPUTED_VALUE"""),2.0)</f>
        <v>2</v>
      </c>
      <c r="H94" s="94">
        <f t="shared" si="1"/>
        <v>5</v>
      </c>
    </row>
    <row r="95" ht="15.75" customHeight="1">
      <c r="A95" s="94" t="str">
        <f>IFERROR(__xludf.DUMMYFUNCTION("""COMPUTED_VALUE"""),"MZ 718")</f>
        <v>MZ 718</v>
      </c>
      <c r="B95" s="94"/>
      <c r="C95" s="94"/>
      <c r="D95" s="94"/>
      <c r="E95" s="1429">
        <f>IFERROR(__xludf.DUMMYFUNCTION("""COMPUTED_VALUE"""),45783.0)</f>
        <v>45783</v>
      </c>
      <c r="F95" s="1435">
        <f>IFERROR(__xludf.DUMMYFUNCTION("""COMPUTED_VALUE"""),45786.0)</f>
        <v>45786</v>
      </c>
      <c r="G95" s="1430">
        <f>IFERROR(__xludf.DUMMYFUNCTION("""COMPUTED_VALUE"""),3.0)</f>
        <v>3</v>
      </c>
      <c r="H95" s="94">
        <f t="shared" si="1"/>
        <v>5</v>
      </c>
    </row>
    <row r="96" ht="15.75" customHeight="1">
      <c r="A96" s="94" t="str">
        <f>IFERROR(__xludf.DUMMYFUNCTION("""COMPUTED_VALUE"""),"WS E704")</f>
        <v>WS E704</v>
      </c>
      <c r="B96" s="94"/>
      <c r="C96" s="94"/>
      <c r="D96" s="94"/>
      <c r="E96" s="1429">
        <f>IFERROR(__xludf.DUMMYFUNCTION("""COMPUTED_VALUE"""),45784.0)</f>
        <v>45784</v>
      </c>
      <c r="F96" s="1429">
        <f>IFERROR(__xludf.DUMMYFUNCTION("""COMPUTED_VALUE"""),45802.0)</f>
        <v>45802</v>
      </c>
      <c r="G96" s="1430">
        <f>IFERROR(__xludf.DUMMYFUNCTION("""COMPUTED_VALUE"""),18.0)</f>
        <v>18</v>
      </c>
      <c r="H96" s="94">
        <f t="shared" si="1"/>
        <v>5</v>
      </c>
    </row>
    <row r="97" ht="15.75" customHeight="1">
      <c r="A97" s="94" t="str">
        <f>IFERROR(__xludf.DUMMYFUNCTION("""COMPUTED_VALUE"""),"D 1321")</f>
        <v>D 1321</v>
      </c>
      <c r="B97" s="94"/>
      <c r="C97" s="94"/>
      <c r="D97" s="94"/>
      <c r="E97" s="1429">
        <f>IFERROR(__xludf.DUMMYFUNCTION("""COMPUTED_VALUE"""),45784.0)</f>
        <v>45784</v>
      </c>
      <c r="F97" s="1429">
        <f>IFERROR(__xludf.DUMMYFUNCTION("""COMPUTED_VALUE"""),45790.0)</f>
        <v>45790</v>
      </c>
      <c r="G97" s="1430">
        <f>IFERROR(__xludf.DUMMYFUNCTION("""COMPUTED_VALUE"""),6.0)</f>
        <v>6</v>
      </c>
      <c r="H97" s="94">
        <f t="shared" si="1"/>
        <v>5</v>
      </c>
    </row>
    <row r="98" ht="15.75" customHeight="1">
      <c r="A98" s="94" t="str">
        <f>IFERROR(__xludf.DUMMYFUNCTION("""COMPUTED_VALUE"""),"CM 1606")</f>
        <v>CM 1606</v>
      </c>
      <c r="B98" s="94"/>
      <c r="C98" s="94"/>
      <c r="D98" s="94"/>
      <c r="E98" s="1429">
        <f>IFERROR(__xludf.DUMMYFUNCTION("""COMPUTED_VALUE"""),45784.0)</f>
        <v>45784</v>
      </c>
      <c r="F98" s="1429">
        <f>IFERROR(__xludf.DUMMYFUNCTION("""COMPUTED_VALUE"""),45788.0)</f>
        <v>45788</v>
      </c>
      <c r="G98" s="1430">
        <f>IFERROR(__xludf.DUMMYFUNCTION("""COMPUTED_VALUE"""),4.0)</f>
        <v>4</v>
      </c>
      <c r="H98" s="94">
        <f t="shared" si="1"/>
        <v>5</v>
      </c>
    </row>
    <row r="99" ht="15.75" customHeight="1">
      <c r="A99" s="94" t="str">
        <f>IFERROR(__xludf.DUMMYFUNCTION("""COMPUTED_VALUE"""),"D2 1625")</f>
        <v>D2 1625</v>
      </c>
      <c r="B99" s="94"/>
      <c r="C99" s="94"/>
      <c r="D99" s="94"/>
      <c r="E99" s="1429">
        <f>IFERROR(__xludf.DUMMYFUNCTION("""COMPUTED_VALUE"""),45784.0)</f>
        <v>45784</v>
      </c>
      <c r="F99" s="1429">
        <f>IFERROR(__xludf.DUMMYFUNCTION("""COMPUTED_VALUE"""),45788.0)</f>
        <v>45788</v>
      </c>
      <c r="G99" s="1430">
        <f>IFERROR(__xludf.DUMMYFUNCTION("""COMPUTED_VALUE"""),4.0)</f>
        <v>4</v>
      </c>
      <c r="H99" s="94">
        <f t="shared" si="1"/>
        <v>5</v>
      </c>
    </row>
    <row r="100" ht="15.75" customHeight="1">
      <c r="A100" s="94" t="str">
        <f>IFERROR(__xludf.DUMMYFUNCTION("""COMPUTED_VALUE"""),"PT2704")</f>
        <v>PT2704</v>
      </c>
      <c r="B100" s="94"/>
      <c r="C100" s="94"/>
      <c r="D100" s="94"/>
      <c r="E100" s="1429">
        <f>IFERROR(__xludf.DUMMYFUNCTION("""COMPUTED_VALUE"""),45784.0)</f>
        <v>45784</v>
      </c>
      <c r="F100" s="1429">
        <f>IFERROR(__xludf.DUMMYFUNCTION("""COMPUTED_VALUE"""),45786.0)</f>
        <v>45786</v>
      </c>
      <c r="G100" s="1430">
        <f>IFERROR(__xludf.DUMMYFUNCTION("""COMPUTED_VALUE"""),2.0)</f>
        <v>2</v>
      </c>
      <c r="H100" s="94">
        <f t="shared" si="1"/>
        <v>5</v>
      </c>
    </row>
    <row r="101" ht="15.75" customHeight="1">
      <c r="A101" s="94" t="str">
        <f>IFERROR(__xludf.DUMMYFUNCTION("""COMPUTED_VALUE"""),"WS В 212")</f>
        <v>WS В 212</v>
      </c>
      <c r="B101" s="94"/>
      <c r="C101" s="94"/>
      <c r="D101" s="94"/>
      <c r="E101" s="1429">
        <f>IFERROR(__xludf.DUMMYFUNCTION("""COMPUTED_VALUE"""),45784.0)</f>
        <v>45784</v>
      </c>
      <c r="F101" s="1429">
        <f>IFERROR(__xludf.DUMMYFUNCTION("""COMPUTED_VALUE"""),45786.0)</f>
        <v>45786</v>
      </c>
      <c r="G101" s="1430">
        <f>IFERROR(__xludf.DUMMYFUNCTION("""COMPUTED_VALUE"""),2.0)</f>
        <v>2</v>
      </c>
      <c r="H101" s="94">
        <f t="shared" si="1"/>
        <v>5</v>
      </c>
    </row>
    <row r="102" ht="15.75" customHeight="1">
      <c r="A102" s="94" t="str">
        <f>IFERROR(__xludf.DUMMYFUNCTION("""COMPUTED_VALUE"""),"WS A 409")</f>
        <v>WS A 409</v>
      </c>
      <c r="B102" s="94"/>
      <c r="C102" s="94"/>
      <c r="D102" s="94"/>
      <c r="E102" s="1429">
        <f>IFERROR(__xludf.DUMMYFUNCTION("""COMPUTED_VALUE"""),45784.0)</f>
        <v>45784</v>
      </c>
      <c r="F102" s="1429">
        <f>IFERROR(__xludf.DUMMYFUNCTION("""COMPUTED_VALUE"""),45787.0)</f>
        <v>45787</v>
      </c>
      <c r="G102" s="1430">
        <f>IFERROR(__xludf.DUMMYFUNCTION("""COMPUTED_VALUE"""),3.0)</f>
        <v>3</v>
      </c>
      <c r="H102" s="94">
        <f t="shared" si="1"/>
        <v>5</v>
      </c>
    </row>
    <row r="103" ht="15.75" customHeight="1">
      <c r="A103" s="94" t="str">
        <f>IFERROR(__xludf.DUMMYFUNCTION("""COMPUTED_VALUE"""),"Пиросмани 181")</f>
        <v>Пиросмани 181</v>
      </c>
      <c r="B103" s="94"/>
      <c r="C103" s="94"/>
      <c r="D103" s="94"/>
      <c r="E103" s="1429">
        <f>IFERROR(__xludf.DUMMYFUNCTION("""COMPUTED_VALUE"""),45784.0)</f>
        <v>45784</v>
      </c>
      <c r="F103" s="1429">
        <f>IFERROR(__xludf.DUMMYFUNCTION("""COMPUTED_VALUE"""),45814.0)</f>
        <v>45814</v>
      </c>
      <c r="G103" s="1430">
        <f>IFERROR(__xludf.DUMMYFUNCTION("""COMPUTED_VALUE"""),30.0)</f>
        <v>30</v>
      </c>
      <c r="H103" s="94">
        <f t="shared" si="1"/>
        <v>5</v>
      </c>
    </row>
    <row r="104" ht="15.75" customHeight="1">
      <c r="A104" s="94" t="str">
        <f>IFERROR(__xludf.DUMMYFUNCTION("""COMPUTED_VALUE"""),"BV206")</f>
        <v>BV206</v>
      </c>
      <c r="B104" s="94"/>
      <c r="C104" s="94"/>
      <c r="D104" s="94"/>
      <c r="E104" s="1429">
        <f>IFERROR(__xludf.DUMMYFUNCTION("""COMPUTED_VALUE"""),45785.0)</f>
        <v>45785</v>
      </c>
      <c r="F104" s="1429">
        <f>IFERROR(__xludf.DUMMYFUNCTION("""COMPUTED_VALUE"""),45790.0)</f>
        <v>45790</v>
      </c>
      <c r="G104" s="1430">
        <f>IFERROR(__xludf.DUMMYFUNCTION("""COMPUTED_VALUE"""),5.0)</f>
        <v>5</v>
      </c>
      <c r="H104" s="94">
        <f t="shared" si="1"/>
        <v>5</v>
      </c>
    </row>
    <row r="105" ht="15.75" customHeight="1">
      <c r="A105" s="94" t="str">
        <f>IFERROR(__xludf.DUMMYFUNCTION("""COMPUTED_VALUE"""),"CM 1604")</f>
        <v>CM 1604</v>
      </c>
      <c r="B105" s="94"/>
      <c r="C105" s="94"/>
      <c r="D105" s="94"/>
      <c r="E105" s="1429">
        <f>IFERROR(__xludf.DUMMYFUNCTION("""COMPUTED_VALUE"""),45785.0)</f>
        <v>45785</v>
      </c>
      <c r="F105" s="1429">
        <f>IFERROR(__xludf.DUMMYFUNCTION("""COMPUTED_VALUE"""),45789.0)</f>
        <v>45789</v>
      </c>
      <c r="G105" s="1430">
        <f>IFERROR(__xludf.DUMMYFUNCTION("""COMPUTED_VALUE"""),4.0)</f>
        <v>4</v>
      </c>
      <c r="H105" s="94">
        <f t="shared" si="1"/>
        <v>5</v>
      </c>
    </row>
    <row r="106" ht="15.75" customHeight="1">
      <c r="A106" s="94" t="str">
        <f>IFERROR(__xludf.DUMMYFUNCTION("""COMPUTED_VALUE"""),"CM 1931")</f>
        <v>CM 1931</v>
      </c>
      <c r="B106" s="94"/>
      <c r="C106" s="94"/>
      <c r="D106" s="94"/>
      <c r="E106" s="1429">
        <f>IFERROR(__xludf.DUMMYFUNCTION("""COMPUTED_VALUE"""),45786.0)</f>
        <v>45786</v>
      </c>
      <c r="F106" s="1429">
        <f>IFERROR(__xludf.DUMMYFUNCTION("""COMPUTED_VALUE"""),45791.0)</f>
        <v>45791</v>
      </c>
      <c r="G106" s="1430">
        <f>IFERROR(__xludf.DUMMYFUNCTION("""COMPUTED_VALUE"""),5.0)</f>
        <v>5</v>
      </c>
      <c r="H106" s="94">
        <f t="shared" si="1"/>
        <v>5</v>
      </c>
    </row>
    <row r="107" ht="15.75" customHeight="1">
      <c r="A107" s="94" t="str">
        <f>IFERROR(__xludf.DUMMYFUNCTION("""COMPUTED_VALUE"""),"C 4245")</f>
        <v>C 4245</v>
      </c>
      <c r="B107" s="94"/>
      <c r="C107" s="94"/>
      <c r="D107" s="94"/>
      <c r="E107" s="1429">
        <f>IFERROR(__xludf.DUMMYFUNCTION("""COMPUTED_VALUE"""),45786.0)</f>
        <v>45786</v>
      </c>
      <c r="F107" s="1429">
        <f>IFERROR(__xludf.DUMMYFUNCTION("""COMPUTED_VALUE"""),45788.0)</f>
        <v>45788</v>
      </c>
      <c r="G107" s="1430">
        <f>IFERROR(__xludf.DUMMYFUNCTION("""COMPUTED_VALUE"""),2.0)</f>
        <v>2</v>
      </c>
      <c r="H107" s="94">
        <f t="shared" si="1"/>
        <v>5</v>
      </c>
    </row>
    <row r="108" ht="15.75" customHeight="1">
      <c r="A108" s="94" t="str">
        <f>IFERROR(__xludf.DUMMYFUNCTION("""COMPUTED_VALUE"""),"WS В 212")</f>
        <v>WS В 212</v>
      </c>
      <c r="B108" s="94"/>
      <c r="C108" s="94"/>
      <c r="D108" s="94"/>
      <c r="E108" s="1429">
        <f>IFERROR(__xludf.DUMMYFUNCTION("""COMPUTED_VALUE"""),45786.0)</f>
        <v>45786</v>
      </c>
      <c r="F108" s="1429">
        <f>IFERROR(__xludf.DUMMYFUNCTION("""COMPUTED_VALUE"""),45789.0)</f>
        <v>45789</v>
      </c>
      <c r="G108" s="1430">
        <f>IFERROR(__xludf.DUMMYFUNCTION("""COMPUTED_VALUE"""),3.0)</f>
        <v>3</v>
      </c>
      <c r="H108" s="94">
        <f t="shared" si="1"/>
        <v>5</v>
      </c>
    </row>
    <row r="109" ht="15.75" customHeight="1">
      <c r="A109" s="94" t="str">
        <f>IFERROR(__xludf.DUMMYFUNCTION("""COMPUTED_VALUE"""),"WS E 1202")</f>
        <v>WS E 1202</v>
      </c>
      <c r="B109" s="94"/>
      <c r="C109" s="94"/>
      <c r="D109" s="94"/>
      <c r="E109" s="1429">
        <f>IFERROR(__xludf.DUMMYFUNCTION("""COMPUTED_VALUE"""),45786.0)</f>
        <v>45786</v>
      </c>
      <c r="F109" s="1429">
        <f>IFERROR(__xludf.DUMMYFUNCTION("""COMPUTED_VALUE"""),45790.0)</f>
        <v>45790</v>
      </c>
      <c r="G109" s="1430">
        <f>IFERROR(__xludf.DUMMYFUNCTION("""COMPUTED_VALUE"""),4.0)</f>
        <v>4</v>
      </c>
      <c r="H109" s="94">
        <f t="shared" si="1"/>
        <v>5</v>
      </c>
    </row>
    <row r="110" ht="15.75" customHeight="1">
      <c r="A110" s="94" t="str">
        <f>IFERROR(__xludf.DUMMYFUNCTION("""COMPUTED_VALUE"""),"PT2704")</f>
        <v>PT2704</v>
      </c>
      <c r="B110" s="94"/>
      <c r="C110" s="94"/>
      <c r="D110" s="94"/>
      <c r="E110" s="1429">
        <f>IFERROR(__xludf.DUMMYFUNCTION("""COMPUTED_VALUE"""),45786.0)</f>
        <v>45786</v>
      </c>
      <c r="F110" s="1429">
        <f>IFERROR(__xludf.DUMMYFUNCTION("""COMPUTED_VALUE"""),45788.0)</f>
        <v>45788</v>
      </c>
      <c r="G110" s="1430">
        <f>IFERROR(__xludf.DUMMYFUNCTION("""COMPUTED_VALUE"""),2.0)</f>
        <v>2</v>
      </c>
      <c r="H110" s="94">
        <f t="shared" si="1"/>
        <v>5</v>
      </c>
    </row>
    <row r="111" ht="15.75" customHeight="1">
      <c r="A111" s="94" t="str">
        <f>IFERROR(__xludf.DUMMYFUNCTION("""COMPUTED_VALUE"""),"WS В 1510")</f>
        <v>WS В 1510</v>
      </c>
      <c r="B111" s="94"/>
      <c r="C111" s="94"/>
      <c r="D111" s="94"/>
      <c r="E111" s="1429">
        <f>IFERROR(__xludf.DUMMYFUNCTION("""COMPUTED_VALUE"""),45786.0)</f>
        <v>45786</v>
      </c>
      <c r="F111" s="1429">
        <f>IFERROR(__xludf.DUMMYFUNCTION("""COMPUTED_VALUE"""),45804.0)</f>
        <v>45804</v>
      </c>
      <c r="G111" s="1430">
        <f>IFERROR(__xludf.DUMMYFUNCTION("""COMPUTED_VALUE"""),18.0)</f>
        <v>18</v>
      </c>
      <c r="H111" s="94">
        <f t="shared" si="1"/>
        <v>5</v>
      </c>
    </row>
    <row r="112" ht="15.75" customHeight="1">
      <c r="A112" s="94" t="str">
        <f>IFERROR(__xludf.DUMMYFUNCTION("""COMPUTED_VALUE"""),"Пиросмани 162")</f>
        <v>Пиросмани 162</v>
      </c>
      <c r="B112" s="94"/>
      <c r="C112" s="94"/>
      <c r="D112" s="94"/>
      <c r="E112" s="1429">
        <f>IFERROR(__xludf.DUMMYFUNCTION("""COMPUTED_VALUE"""),45787.0)</f>
        <v>45787</v>
      </c>
      <c r="F112" s="1429">
        <f>IFERROR(__xludf.DUMMYFUNCTION("""COMPUTED_VALUE"""),45817.0)</f>
        <v>45817</v>
      </c>
      <c r="G112" s="1430">
        <f>IFERROR(__xludf.DUMMYFUNCTION("""COMPUTED_VALUE"""),30.0)</f>
        <v>30</v>
      </c>
      <c r="H112" s="94">
        <f t="shared" si="1"/>
        <v>5</v>
      </c>
    </row>
    <row r="113" ht="15.75" customHeight="1">
      <c r="A113" s="94" t="str">
        <f>IFERROR(__xludf.DUMMYFUNCTION("""COMPUTED_VALUE"""),"CM 1606")</f>
        <v>CM 1606</v>
      </c>
      <c r="B113" s="94"/>
      <c r="C113" s="94"/>
      <c r="D113" s="94"/>
      <c r="E113" s="1429">
        <f>IFERROR(__xludf.DUMMYFUNCTION("""COMPUTED_VALUE"""),45788.0)</f>
        <v>45788</v>
      </c>
      <c r="F113" s="1429">
        <f>IFERROR(__xludf.DUMMYFUNCTION("""COMPUTED_VALUE"""),45793.0)</f>
        <v>45793</v>
      </c>
      <c r="G113" s="1430">
        <f>IFERROR(__xludf.DUMMYFUNCTION("""COMPUTED_VALUE"""),5.0)</f>
        <v>5</v>
      </c>
      <c r="H113" s="94">
        <f t="shared" si="1"/>
        <v>5</v>
      </c>
    </row>
    <row r="114" ht="15.75" customHeight="1">
      <c r="A114" s="94" t="str">
        <f>IFERROR(__xludf.DUMMYFUNCTION("""COMPUTED_VALUE"""),"С 1125")</f>
        <v>С 1125</v>
      </c>
      <c r="B114" s="94"/>
      <c r="C114" s="94"/>
      <c r="D114" s="94"/>
      <c r="E114" s="1429">
        <f>IFERROR(__xludf.DUMMYFUNCTION("""COMPUTED_VALUE"""),45788.0)</f>
        <v>45788</v>
      </c>
      <c r="F114" s="1429">
        <f>IFERROR(__xludf.DUMMYFUNCTION("""COMPUTED_VALUE"""),45791.0)</f>
        <v>45791</v>
      </c>
      <c r="G114" s="1430">
        <f>IFERROR(__xludf.DUMMYFUNCTION("""COMPUTED_VALUE"""),3.0)</f>
        <v>3</v>
      </c>
      <c r="H114" s="94">
        <f t="shared" si="1"/>
        <v>5</v>
      </c>
    </row>
    <row r="115" ht="15.75" customHeight="1">
      <c r="A115" s="94" t="str">
        <f>IFERROR(__xludf.DUMMYFUNCTION("""COMPUTED_VALUE"""),"WS A 608")</f>
        <v>WS A 608</v>
      </c>
      <c r="B115" s="94"/>
      <c r="C115" s="94"/>
      <c r="D115" s="94"/>
      <c r="E115" s="1429">
        <f>IFERROR(__xludf.DUMMYFUNCTION("""COMPUTED_VALUE"""),45788.0)</f>
        <v>45788</v>
      </c>
      <c r="F115" s="1429">
        <f>IFERROR(__xludf.DUMMYFUNCTION("""COMPUTED_VALUE"""),45798.0)</f>
        <v>45798</v>
      </c>
      <c r="G115" s="1430">
        <f>IFERROR(__xludf.DUMMYFUNCTION("""COMPUTED_VALUE"""),10.0)</f>
        <v>10</v>
      </c>
      <c r="H115" s="94">
        <f t="shared" si="1"/>
        <v>5</v>
      </c>
    </row>
    <row r="116" ht="15.75" customHeight="1">
      <c r="A116" s="94" t="str">
        <f>IFERROR(__xludf.DUMMYFUNCTION("""COMPUTED_VALUE"""),"MZ 718")</f>
        <v>MZ 718</v>
      </c>
      <c r="B116" s="94"/>
      <c r="C116" s="94"/>
      <c r="D116" s="94"/>
      <c r="E116" s="1429">
        <f>IFERROR(__xludf.DUMMYFUNCTION("""COMPUTED_VALUE"""),45788.0)</f>
        <v>45788</v>
      </c>
      <c r="F116" s="1429">
        <f>IFERROR(__xludf.DUMMYFUNCTION("""COMPUTED_VALUE"""),45794.0)</f>
        <v>45794</v>
      </c>
      <c r="G116" s="1430">
        <f>IFERROR(__xludf.DUMMYFUNCTION("""COMPUTED_VALUE"""),6.0)</f>
        <v>6</v>
      </c>
      <c r="H116" s="94">
        <f t="shared" si="1"/>
        <v>5</v>
      </c>
    </row>
    <row r="117" ht="15.75" customHeight="1">
      <c r="A117" s="94" t="str">
        <f>IFERROR(__xludf.DUMMYFUNCTION("""COMPUTED_VALUE"""),"WS F 907")</f>
        <v>WS F 907</v>
      </c>
      <c r="B117" s="94"/>
      <c r="C117" s="94"/>
      <c r="D117" s="94"/>
      <c r="E117" s="1429">
        <f>IFERROR(__xludf.DUMMYFUNCTION("""COMPUTED_VALUE"""),45788.0)</f>
        <v>45788</v>
      </c>
      <c r="F117" s="1429">
        <f>IFERROR(__xludf.DUMMYFUNCTION("""COMPUTED_VALUE"""),45795.0)</f>
        <v>45795</v>
      </c>
      <c r="G117" s="1430">
        <f>IFERROR(__xludf.DUMMYFUNCTION("""COMPUTED_VALUE"""),7.0)</f>
        <v>7</v>
      </c>
      <c r="H117" s="94">
        <f t="shared" si="1"/>
        <v>5</v>
      </c>
    </row>
    <row r="118" ht="15.75" customHeight="1">
      <c r="A118" s="94" t="str">
        <f>IFERROR(__xludf.DUMMYFUNCTION("""COMPUTED_VALUE"""),"Шар 2505")</f>
        <v>Шар 2505</v>
      </c>
      <c r="B118" s="94"/>
      <c r="C118" s="94"/>
      <c r="D118" s="94"/>
      <c r="E118" s="1429">
        <f>IFERROR(__xludf.DUMMYFUNCTION("""COMPUTED_VALUE"""),45789.0)</f>
        <v>45789</v>
      </c>
      <c r="F118" s="1429">
        <f>IFERROR(__xludf.DUMMYFUNCTION("""COMPUTED_VALUE"""),45823.0)</f>
        <v>45823</v>
      </c>
      <c r="G118" s="1430">
        <f>IFERROR(__xludf.DUMMYFUNCTION("""COMPUTED_VALUE"""),34.0)</f>
        <v>34</v>
      </c>
      <c r="H118" s="94">
        <f t="shared" si="1"/>
        <v>5</v>
      </c>
    </row>
    <row r="119" ht="15.75" customHeight="1">
      <c r="A119" s="94" t="str">
        <f>IFERROR(__xludf.DUMMYFUNCTION("""COMPUTED_VALUE"""),"BV1318")</f>
        <v>BV1318</v>
      </c>
      <c r="B119" s="94"/>
      <c r="C119" s="94"/>
      <c r="D119" s="94"/>
      <c r="E119" s="1429">
        <f>IFERROR(__xludf.DUMMYFUNCTION("""COMPUTED_VALUE"""),45789.0)</f>
        <v>45789</v>
      </c>
      <c r="F119" s="1429">
        <f>IFERROR(__xludf.DUMMYFUNCTION("""COMPUTED_VALUE"""),45792.0)</f>
        <v>45792</v>
      </c>
      <c r="G119" s="1430">
        <f>IFERROR(__xludf.DUMMYFUNCTION("""COMPUTED_VALUE"""),3.0)</f>
        <v>3</v>
      </c>
      <c r="H119" s="94">
        <f t="shared" si="1"/>
        <v>5</v>
      </c>
    </row>
    <row r="120" ht="15.75" customHeight="1">
      <c r="A120" s="94" t="str">
        <f>IFERROR(__xludf.DUMMYFUNCTION("""COMPUTED_VALUE"""),"BV206")</f>
        <v>BV206</v>
      </c>
      <c r="B120" s="94"/>
      <c r="C120" s="94"/>
      <c r="D120" s="94"/>
      <c r="E120" s="94"/>
      <c r="F120" s="94"/>
      <c r="G120" s="94"/>
      <c r="H120" s="94">
        <f t="shared" si="1"/>
        <v>12</v>
      </c>
    </row>
    <row r="121" ht="15.75" customHeight="1">
      <c r="A121" s="94" t="str">
        <f>IFERROR(__xludf.DUMMYFUNCTION("""COMPUTED_VALUE"""),"D2 3216")</f>
        <v>D2 3216</v>
      </c>
      <c r="B121" s="94"/>
      <c r="C121" s="94"/>
      <c r="D121" s="94"/>
      <c r="E121" s="94"/>
      <c r="F121" s="94"/>
      <c r="G121" s="94"/>
      <c r="H121" s="94">
        <f t="shared" si="1"/>
        <v>12</v>
      </c>
    </row>
    <row r="122" ht="15.75" customHeight="1">
      <c r="A122" s="94" t="str">
        <f>IFERROR(__xludf.DUMMYFUNCTION("""COMPUTED_VALUE"""),"D 1321")</f>
        <v>D 1321</v>
      </c>
      <c r="B122" s="94"/>
      <c r="C122" s="94"/>
      <c r="D122" s="94"/>
      <c r="E122" s="1429">
        <f>IFERROR(__xludf.DUMMYFUNCTION("""COMPUTED_VALUE"""),45790.0)</f>
        <v>45790</v>
      </c>
      <c r="F122" s="1429">
        <f>IFERROR(__xludf.DUMMYFUNCTION("""COMPUTED_VALUE"""),45791.0)</f>
        <v>45791</v>
      </c>
      <c r="G122" s="1430">
        <f>IFERROR(__xludf.DUMMYFUNCTION("""COMPUTED_VALUE"""),1.0)</f>
        <v>1</v>
      </c>
      <c r="H122" s="94">
        <f t="shared" si="1"/>
        <v>5</v>
      </c>
    </row>
    <row r="123" ht="15.75" customHeight="1">
      <c r="A123" s="94" t="str">
        <f>IFERROR(__xludf.DUMMYFUNCTION("""COMPUTED_VALUE"""),"MZ 913")</f>
        <v>MZ 913</v>
      </c>
      <c r="B123" s="94"/>
      <c r="C123" s="94"/>
      <c r="D123" s="94"/>
      <c r="E123" s="1429">
        <f>IFERROR(__xludf.DUMMYFUNCTION("""COMPUTED_VALUE"""),45790.0)</f>
        <v>45790</v>
      </c>
      <c r="F123" s="1429">
        <f>IFERROR(__xludf.DUMMYFUNCTION("""COMPUTED_VALUE"""),45794.0)</f>
        <v>45794</v>
      </c>
      <c r="G123" s="1430">
        <f>IFERROR(__xludf.DUMMYFUNCTION("""COMPUTED_VALUE"""),4.0)</f>
        <v>4</v>
      </c>
      <c r="H123" s="94">
        <f t="shared" si="1"/>
        <v>5</v>
      </c>
    </row>
    <row r="124" ht="15.75" customHeight="1">
      <c r="A124" s="94" t="str">
        <f>IFERROR(__xludf.DUMMYFUNCTION("""COMPUTED_VALUE"""),"WS E 1202")</f>
        <v>WS E 1202</v>
      </c>
      <c r="B124" s="94"/>
      <c r="C124" s="94"/>
      <c r="D124" s="94"/>
      <c r="E124" s="1429">
        <f>IFERROR(__xludf.DUMMYFUNCTION("""COMPUTED_VALUE"""),45791.0)</f>
        <v>45791</v>
      </c>
      <c r="F124" s="1429">
        <f>IFERROR(__xludf.DUMMYFUNCTION("""COMPUTED_VALUE"""),45794.0)</f>
        <v>45794</v>
      </c>
      <c r="G124" s="1430">
        <f>IFERROR(__xludf.DUMMYFUNCTION("""COMPUTED_VALUE"""),3.0)</f>
        <v>3</v>
      </c>
      <c r="H124" s="94">
        <f t="shared" si="1"/>
        <v>5</v>
      </c>
    </row>
    <row r="125" ht="15.75" customHeight="1">
      <c r="A125" s="94" t="str">
        <f>IFERROR(__xludf.DUMMYFUNCTION("""COMPUTED_VALUE"""),"WS Е804")</f>
        <v>WS Е804</v>
      </c>
      <c r="B125" s="94"/>
      <c r="C125" s="94"/>
      <c r="D125" s="94"/>
      <c r="E125" s="1429">
        <f>IFERROR(__xludf.DUMMYFUNCTION("""COMPUTED_VALUE"""),45791.0)</f>
        <v>45791</v>
      </c>
      <c r="F125" s="1429">
        <f>IFERROR(__xludf.DUMMYFUNCTION("""COMPUTED_VALUE"""),45792.0)</f>
        <v>45792</v>
      </c>
      <c r="G125" s="1430">
        <f>IFERROR(__xludf.DUMMYFUNCTION("""COMPUTED_VALUE"""),1.0)</f>
        <v>1</v>
      </c>
      <c r="H125" s="94">
        <f t="shared" si="1"/>
        <v>5</v>
      </c>
    </row>
    <row r="126" ht="15.75" customHeight="1">
      <c r="A126" s="94" t="str">
        <f>IFERROR(__xludf.DUMMYFUNCTION("""COMPUTED_VALUE"""),"PT2704")</f>
        <v>PT2704</v>
      </c>
      <c r="B126" s="94"/>
      <c r="C126" s="94"/>
      <c r="D126" s="94"/>
      <c r="E126" s="1429">
        <f>IFERROR(__xludf.DUMMYFUNCTION("""COMPUTED_VALUE"""),45792.0)</f>
        <v>45792</v>
      </c>
      <c r="F126" s="1429">
        <f>IFERROR(__xludf.DUMMYFUNCTION("""COMPUTED_VALUE"""),45801.0)</f>
        <v>45801</v>
      </c>
      <c r="G126" s="1430">
        <f>IFERROR(__xludf.DUMMYFUNCTION("""COMPUTED_VALUE"""),9.0)</f>
        <v>9</v>
      </c>
      <c r="H126" s="94">
        <f t="shared" si="1"/>
        <v>5</v>
      </c>
    </row>
    <row r="127" ht="15.75" customHeight="1">
      <c r="A127" s="94" t="str">
        <f>IFERROR(__xludf.DUMMYFUNCTION("""COMPUTED_VALUE"""),"Polo 4-12")</f>
        <v>Polo 4-12</v>
      </c>
      <c r="B127" s="94"/>
      <c r="C127" s="94"/>
      <c r="D127" s="94"/>
      <c r="E127" s="1429">
        <f>IFERROR(__xludf.DUMMYFUNCTION("""COMPUTED_VALUE"""),45792.0)</f>
        <v>45792</v>
      </c>
      <c r="F127" s="1429">
        <f>IFERROR(__xludf.DUMMYFUNCTION("""COMPUTED_VALUE"""),45822.0)</f>
        <v>45822</v>
      </c>
      <c r="G127" s="1430">
        <f>IFERROR(__xludf.DUMMYFUNCTION("""COMPUTED_VALUE"""),30.0)</f>
        <v>30</v>
      </c>
      <c r="H127" s="94">
        <f t="shared" si="1"/>
        <v>5</v>
      </c>
    </row>
    <row r="128" ht="15.75" customHeight="1">
      <c r="A128" s="94" t="str">
        <f>IFERROR(__xludf.DUMMYFUNCTION("""COMPUTED_VALUE"""),"Polo 4-12")</f>
        <v>Polo 4-12</v>
      </c>
      <c r="B128" s="94"/>
      <c r="C128" s="94"/>
      <c r="D128" s="94"/>
      <c r="E128" s="94"/>
      <c r="F128" s="94"/>
      <c r="G128" s="1430">
        <f>IFERROR(__xludf.DUMMYFUNCTION("""COMPUTED_VALUE"""),0.0)</f>
        <v>0</v>
      </c>
      <c r="H128" s="94">
        <f t="shared" si="1"/>
        <v>12</v>
      </c>
    </row>
    <row r="129" ht="15.75" customHeight="1">
      <c r="A129" s="94" t="str">
        <f>IFERROR(__xludf.DUMMYFUNCTION("""COMPUTED_VALUE"""),"PT2604")</f>
        <v>PT2604</v>
      </c>
      <c r="B129" s="94"/>
      <c r="C129" s="94"/>
      <c r="D129" s="94"/>
      <c r="E129" s="1429">
        <f>IFERROR(__xludf.DUMMYFUNCTION("""COMPUTED_VALUE"""),45792.0)</f>
        <v>45792</v>
      </c>
      <c r="F129" s="1429">
        <f>IFERROR(__xludf.DUMMYFUNCTION("""COMPUTED_VALUE"""),45798.0)</f>
        <v>45798</v>
      </c>
      <c r="G129" s="1430">
        <f>IFERROR(__xludf.DUMMYFUNCTION("""COMPUTED_VALUE"""),6.0)</f>
        <v>6</v>
      </c>
      <c r="H129" s="94">
        <f t="shared" si="1"/>
        <v>5</v>
      </c>
    </row>
    <row r="130" ht="15.75" customHeight="1">
      <c r="A130" s="94" t="str">
        <f>IFERROR(__xludf.DUMMYFUNCTION("""COMPUTED_VALUE"""),"CM 1606")</f>
        <v>CM 1606</v>
      </c>
      <c r="B130" s="94"/>
      <c r="C130" s="94"/>
      <c r="D130" s="94"/>
      <c r="E130" s="1429">
        <f>IFERROR(__xludf.DUMMYFUNCTION("""COMPUTED_VALUE"""),45793.0)</f>
        <v>45793</v>
      </c>
      <c r="F130" s="1429">
        <f>IFERROR(__xludf.DUMMYFUNCTION("""COMPUTED_VALUE"""),45800.0)</f>
        <v>45800</v>
      </c>
      <c r="G130" s="1430">
        <f>IFERROR(__xludf.DUMMYFUNCTION("""COMPUTED_VALUE"""),7.0)</f>
        <v>7</v>
      </c>
      <c r="H130" s="94">
        <f t="shared" si="1"/>
        <v>5</v>
      </c>
    </row>
    <row r="131" ht="15.75" customHeight="1">
      <c r="A131" s="94" t="str">
        <f>IFERROR(__xludf.DUMMYFUNCTION("""COMPUTED_VALUE"""),"BV1318")</f>
        <v>BV1318</v>
      </c>
      <c r="B131" s="94"/>
      <c r="C131" s="94"/>
      <c r="D131" s="94"/>
      <c r="E131" s="1429">
        <f>IFERROR(__xludf.DUMMYFUNCTION("""COMPUTED_VALUE"""),45793.0)</f>
        <v>45793</v>
      </c>
      <c r="F131" s="1429">
        <f>IFERROR(__xludf.DUMMYFUNCTION("""COMPUTED_VALUE"""),45802.0)</f>
        <v>45802</v>
      </c>
      <c r="G131" s="1430">
        <f>IFERROR(__xludf.DUMMYFUNCTION("""COMPUTED_VALUE"""),9.0)</f>
        <v>9</v>
      </c>
      <c r="H131" s="94">
        <f t="shared" si="1"/>
        <v>5</v>
      </c>
    </row>
    <row r="132" ht="15.75" customHeight="1">
      <c r="A132" s="94" t="str">
        <f>IFERROR(__xludf.DUMMYFUNCTION("""COMPUTED_VALUE"""),"С 1125")</f>
        <v>С 1125</v>
      </c>
      <c r="B132" s="94"/>
      <c r="C132" s="94"/>
      <c r="D132" s="94"/>
      <c r="E132" s="1429">
        <f>IFERROR(__xludf.DUMMYFUNCTION("""COMPUTED_VALUE"""),45793.0)</f>
        <v>45793</v>
      </c>
      <c r="F132" s="1429">
        <f>IFERROR(__xludf.DUMMYFUNCTION("""COMPUTED_VALUE"""),45796.0)</f>
        <v>45796</v>
      </c>
      <c r="G132" s="1430">
        <f>IFERROR(__xludf.DUMMYFUNCTION("""COMPUTED_VALUE"""),3.0)</f>
        <v>3</v>
      </c>
      <c r="H132" s="94">
        <f t="shared" si="1"/>
        <v>5</v>
      </c>
    </row>
    <row r="133" ht="15.75" customHeight="1">
      <c r="A133" s="94" t="str">
        <f>IFERROR(__xludf.DUMMYFUNCTION("""COMPUTED_VALUE"""),"TGA1")</f>
        <v>TGA1</v>
      </c>
      <c r="B133" s="94"/>
      <c r="C133" s="94"/>
      <c r="D133" s="94"/>
      <c r="E133" s="1429">
        <f>IFERROR(__xludf.DUMMYFUNCTION("""COMPUTED_VALUE"""),45793.0)</f>
        <v>45793</v>
      </c>
      <c r="F133" s="1429">
        <f>IFERROR(__xludf.DUMMYFUNCTION("""COMPUTED_VALUE"""),45795.0)</f>
        <v>45795</v>
      </c>
      <c r="G133" s="1430">
        <f>IFERROR(__xludf.DUMMYFUNCTION("""COMPUTED_VALUE"""),2.0)</f>
        <v>2</v>
      </c>
      <c r="H133" s="94">
        <f t="shared" si="1"/>
        <v>5</v>
      </c>
    </row>
    <row r="134" ht="15.75" customHeight="1">
      <c r="A134" s="94" t="str">
        <f>IFERROR(__xludf.DUMMYFUNCTION("""COMPUTED_VALUE"""),"TGA5")</f>
        <v>TGA5</v>
      </c>
      <c r="B134" s="94"/>
      <c r="C134" s="94"/>
      <c r="D134" s="94"/>
      <c r="E134" s="1429">
        <f>IFERROR(__xludf.DUMMYFUNCTION("""COMPUTED_VALUE"""),45793.0)</f>
        <v>45793</v>
      </c>
      <c r="F134" s="1429">
        <f>IFERROR(__xludf.DUMMYFUNCTION("""COMPUTED_VALUE"""),45796.0)</f>
        <v>45796</v>
      </c>
      <c r="G134" s="1430">
        <f>IFERROR(__xludf.DUMMYFUNCTION("""COMPUTED_VALUE"""),3.0)</f>
        <v>3</v>
      </c>
      <c r="H134" s="94">
        <f t="shared" si="1"/>
        <v>5</v>
      </c>
    </row>
    <row r="135" ht="15.75" customHeight="1">
      <c r="A135" s="94" t="str">
        <f>IFERROR(__xludf.DUMMYFUNCTION("""COMPUTED_VALUE"""),"MZ 913")</f>
        <v>MZ 913</v>
      </c>
      <c r="B135" s="94"/>
      <c r="C135" s="94"/>
      <c r="D135" s="94"/>
      <c r="E135" s="1429">
        <f>IFERROR(__xludf.DUMMYFUNCTION("""COMPUTED_VALUE"""),45886.0)</f>
        <v>45886</v>
      </c>
      <c r="F135" s="1436">
        <f>IFERROR(__xludf.DUMMYFUNCTION("""COMPUTED_VALUE"""),45887.0)</f>
        <v>45887</v>
      </c>
      <c r="G135" s="1430">
        <f>IFERROR(__xludf.DUMMYFUNCTION("""COMPUTED_VALUE"""),1.0)</f>
        <v>1</v>
      </c>
      <c r="H135" s="94">
        <f t="shared" si="1"/>
        <v>8</v>
      </c>
    </row>
    <row r="136" ht="15.75" customHeight="1">
      <c r="A136" s="94" t="str">
        <f>IFERROR(__xludf.DUMMYFUNCTION("""COMPUTED_VALUE"""),"WS E 1202")</f>
        <v>WS E 1202</v>
      </c>
      <c r="B136" s="94"/>
      <c r="C136" s="94"/>
      <c r="D136" s="94"/>
      <c r="E136" s="1429">
        <f>IFERROR(__xludf.DUMMYFUNCTION("""COMPUTED_VALUE"""),45794.0)</f>
        <v>45794</v>
      </c>
      <c r="F136" s="1436">
        <f>IFERROR(__xludf.DUMMYFUNCTION("""COMPUTED_VALUE"""),45797.0)</f>
        <v>45797</v>
      </c>
      <c r="G136" s="1430">
        <f>IFERROR(__xludf.DUMMYFUNCTION("""COMPUTED_VALUE"""),3.0)</f>
        <v>3</v>
      </c>
      <c r="H136" s="94">
        <f t="shared" si="1"/>
        <v>5</v>
      </c>
    </row>
    <row r="137" ht="15.75" customHeight="1">
      <c r="A137" s="94" t="str">
        <f>IFERROR(__xludf.DUMMYFUNCTION("""COMPUTED_VALUE"""),"WS Е804")</f>
        <v>WS Е804</v>
      </c>
      <c r="B137" s="94"/>
      <c r="C137" s="94"/>
      <c r="D137" s="94"/>
      <c r="E137" s="1429">
        <f>IFERROR(__xludf.DUMMYFUNCTION("""COMPUTED_VALUE"""),45794.0)</f>
        <v>45794</v>
      </c>
      <c r="F137" s="1436">
        <f>IFERROR(__xludf.DUMMYFUNCTION("""COMPUTED_VALUE"""),45796.0)</f>
        <v>45796</v>
      </c>
      <c r="G137" s="1430">
        <f>IFERROR(__xludf.DUMMYFUNCTION("""COMPUTED_VALUE"""),2.0)</f>
        <v>2</v>
      </c>
      <c r="H137" s="94">
        <f t="shared" si="1"/>
        <v>5</v>
      </c>
    </row>
    <row r="138" ht="15.75" customHeight="1">
      <c r="A138" s="94" t="str">
        <f>IFERROR(__xludf.DUMMYFUNCTION("""COMPUTED_VALUE"""),"BV206")</f>
        <v>BV206</v>
      </c>
      <c r="B138" s="94"/>
      <c r="C138" s="94"/>
      <c r="D138" s="94"/>
      <c r="E138" s="1429">
        <f>IFERROR(__xludf.DUMMYFUNCTION("""COMPUTED_VALUE"""),45794.0)</f>
        <v>45794</v>
      </c>
      <c r="F138" s="1436">
        <f>IFERROR(__xludf.DUMMYFUNCTION("""COMPUTED_VALUE"""),45796.0)</f>
        <v>45796</v>
      </c>
      <c r="G138" s="1430">
        <f>IFERROR(__xludf.DUMMYFUNCTION("""COMPUTED_VALUE"""),2.0)</f>
        <v>2</v>
      </c>
      <c r="H138" s="94">
        <f t="shared" si="1"/>
        <v>5</v>
      </c>
    </row>
    <row r="139" ht="15.75" customHeight="1">
      <c r="A139" s="94" t="str">
        <f>IFERROR(__xludf.DUMMYFUNCTION("""COMPUTED_VALUE"""),"WS В 212")</f>
        <v>WS В 212</v>
      </c>
      <c r="B139" s="94"/>
      <c r="C139" s="94"/>
      <c r="D139" s="94"/>
      <c r="E139" s="1429">
        <f>IFERROR(__xludf.DUMMYFUNCTION("""COMPUTED_VALUE"""),45795.0)</f>
        <v>45795</v>
      </c>
      <c r="F139" s="1436">
        <f>IFERROR(__xludf.DUMMYFUNCTION("""COMPUTED_VALUE"""),45798.0)</f>
        <v>45798</v>
      </c>
      <c r="G139" s="1430">
        <f>IFERROR(__xludf.DUMMYFUNCTION("""COMPUTED_VALUE"""),3.0)</f>
        <v>3</v>
      </c>
      <c r="H139" s="94">
        <f t="shared" si="1"/>
        <v>5</v>
      </c>
    </row>
    <row r="140" ht="15.75" customHeight="1">
      <c r="A140" s="94" t="str">
        <f>IFERROR(__xludf.DUMMYFUNCTION("""COMPUTED_VALUE"""),"CM 1604")</f>
        <v>CM 1604</v>
      </c>
      <c r="B140" s="94"/>
      <c r="C140" s="94"/>
      <c r="D140" s="94"/>
      <c r="E140" s="1429">
        <f>IFERROR(__xludf.DUMMYFUNCTION("""COMPUTED_VALUE"""),45795.0)</f>
        <v>45795</v>
      </c>
      <c r="F140" s="1436">
        <f>IFERROR(__xludf.DUMMYFUNCTION("""COMPUTED_VALUE"""),45797.0)</f>
        <v>45797</v>
      </c>
      <c r="G140" s="1430">
        <f>IFERROR(__xludf.DUMMYFUNCTION("""COMPUTED_VALUE"""),2.0)</f>
        <v>2</v>
      </c>
      <c r="H140" s="94">
        <f t="shared" si="1"/>
        <v>5</v>
      </c>
    </row>
    <row r="141" ht="15.75" customHeight="1">
      <c r="A141" s="94" t="str">
        <f>IFERROR(__xludf.DUMMYFUNCTION("""COMPUTED_VALUE"""),"CM 1931")</f>
        <v>CM 1931</v>
      </c>
      <c r="B141" s="94"/>
      <c r="C141" s="94"/>
      <c r="D141" s="94"/>
      <c r="E141" s="1429">
        <f>IFERROR(__xludf.DUMMYFUNCTION("""COMPUTED_VALUE"""),45795.0)</f>
        <v>45795</v>
      </c>
      <c r="F141" s="1436">
        <f>IFERROR(__xludf.DUMMYFUNCTION("""COMPUTED_VALUE"""),45797.0)</f>
        <v>45797</v>
      </c>
      <c r="G141" s="1430">
        <f>IFERROR(__xludf.DUMMYFUNCTION("""COMPUTED_VALUE"""),2.0)</f>
        <v>2</v>
      </c>
      <c r="H141" s="94">
        <f t="shared" si="1"/>
        <v>5</v>
      </c>
    </row>
    <row r="142" ht="15.75" customHeight="1">
      <c r="A142" s="94" t="str">
        <f>IFERROR(__xludf.DUMMYFUNCTION("""COMPUTED_VALUE"""),"Steps 1108")</f>
        <v>Steps 1108</v>
      </c>
      <c r="B142" s="94"/>
      <c r="C142" s="94"/>
      <c r="D142" s="94"/>
      <c r="E142" s="1429">
        <f>IFERROR(__xludf.DUMMYFUNCTION("""COMPUTED_VALUE"""),45796.0)</f>
        <v>45796</v>
      </c>
      <c r="F142" s="1436">
        <f>IFERROR(__xludf.DUMMYFUNCTION("""COMPUTED_VALUE"""),45826.0)</f>
        <v>45826</v>
      </c>
      <c r="G142" s="1430">
        <f>IFERROR(__xludf.DUMMYFUNCTION("""COMPUTED_VALUE"""),30.0)</f>
        <v>30</v>
      </c>
      <c r="H142" s="94">
        <f t="shared" si="1"/>
        <v>5</v>
      </c>
    </row>
    <row r="143" ht="15.75" customHeight="1">
      <c r="A143" s="94" t="str">
        <f>IFERROR(__xludf.DUMMYFUNCTION("""COMPUTED_VALUE"""),"NW 9-6")</f>
        <v>NW 9-6</v>
      </c>
      <c r="B143" s="94"/>
      <c r="C143" s="94"/>
      <c r="D143" s="94"/>
      <c r="E143" s="1429">
        <f>IFERROR(__xludf.DUMMYFUNCTION("""COMPUTED_VALUE"""),45796.0)</f>
        <v>45796</v>
      </c>
      <c r="F143" s="1436">
        <f>IFERROR(__xludf.DUMMYFUNCTION("""COMPUTED_VALUE"""),45798.0)</f>
        <v>45798</v>
      </c>
      <c r="G143" s="1430">
        <f>IFERROR(__xludf.DUMMYFUNCTION("""COMPUTED_VALUE"""),2.0)</f>
        <v>2</v>
      </c>
      <c r="H143" s="94">
        <f t="shared" si="1"/>
        <v>5</v>
      </c>
    </row>
    <row r="144" ht="15.75" customHeight="1">
      <c r="A144" s="94" t="str">
        <f>IFERROR(__xludf.DUMMYFUNCTION("""COMPUTED_VALUE"""),"D2 1625")</f>
        <v>D2 1625</v>
      </c>
      <c r="B144" s="94"/>
      <c r="C144" s="94"/>
      <c r="D144" s="94"/>
      <c r="E144" s="1429">
        <f>IFERROR(__xludf.DUMMYFUNCTION("""COMPUTED_VALUE"""),45796.0)</f>
        <v>45796</v>
      </c>
      <c r="F144" s="1436">
        <f>IFERROR(__xludf.DUMMYFUNCTION("""COMPUTED_VALUE"""),45799.0)</f>
        <v>45799</v>
      </c>
      <c r="G144" s="1430">
        <f>IFERROR(__xludf.DUMMYFUNCTION("""COMPUTED_VALUE"""),3.0)</f>
        <v>3</v>
      </c>
      <c r="H144" s="94">
        <f t="shared" si="1"/>
        <v>5</v>
      </c>
    </row>
    <row r="145" ht="15.75" customHeight="1">
      <c r="A145" s="94" t="str">
        <f>IFERROR(__xludf.DUMMYFUNCTION("""COMPUTED_VALUE"""),"TGA5")</f>
        <v>TGA5</v>
      </c>
      <c r="B145" s="94"/>
      <c r="C145" s="94"/>
      <c r="D145" s="94"/>
      <c r="E145" s="1429">
        <f>IFERROR(__xludf.DUMMYFUNCTION("""COMPUTED_VALUE"""),45796.0)</f>
        <v>45796</v>
      </c>
      <c r="F145" s="1436">
        <f>IFERROR(__xludf.DUMMYFUNCTION("""COMPUTED_VALUE"""),45799.0)</f>
        <v>45799</v>
      </c>
      <c r="G145" s="1430">
        <f>IFERROR(__xludf.DUMMYFUNCTION("""COMPUTED_VALUE"""),3.0)</f>
        <v>3</v>
      </c>
      <c r="H145" s="94">
        <f t="shared" si="1"/>
        <v>5</v>
      </c>
    </row>
    <row r="146" ht="15.75" customHeight="1">
      <c r="A146" s="94" t="str">
        <f>IFERROR(__xludf.DUMMYFUNCTION("""COMPUTED_VALUE"""),"D 3629")</f>
        <v>D 3629</v>
      </c>
      <c r="B146" s="94"/>
      <c r="C146" s="94"/>
      <c r="D146" s="94"/>
      <c r="E146" s="1429">
        <f>IFERROR(__xludf.DUMMYFUNCTION("""COMPUTED_VALUE"""),45797.0)</f>
        <v>45797</v>
      </c>
      <c r="F146" s="1436">
        <f>IFERROR(__xludf.DUMMYFUNCTION("""COMPUTED_VALUE"""),45800.0)</f>
        <v>45800</v>
      </c>
      <c r="G146" s="1430">
        <f>IFERROR(__xludf.DUMMYFUNCTION("""COMPUTED_VALUE"""),3.0)</f>
        <v>3</v>
      </c>
      <c r="H146" s="94">
        <f t="shared" si="1"/>
        <v>5</v>
      </c>
    </row>
    <row r="147" ht="15.75" customHeight="1">
      <c r="A147" s="94" t="str">
        <f>IFERROR(__xludf.DUMMYFUNCTION("""COMPUTED_VALUE"""),"MZ 718")</f>
        <v>MZ 718</v>
      </c>
      <c r="B147" s="94"/>
      <c r="C147" s="94"/>
      <c r="D147" s="94"/>
      <c r="E147" s="1429">
        <f>IFERROR(__xludf.DUMMYFUNCTION("""COMPUTED_VALUE"""),45797.0)</f>
        <v>45797</v>
      </c>
      <c r="F147" s="1436">
        <f>IFERROR(__xludf.DUMMYFUNCTION("""COMPUTED_VALUE"""),45805.0)</f>
        <v>45805</v>
      </c>
      <c r="G147" s="1430">
        <f>IFERROR(__xludf.DUMMYFUNCTION("""COMPUTED_VALUE"""),8.0)</f>
        <v>8</v>
      </c>
      <c r="H147" s="94">
        <f t="shared" si="1"/>
        <v>5</v>
      </c>
    </row>
    <row r="148" ht="15.75" customHeight="1">
      <c r="A148" s="94" t="str">
        <f>IFERROR(__xludf.DUMMYFUNCTION("""COMPUTED_VALUE"""),"MZ 718")</f>
        <v>MZ 718</v>
      </c>
      <c r="B148" s="94"/>
      <c r="C148" s="94"/>
      <c r="D148" s="94"/>
      <c r="E148" s="1429">
        <f>IFERROR(__xludf.DUMMYFUNCTION("""COMPUTED_VALUE"""),45797.0)</f>
        <v>45797</v>
      </c>
      <c r="F148" s="94"/>
      <c r="G148" s="94"/>
      <c r="H148" s="94">
        <f t="shared" si="1"/>
        <v>5</v>
      </c>
    </row>
    <row r="149" ht="15.75" customHeight="1">
      <c r="A149" s="94" t="str">
        <f>IFERROR(__xludf.DUMMYFUNCTION("""COMPUTED_VALUE"""),"MZ 718")</f>
        <v>MZ 718</v>
      </c>
      <c r="B149" s="94"/>
      <c r="C149" s="94"/>
      <c r="D149" s="94"/>
      <c r="E149" s="1429">
        <f>IFERROR(__xludf.DUMMYFUNCTION("""COMPUTED_VALUE"""),45797.0)</f>
        <v>45797</v>
      </c>
      <c r="F149" s="94"/>
      <c r="G149" s="94"/>
      <c r="H149" s="94">
        <f t="shared" si="1"/>
        <v>5</v>
      </c>
    </row>
    <row r="150" ht="15.75" customHeight="1">
      <c r="A150" s="94" t="str">
        <f>IFERROR(__xludf.DUMMYFUNCTION("""COMPUTED_VALUE"""),"WS Е804")</f>
        <v>WS Е804</v>
      </c>
      <c r="B150" s="94"/>
      <c r="C150" s="94"/>
      <c r="D150" s="94"/>
      <c r="E150" s="1429">
        <f>IFERROR(__xludf.DUMMYFUNCTION("""COMPUTED_VALUE"""),45797.0)</f>
        <v>45797</v>
      </c>
      <c r="F150" s="1436">
        <f>IFERROR(__xludf.DUMMYFUNCTION("""COMPUTED_VALUE"""),45800.0)</f>
        <v>45800</v>
      </c>
      <c r="G150" s="1430">
        <f>IFERROR(__xludf.DUMMYFUNCTION("""COMPUTED_VALUE"""),3.0)</f>
        <v>3</v>
      </c>
      <c r="H150" s="94">
        <f t="shared" si="1"/>
        <v>5</v>
      </c>
    </row>
    <row r="151" ht="15.75" customHeight="1">
      <c r="A151" s="94" t="str">
        <f>IFERROR(__xludf.DUMMYFUNCTION("""COMPUTED_VALUE"""),"Steps1123")</f>
        <v>Steps1123</v>
      </c>
      <c r="B151" s="94"/>
      <c r="C151" s="94"/>
      <c r="D151" s="94"/>
      <c r="E151" s="1429">
        <f>IFERROR(__xludf.DUMMYFUNCTION("""COMPUTED_VALUE"""),45798.0)</f>
        <v>45798</v>
      </c>
      <c r="F151" s="1436">
        <f>IFERROR(__xludf.DUMMYFUNCTION("""COMPUTED_VALUE"""),45800.0)</f>
        <v>45800</v>
      </c>
      <c r="G151" s="1430">
        <f>IFERROR(__xludf.DUMMYFUNCTION("""COMPUTED_VALUE"""),2.0)</f>
        <v>2</v>
      </c>
      <c r="H151" s="94">
        <f t="shared" si="1"/>
        <v>5</v>
      </c>
    </row>
    <row r="152" ht="15.75" customHeight="1">
      <c r="A152" s="94" t="str">
        <f>IFERROR(__xludf.DUMMYFUNCTION("""COMPUTED_VALUE"""),"CM 1931")</f>
        <v>CM 1931</v>
      </c>
      <c r="B152" s="94"/>
      <c r="C152" s="94"/>
      <c r="D152" s="94"/>
      <c r="E152" s="1429">
        <f>IFERROR(__xludf.DUMMYFUNCTION("""COMPUTED_VALUE"""),45798.0)</f>
        <v>45798</v>
      </c>
      <c r="F152" s="1436">
        <f>IFERROR(__xludf.DUMMYFUNCTION("""COMPUTED_VALUE"""),45809.0)</f>
        <v>45809</v>
      </c>
      <c r="G152" s="1430">
        <f>IFERROR(__xludf.DUMMYFUNCTION("""COMPUTED_VALUE"""),11.0)</f>
        <v>11</v>
      </c>
      <c r="H152" s="94">
        <f t="shared" si="1"/>
        <v>5</v>
      </c>
    </row>
    <row r="153" ht="15.75" customHeight="1">
      <c r="A153" s="94" t="str">
        <f>IFERROR(__xludf.DUMMYFUNCTION("""COMPUTED_VALUE"""),"WS A 409")</f>
        <v>WS A 409</v>
      </c>
      <c r="B153" s="94"/>
      <c r="C153" s="94"/>
      <c r="D153" s="94"/>
      <c r="E153" s="1429">
        <f>IFERROR(__xludf.DUMMYFUNCTION("""COMPUTED_VALUE"""),45798.0)</f>
        <v>45798</v>
      </c>
      <c r="F153" s="1436">
        <f>IFERROR(__xludf.DUMMYFUNCTION("""COMPUTED_VALUE"""),45800.0)</f>
        <v>45800</v>
      </c>
      <c r="G153" s="1430">
        <f>IFERROR(__xludf.DUMMYFUNCTION("""COMPUTED_VALUE"""),2.0)</f>
        <v>2</v>
      </c>
      <c r="H153" s="94">
        <f t="shared" si="1"/>
        <v>5</v>
      </c>
    </row>
    <row r="154" ht="15.75" customHeight="1">
      <c r="A154" s="94" t="str">
        <f>IFERROR(__xludf.DUMMYFUNCTION("""COMPUTED_VALUE"""),"WS A 608")</f>
        <v>WS A 608</v>
      </c>
      <c r="B154" s="94"/>
      <c r="C154" s="94"/>
      <c r="D154" s="94"/>
      <c r="E154" s="1429">
        <f>IFERROR(__xludf.DUMMYFUNCTION("""COMPUTED_VALUE"""),45799.0)</f>
        <v>45799</v>
      </c>
      <c r="F154" s="1436">
        <f>IFERROR(__xludf.DUMMYFUNCTION("""COMPUTED_VALUE"""),45802.0)</f>
        <v>45802</v>
      </c>
      <c r="G154" s="1430">
        <f>IFERROR(__xludf.DUMMYFUNCTION("""COMPUTED_VALUE"""),3.0)</f>
        <v>3</v>
      </c>
      <c r="H154" s="94">
        <f t="shared" si="1"/>
        <v>5</v>
      </c>
    </row>
    <row r="155" ht="15.75" customHeight="1">
      <c r="A155" s="94" t="str">
        <f>IFERROR(__xludf.DUMMYFUNCTION("""COMPUTED_VALUE"""),"С 1125")</f>
        <v>С 1125</v>
      </c>
      <c r="B155" s="94"/>
      <c r="C155" s="94"/>
      <c r="D155" s="94"/>
      <c r="E155" s="1429">
        <f>IFERROR(__xludf.DUMMYFUNCTION("""COMPUTED_VALUE"""),45799.0)</f>
        <v>45799</v>
      </c>
      <c r="F155" s="1436">
        <f>IFERROR(__xludf.DUMMYFUNCTION("""COMPUTED_VALUE"""),45801.0)</f>
        <v>45801</v>
      </c>
      <c r="G155" s="1430">
        <f>IFERROR(__xludf.DUMMYFUNCTION("""COMPUTED_VALUE"""),2.0)</f>
        <v>2</v>
      </c>
      <c r="H155" s="94">
        <f t="shared" si="1"/>
        <v>5</v>
      </c>
    </row>
    <row r="156" ht="15.75" customHeight="1">
      <c r="A156" s="94" t="str">
        <f>IFERROR(__xludf.DUMMYFUNCTION("""COMPUTED_VALUE"""),"PT2604")</f>
        <v>PT2604</v>
      </c>
      <c r="B156" s="94"/>
      <c r="C156" s="94"/>
      <c r="D156" s="94"/>
      <c r="E156" s="1429">
        <f>IFERROR(__xludf.DUMMYFUNCTION("""COMPUTED_VALUE"""),45799.0)</f>
        <v>45799</v>
      </c>
      <c r="F156" s="1436">
        <f>IFERROR(__xludf.DUMMYFUNCTION("""COMPUTED_VALUE"""),45806.0)</f>
        <v>45806</v>
      </c>
      <c r="G156" s="1430">
        <f>IFERROR(__xludf.DUMMYFUNCTION("""COMPUTED_VALUE"""),7.0)</f>
        <v>7</v>
      </c>
      <c r="H156" s="94">
        <f t="shared" si="1"/>
        <v>5</v>
      </c>
    </row>
    <row r="157" ht="15.75" customHeight="1">
      <c r="A157" s="94" t="str">
        <f>IFERROR(__xludf.DUMMYFUNCTION("""COMPUTED_VALUE"""),"Pollo 3-5")</f>
        <v>Pollo 3-5</v>
      </c>
      <c r="B157" s="94"/>
      <c r="C157" s="94"/>
      <c r="D157" s="94"/>
      <c r="E157" s="1429">
        <f>IFERROR(__xludf.DUMMYFUNCTION("""COMPUTED_VALUE"""),45799.0)</f>
        <v>45799</v>
      </c>
      <c r="F157" s="1436">
        <f>IFERROR(__xludf.DUMMYFUNCTION("""COMPUTED_VALUE"""),45829.0)</f>
        <v>45829</v>
      </c>
      <c r="G157" s="1430">
        <f>IFERROR(__xludf.DUMMYFUNCTION("""COMPUTED_VALUE"""),30.0)</f>
        <v>30</v>
      </c>
      <c r="H157" s="94">
        <f t="shared" si="1"/>
        <v>5</v>
      </c>
    </row>
    <row r="158" ht="15.75" customHeight="1">
      <c r="A158" s="94" t="str">
        <f>IFERROR(__xludf.DUMMYFUNCTION("""COMPUTED_VALUE"""),"TGA1")</f>
        <v>TGA1</v>
      </c>
      <c r="B158" s="94"/>
      <c r="C158" s="94"/>
      <c r="D158" s="94"/>
      <c r="E158" s="1429">
        <f>IFERROR(__xludf.DUMMYFUNCTION("""COMPUTED_VALUE"""),45800.0)</f>
        <v>45800</v>
      </c>
      <c r="F158" s="1429">
        <f>IFERROR(__xludf.DUMMYFUNCTION("""COMPUTED_VALUE"""),45804.0)</f>
        <v>45804</v>
      </c>
      <c r="G158" s="1430">
        <f>IFERROR(__xludf.DUMMYFUNCTION("""COMPUTED_VALUE"""),4.0)</f>
        <v>4</v>
      </c>
      <c r="H158" s="94">
        <f t="shared" si="1"/>
        <v>5</v>
      </c>
    </row>
    <row r="159" ht="15.75" customHeight="1">
      <c r="A159" s="94" t="str">
        <f>IFERROR(__xludf.DUMMYFUNCTION("""COMPUTED_VALUE"""),"D2 1625")</f>
        <v>D2 1625</v>
      </c>
      <c r="B159" s="94"/>
      <c r="C159" s="94"/>
      <c r="D159" s="94"/>
      <c r="E159" s="1429">
        <f>IFERROR(__xludf.DUMMYFUNCTION("""COMPUTED_VALUE"""),45800.0)</f>
        <v>45800</v>
      </c>
      <c r="F159" s="1429">
        <f>IFERROR(__xludf.DUMMYFUNCTION("""COMPUTED_VALUE"""),45802.0)</f>
        <v>45802</v>
      </c>
      <c r="G159" s="1430">
        <f>IFERROR(__xludf.DUMMYFUNCTION("""COMPUTED_VALUE"""),2.0)</f>
        <v>2</v>
      </c>
      <c r="H159" s="94">
        <f t="shared" si="1"/>
        <v>5</v>
      </c>
    </row>
    <row r="160" ht="15.75" customHeight="1">
      <c r="A160" s="94" t="str">
        <f>IFERROR(__xludf.DUMMYFUNCTION("""COMPUTED_VALUE"""),"WS E 1202")</f>
        <v>WS E 1202</v>
      </c>
      <c r="B160" s="94"/>
      <c r="C160" s="94"/>
      <c r="D160" s="94"/>
      <c r="E160" s="1429">
        <f>IFERROR(__xludf.DUMMYFUNCTION("""COMPUTED_VALUE"""),45800.0)</f>
        <v>45800</v>
      </c>
      <c r="F160" s="1429">
        <f>IFERROR(__xludf.DUMMYFUNCTION("""COMPUTED_VALUE"""),45807.0)</f>
        <v>45807</v>
      </c>
      <c r="G160" s="1430">
        <f>IFERROR(__xludf.DUMMYFUNCTION("""COMPUTED_VALUE"""),7.0)</f>
        <v>7</v>
      </c>
      <c r="H160" s="94">
        <f t="shared" si="1"/>
        <v>5</v>
      </c>
    </row>
    <row r="161" ht="15.75" customHeight="1">
      <c r="A161" s="94" t="str">
        <f>IFERROR(__xludf.DUMMYFUNCTION("""COMPUTED_VALUE"""),"CM 1606")</f>
        <v>CM 1606</v>
      </c>
      <c r="B161" s="94"/>
      <c r="C161" s="94"/>
      <c r="D161" s="94"/>
      <c r="E161" s="1429">
        <f>IFERROR(__xludf.DUMMYFUNCTION("""COMPUTED_VALUE"""),45800.0)</f>
        <v>45800</v>
      </c>
      <c r="F161" s="1429">
        <f>IFERROR(__xludf.DUMMYFUNCTION("""COMPUTED_VALUE"""),45803.0)</f>
        <v>45803</v>
      </c>
      <c r="G161" s="1430">
        <f>IFERROR(__xludf.DUMMYFUNCTION("""COMPUTED_VALUE"""),3.0)</f>
        <v>3</v>
      </c>
      <c r="H161" s="94">
        <f t="shared" si="1"/>
        <v>5</v>
      </c>
    </row>
    <row r="162" ht="15.75" customHeight="1">
      <c r="A162" s="94" t="str">
        <f>IFERROR(__xludf.DUMMYFUNCTION("""COMPUTED_VALUE"""),"MZ 913")</f>
        <v>MZ 913</v>
      </c>
      <c r="B162" s="94"/>
      <c r="C162" s="94"/>
      <c r="D162" s="94"/>
      <c r="E162" s="1429">
        <f>IFERROR(__xludf.DUMMYFUNCTION("""COMPUTED_VALUE"""),45800.0)</f>
        <v>45800</v>
      </c>
      <c r="F162" s="1429">
        <f>IFERROR(__xludf.DUMMYFUNCTION("""COMPUTED_VALUE"""),45804.0)</f>
        <v>45804</v>
      </c>
      <c r="G162" s="1430">
        <f>IFERROR(__xludf.DUMMYFUNCTION("""COMPUTED_VALUE"""),4.0)</f>
        <v>4</v>
      </c>
      <c r="H162" s="94">
        <f t="shared" si="1"/>
        <v>5</v>
      </c>
    </row>
    <row r="163" ht="15.75" customHeight="1">
      <c r="A163" s="94" t="str">
        <f>IFERROR(__xludf.DUMMYFUNCTION("""COMPUTED_VALUE"""),"DL 14-505")</f>
        <v>DL 14-505</v>
      </c>
      <c r="B163" s="94"/>
      <c r="C163" s="94"/>
      <c r="D163" s="94"/>
      <c r="E163" s="1429">
        <f>IFERROR(__xludf.DUMMYFUNCTION("""COMPUTED_VALUE"""),45801.0)</f>
        <v>45801</v>
      </c>
      <c r="F163" s="1429">
        <f>IFERROR(__xludf.DUMMYFUNCTION("""COMPUTED_VALUE"""),45805.0)</f>
        <v>45805</v>
      </c>
      <c r="G163" s="1430">
        <f>IFERROR(__xludf.DUMMYFUNCTION("""COMPUTED_VALUE"""),4.0)</f>
        <v>4</v>
      </c>
      <c r="H163" s="94">
        <f t="shared" si="1"/>
        <v>5</v>
      </c>
    </row>
    <row r="164" ht="15.75" customHeight="1">
      <c r="A164" s="94" t="str">
        <f>IFERROR(__xludf.DUMMYFUNCTION("""COMPUTED_VALUE"""),"DL14-518")</f>
        <v>DL14-518</v>
      </c>
      <c r="B164" s="94"/>
      <c r="C164" s="94"/>
      <c r="D164" s="94"/>
      <c r="E164" s="1429">
        <f>IFERROR(__xludf.DUMMYFUNCTION("""COMPUTED_VALUE"""),45801.0)</f>
        <v>45801</v>
      </c>
      <c r="F164" s="1429">
        <f>IFERROR(__xludf.DUMMYFUNCTION("""COMPUTED_VALUE"""),45805.0)</f>
        <v>45805</v>
      </c>
      <c r="G164" s="1430">
        <f>IFERROR(__xludf.DUMMYFUNCTION("""COMPUTED_VALUE"""),4.0)</f>
        <v>4</v>
      </c>
      <c r="H164" s="94">
        <f t="shared" si="1"/>
        <v>5</v>
      </c>
    </row>
    <row r="165" ht="15.75" customHeight="1">
      <c r="A165" s="94" t="str">
        <f>IFERROR(__xludf.DUMMYFUNCTION("""COMPUTED_VALUE"""),"PT2704")</f>
        <v>PT2704</v>
      </c>
      <c r="B165" s="94"/>
      <c r="C165" s="94"/>
      <c r="D165" s="94"/>
      <c r="E165" s="1429">
        <f>IFERROR(__xludf.DUMMYFUNCTION("""COMPUTED_VALUE"""),45801.0)</f>
        <v>45801</v>
      </c>
      <c r="F165" s="1429">
        <f>IFERROR(__xludf.DUMMYFUNCTION("""COMPUTED_VALUE"""),45805.0)</f>
        <v>45805</v>
      </c>
      <c r="G165" s="1430">
        <f>IFERROR(__xludf.DUMMYFUNCTION("""COMPUTED_VALUE"""),4.0)</f>
        <v>4</v>
      </c>
      <c r="H165" s="94">
        <f t="shared" si="1"/>
        <v>5</v>
      </c>
    </row>
    <row r="166" ht="15.75" customHeight="1">
      <c r="A166" s="94" t="str">
        <f>IFERROR(__xludf.DUMMYFUNCTION("""COMPUTED_VALUE"""),"WS A 409")</f>
        <v>WS A 409</v>
      </c>
      <c r="B166" s="94"/>
      <c r="C166" s="94"/>
      <c r="D166" s="94"/>
      <c r="E166" s="1429">
        <f>IFERROR(__xludf.DUMMYFUNCTION("""COMPUTED_VALUE"""),45801.0)</f>
        <v>45801</v>
      </c>
      <c r="F166" s="1429">
        <f>IFERROR(__xludf.DUMMYFUNCTION("""COMPUTED_VALUE"""),45808.0)</f>
        <v>45808</v>
      </c>
      <c r="G166" s="1430">
        <f>IFERROR(__xludf.DUMMYFUNCTION("""COMPUTED_VALUE"""),7.0)</f>
        <v>7</v>
      </c>
      <c r="H166" s="94">
        <f t="shared" si="1"/>
        <v>5</v>
      </c>
    </row>
    <row r="167" ht="15.75" customHeight="1">
      <c r="A167" s="94" t="str">
        <f>IFERROR(__xludf.DUMMYFUNCTION("""COMPUTED_VALUE"""),"С 1125")</f>
        <v>С 1125</v>
      </c>
      <c r="B167" s="94"/>
      <c r="C167" s="94"/>
      <c r="D167" s="94"/>
      <c r="E167" s="1429">
        <f>IFERROR(__xludf.DUMMYFUNCTION("""COMPUTED_VALUE"""),45801.0)</f>
        <v>45801</v>
      </c>
      <c r="F167" s="1429">
        <f>IFERROR(__xludf.DUMMYFUNCTION("""COMPUTED_VALUE"""),45803.0)</f>
        <v>45803</v>
      </c>
      <c r="G167" s="1430">
        <f>IFERROR(__xludf.DUMMYFUNCTION("""COMPUTED_VALUE"""),2.0)</f>
        <v>2</v>
      </c>
      <c r="H167" s="94">
        <f t="shared" si="1"/>
        <v>5</v>
      </c>
    </row>
    <row r="168" ht="15.75" customHeight="1">
      <c r="A168" s="94" t="str">
        <f>IFERROR(__xludf.DUMMYFUNCTION("""COMPUTED_VALUE"""),"D2 3216")</f>
        <v>D2 3216</v>
      </c>
      <c r="B168" s="94"/>
      <c r="C168" s="94"/>
      <c r="D168" s="94"/>
      <c r="E168" s="1429">
        <f>IFERROR(__xludf.DUMMYFUNCTION("""COMPUTED_VALUE"""),45801.0)</f>
        <v>45801</v>
      </c>
      <c r="F168" s="1429">
        <f>IFERROR(__xludf.DUMMYFUNCTION("""COMPUTED_VALUE"""),45804.0)</f>
        <v>45804</v>
      </c>
      <c r="G168" s="1430">
        <f>IFERROR(__xludf.DUMMYFUNCTION("""COMPUTED_VALUE"""),3.0)</f>
        <v>3</v>
      </c>
      <c r="H168" s="94">
        <f t="shared" si="1"/>
        <v>5</v>
      </c>
    </row>
    <row r="169" ht="15.75" customHeight="1">
      <c r="A169" s="94" t="str">
        <f>IFERROR(__xludf.DUMMYFUNCTION("""COMPUTED_VALUE"""),"WS F 907")</f>
        <v>WS F 907</v>
      </c>
      <c r="B169" s="94"/>
      <c r="C169" s="94"/>
      <c r="D169" s="94"/>
      <c r="E169" s="1429">
        <f>IFERROR(__xludf.DUMMYFUNCTION("""COMPUTED_VALUE"""),45801.0)</f>
        <v>45801</v>
      </c>
      <c r="F169" s="1429">
        <f>IFERROR(__xludf.DUMMYFUNCTION("""COMPUTED_VALUE"""),45806.0)</f>
        <v>45806</v>
      </c>
      <c r="G169" s="1430">
        <f>IFERROR(__xludf.DUMMYFUNCTION("""COMPUTED_VALUE"""),5.0)</f>
        <v>5</v>
      </c>
      <c r="H169" s="94">
        <f t="shared" si="1"/>
        <v>5</v>
      </c>
    </row>
    <row r="170" ht="15.75" customHeight="1">
      <c r="A170" s="94" t="str">
        <f>IFERROR(__xludf.DUMMYFUNCTION("""COMPUTED_VALUE"""),"WS В 212")</f>
        <v>WS В 212</v>
      </c>
      <c r="B170" s="94"/>
      <c r="C170" s="94"/>
      <c r="D170" s="94"/>
      <c r="E170" s="1429">
        <f>IFERROR(__xludf.DUMMYFUNCTION("""COMPUTED_VALUE"""),45801.0)</f>
        <v>45801</v>
      </c>
      <c r="F170" s="1429">
        <f>IFERROR(__xludf.DUMMYFUNCTION("""COMPUTED_VALUE"""),45808.0)</f>
        <v>45808</v>
      </c>
      <c r="G170" s="1430">
        <f>IFERROR(__xludf.DUMMYFUNCTION("""COMPUTED_VALUE"""),7.0)</f>
        <v>7</v>
      </c>
      <c r="H170" s="94">
        <f t="shared" si="1"/>
        <v>5</v>
      </c>
    </row>
    <row r="171" ht="15.75" customHeight="1">
      <c r="A171" s="94" t="str">
        <f>IFERROR(__xludf.DUMMYFUNCTION("""COMPUTED_VALUE"""),"WS E704")</f>
        <v>WS E704</v>
      </c>
      <c r="B171" s="94"/>
      <c r="C171" s="94"/>
      <c r="D171" s="94"/>
      <c r="E171" s="1429">
        <f>IFERROR(__xludf.DUMMYFUNCTION("""COMPUTED_VALUE"""),45801.0)</f>
        <v>45801</v>
      </c>
      <c r="F171" s="1429">
        <f>IFERROR(__xludf.DUMMYFUNCTION("""COMPUTED_VALUE"""),45804.0)</f>
        <v>45804</v>
      </c>
      <c r="G171" s="1430">
        <f>IFERROR(__xludf.DUMMYFUNCTION("""COMPUTED_VALUE"""),3.0)</f>
        <v>3</v>
      </c>
      <c r="H171" s="94">
        <f t="shared" si="1"/>
        <v>5</v>
      </c>
    </row>
    <row r="172" ht="15.75" customHeight="1">
      <c r="A172" s="94" t="str">
        <f>IFERROR(__xludf.DUMMYFUNCTION("""COMPUTED_VALUE"""),"BV1318")</f>
        <v>BV1318</v>
      </c>
      <c r="B172" s="94"/>
      <c r="C172" s="94"/>
      <c r="D172" s="94"/>
      <c r="E172" s="1429">
        <f>IFERROR(__xludf.DUMMYFUNCTION("""COMPUTED_VALUE"""),45802.0)</f>
        <v>45802</v>
      </c>
      <c r="F172" s="1429">
        <f>IFERROR(__xludf.DUMMYFUNCTION("""COMPUTED_VALUE"""),45807.0)</f>
        <v>45807</v>
      </c>
      <c r="G172" s="1430">
        <f>IFERROR(__xludf.DUMMYFUNCTION("""COMPUTED_VALUE"""),5.0)</f>
        <v>5</v>
      </c>
      <c r="H172" s="94">
        <f t="shared" si="1"/>
        <v>5</v>
      </c>
    </row>
    <row r="173" ht="15.75" customHeight="1">
      <c r="A173" s="94" t="str">
        <f>IFERROR(__xludf.DUMMYFUNCTION("""COMPUTED_VALUE"""),"CM 1604")</f>
        <v>CM 1604</v>
      </c>
      <c r="B173" s="94"/>
      <c r="C173" s="94"/>
      <c r="D173" s="94"/>
      <c r="E173" s="1429">
        <f>IFERROR(__xludf.DUMMYFUNCTION("""COMPUTED_VALUE"""),45802.0)</f>
        <v>45802</v>
      </c>
      <c r="F173" s="1429">
        <f>IFERROR(__xludf.DUMMYFUNCTION("""COMPUTED_VALUE"""),45809.0)</f>
        <v>45809</v>
      </c>
      <c r="G173" s="1430">
        <f>IFERROR(__xludf.DUMMYFUNCTION("""COMPUTED_VALUE"""),7.0)</f>
        <v>7</v>
      </c>
      <c r="H173" s="94">
        <f t="shared" si="1"/>
        <v>5</v>
      </c>
    </row>
    <row r="174" ht="15.75" customHeight="1">
      <c r="A174" s="94" t="str">
        <f>IFERROR(__xludf.DUMMYFUNCTION("""COMPUTED_VALUE"""),"14-411")</f>
        <v>14-411</v>
      </c>
      <c r="B174" s="94"/>
      <c r="C174" s="94"/>
      <c r="D174" s="94"/>
      <c r="E174" s="1429">
        <f>IFERROR(__xludf.DUMMYFUNCTION("""COMPUTED_VALUE"""),45802.0)</f>
        <v>45802</v>
      </c>
      <c r="F174" s="1429">
        <f>IFERROR(__xludf.DUMMYFUNCTION("""COMPUTED_VALUE"""),45807.0)</f>
        <v>45807</v>
      </c>
      <c r="G174" s="1430">
        <f>IFERROR(__xludf.DUMMYFUNCTION("""COMPUTED_VALUE"""),5.0)</f>
        <v>5</v>
      </c>
      <c r="H174" s="94">
        <f t="shared" si="1"/>
        <v>5</v>
      </c>
    </row>
    <row r="175" ht="15.75" customHeight="1">
      <c r="A175" s="94" t="str">
        <f>IFERROR(__xludf.DUMMYFUNCTION("""COMPUTED_VALUE"""),"WS A 608")</f>
        <v>WS A 608</v>
      </c>
      <c r="B175" s="94"/>
      <c r="C175" s="94"/>
      <c r="D175" s="94"/>
      <c r="E175" s="1429">
        <f>IFERROR(__xludf.DUMMYFUNCTION("""COMPUTED_VALUE"""),45802.0)</f>
        <v>45802</v>
      </c>
      <c r="F175" s="1429">
        <f>IFERROR(__xludf.DUMMYFUNCTION("""COMPUTED_VALUE"""),45816.0)</f>
        <v>45816</v>
      </c>
      <c r="G175" s="1430">
        <f>IFERROR(__xludf.DUMMYFUNCTION("""COMPUTED_VALUE"""),14.0)</f>
        <v>14</v>
      </c>
      <c r="H175" s="94">
        <f t="shared" si="1"/>
        <v>5</v>
      </c>
    </row>
    <row r="176" ht="15.75" customHeight="1">
      <c r="A176" s="94" t="str">
        <f>IFERROR(__xludf.DUMMYFUNCTION("""COMPUTED_VALUE"""),"D 1321")</f>
        <v>D 1321</v>
      </c>
      <c r="B176" s="94"/>
      <c r="C176" s="94"/>
      <c r="D176" s="94"/>
      <c r="E176" s="1429">
        <f>IFERROR(__xludf.DUMMYFUNCTION("""COMPUTED_VALUE"""),45802.0)</f>
        <v>45802</v>
      </c>
      <c r="F176" s="1429">
        <f>IFERROR(__xludf.DUMMYFUNCTION("""COMPUTED_VALUE"""),45813.0)</f>
        <v>45813</v>
      </c>
      <c r="G176" s="1430">
        <f>IFERROR(__xludf.DUMMYFUNCTION("""COMPUTED_VALUE"""),11.0)</f>
        <v>11</v>
      </c>
      <c r="H176" s="94">
        <f t="shared" si="1"/>
        <v>5</v>
      </c>
    </row>
    <row r="177" ht="15.75" customHeight="1">
      <c r="A177" s="94" t="str">
        <f>IFERROR(__xludf.DUMMYFUNCTION("""COMPUTED_VALUE"""),"D 3629")</f>
        <v>D 3629</v>
      </c>
      <c r="B177" s="94"/>
      <c r="C177" s="94"/>
      <c r="D177" s="94"/>
      <c r="E177" s="1429">
        <f>IFERROR(__xludf.DUMMYFUNCTION("""COMPUTED_VALUE"""),45802.0)</f>
        <v>45802</v>
      </c>
      <c r="F177" s="1429">
        <f>IFERROR(__xludf.DUMMYFUNCTION("""COMPUTED_VALUE"""),45808.0)</f>
        <v>45808</v>
      </c>
      <c r="G177" s="1430">
        <f>IFERROR(__xludf.DUMMYFUNCTION("""COMPUTED_VALUE"""),6.0)</f>
        <v>6</v>
      </c>
      <c r="H177" s="94">
        <f t="shared" si="1"/>
        <v>5</v>
      </c>
    </row>
    <row r="178" ht="15.75" customHeight="1">
      <c r="A178" s="94" t="str">
        <f>IFERROR(__xludf.DUMMYFUNCTION("""COMPUTED_VALUE"""),"TGA5")</f>
        <v>TGA5</v>
      </c>
      <c r="B178" s="94"/>
      <c r="C178" s="94"/>
      <c r="D178" s="94"/>
      <c r="E178" s="1429">
        <f>IFERROR(__xludf.DUMMYFUNCTION("""COMPUTED_VALUE"""),45802.0)</f>
        <v>45802</v>
      </c>
      <c r="F178" s="1429">
        <f>IFERROR(__xludf.DUMMYFUNCTION("""COMPUTED_VALUE"""),45812.0)</f>
        <v>45812</v>
      </c>
      <c r="G178" s="1430">
        <f>IFERROR(__xludf.DUMMYFUNCTION("""COMPUTED_VALUE"""),10.0)</f>
        <v>10</v>
      </c>
      <c r="H178" s="94">
        <f t="shared" si="1"/>
        <v>5</v>
      </c>
    </row>
    <row r="179" ht="15.75" customHeight="1">
      <c r="A179" s="94" t="str">
        <f>IFERROR(__xludf.DUMMYFUNCTION("""COMPUTED_VALUE"""),"шартава 16/18")</f>
        <v>шартава 16/18</v>
      </c>
      <c r="B179" s="94"/>
      <c r="C179" s="94"/>
      <c r="D179" s="94"/>
      <c r="E179" s="1429">
        <f>IFERROR(__xludf.DUMMYFUNCTION("""COMPUTED_VALUE"""),45802.0)</f>
        <v>45802</v>
      </c>
      <c r="F179" s="1436">
        <f>IFERROR(__xludf.DUMMYFUNCTION("""COMPUTED_VALUE"""),45832.0)</f>
        <v>45832</v>
      </c>
      <c r="G179" s="1430">
        <f>IFERROR(__xludf.DUMMYFUNCTION("""COMPUTED_VALUE"""),30.0)</f>
        <v>30</v>
      </c>
      <c r="H179" s="94">
        <f t="shared" si="1"/>
        <v>5</v>
      </c>
    </row>
    <row r="180" ht="15.75" customHeight="1">
      <c r="A180" s="94" t="str">
        <f>IFERROR(__xludf.DUMMYFUNCTION("""COMPUTED_VALUE"""),"CM 1606")</f>
        <v>CM 1606</v>
      </c>
      <c r="B180" s="94"/>
      <c r="C180" s="94"/>
      <c r="D180" s="94"/>
      <c r="E180" s="1429">
        <f>IFERROR(__xludf.DUMMYFUNCTION("""COMPUTED_VALUE"""),45803.0)</f>
        <v>45803</v>
      </c>
      <c r="F180" s="1429">
        <f>IFERROR(__xludf.DUMMYFUNCTION("""COMPUTED_VALUE"""),45807.0)</f>
        <v>45807</v>
      </c>
      <c r="G180" s="1430">
        <f>IFERROR(__xludf.DUMMYFUNCTION("""COMPUTED_VALUE"""),4.0)</f>
        <v>4</v>
      </c>
      <c r="H180" s="94">
        <f t="shared" si="1"/>
        <v>5</v>
      </c>
    </row>
    <row r="181" ht="15.75" customHeight="1">
      <c r="A181" s="94" t="str">
        <f>IFERROR(__xludf.DUMMYFUNCTION("""COMPUTED_VALUE"""),"А 4049")</f>
        <v>А 4049</v>
      </c>
      <c r="B181" s="94"/>
      <c r="C181" s="94"/>
      <c r="D181" s="94"/>
      <c r="E181" s="1429">
        <f>IFERROR(__xludf.DUMMYFUNCTION("""COMPUTED_VALUE"""),45803.0)</f>
        <v>45803</v>
      </c>
      <c r="F181" s="1429">
        <f>IFERROR(__xludf.DUMMYFUNCTION("""COMPUTED_VALUE"""),45806.0)</f>
        <v>45806</v>
      </c>
      <c r="G181" s="1430">
        <f>IFERROR(__xludf.DUMMYFUNCTION("""COMPUTED_VALUE"""),3.0)</f>
        <v>3</v>
      </c>
      <c r="H181" s="94">
        <f t="shared" si="1"/>
        <v>5</v>
      </c>
    </row>
    <row r="182" ht="15.75" customHeight="1">
      <c r="A182" s="94" t="str">
        <f>IFERROR(__xludf.DUMMYFUNCTION("""COMPUTED_VALUE"""),"C 4245")</f>
        <v>C 4245</v>
      </c>
      <c r="B182" s="94"/>
      <c r="C182" s="94"/>
      <c r="D182" s="94"/>
      <c r="E182" s="1429">
        <f>IFERROR(__xludf.DUMMYFUNCTION("""COMPUTED_VALUE"""),45804.0)</f>
        <v>45804</v>
      </c>
      <c r="F182" s="1429">
        <f>IFERROR(__xludf.DUMMYFUNCTION("""COMPUTED_VALUE"""),45807.0)</f>
        <v>45807</v>
      </c>
      <c r="G182" s="1430">
        <f>IFERROR(__xludf.DUMMYFUNCTION("""COMPUTED_VALUE"""),3.0)</f>
        <v>3</v>
      </c>
      <c r="H182" s="94">
        <f t="shared" si="1"/>
        <v>5</v>
      </c>
    </row>
    <row r="183" ht="15.75" customHeight="1">
      <c r="A183" s="94" t="str">
        <f>IFERROR(__xludf.DUMMYFUNCTION("""COMPUTED_VALUE"""),"D2 1625")</f>
        <v>D2 1625</v>
      </c>
      <c r="B183" s="94"/>
      <c r="C183" s="94"/>
      <c r="D183" s="94"/>
      <c r="E183" s="1429">
        <f>IFERROR(__xludf.DUMMYFUNCTION("""COMPUTED_VALUE"""),45804.0)</f>
        <v>45804</v>
      </c>
      <c r="F183" s="1429">
        <f>IFERROR(__xludf.DUMMYFUNCTION("""COMPUTED_VALUE"""),45806.0)</f>
        <v>45806</v>
      </c>
      <c r="G183" s="1430">
        <f>IFERROR(__xludf.DUMMYFUNCTION("""COMPUTED_VALUE"""),2.0)</f>
        <v>2</v>
      </c>
      <c r="H183" s="94">
        <f t="shared" si="1"/>
        <v>5</v>
      </c>
    </row>
    <row r="184" ht="15.75" customHeight="1">
      <c r="A184" s="94" t="str">
        <f>IFERROR(__xludf.DUMMYFUNCTION("""COMPUTED_VALUE"""),"DL 14-505")</f>
        <v>DL 14-505</v>
      </c>
      <c r="B184" s="94"/>
      <c r="C184" s="94"/>
      <c r="D184" s="94"/>
      <c r="E184" s="1429">
        <f>IFERROR(__xludf.DUMMYFUNCTION("""COMPUTED_VALUE"""),45805.0)</f>
        <v>45805</v>
      </c>
      <c r="F184" s="1429">
        <f>IFERROR(__xludf.DUMMYFUNCTION("""COMPUTED_VALUE"""),45808.0)</f>
        <v>45808</v>
      </c>
      <c r="G184" s="1430">
        <f>IFERROR(__xludf.DUMMYFUNCTION("""COMPUTED_VALUE"""),3.0)</f>
        <v>3</v>
      </c>
      <c r="H184" s="94">
        <f t="shared" si="1"/>
        <v>5</v>
      </c>
    </row>
    <row r="185" ht="15.75" customHeight="1">
      <c r="A185" s="94" t="str">
        <f>IFERROR(__xludf.DUMMYFUNCTION("""COMPUTED_VALUE"""),"DL14-1405")</f>
        <v>DL14-1405</v>
      </c>
      <c r="B185" s="94"/>
      <c r="C185" s="94"/>
      <c r="D185" s="94"/>
      <c r="E185" s="1429">
        <f>IFERROR(__xludf.DUMMYFUNCTION("""COMPUTED_VALUE"""),45805.0)</f>
        <v>45805</v>
      </c>
      <c r="F185" s="1429">
        <f>IFERROR(__xludf.DUMMYFUNCTION("""COMPUTED_VALUE"""),45808.0)</f>
        <v>45808</v>
      </c>
      <c r="G185" s="1430">
        <f>IFERROR(__xludf.DUMMYFUNCTION("""COMPUTED_VALUE"""),3.0)</f>
        <v>3</v>
      </c>
      <c r="H185" s="94">
        <f t="shared" si="1"/>
        <v>5</v>
      </c>
    </row>
    <row r="186" ht="15.75" customHeight="1">
      <c r="A186" s="94" t="str">
        <f>IFERROR(__xludf.DUMMYFUNCTION("""COMPUTED_VALUE"""),"WS E704")</f>
        <v>WS E704</v>
      </c>
      <c r="B186" s="94"/>
      <c r="C186" s="94"/>
      <c r="D186" s="94"/>
      <c r="E186" s="1429">
        <f>IFERROR(__xludf.DUMMYFUNCTION("""COMPUTED_VALUE"""),45805.0)</f>
        <v>45805</v>
      </c>
      <c r="F186" s="1429">
        <f>IFERROR(__xludf.DUMMYFUNCTION("""COMPUTED_VALUE"""),45808.0)</f>
        <v>45808</v>
      </c>
      <c r="G186" s="1430">
        <f>IFERROR(__xludf.DUMMYFUNCTION("""COMPUTED_VALUE"""),3.0)</f>
        <v>3</v>
      </c>
      <c r="H186" s="94">
        <f t="shared" si="1"/>
        <v>5</v>
      </c>
    </row>
    <row r="187" ht="15.75" customHeight="1">
      <c r="A187" s="94" t="str">
        <f>IFERROR(__xludf.DUMMYFUNCTION("""COMPUTED_VALUE"""),"WS Е804")</f>
        <v>WS Е804</v>
      </c>
      <c r="B187" s="94"/>
      <c r="C187" s="94"/>
      <c r="D187" s="94"/>
      <c r="E187" s="1429">
        <f>IFERROR(__xludf.DUMMYFUNCTION("""COMPUTED_VALUE"""),45805.0)</f>
        <v>45805</v>
      </c>
      <c r="F187" s="1429">
        <f>IFERROR(__xludf.DUMMYFUNCTION("""COMPUTED_VALUE"""),45808.0)</f>
        <v>45808</v>
      </c>
      <c r="G187" s="1430">
        <f>IFERROR(__xludf.DUMMYFUNCTION("""COMPUTED_VALUE"""),3.0)</f>
        <v>3</v>
      </c>
      <c r="H187" s="94">
        <f t="shared" si="1"/>
        <v>5</v>
      </c>
    </row>
    <row r="188" ht="15.75" customHeight="1">
      <c r="A188" s="94" t="str">
        <f>IFERROR(__xludf.DUMMYFUNCTION("""COMPUTED_VALUE"""),"WS A907")</f>
        <v>WS A907</v>
      </c>
      <c r="B188" s="94"/>
      <c r="C188" s="94"/>
      <c r="D188" s="94"/>
      <c r="E188" s="1429">
        <f>IFERROR(__xludf.DUMMYFUNCTION("""COMPUTED_VALUE"""),45805.0)</f>
        <v>45805</v>
      </c>
      <c r="F188" s="1429">
        <f>IFERROR(__xludf.DUMMYFUNCTION("""COMPUTED_VALUE"""),45809.0)</f>
        <v>45809</v>
      </c>
      <c r="G188" s="1430">
        <f>IFERROR(__xludf.DUMMYFUNCTION("""COMPUTED_VALUE"""),4.0)</f>
        <v>4</v>
      </c>
      <c r="H188" s="94">
        <f t="shared" si="1"/>
        <v>5</v>
      </c>
    </row>
    <row r="189" ht="15.75" customHeight="1">
      <c r="A189" s="94" t="str">
        <f>IFERROR(__xludf.DUMMYFUNCTION("""COMPUTED_VALUE"""),"BV206")</f>
        <v>BV206</v>
      </c>
      <c r="B189" s="94"/>
      <c r="C189" s="94"/>
      <c r="D189" s="94"/>
      <c r="E189" s="1429">
        <f>IFERROR(__xludf.DUMMYFUNCTION("""COMPUTED_VALUE"""),45805.0)</f>
        <v>45805</v>
      </c>
      <c r="F189" s="1429">
        <f>IFERROR(__xludf.DUMMYFUNCTION("""COMPUTED_VALUE"""),45808.0)</f>
        <v>45808</v>
      </c>
      <c r="G189" s="1430">
        <f>IFERROR(__xludf.DUMMYFUNCTION("""COMPUTED_VALUE"""),3.0)</f>
        <v>3</v>
      </c>
      <c r="H189" s="94">
        <f t="shared" si="1"/>
        <v>5</v>
      </c>
    </row>
    <row r="190" ht="15.75" customHeight="1">
      <c r="A190" s="94" t="str">
        <f>IFERROR(__xludf.DUMMYFUNCTION("""COMPUTED_VALUE"""),"С 1125")</f>
        <v>С 1125</v>
      </c>
      <c r="B190" s="94"/>
      <c r="C190" s="94"/>
      <c r="D190" s="94"/>
      <c r="E190" s="1429">
        <f>IFERROR(__xludf.DUMMYFUNCTION("""COMPUTED_VALUE"""),45805.0)</f>
        <v>45805</v>
      </c>
      <c r="F190" s="1429">
        <f>IFERROR(__xludf.DUMMYFUNCTION("""COMPUTED_VALUE"""),45807.0)</f>
        <v>45807</v>
      </c>
      <c r="G190" s="1430">
        <f>IFERROR(__xludf.DUMMYFUNCTION("""COMPUTED_VALUE"""),2.0)</f>
        <v>2</v>
      </c>
      <c r="H190" s="94">
        <f t="shared" si="1"/>
        <v>5</v>
      </c>
    </row>
    <row r="191" ht="15.75" customHeight="1">
      <c r="A191" s="94" t="str">
        <f>IFERROR(__xludf.DUMMYFUNCTION("""COMPUTED_VALUE"""),"DL 14-702")</f>
        <v>DL 14-702</v>
      </c>
      <c r="B191" s="94"/>
      <c r="C191" s="94"/>
      <c r="D191" s="94"/>
      <c r="E191" s="1429">
        <f>IFERROR(__xludf.DUMMYFUNCTION("""COMPUTED_VALUE"""),45805.0)</f>
        <v>45805</v>
      </c>
      <c r="F191" s="1429">
        <f>IFERROR(__xludf.DUMMYFUNCTION("""COMPUTED_VALUE"""),45811.0)</f>
        <v>45811</v>
      </c>
      <c r="G191" s="1430">
        <f>IFERROR(__xludf.DUMMYFUNCTION("""COMPUTED_VALUE"""),6.0)</f>
        <v>6</v>
      </c>
      <c r="H191" s="94">
        <f t="shared" si="1"/>
        <v>5</v>
      </c>
    </row>
    <row r="192" ht="15.75" customHeight="1">
      <c r="A192" s="94" t="str">
        <f>IFERROR(__xludf.DUMMYFUNCTION("""COMPUTED_VALUE"""),"D2 1625")</f>
        <v>D2 1625</v>
      </c>
      <c r="B192" s="94"/>
      <c r="C192" s="94"/>
      <c r="D192" s="94"/>
      <c r="E192" s="1429">
        <f>IFERROR(__xludf.DUMMYFUNCTION("""COMPUTED_VALUE"""),45806.0)</f>
        <v>45806</v>
      </c>
      <c r="F192" s="1429">
        <f>IFERROR(__xludf.DUMMYFUNCTION("""COMPUTED_VALUE"""),45808.0)</f>
        <v>45808</v>
      </c>
      <c r="G192" s="1430">
        <f>IFERROR(__xludf.DUMMYFUNCTION("""COMPUTED_VALUE"""),2.0)</f>
        <v>2</v>
      </c>
      <c r="H192" s="94">
        <f t="shared" si="1"/>
        <v>5</v>
      </c>
    </row>
    <row r="193" ht="15.75" customHeight="1">
      <c r="A193" s="94" t="str">
        <f>IFERROR(__xludf.DUMMYFUNCTION("""COMPUTED_VALUE"""),"PT2604")</f>
        <v>PT2604</v>
      </c>
      <c r="B193" s="94"/>
      <c r="C193" s="94"/>
      <c r="D193" s="94"/>
      <c r="E193" s="1429">
        <f>IFERROR(__xludf.DUMMYFUNCTION("""COMPUTED_VALUE"""),45806.0)</f>
        <v>45806</v>
      </c>
      <c r="F193" s="1429">
        <f>IFERROR(__xludf.DUMMYFUNCTION("""COMPUTED_VALUE"""),45808.0)</f>
        <v>45808</v>
      </c>
      <c r="G193" s="1430">
        <f>IFERROR(__xludf.DUMMYFUNCTION("""COMPUTED_VALUE"""),2.0)</f>
        <v>2</v>
      </c>
      <c r="H193" s="94">
        <f t="shared" si="1"/>
        <v>5</v>
      </c>
    </row>
    <row r="194" ht="15.75" customHeight="1">
      <c r="A194" s="94" t="str">
        <f>IFERROR(__xludf.DUMMYFUNCTION("""COMPUTED_VALUE"""),"TGA1")</f>
        <v>TGA1</v>
      </c>
      <c r="B194" s="94"/>
      <c r="C194" s="94"/>
      <c r="D194" s="94"/>
      <c r="E194" s="1429">
        <f>IFERROR(__xludf.DUMMYFUNCTION("""COMPUTED_VALUE"""),45806.0)</f>
        <v>45806</v>
      </c>
      <c r="F194" s="1429">
        <f>IFERROR(__xludf.DUMMYFUNCTION("""COMPUTED_VALUE"""),45808.0)</f>
        <v>45808</v>
      </c>
      <c r="G194" s="1430">
        <f>IFERROR(__xludf.DUMMYFUNCTION("""COMPUTED_VALUE"""),2.0)</f>
        <v>2</v>
      </c>
      <c r="H194" s="94">
        <f t="shared" si="1"/>
        <v>5</v>
      </c>
    </row>
    <row r="195" ht="15.75" customHeight="1">
      <c r="A195" s="94" t="str">
        <f>IFERROR(__xludf.DUMMYFUNCTION("""COMPUTED_VALUE"""),"Steps1123")</f>
        <v>Steps1123</v>
      </c>
      <c r="B195" s="94"/>
      <c r="C195" s="94"/>
      <c r="D195" s="94"/>
      <c r="E195" s="1429">
        <f>IFERROR(__xludf.DUMMYFUNCTION("""COMPUTED_VALUE"""),45806.0)</f>
        <v>45806</v>
      </c>
      <c r="F195" s="1429">
        <f>IFERROR(__xludf.DUMMYFUNCTION("""COMPUTED_VALUE"""),45809.0)</f>
        <v>45809</v>
      </c>
      <c r="G195" s="1430">
        <f>IFERROR(__xludf.DUMMYFUNCTION("""COMPUTED_VALUE"""),3.0)</f>
        <v>3</v>
      </c>
      <c r="H195" s="94">
        <f t="shared" si="1"/>
        <v>5</v>
      </c>
    </row>
    <row r="196" ht="15.75" customHeight="1">
      <c r="A196" s="94" t="str">
        <f>IFERROR(__xludf.DUMMYFUNCTION("""COMPUTED_VALUE"""),"TGA6")</f>
        <v>TGA6</v>
      </c>
      <c r="B196" s="94"/>
      <c r="C196" s="94"/>
      <c r="D196" s="94"/>
      <c r="E196" s="1429">
        <f>IFERROR(__xludf.DUMMYFUNCTION("""COMPUTED_VALUE"""),45806.0)</f>
        <v>45806</v>
      </c>
      <c r="F196" s="1429">
        <f>IFERROR(__xludf.DUMMYFUNCTION("""COMPUTED_VALUE"""),45809.0)</f>
        <v>45809</v>
      </c>
      <c r="G196" s="1430">
        <f>IFERROR(__xludf.DUMMYFUNCTION("""COMPUTED_VALUE"""),3.0)</f>
        <v>3</v>
      </c>
      <c r="H196" s="94">
        <f t="shared" si="1"/>
        <v>5</v>
      </c>
    </row>
    <row r="197" ht="15.75" customHeight="1">
      <c r="A197" s="94" t="str">
        <f>IFERROR(__xludf.DUMMYFUNCTION("""COMPUTED_VALUE"""),"PT2704")</f>
        <v>PT2704</v>
      </c>
      <c r="B197" s="94"/>
      <c r="C197" s="94"/>
      <c r="D197" s="94"/>
      <c r="E197" s="1429">
        <f>IFERROR(__xludf.DUMMYFUNCTION("""COMPUTED_VALUE"""),45806.0)</f>
        <v>45806</v>
      </c>
      <c r="F197" s="1429">
        <f>IFERROR(__xludf.DUMMYFUNCTION("""COMPUTED_VALUE"""),45809.0)</f>
        <v>45809</v>
      </c>
      <c r="G197" s="1430">
        <f>IFERROR(__xludf.DUMMYFUNCTION("""COMPUTED_VALUE"""),3.0)</f>
        <v>3</v>
      </c>
      <c r="H197" s="94">
        <f t="shared" si="1"/>
        <v>5</v>
      </c>
    </row>
    <row r="198" ht="15.75" customHeight="1">
      <c r="A198" s="94" t="str">
        <f>IFERROR(__xludf.DUMMYFUNCTION("""COMPUTED_VALUE"""),"Вилла Ева")</f>
        <v>Вилла Ева</v>
      </c>
      <c r="B198" s="94"/>
      <c r="C198" s="94"/>
      <c r="D198" s="94"/>
      <c r="E198" s="1429">
        <f>IFERROR(__xludf.DUMMYFUNCTION("""COMPUTED_VALUE"""),45806.0)</f>
        <v>45806</v>
      </c>
      <c r="F198" s="1429">
        <f>IFERROR(__xludf.DUMMYFUNCTION("""COMPUTED_VALUE"""),45809.0)</f>
        <v>45809</v>
      </c>
      <c r="G198" s="1430">
        <f>IFERROR(__xludf.DUMMYFUNCTION("""COMPUTED_VALUE"""),3.0)</f>
        <v>3</v>
      </c>
      <c r="H198" s="94">
        <f t="shared" si="1"/>
        <v>5</v>
      </c>
    </row>
    <row r="199" ht="15.75" customHeight="1">
      <c r="A199" s="94" t="str">
        <f>IFERROR(__xludf.DUMMYFUNCTION("""COMPUTED_VALUE"""),"С 2756")</f>
        <v>С 2756</v>
      </c>
      <c r="B199" s="94"/>
      <c r="C199" s="94"/>
      <c r="D199" s="94"/>
      <c r="E199" s="1429">
        <f>IFERROR(__xludf.DUMMYFUNCTION("""COMPUTED_VALUE"""),45805.0)</f>
        <v>45805</v>
      </c>
      <c r="F199" s="1429">
        <f>IFERROR(__xludf.DUMMYFUNCTION("""COMPUTED_VALUE"""),45835.0)</f>
        <v>45835</v>
      </c>
      <c r="G199" s="1430">
        <f>IFERROR(__xludf.DUMMYFUNCTION("""COMPUTED_VALUE"""),30.0)</f>
        <v>30</v>
      </c>
      <c r="H199" s="94">
        <f t="shared" si="1"/>
        <v>5</v>
      </c>
    </row>
    <row r="200" ht="15.75" customHeight="1">
      <c r="A200" s="94" t="str">
        <f>IFERROR(__xludf.DUMMYFUNCTION("""COMPUTED_VALUE"""),"BV1318")</f>
        <v>BV1318</v>
      </c>
      <c r="B200" s="94"/>
      <c r="C200" s="94"/>
      <c r="D200" s="94"/>
      <c r="E200" s="1429">
        <f>IFERROR(__xludf.DUMMYFUNCTION("""COMPUTED_VALUE"""),45807.0)</f>
        <v>45807</v>
      </c>
      <c r="F200" s="1429">
        <f>IFERROR(__xludf.DUMMYFUNCTION("""COMPUTED_VALUE"""),45809.0)</f>
        <v>45809</v>
      </c>
      <c r="G200" s="1430">
        <f>IFERROR(__xludf.DUMMYFUNCTION("""COMPUTED_VALUE"""),2.0)</f>
        <v>2</v>
      </c>
      <c r="H200" s="94">
        <f t="shared" si="1"/>
        <v>5</v>
      </c>
    </row>
    <row r="201" ht="15.75" customHeight="1">
      <c r="A201" s="94" t="str">
        <f>IFERROR(__xludf.DUMMYFUNCTION("""COMPUTED_VALUE"""),"С 1125")</f>
        <v>С 1125</v>
      </c>
      <c r="B201" s="94"/>
      <c r="C201" s="94"/>
      <c r="D201" s="94"/>
      <c r="E201" s="1434">
        <f>IFERROR(__xludf.DUMMYFUNCTION("""COMPUTED_VALUE"""),45807.0)</f>
        <v>45807</v>
      </c>
      <c r="F201" s="1429">
        <f>IFERROR(__xludf.DUMMYFUNCTION("""COMPUTED_VALUE"""),45809.0)</f>
        <v>45809</v>
      </c>
      <c r="G201" s="1430">
        <f>IFERROR(__xludf.DUMMYFUNCTION("""COMPUTED_VALUE"""),2.0)</f>
        <v>2</v>
      </c>
      <c r="H201" s="94">
        <f t="shared" si="1"/>
        <v>5</v>
      </c>
    </row>
    <row r="202" ht="15.75" customHeight="1">
      <c r="A202" s="94" t="str">
        <f>IFERROR(__xludf.DUMMYFUNCTION("""COMPUTED_VALUE"""),"C 4245")</f>
        <v>C 4245</v>
      </c>
      <c r="B202" s="94"/>
      <c r="C202" s="94"/>
      <c r="D202" s="94"/>
      <c r="E202" s="1434">
        <f>IFERROR(__xludf.DUMMYFUNCTION("""COMPUTED_VALUE"""),45807.0)</f>
        <v>45807</v>
      </c>
      <c r="F202" s="1429">
        <f>IFERROR(__xludf.DUMMYFUNCTION("""COMPUTED_VALUE"""),45809.0)</f>
        <v>45809</v>
      </c>
      <c r="G202" s="1430">
        <f>IFERROR(__xludf.DUMMYFUNCTION("""COMPUTED_VALUE"""),2.0)</f>
        <v>2</v>
      </c>
      <c r="H202" s="94">
        <f t="shared" si="1"/>
        <v>5</v>
      </c>
    </row>
    <row r="203" ht="15.75" customHeight="1">
      <c r="A203" s="94" t="str">
        <f>IFERROR(__xludf.DUMMYFUNCTION("""COMPUTED_VALUE"""),"MZ 718")</f>
        <v>MZ 718</v>
      </c>
      <c r="B203" s="94"/>
      <c r="C203" s="94"/>
      <c r="D203" s="94"/>
      <c r="E203" s="1429">
        <f>IFERROR(__xludf.DUMMYFUNCTION("""COMPUTED_VALUE"""),45807.0)</f>
        <v>45807</v>
      </c>
      <c r="F203" s="1429">
        <f>IFERROR(__xludf.DUMMYFUNCTION("""COMPUTED_VALUE"""),45810.0)</f>
        <v>45810</v>
      </c>
      <c r="G203" s="1430">
        <f>IFERROR(__xludf.DUMMYFUNCTION("""COMPUTED_VALUE"""),3.0)</f>
        <v>3</v>
      </c>
      <c r="H203" s="94">
        <f t="shared" si="1"/>
        <v>5</v>
      </c>
    </row>
    <row r="204" ht="15.75" customHeight="1">
      <c r="A204" s="94" t="str">
        <f>IFERROR(__xludf.DUMMYFUNCTION("""COMPUTED_VALUE"""),"PT2604")</f>
        <v>PT2604</v>
      </c>
      <c r="B204" s="94"/>
      <c r="C204" s="94"/>
      <c r="D204" s="94"/>
      <c r="E204" s="1429">
        <f>IFERROR(__xludf.DUMMYFUNCTION("""COMPUTED_VALUE"""),45808.0)</f>
        <v>45808</v>
      </c>
      <c r="F204" s="1429">
        <f>IFERROR(__xludf.DUMMYFUNCTION("""COMPUTED_VALUE"""),45810.0)</f>
        <v>45810</v>
      </c>
      <c r="G204" s="1430">
        <f>IFERROR(__xludf.DUMMYFUNCTION("""COMPUTED_VALUE"""),2.0)</f>
        <v>2</v>
      </c>
      <c r="H204" s="94">
        <f t="shared" si="1"/>
        <v>5</v>
      </c>
    </row>
    <row r="205" ht="15.75" customHeight="1">
      <c r="A205" s="94" t="str">
        <f>IFERROR(__xludf.DUMMYFUNCTION("""COMPUTED_VALUE"""),"WS В 503")</f>
        <v>WS В 503</v>
      </c>
      <c r="B205" s="94"/>
      <c r="C205" s="94"/>
      <c r="D205" s="94"/>
      <c r="E205" s="1429">
        <f>IFERROR(__xludf.DUMMYFUNCTION("""COMPUTED_VALUE"""),45808.0)</f>
        <v>45808</v>
      </c>
      <c r="F205" s="1429">
        <f>IFERROR(__xludf.DUMMYFUNCTION("""COMPUTED_VALUE"""),45813.0)</f>
        <v>45813</v>
      </c>
      <c r="G205" s="1430">
        <f>IFERROR(__xludf.DUMMYFUNCTION("""COMPUTED_VALUE"""),5.0)</f>
        <v>5</v>
      </c>
      <c r="H205" s="94">
        <f t="shared" si="1"/>
        <v>5</v>
      </c>
    </row>
    <row r="206" ht="15.75" customHeight="1">
      <c r="A206" s="94" t="str">
        <f>IFERROR(__xludf.DUMMYFUNCTION("""COMPUTED_VALUE"""),"WS A 409")</f>
        <v>WS A 409</v>
      </c>
      <c r="B206" s="94"/>
      <c r="C206" s="94"/>
      <c r="D206" s="94"/>
      <c r="E206" s="1429">
        <f>IFERROR(__xludf.DUMMYFUNCTION("""COMPUTED_VALUE"""),45808.0)</f>
        <v>45808</v>
      </c>
      <c r="F206" s="1429">
        <f>IFERROR(__xludf.DUMMYFUNCTION("""COMPUTED_VALUE"""),45810.0)</f>
        <v>45810</v>
      </c>
      <c r="G206" s="1430">
        <f>IFERROR(__xludf.DUMMYFUNCTION("""COMPUTED_VALUE"""),2.0)</f>
        <v>2</v>
      </c>
      <c r="H206" s="94">
        <f t="shared" si="1"/>
        <v>5</v>
      </c>
    </row>
    <row r="207" ht="15.75" customHeight="1">
      <c r="A207" s="94" t="str">
        <f>IFERROR(__xludf.DUMMYFUNCTION("""COMPUTED_VALUE"""),"CM 1606")</f>
        <v>CM 1606</v>
      </c>
      <c r="B207" s="94"/>
      <c r="C207" s="94"/>
      <c r="D207" s="94"/>
      <c r="E207" s="1429">
        <f>IFERROR(__xludf.DUMMYFUNCTION("""COMPUTED_VALUE"""),45808.0)</f>
        <v>45808</v>
      </c>
      <c r="F207" s="1429">
        <f>IFERROR(__xludf.DUMMYFUNCTION("""COMPUTED_VALUE"""),45812.0)</f>
        <v>45812</v>
      </c>
      <c r="G207" s="1430">
        <f>IFERROR(__xludf.DUMMYFUNCTION("""COMPUTED_VALUE"""),4.0)</f>
        <v>4</v>
      </c>
      <c r="H207" s="94">
        <f t="shared" si="1"/>
        <v>5</v>
      </c>
    </row>
    <row r="208" ht="15.75" customHeight="1">
      <c r="A208" s="94" t="str">
        <f>IFERROR(__xludf.DUMMYFUNCTION("""COMPUTED_VALUE"""),"WS F 907")</f>
        <v>WS F 907</v>
      </c>
      <c r="B208" s="94"/>
      <c r="C208" s="94"/>
      <c r="D208" s="94"/>
      <c r="E208" s="1429">
        <f>IFERROR(__xludf.DUMMYFUNCTION("""COMPUTED_VALUE"""),45808.0)</f>
        <v>45808</v>
      </c>
      <c r="F208" s="1429">
        <f>IFERROR(__xludf.DUMMYFUNCTION("""COMPUTED_VALUE"""),45815.0)</f>
        <v>45815</v>
      </c>
      <c r="G208" s="1430">
        <f>IFERROR(__xludf.DUMMYFUNCTION("""COMPUTED_VALUE"""),7.0)</f>
        <v>7</v>
      </c>
      <c r="H208" s="94">
        <f t="shared" si="1"/>
        <v>5</v>
      </c>
    </row>
    <row r="209" ht="15.75" customHeight="1">
      <c r="A209" s="94" t="str">
        <f>IFERROR(__xludf.DUMMYFUNCTION("""COMPUTED_VALUE"""),"D 3629")</f>
        <v>D 3629</v>
      </c>
      <c r="B209" s="94"/>
      <c r="C209" s="94"/>
      <c r="D209" s="94"/>
      <c r="E209" s="1429">
        <f>IFERROR(__xludf.DUMMYFUNCTION("""COMPUTED_VALUE"""),45808.0)</f>
        <v>45808</v>
      </c>
      <c r="F209" s="1429">
        <f>IFERROR(__xludf.DUMMYFUNCTION("""COMPUTED_VALUE"""),45809.0)</f>
        <v>45809</v>
      </c>
      <c r="G209" s="1430">
        <f>IFERROR(__xludf.DUMMYFUNCTION("""COMPUTED_VALUE"""),1.0)</f>
        <v>1</v>
      </c>
      <c r="H209" s="94">
        <f t="shared" si="1"/>
        <v>5</v>
      </c>
    </row>
    <row r="210" ht="15.75" customHeight="1">
      <c r="A210" s="94" t="str">
        <f>IFERROR(__xludf.DUMMYFUNCTION("""COMPUTED_VALUE"""),"WS В 1510")</f>
        <v>WS В 1510</v>
      </c>
      <c r="B210" s="94"/>
      <c r="C210" s="94"/>
      <c r="D210" s="94"/>
      <c r="E210" s="1429">
        <f>IFERROR(__xludf.DUMMYFUNCTION("""COMPUTED_VALUE"""),45808.0)</f>
        <v>45808</v>
      </c>
      <c r="F210" s="1429">
        <f>IFERROR(__xludf.DUMMYFUNCTION("""COMPUTED_VALUE"""),45810.0)</f>
        <v>45810</v>
      </c>
      <c r="G210" s="1430">
        <f>IFERROR(__xludf.DUMMYFUNCTION("""COMPUTED_VALUE"""),2.0)</f>
        <v>2</v>
      </c>
      <c r="H210" s="94">
        <f t="shared" si="1"/>
        <v>5</v>
      </c>
    </row>
    <row r="211" ht="15.75" customHeight="1">
      <c r="A211" s="94" t="str">
        <f>IFERROR(__xludf.DUMMYFUNCTION("""COMPUTED_VALUE"""),"TGA2")</f>
        <v>TGA2</v>
      </c>
      <c r="B211" s="94"/>
      <c r="C211" s="94"/>
      <c r="D211" s="94"/>
      <c r="E211" s="1429">
        <f>IFERROR(__xludf.DUMMYFUNCTION("""COMPUTED_VALUE"""),45808.0)</f>
        <v>45808</v>
      </c>
      <c r="F211" s="1429">
        <f>IFERROR(__xludf.DUMMYFUNCTION("""COMPUTED_VALUE"""),45811.0)</f>
        <v>45811</v>
      </c>
      <c r="G211" s="1430">
        <f>IFERROR(__xludf.DUMMYFUNCTION("""COMPUTED_VALUE"""),3.0)</f>
        <v>3</v>
      </c>
      <c r="H211" s="94">
        <f t="shared" si="1"/>
        <v>5</v>
      </c>
    </row>
    <row r="212" ht="15.75" customHeight="1">
      <c r="A212" s="94" t="str">
        <f>IFERROR(__xludf.DUMMYFUNCTION("""COMPUTED_VALUE"""),"С732")</f>
        <v>С732</v>
      </c>
      <c r="B212" s="94"/>
      <c r="C212" s="94"/>
      <c r="D212" s="94"/>
      <c r="E212" s="1429">
        <f>IFERROR(__xludf.DUMMYFUNCTION("""COMPUTED_VALUE"""),45765.0)</f>
        <v>45765</v>
      </c>
      <c r="F212" s="1429">
        <f>IFERROR(__xludf.DUMMYFUNCTION("""COMPUTED_VALUE"""),45794.0)</f>
        <v>45794</v>
      </c>
      <c r="G212" s="1430">
        <f>IFERROR(__xludf.DUMMYFUNCTION("""COMPUTED_VALUE"""),29.0)</f>
        <v>29</v>
      </c>
      <c r="H212" s="94">
        <f t="shared" si="1"/>
        <v>4</v>
      </c>
    </row>
    <row r="213" ht="15.75" customHeight="1">
      <c r="A213" s="94" t="str">
        <f>IFERROR(__xludf.DUMMYFUNCTION("""COMPUTED_VALUE"""),"С732")</f>
        <v>С732</v>
      </c>
      <c r="B213" s="94"/>
      <c r="C213" s="94"/>
      <c r="D213" s="94"/>
      <c r="E213" s="1429">
        <f>IFERROR(__xludf.DUMMYFUNCTION("""COMPUTED_VALUE"""),45795.0)</f>
        <v>45795</v>
      </c>
      <c r="F213" s="1429">
        <f>IFERROR(__xludf.DUMMYFUNCTION("""COMPUTED_VALUE"""),45825.0)</f>
        <v>45825</v>
      </c>
      <c r="G213" s="1430">
        <f>IFERROR(__xludf.DUMMYFUNCTION("""COMPUTED_VALUE"""),30.0)</f>
        <v>30</v>
      </c>
      <c r="H213" s="94">
        <f t="shared" si="1"/>
        <v>5</v>
      </c>
    </row>
    <row r="214" ht="15.75" customHeight="1">
      <c r="A214" s="94" t="str">
        <f>IFERROR(__xludf.DUMMYFUNCTION("""COMPUTED_VALUE"""),"Pollo 2-2")</f>
        <v>Pollo 2-2</v>
      </c>
      <c r="B214" s="94"/>
      <c r="C214" s="94"/>
      <c r="D214" s="94"/>
      <c r="E214" s="1429">
        <f>IFERROR(__xludf.DUMMYFUNCTION("""COMPUTED_VALUE"""),45805.0)</f>
        <v>45805</v>
      </c>
      <c r="F214" s="1429">
        <f>IFERROR(__xludf.DUMMYFUNCTION("""COMPUTED_VALUE"""),45835.0)</f>
        <v>45835</v>
      </c>
      <c r="G214" s="1430">
        <f>IFERROR(__xludf.DUMMYFUNCTION("""COMPUTED_VALUE"""),30.0)</f>
        <v>30</v>
      </c>
      <c r="H214" s="94">
        <f t="shared" si="1"/>
        <v>5</v>
      </c>
    </row>
    <row r="215" ht="15.75" customHeight="1">
      <c r="A215" s="94" t="str">
        <f>IFERROR(__xludf.DUMMYFUNCTION("""COMPUTED_VALUE"""),"PT2704")</f>
        <v>PT2704</v>
      </c>
      <c r="B215" s="94"/>
      <c r="C215" s="94"/>
      <c r="D215" s="94"/>
      <c r="E215" s="1429">
        <f>IFERROR(__xludf.DUMMYFUNCTION("""COMPUTED_VALUE"""),45809.0)</f>
        <v>45809</v>
      </c>
      <c r="F215" s="1429">
        <f>IFERROR(__xludf.DUMMYFUNCTION("""COMPUTED_VALUE"""),45811.0)</f>
        <v>45811</v>
      </c>
      <c r="G215" s="1430">
        <f>IFERROR(__xludf.DUMMYFUNCTION("""COMPUTED_VALUE"""),2.0)</f>
        <v>2</v>
      </c>
      <c r="H215" s="94">
        <f t="shared" si="1"/>
        <v>6</v>
      </c>
    </row>
    <row r="216" ht="15.75" customHeight="1">
      <c r="A216" s="94" t="str">
        <f>IFERROR(__xludf.DUMMYFUNCTION("""COMPUTED_VALUE"""),"D 3629")</f>
        <v>D 3629</v>
      </c>
      <c r="B216" s="94"/>
      <c r="C216" s="94"/>
      <c r="D216" s="94"/>
      <c r="E216" s="1429">
        <f>IFERROR(__xludf.DUMMYFUNCTION("""COMPUTED_VALUE"""),45809.0)</f>
        <v>45809</v>
      </c>
      <c r="F216" s="1429">
        <f>IFERROR(__xludf.DUMMYFUNCTION("""COMPUTED_VALUE"""),45812.0)</f>
        <v>45812</v>
      </c>
      <c r="G216" s="1430">
        <f>IFERROR(__xludf.DUMMYFUNCTION("""COMPUTED_VALUE"""),3.0)</f>
        <v>3</v>
      </c>
      <c r="H216" s="94">
        <f t="shared" si="1"/>
        <v>6</v>
      </c>
    </row>
    <row r="217" ht="15.75" customHeight="1">
      <c r="A217" s="94" t="str">
        <f>IFERROR(__xludf.DUMMYFUNCTION("""COMPUTED_VALUE"""),"WS E704")</f>
        <v>WS E704</v>
      </c>
      <c r="B217" s="94"/>
      <c r="C217" s="94"/>
      <c r="D217" s="94"/>
      <c r="E217" s="1429">
        <f>IFERROR(__xludf.DUMMYFUNCTION("""COMPUTED_VALUE"""),45809.0)</f>
        <v>45809</v>
      </c>
      <c r="F217" s="1429">
        <f>IFERROR(__xludf.DUMMYFUNCTION("""COMPUTED_VALUE"""),45813.0)</f>
        <v>45813</v>
      </c>
      <c r="G217" s="1430">
        <f>IFERROR(__xludf.DUMMYFUNCTION("""COMPUTED_VALUE"""),4.0)</f>
        <v>4</v>
      </c>
      <c r="H217" s="94">
        <f t="shared" si="1"/>
        <v>6</v>
      </c>
    </row>
    <row r="218" ht="15.75" customHeight="1">
      <c r="A218" s="94" t="str">
        <f>IFERROR(__xludf.DUMMYFUNCTION("""COMPUTED_VALUE"""),"CM 1931")</f>
        <v>CM 1931</v>
      </c>
      <c r="B218" s="94"/>
      <c r="C218" s="94"/>
      <c r="D218" s="94"/>
      <c r="E218" s="1429">
        <f>IFERROR(__xludf.DUMMYFUNCTION("""COMPUTED_VALUE"""),45809.0)</f>
        <v>45809</v>
      </c>
      <c r="F218" s="1429">
        <f>IFERROR(__xludf.DUMMYFUNCTION("""COMPUTED_VALUE"""),45816.0)</f>
        <v>45816</v>
      </c>
      <c r="G218" s="1430">
        <f>IFERROR(__xludf.DUMMYFUNCTION("""COMPUTED_VALUE"""),7.0)</f>
        <v>7</v>
      </c>
      <c r="H218" s="94">
        <f t="shared" si="1"/>
        <v>6</v>
      </c>
    </row>
    <row r="219" ht="15.75" customHeight="1">
      <c r="A219" s="94" t="str">
        <f>IFERROR(__xludf.DUMMYFUNCTION("""COMPUTED_VALUE"""),"Int 2905")</f>
        <v>Int 2905</v>
      </c>
      <c r="B219" s="94"/>
      <c r="C219" s="94"/>
      <c r="D219" s="94"/>
      <c r="E219" s="1429">
        <f>IFERROR(__xludf.DUMMYFUNCTION("""COMPUTED_VALUE"""),45809.0)</f>
        <v>45809</v>
      </c>
      <c r="F219" s="1429">
        <f>IFERROR(__xludf.DUMMYFUNCTION("""COMPUTED_VALUE"""),45839.0)</f>
        <v>45839</v>
      </c>
      <c r="G219" s="1430">
        <f>IFERROR(__xludf.DUMMYFUNCTION("""COMPUTED_VALUE"""),30.0)</f>
        <v>30</v>
      </c>
      <c r="H219" s="94">
        <f t="shared" si="1"/>
        <v>6</v>
      </c>
    </row>
    <row r="220" ht="15.75" customHeight="1">
      <c r="A220" s="94" t="str">
        <f>IFERROR(__xludf.DUMMYFUNCTION("""COMPUTED_VALUE"""),"TGA1")</f>
        <v>TGA1</v>
      </c>
      <c r="B220" s="94"/>
      <c r="C220" s="94"/>
      <c r="D220" s="94"/>
      <c r="E220" s="1429">
        <f>IFERROR(__xludf.DUMMYFUNCTION("""COMPUTED_VALUE"""),45809.0)</f>
        <v>45809</v>
      </c>
      <c r="F220" s="1429">
        <f>IFERROR(__xludf.DUMMYFUNCTION("""COMPUTED_VALUE"""),45814.0)</f>
        <v>45814</v>
      </c>
      <c r="G220" s="1430">
        <f>IFERROR(__xludf.DUMMYFUNCTION("""COMPUTED_VALUE"""),5.0)</f>
        <v>5</v>
      </c>
      <c r="H220" s="94">
        <f t="shared" si="1"/>
        <v>6</v>
      </c>
    </row>
    <row r="221" ht="15.75" customHeight="1">
      <c r="A221" s="94" t="str">
        <f>IFERROR(__xludf.DUMMYFUNCTION("""COMPUTED_VALUE"""),"D2 3216")</f>
        <v>D2 3216</v>
      </c>
      <c r="B221" s="94"/>
      <c r="C221" s="94"/>
      <c r="D221" s="94"/>
      <c r="E221" s="1429">
        <f>IFERROR(__xludf.DUMMYFUNCTION("""COMPUTED_VALUE"""),45809.0)</f>
        <v>45809</v>
      </c>
      <c r="F221" s="1429">
        <f>IFERROR(__xludf.DUMMYFUNCTION("""COMPUTED_VALUE"""),45815.0)</f>
        <v>45815</v>
      </c>
      <c r="G221" s="1430">
        <f>IFERROR(__xludf.DUMMYFUNCTION("""COMPUTED_VALUE"""),6.0)</f>
        <v>6</v>
      </c>
      <c r="H221" s="94">
        <f t="shared" si="1"/>
        <v>6</v>
      </c>
    </row>
    <row r="222" ht="15.75" customHeight="1">
      <c r="A222" s="94" t="str">
        <f>IFERROR(__xludf.DUMMYFUNCTION("""COMPUTED_VALUE"""),"WS E 1202")</f>
        <v>WS E 1202</v>
      </c>
      <c r="B222" s="94"/>
      <c r="C222" s="94"/>
      <c r="D222" s="94"/>
      <c r="E222" s="1429">
        <f>IFERROR(__xludf.DUMMYFUNCTION("""COMPUTED_VALUE"""),45809.0)</f>
        <v>45809</v>
      </c>
      <c r="F222" s="1429">
        <f>IFERROR(__xludf.DUMMYFUNCTION("""COMPUTED_VALUE"""),45816.0)</f>
        <v>45816</v>
      </c>
      <c r="G222" s="1430">
        <f>IFERROR(__xludf.DUMMYFUNCTION("""COMPUTED_VALUE"""),7.0)</f>
        <v>7</v>
      </c>
      <c r="H222" s="94">
        <f t="shared" si="1"/>
        <v>6</v>
      </c>
    </row>
    <row r="223" ht="15.75" customHeight="1">
      <c r="A223" s="94" t="str">
        <f>IFERROR(__xludf.DUMMYFUNCTION("""COMPUTED_VALUE"""),"WS В 212")</f>
        <v>WS В 212</v>
      </c>
      <c r="B223" s="94"/>
      <c r="C223" s="94"/>
      <c r="D223" s="94"/>
      <c r="E223" s="1429">
        <f>IFERROR(__xludf.DUMMYFUNCTION("""COMPUTED_VALUE"""),45809.0)</f>
        <v>45809</v>
      </c>
      <c r="F223" s="1429">
        <f>IFERROR(__xludf.DUMMYFUNCTION("""COMPUTED_VALUE"""),45816.0)</f>
        <v>45816</v>
      </c>
      <c r="G223" s="1430">
        <f>IFERROR(__xludf.DUMMYFUNCTION("""COMPUTED_VALUE"""),7.0)</f>
        <v>7</v>
      </c>
      <c r="H223" s="94">
        <f t="shared" si="1"/>
        <v>6</v>
      </c>
    </row>
    <row r="224" ht="15.75" customHeight="1">
      <c r="A224" s="94" t="str">
        <f>IFERROR(__xludf.DUMMYFUNCTION("""COMPUTED_VALUE"""),"C 4245")</f>
        <v>C 4245</v>
      </c>
      <c r="B224" s="94"/>
      <c r="C224" s="94"/>
      <c r="D224" s="94"/>
      <c r="E224" s="1429">
        <f>IFERROR(__xludf.DUMMYFUNCTION("""COMPUTED_VALUE"""),45809.0)</f>
        <v>45809</v>
      </c>
      <c r="F224" s="1429">
        <f>IFERROR(__xludf.DUMMYFUNCTION("""COMPUTED_VALUE"""),45815.0)</f>
        <v>45815</v>
      </c>
      <c r="G224" s="1430">
        <f>IFERROR(__xludf.DUMMYFUNCTION("""COMPUTED_VALUE"""),6.0)</f>
        <v>6</v>
      </c>
      <c r="H224" s="94">
        <f t="shared" si="1"/>
        <v>6</v>
      </c>
    </row>
    <row r="225" ht="15.75" customHeight="1">
      <c r="A225" s="94" t="str">
        <f>IFERROR(__xludf.DUMMYFUNCTION("""COMPUTED_VALUE"""),"А 4049")</f>
        <v>А 4049</v>
      </c>
      <c r="B225" s="94"/>
      <c r="C225" s="94"/>
      <c r="D225" s="94"/>
      <c r="E225" s="1429">
        <f>IFERROR(__xludf.DUMMYFUNCTION("""COMPUTED_VALUE"""),45809.0)</f>
        <v>45809</v>
      </c>
      <c r="F225" s="1429">
        <f>IFERROR(__xludf.DUMMYFUNCTION("""COMPUTED_VALUE"""),45811.0)</f>
        <v>45811</v>
      </c>
      <c r="G225" s="1430">
        <f>IFERROR(__xludf.DUMMYFUNCTION("""COMPUTED_VALUE"""),2.0)</f>
        <v>2</v>
      </c>
      <c r="H225" s="94">
        <f t="shared" si="1"/>
        <v>6</v>
      </c>
    </row>
    <row r="226" ht="15.75" customHeight="1">
      <c r="A226" s="94" t="str">
        <f>IFERROR(__xludf.DUMMYFUNCTION("""COMPUTED_VALUE"""),"Steps1123")</f>
        <v>Steps1123</v>
      </c>
      <c r="B226" s="94"/>
      <c r="C226" s="94"/>
      <c r="D226" s="94"/>
      <c r="E226" s="1429">
        <f>IFERROR(__xludf.DUMMYFUNCTION("""COMPUTED_VALUE"""),45809.0)</f>
        <v>45809</v>
      </c>
      <c r="F226" s="1429">
        <f>IFERROR(__xludf.DUMMYFUNCTION("""COMPUTED_VALUE"""),45813.0)</f>
        <v>45813</v>
      </c>
      <c r="G226" s="1430">
        <f>IFERROR(__xludf.DUMMYFUNCTION("""COMPUTED_VALUE"""),4.0)</f>
        <v>4</v>
      </c>
      <c r="H226" s="94">
        <f t="shared" si="1"/>
        <v>6</v>
      </c>
    </row>
    <row r="227" ht="15.75" customHeight="1">
      <c r="A227" s="94" t="str">
        <f>IFERROR(__xludf.DUMMYFUNCTION("""COMPUTED_VALUE"""),"BV206")</f>
        <v>BV206</v>
      </c>
      <c r="B227" s="94"/>
      <c r="C227" s="94"/>
      <c r="D227" s="94"/>
      <c r="E227" s="1429">
        <f>IFERROR(__xludf.DUMMYFUNCTION("""COMPUTED_VALUE"""),45809.0)</f>
        <v>45809</v>
      </c>
      <c r="F227" s="1429">
        <f>IFERROR(__xludf.DUMMYFUNCTION("""COMPUTED_VALUE"""),45812.0)</f>
        <v>45812</v>
      </c>
      <c r="G227" s="1430">
        <f>IFERROR(__xludf.DUMMYFUNCTION("""COMPUTED_VALUE"""),3.0)</f>
        <v>3</v>
      </c>
      <c r="H227" s="94">
        <f t="shared" si="1"/>
        <v>6</v>
      </c>
    </row>
    <row r="228" ht="15.75" customHeight="1">
      <c r="A228" s="94" t="str">
        <f>IFERROR(__xludf.DUMMYFUNCTION("""COMPUTED_VALUE"""),"WS Е804")</f>
        <v>WS Е804</v>
      </c>
      <c r="B228" s="94"/>
      <c r="C228" s="94"/>
      <c r="D228" s="94"/>
      <c r="E228" s="1429">
        <f>IFERROR(__xludf.DUMMYFUNCTION("""COMPUTED_VALUE"""),45809.0)</f>
        <v>45809</v>
      </c>
      <c r="F228" s="1429">
        <f>IFERROR(__xludf.DUMMYFUNCTION("""COMPUTED_VALUE"""),45811.0)</f>
        <v>45811</v>
      </c>
      <c r="G228" s="1430">
        <f>IFERROR(__xludf.DUMMYFUNCTION("""COMPUTED_VALUE"""),2.0)</f>
        <v>2</v>
      </c>
      <c r="H228" s="94">
        <f t="shared" si="1"/>
        <v>6</v>
      </c>
    </row>
    <row r="229" ht="15.75" customHeight="1">
      <c r="A229" s="94" t="str">
        <f>IFERROR(__xludf.DUMMYFUNCTION("""COMPUTED_VALUE"""),"NW 9-6")</f>
        <v>NW 9-6</v>
      </c>
      <c r="B229" s="94"/>
      <c r="C229" s="94"/>
      <c r="D229" s="94"/>
      <c r="E229" s="1429">
        <f>IFERROR(__xludf.DUMMYFUNCTION("""COMPUTED_VALUE"""),45809.0)</f>
        <v>45809</v>
      </c>
      <c r="F229" s="1429">
        <f>IFERROR(__xludf.DUMMYFUNCTION("""COMPUTED_VALUE"""),45813.0)</f>
        <v>45813</v>
      </c>
      <c r="G229" s="1430">
        <f>IFERROR(__xludf.DUMMYFUNCTION("""COMPUTED_VALUE"""),4.0)</f>
        <v>4</v>
      </c>
      <c r="H229" s="94">
        <f t="shared" si="1"/>
        <v>6</v>
      </c>
    </row>
    <row r="230" ht="15.75" customHeight="1">
      <c r="A230" s="94" t="str">
        <f>IFERROR(__xludf.DUMMYFUNCTION("""COMPUTED_VALUE"""),"С 1125")</f>
        <v>С 1125</v>
      </c>
      <c r="B230" s="94"/>
      <c r="C230" s="94"/>
      <c r="D230" s="94"/>
      <c r="E230" s="1429">
        <f>IFERROR(__xludf.DUMMYFUNCTION("""COMPUTED_VALUE"""),45810.0)</f>
        <v>45810</v>
      </c>
      <c r="F230" s="1429">
        <f>IFERROR(__xludf.DUMMYFUNCTION("""COMPUTED_VALUE"""),45814.0)</f>
        <v>45814</v>
      </c>
      <c r="G230" s="1430">
        <f>IFERROR(__xludf.DUMMYFUNCTION("""COMPUTED_VALUE"""),4.0)</f>
        <v>4</v>
      </c>
      <c r="H230" s="94">
        <f t="shared" si="1"/>
        <v>6</v>
      </c>
    </row>
    <row r="231" ht="15.75" customHeight="1">
      <c r="A231" s="94" t="str">
        <f>IFERROR(__xludf.DUMMYFUNCTION("""COMPUTED_VALUE"""),"TGB2")</f>
        <v>TGB2</v>
      </c>
      <c r="B231" s="94"/>
      <c r="C231" s="94"/>
      <c r="D231" s="94"/>
      <c r="E231" s="1429">
        <f>IFERROR(__xludf.DUMMYFUNCTION("""COMPUTED_VALUE"""),45810.0)</f>
        <v>45810</v>
      </c>
      <c r="F231" s="1429">
        <f>IFERROR(__xludf.DUMMYFUNCTION("""COMPUTED_VALUE"""),45816.0)</f>
        <v>45816</v>
      </c>
      <c r="G231" s="1430">
        <f>IFERROR(__xludf.DUMMYFUNCTION("""COMPUTED_VALUE"""),6.0)</f>
        <v>6</v>
      </c>
      <c r="H231" s="94">
        <f t="shared" si="1"/>
        <v>6</v>
      </c>
    </row>
    <row r="232" ht="15.75" customHeight="1">
      <c r="A232" s="94" t="str">
        <f>IFERROR(__xludf.DUMMYFUNCTION("""COMPUTED_VALUE"""),"WS A 409")</f>
        <v>WS A 409</v>
      </c>
      <c r="B232" s="94"/>
      <c r="C232" s="94"/>
      <c r="D232" s="94"/>
      <c r="E232" s="1429">
        <f>IFERROR(__xludf.DUMMYFUNCTION("""COMPUTED_VALUE"""),45810.0)</f>
        <v>45810</v>
      </c>
      <c r="F232" s="1434">
        <f>IFERROR(__xludf.DUMMYFUNCTION("""COMPUTED_VALUE"""),45815.0)</f>
        <v>45815</v>
      </c>
      <c r="G232" s="1430">
        <f>IFERROR(__xludf.DUMMYFUNCTION("""COMPUTED_VALUE"""),5.0)</f>
        <v>5</v>
      </c>
      <c r="H232" s="94">
        <f t="shared" si="1"/>
        <v>6</v>
      </c>
    </row>
    <row r="233" ht="15.75" customHeight="1">
      <c r="A233" s="94" t="str">
        <f>IFERROR(__xludf.DUMMYFUNCTION("""COMPUTED_VALUE"""),"WS В 1510")</f>
        <v>WS В 1510</v>
      </c>
      <c r="B233" s="94"/>
      <c r="C233" s="94"/>
      <c r="D233" s="94"/>
      <c r="E233" s="1429">
        <f>IFERROR(__xludf.DUMMYFUNCTION("""COMPUTED_VALUE"""),45810.0)</f>
        <v>45810</v>
      </c>
      <c r="F233" s="1429">
        <f>IFERROR(__xludf.DUMMYFUNCTION("""COMPUTED_VALUE"""),45816.0)</f>
        <v>45816</v>
      </c>
      <c r="G233" s="1430">
        <f>IFERROR(__xludf.DUMMYFUNCTION("""COMPUTED_VALUE"""),6.0)</f>
        <v>6</v>
      </c>
      <c r="H233" s="94">
        <f t="shared" si="1"/>
        <v>6</v>
      </c>
    </row>
    <row r="234" ht="15.75" customHeight="1">
      <c r="A234" s="94" t="str">
        <f>IFERROR(__xludf.DUMMYFUNCTION("""COMPUTED_VALUE"""),"MZ 718")</f>
        <v>MZ 718</v>
      </c>
      <c r="B234" s="94"/>
      <c r="C234" s="94"/>
      <c r="D234" s="94"/>
      <c r="E234" s="1429">
        <f>IFERROR(__xludf.DUMMYFUNCTION("""COMPUTED_VALUE"""),45810.0)</f>
        <v>45810</v>
      </c>
      <c r="F234" s="1429">
        <f>IFERROR(__xludf.DUMMYFUNCTION("""COMPUTED_VALUE"""),45813.0)</f>
        <v>45813</v>
      </c>
      <c r="G234" s="1430">
        <f>IFERROR(__xludf.DUMMYFUNCTION("""COMPUTED_VALUE"""),3.0)</f>
        <v>3</v>
      </c>
      <c r="H234" s="94">
        <f t="shared" si="1"/>
        <v>6</v>
      </c>
    </row>
    <row r="235" ht="15.75" customHeight="1">
      <c r="A235" s="94" t="str">
        <f>IFERROR(__xludf.DUMMYFUNCTION("""COMPUTED_VALUE"""),"TGA8")</f>
        <v>TGA8</v>
      </c>
      <c r="B235" s="94"/>
      <c r="C235" s="94"/>
      <c r="D235" s="94"/>
      <c r="E235" s="1435">
        <f>IFERROR(__xludf.DUMMYFUNCTION("""COMPUTED_VALUE"""),45811.0)</f>
        <v>45811</v>
      </c>
      <c r="F235" s="1429">
        <f>IFERROR(__xludf.DUMMYFUNCTION("""COMPUTED_VALUE"""),45817.0)</f>
        <v>45817</v>
      </c>
      <c r="G235" s="1430">
        <f>IFERROR(__xludf.DUMMYFUNCTION("""COMPUTED_VALUE"""),6.0)</f>
        <v>6</v>
      </c>
      <c r="H235" s="94">
        <f t="shared" si="1"/>
        <v>6</v>
      </c>
    </row>
    <row r="236" ht="15.75" customHeight="1">
      <c r="A236" s="94" t="str">
        <f>IFERROR(__xludf.DUMMYFUNCTION("""COMPUTED_VALUE"""),"TGA7")</f>
        <v>TGA7</v>
      </c>
      <c r="B236" s="94"/>
      <c r="C236" s="94"/>
      <c r="D236" s="94"/>
      <c r="E236" s="1435">
        <f>IFERROR(__xludf.DUMMYFUNCTION("""COMPUTED_VALUE"""),45811.0)</f>
        <v>45811</v>
      </c>
      <c r="F236" s="1429">
        <f>IFERROR(__xludf.DUMMYFUNCTION("""COMPUTED_VALUE"""),45817.0)</f>
        <v>45817</v>
      </c>
      <c r="G236" s="1430">
        <f>IFERROR(__xludf.DUMMYFUNCTION("""COMPUTED_VALUE"""),6.0)</f>
        <v>6</v>
      </c>
      <c r="H236" s="94">
        <f t="shared" si="1"/>
        <v>6</v>
      </c>
    </row>
    <row r="237" ht="15.75" customHeight="1">
      <c r="A237" s="94" t="str">
        <f>IFERROR(__xludf.DUMMYFUNCTION("""COMPUTED_VALUE"""),"А 4049")</f>
        <v>А 4049</v>
      </c>
      <c r="B237" s="94"/>
      <c r="C237" s="94"/>
      <c r="D237" s="94"/>
      <c r="E237" s="1429">
        <f>IFERROR(__xludf.DUMMYFUNCTION("""COMPUTED_VALUE"""),45811.0)</f>
        <v>45811</v>
      </c>
      <c r="F237" s="1429">
        <f>IFERROR(__xludf.DUMMYFUNCTION("""COMPUTED_VALUE"""),45815.0)</f>
        <v>45815</v>
      </c>
      <c r="G237" s="1430">
        <f>IFERROR(__xludf.DUMMYFUNCTION("""COMPUTED_VALUE"""),4.0)</f>
        <v>4</v>
      </c>
      <c r="H237" s="94">
        <f t="shared" si="1"/>
        <v>6</v>
      </c>
    </row>
    <row r="238" ht="15.75" customHeight="1">
      <c r="A238" s="94" t="str">
        <f>IFERROR(__xludf.DUMMYFUNCTION("""COMPUTED_VALUE"""),"BV1318")</f>
        <v>BV1318</v>
      </c>
      <c r="B238" s="94"/>
      <c r="C238" s="94"/>
      <c r="D238" s="94"/>
      <c r="E238" s="1429">
        <f>IFERROR(__xludf.DUMMYFUNCTION("""COMPUTED_VALUE"""),45811.0)</f>
        <v>45811</v>
      </c>
      <c r="F238" s="1429">
        <f>IFERROR(__xludf.DUMMYFUNCTION("""COMPUTED_VALUE"""),45813.0)</f>
        <v>45813</v>
      </c>
      <c r="G238" s="1430">
        <f>IFERROR(__xludf.DUMMYFUNCTION("""COMPUTED_VALUE"""),2.0)</f>
        <v>2</v>
      </c>
      <c r="H238" s="94">
        <f t="shared" si="1"/>
        <v>6</v>
      </c>
    </row>
    <row r="239" ht="15.75" customHeight="1">
      <c r="A239" s="94" t="str">
        <f>IFERROR(__xludf.DUMMYFUNCTION("""COMPUTED_VALUE"""),"MZ 913")</f>
        <v>MZ 913</v>
      </c>
      <c r="B239" s="94"/>
      <c r="C239" s="94"/>
      <c r="D239" s="94"/>
      <c r="E239" s="1429">
        <f>IFERROR(__xludf.DUMMYFUNCTION("""COMPUTED_VALUE"""),45811.0)</f>
        <v>45811</v>
      </c>
      <c r="F239" s="1429">
        <f>IFERROR(__xludf.DUMMYFUNCTION("""COMPUTED_VALUE"""),45821.0)</f>
        <v>45821</v>
      </c>
      <c r="G239" s="1430">
        <f>IFERROR(__xludf.DUMMYFUNCTION("""COMPUTED_VALUE"""),10.0)</f>
        <v>10</v>
      </c>
      <c r="H239" s="94">
        <f t="shared" si="1"/>
        <v>6</v>
      </c>
    </row>
    <row r="240" ht="15.75" customHeight="1">
      <c r="A240" s="94" t="str">
        <f>IFERROR(__xludf.DUMMYFUNCTION("""COMPUTED_VALUE"""),"DL 14-505")</f>
        <v>DL 14-505</v>
      </c>
      <c r="B240" s="94"/>
      <c r="C240" s="94"/>
      <c r="D240" s="94"/>
      <c r="E240" s="1429">
        <f>IFERROR(__xludf.DUMMYFUNCTION("""COMPUTED_VALUE"""),45811.0)</f>
        <v>45811</v>
      </c>
      <c r="F240" s="1429">
        <f>IFERROR(__xludf.DUMMYFUNCTION("""COMPUTED_VALUE"""),45815.0)</f>
        <v>45815</v>
      </c>
      <c r="G240" s="1430">
        <f>IFERROR(__xludf.DUMMYFUNCTION("""COMPUTED_VALUE"""),4.0)</f>
        <v>4</v>
      </c>
      <c r="H240" s="94">
        <f t="shared" si="1"/>
        <v>6</v>
      </c>
    </row>
    <row r="241" ht="15.75" customHeight="1">
      <c r="A241" s="94" t="str">
        <f>IFERROR(__xludf.DUMMYFUNCTION("""COMPUTED_VALUE"""),"DL14-305")</f>
        <v>DL14-305</v>
      </c>
      <c r="B241" s="94"/>
      <c r="C241" s="94"/>
      <c r="D241" s="94"/>
      <c r="E241" s="1429">
        <f>IFERROR(__xludf.DUMMYFUNCTION("""COMPUTED_VALUE"""),45811.0)</f>
        <v>45811</v>
      </c>
      <c r="F241" s="1429">
        <f>IFERROR(__xludf.DUMMYFUNCTION("""COMPUTED_VALUE"""),45815.0)</f>
        <v>45815</v>
      </c>
      <c r="G241" s="1430">
        <f>IFERROR(__xludf.DUMMYFUNCTION("""COMPUTED_VALUE"""),4.0)</f>
        <v>4</v>
      </c>
      <c r="H241" s="94">
        <f t="shared" si="1"/>
        <v>6</v>
      </c>
    </row>
    <row r="242" ht="15.75" customHeight="1">
      <c r="A242" s="94" t="str">
        <f>IFERROR(__xludf.DUMMYFUNCTION("""COMPUTED_VALUE"""),"14-411")</f>
        <v>14-411</v>
      </c>
      <c r="B242" s="94"/>
      <c r="C242" s="94"/>
      <c r="D242" s="94"/>
      <c r="E242" s="1429">
        <f>IFERROR(__xludf.DUMMYFUNCTION("""COMPUTED_VALUE"""),45811.0)</f>
        <v>45811</v>
      </c>
      <c r="F242" s="1429">
        <f>IFERROR(__xludf.DUMMYFUNCTION("""COMPUTED_VALUE"""),45814.0)</f>
        <v>45814</v>
      </c>
      <c r="G242" s="1430">
        <f>IFERROR(__xludf.DUMMYFUNCTION("""COMPUTED_VALUE"""),3.0)</f>
        <v>3</v>
      </c>
      <c r="H242" s="94">
        <f t="shared" si="1"/>
        <v>6</v>
      </c>
    </row>
    <row r="243" ht="15.75" customHeight="1">
      <c r="A243" s="94" t="str">
        <f>IFERROR(__xludf.DUMMYFUNCTION("""COMPUTED_VALUE"""),"PT2704")</f>
        <v>PT2704</v>
      </c>
      <c r="B243" s="94"/>
      <c r="C243" s="94"/>
      <c r="D243" s="94"/>
      <c r="E243" s="1429">
        <f>IFERROR(__xludf.DUMMYFUNCTION("""COMPUTED_VALUE"""),45780.0)</f>
        <v>45780</v>
      </c>
      <c r="F243" s="1429">
        <f>IFERROR(__xludf.DUMMYFUNCTION("""COMPUTED_VALUE"""),45782.0)</f>
        <v>45782</v>
      </c>
      <c r="G243" s="1430">
        <f>IFERROR(__xludf.DUMMYFUNCTION("""COMPUTED_VALUE"""),2.0)</f>
        <v>2</v>
      </c>
      <c r="H243" s="94">
        <f t="shared" si="1"/>
        <v>5</v>
      </c>
    </row>
    <row r="244" ht="15.75" customHeight="1">
      <c r="A244" s="94" t="str">
        <f>IFERROR(__xludf.DUMMYFUNCTION("""COMPUTED_VALUE"""),"PT2604")</f>
        <v>PT2604</v>
      </c>
      <c r="B244" s="94"/>
      <c r="C244" s="94"/>
      <c r="D244" s="94"/>
      <c r="E244" s="1429">
        <f>IFERROR(__xludf.DUMMYFUNCTION("""COMPUTED_VALUE"""),45811.0)</f>
        <v>45811</v>
      </c>
      <c r="F244" s="1429">
        <f>IFERROR(__xludf.DUMMYFUNCTION("""COMPUTED_VALUE"""),45813.0)</f>
        <v>45813</v>
      </c>
      <c r="G244" s="1430">
        <f>IFERROR(__xludf.DUMMYFUNCTION("""COMPUTED_VALUE"""),2.0)</f>
        <v>2</v>
      </c>
      <c r="H244" s="94">
        <f t="shared" si="1"/>
        <v>6</v>
      </c>
    </row>
    <row r="245" ht="15.75" customHeight="1">
      <c r="A245" s="94" t="str">
        <f>IFERROR(__xludf.DUMMYFUNCTION("""COMPUTED_VALUE"""),"WS Е804")</f>
        <v>WS Е804</v>
      </c>
      <c r="B245" s="94"/>
      <c r="C245" s="94"/>
      <c r="D245" s="94"/>
      <c r="E245" s="1429">
        <f>IFERROR(__xludf.DUMMYFUNCTION("""COMPUTED_VALUE"""),45811.0)</f>
        <v>45811</v>
      </c>
      <c r="F245" s="1429">
        <f>IFERROR(__xludf.DUMMYFUNCTION("""COMPUTED_VALUE"""),45814.0)</f>
        <v>45814</v>
      </c>
      <c r="G245" s="1430">
        <f>IFERROR(__xludf.DUMMYFUNCTION("""COMPUTED_VALUE"""),3.0)</f>
        <v>3</v>
      </c>
      <c r="H245" s="94">
        <f t="shared" si="1"/>
        <v>6</v>
      </c>
    </row>
    <row r="246" ht="15.75" customHeight="1">
      <c r="A246" s="94" t="str">
        <f>IFERROR(__xludf.DUMMYFUNCTION("""COMPUTED_VALUE"""),"WS A907")</f>
        <v>WS A907</v>
      </c>
      <c r="B246" s="94"/>
      <c r="C246" s="94"/>
      <c r="D246" s="94"/>
      <c r="E246" s="1429">
        <f>IFERROR(__xludf.DUMMYFUNCTION("""COMPUTED_VALUE"""),45811.0)</f>
        <v>45811</v>
      </c>
      <c r="F246" s="1429">
        <f>IFERROR(__xludf.DUMMYFUNCTION("""COMPUTED_VALUE"""),45814.0)</f>
        <v>45814</v>
      </c>
      <c r="G246" s="1430">
        <f>IFERROR(__xludf.DUMMYFUNCTION("""COMPUTED_VALUE"""),3.0)</f>
        <v>3</v>
      </c>
      <c r="H246" s="94">
        <f t="shared" si="1"/>
        <v>6</v>
      </c>
    </row>
    <row r="247" ht="15.75" customHeight="1">
      <c r="A247" s="94" t="str">
        <f>IFERROR(__xludf.DUMMYFUNCTION("""COMPUTED_VALUE"""),"WS А 908")</f>
        <v>WS А 908</v>
      </c>
      <c r="B247" s="94"/>
      <c r="C247" s="94"/>
      <c r="D247" s="94"/>
      <c r="E247" s="1429">
        <f>IFERROR(__xludf.DUMMYFUNCTION("""COMPUTED_VALUE"""),45811.0)</f>
        <v>45811</v>
      </c>
      <c r="F247" s="1429">
        <f>IFERROR(__xludf.DUMMYFUNCTION("""COMPUTED_VALUE"""),45814.0)</f>
        <v>45814</v>
      </c>
      <c r="G247" s="1430">
        <f>IFERROR(__xludf.DUMMYFUNCTION("""COMPUTED_VALUE"""),3.0)</f>
        <v>3</v>
      </c>
      <c r="H247" s="94">
        <f t="shared" si="1"/>
        <v>6</v>
      </c>
    </row>
    <row r="248" ht="15.75" customHeight="1">
      <c r="A248" s="94" t="str">
        <f>IFERROR(__xludf.DUMMYFUNCTION("""COMPUTED_VALUE"""),"BV206")</f>
        <v>BV206</v>
      </c>
      <c r="B248" s="94"/>
      <c r="C248" s="94"/>
      <c r="D248" s="94"/>
      <c r="E248" s="1429">
        <f>IFERROR(__xludf.DUMMYFUNCTION("""COMPUTED_VALUE"""),45812.0)</f>
        <v>45812</v>
      </c>
      <c r="F248" s="1429">
        <f>IFERROR(__xludf.DUMMYFUNCTION("""COMPUTED_VALUE"""),45822.0)</f>
        <v>45822</v>
      </c>
      <c r="G248" s="1430">
        <f>IFERROR(__xludf.DUMMYFUNCTION("""COMPUTED_VALUE"""),10.0)</f>
        <v>10</v>
      </c>
      <c r="H248" s="94">
        <f t="shared" si="1"/>
        <v>6</v>
      </c>
    </row>
    <row r="249" ht="15.75" customHeight="1">
      <c r="A249" s="94" t="str">
        <f>IFERROR(__xludf.DUMMYFUNCTION("""COMPUTED_VALUE"""),"С 1443")</f>
        <v>С 1443</v>
      </c>
      <c r="B249" s="94"/>
      <c r="C249" s="94"/>
      <c r="D249" s="94"/>
      <c r="E249" s="1429">
        <f>IFERROR(__xludf.DUMMYFUNCTION("""COMPUTED_VALUE"""),45812.0)</f>
        <v>45812</v>
      </c>
      <c r="F249" s="1429">
        <f>IFERROR(__xludf.DUMMYFUNCTION("""COMPUTED_VALUE"""),45819.0)</f>
        <v>45819</v>
      </c>
      <c r="G249" s="1430">
        <f>IFERROR(__xludf.DUMMYFUNCTION("""COMPUTED_VALUE"""),7.0)</f>
        <v>7</v>
      </c>
      <c r="H249" s="94">
        <f t="shared" si="1"/>
        <v>6</v>
      </c>
    </row>
    <row r="250" ht="15.75" customHeight="1">
      <c r="A250" s="94" t="str">
        <f>IFERROR(__xludf.DUMMYFUNCTION("""COMPUTED_VALUE"""),"CM 1604")</f>
        <v>CM 1604</v>
      </c>
      <c r="B250" s="94"/>
      <c r="C250" s="94"/>
      <c r="D250" s="94"/>
      <c r="E250" s="1429">
        <f>IFERROR(__xludf.DUMMYFUNCTION("""COMPUTED_VALUE"""),45812.0)</f>
        <v>45812</v>
      </c>
      <c r="F250" s="1429">
        <f>IFERROR(__xludf.DUMMYFUNCTION("""COMPUTED_VALUE"""),45818.0)</f>
        <v>45818</v>
      </c>
      <c r="G250" s="1430">
        <f>IFERROR(__xludf.DUMMYFUNCTION("""COMPUTED_VALUE"""),6.0)</f>
        <v>6</v>
      </c>
      <c r="H250" s="94">
        <f t="shared" si="1"/>
        <v>6</v>
      </c>
    </row>
    <row r="251" ht="15.75" customHeight="1">
      <c r="A251" s="94" t="str">
        <f>IFERROR(__xludf.DUMMYFUNCTION("""COMPUTED_VALUE"""),"DL 11-1112")</f>
        <v>DL 11-1112</v>
      </c>
      <c r="B251" s="94"/>
      <c r="C251" s="94"/>
      <c r="D251" s="94"/>
      <c r="E251" s="1429">
        <f>IFERROR(__xludf.DUMMYFUNCTION("""COMPUTED_VALUE"""),45813.0)</f>
        <v>45813</v>
      </c>
      <c r="F251" s="1429">
        <f>IFERROR(__xludf.DUMMYFUNCTION("""COMPUTED_VALUE"""),45817.0)</f>
        <v>45817</v>
      </c>
      <c r="G251" s="1430">
        <f>IFERROR(__xludf.DUMMYFUNCTION("""COMPUTED_VALUE"""),4.0)</f>
        <v>4</v>
      </c>
      <c r="H251" s="94">
        <f t="shared" si="1"/>
        <v>6</v>
      </c>
    </row>
    <row r="252" ht="15.75" customHeight="1">
      <c r="A252" s="94" t="str">
        <f>IFERROR(__xludf.DUMMYFUNCTION("""COMPUTED_VALUE"""),"NW 9-6")</f>
        <v>NW 9-6</v>
      </c>
      <c r="B252" s="94"/>
      <c r="C252" s="94"/>
      <c r="D252" s="94"/>
      <c r="E252" s="1429">
        <f>IFERROR(__xludf.DUMMYFUNCTION("""COMPUTED_VALUE"""),45813.0)</f>
        <v>45813</v>
      </c>
      <c r="F252" s="1429">
        <f>IFERROR(__xludf.DUMMYFUNCTION("""COMPUTED_VALUE"""),45821.0)</f>
        <v>45821</v>
      </c>
      <c r="G252" s="1430">
        <f>IFERROR(__xludf.DUMMYFUNCTION("""COMPUTED_VALUE"""),8.0)</f>
        <v>8</v>
      </c>
      <c r="H252" s="94">
        <f t="shared" si="1"/>
        <v>6</v>
      </c>
    </row>
    <row r="253" ht="15.75" customHeight="1">
      <c r="A253" s="94" t="str">
        <f>IFERROR(__xludf.DUMMYFUNCTION("""COMPUTED_VALUE"""),"CM 1606")</f>
        <v>CM 1606</v>
      </c>
      <c r="B253" s="94"/>
      <c r="C253" s="94"/>
      <c r="D253" s="94"/>
      <c r="E253" s="1429">
        <f>IFERROR(__xludf.DUMMYFUNCTION("""COMPUTED_VALUE"""),45813.0)</f>
        <v>45813</v>
      </c>
      <c r="F253" s="1429">
        <f>IFERROR(__xludf.DUMMYFUNCTION("""COMPUTED_VALUE"""),45820.0)</f>
        <v>45820</v>
      </c>
      <c r="G253" s="1430">
        <f>IFERROR(__xludf.DUMMYFUNCTION("""COMPUTED_VALUE"""),7.0)</f>
        <v>7</v>
      </c>
      <c r="H253" s="94">
        <f t="shared" si="1"/>
        <v>6</v>
      </c>
    </row>
    <row r="254" ht="15.75" customHeight="1">
      <c r="A254" s="94" t="str">
        <f>IFERROR(__xludf.DUMMYFUNCTION("""COMPUTED_VALUE"""),"PT2704")</f>
        <v>PT2704</v>
      </c>
      <c r="B254" s="94"/>
      <c r="C254" s="94"/>
      <c r="D254" s="94"/>
      <c r="E254" s="1429">
        <f>IFERROR(__xludf.DUMMYFUNCTION("""COMPUTED_VALUE"""),45813.0)</f>
        <v>45813</v>
      </c>
      <c r="F254" s="1429">
        <f>IFERROR(__xludf.DUMMYFUNCTION("""COMPUTED_VALUE"""),45817.0)</f>
        <v>45817</v>
      </c>
      <c r="G254" s="1430">
        <f>IFERROR(__xludf.DUMMYFUNCTION("""COMPUTED_VALUE"""),4.0)</f>
        <v>4</v>
      </c>
      <c r="H254" s="94">
        <f t="shared" si="1"/>
        <v>6</v>
      </c>
    </row>
    <row r="255" ht="15.75" customHeight="1">
      <c r="A255" s="94" t="str">
        <f>IFERROR(__xludf.DUMMYFUNCTION("""COMPUTED_VALUE"""),"PT2604")</f>
        <v>PT2604</v>
      </c>
      <c r="B255" s="94"/>
      <c r="C255" s="94"/>
      <c r="D255" s="94"/>
      <c r="E255" s="1429">
        <f>IFERROR(__xludf.DUMMYFUNCTION("""COMPUTED_VALUE"""),45813.0)</f>
        <v>45813</v>
      </c>
      <c r="F255" s="1429">
        <f>IFERROR(__xludf.DUMMYFUNCTION("""COMPUTED_VALUE"""),45815.0)</f>
        <v>45815</v>
      </c>
      <c r="G255" s="1430">
        <f>IFERROR(__xludf.DUMMYFUNCTION("""COMPUTED_VALUE"""),2.0)</f>
        <v>2</v>
      </c>
      <c r="H255" s="94">
        <f t="shared" si="1"/>
        <v>6</v>
      </c>
    </row>
    <row r="256" ht="15.75" customHeight="1">
      <c r="A256" s="94" t="str">
        <f>IFERROR(__xludf.DUMMYFUNCTION("""COMPUTED_VALUE"""),"D2 1625")</f>
        <v>D2 1625</v>
      </c>
      <c r="B256" s="94"/>
      <c r="C256" s="94"/>
      <c r="D256" s="94"/>
      <c r="E256" s="1429">
        <f>IFERROR(__xludf.DUMMYFUNCTION("""COMPUTED_VALUE"""),45813.0)</f>
        <v>45813</v>
      </c>
      <c r="F256" s="1429">
        <f>IFERROR(__xludf.DUMMYFUNCTION("""COMPUTED_VALUE"""),45815.0)</f>
        <v>45815</v>
      </c>
      <c r="G256" s="1430">
        <f>IFERROR(__xludf.DUMMYFUNCTION("""COMPUTED_VALUE"""),2.0)</f>
        <v>2</v>
      </c>
      <c r="H256" s="94">
        <f t="shared" si="1"/>
        <v>6</v>
      </c>
    </row>
    <row r="257" ht="15.75" customHeight="1">
      <c r="A257" s="94" t="str">
        <f>IFERROR(__xludf.DUMMYFUNCTION("""COMPUTED_VALUE"""),"D 3629")</f>
        <v>D 3629</v>
      </c>
      <c r="B257" s="94"/>
      <c r="C257" s="94"/>
      <c r="D257" s="94"/>
      <c r="E257" s="1429">
        <f>IFERROR(__xludf.DUMMYFUNCTION("""COMPUTED_VALUE"""),45813.0)</f>
        <v>45813</v>
      </c>
      <c r="F257" s="1429">
        <f>IFERROR(__xludf.DUMMYFUNCTION("""COMPUTED_VALUE"""),45818.0)</f>
        <v>45818</v>
      </c>
      <c r="G257" s="1430">
        <f>IFERROR(__xludf.DUMMYFUNCTION("""COMPUTED_VALUE"""),5.0)</f>
        <v>5</v>
      </c>
      <c r="H257" s="94">
        <f t="shared" si="1"/>
        <v>6</v>
      </c>
    </row>
    <row r="258" ht="15.75" customHeight="1">
      <c r="A258" s="94" t="str">
        <f>IFERROR(__xludf.DUMMYFUNCTION("""COMPUTED_VALUE"""),"Steps1123")</f>
        <v>Steps1123</v>
      </c>
      <c r="B258" s="94"/>
      <c r="C258" s="94"/>
      <c r="D258" s="94"/>
      <c r="E258" s="1434">
        <f>IFERROR(__xludf.DUMMYFUNCTION("""COMPUTED_VALUE"""),45813.0)</f>
        <v>45813</v>
      </c>
      <c r="F258" s="1429">
        <f>IFERROR(__xludf.DUMMYFUNCTION("""COMPUTED_VALUE"""),45815.0)</f>
        <v>45815</v>
      </c>
      <c r="G258" s="1430">
        <f>IFERROR(__xludf.DUMMYFUNCTION("""COMPUTED_VALUE"""),2.0)</f>
        <v>2</v>
      </c>
      <c r="H258" s="94">
        <f t="shared" si="1"/>
        <v>6</v>
      </c>
    </row>
    <row r="259" ht="15.75" customHeight="1">
      <c r="A259" s="94" t="str">
        <f>IFERROR(__xludf.DUMMYFUNCTION("""COMPUTED_VALUE"""),"BV1318")</f>
        <v>BV1318</v>
      </c>
      <c r="B259" s="94"/>
      <c r="C259" s="94"/>
      <c r="D259" s="94"/>
      <c r="E259" s="1434">
        <f>IFERROR(__xludf.DUMMYFUNCTION("""COMPUTED_VALUE"""),45813.0)</f>
        <v>45813</v>
      </c>
      <c r="F259" s="1429">
        <f>IFERROR(__xludf.DUMMYFUNCTION("""COMPUTED_VALUE"""),45816.0)</f>
        <v>45816</v>
      </c>
      <c r="G259" s="1430">
        <f>IFERROR(__xludf.DUMMYFUNCTION("""COMPUTED_VALUE"""),3.0)</f>
        <v>3</v>
      </c>
      <c r="H259" s="94">
        <f t="shared" si="1"/>
        <v>6</v>
      </c>
    </row>
    <row r="260" ht="15.75" customHeight="1">
      <c r="A260" s="94" t="str">
        <f>IFERROR(__xludf.DUMMYFUNCTION("""COMPUTED_VALUE"""),"MZ 718")</f>
        <v>MZ 718</v>
      </c>
      <c r="B260" s="94"/>
      <c r="C260" s="94"/>
      <c r="D260" s="94"/>
      <c r="E260" s="1429">
        <f>IFERROR(__xludf.DUMMYFUNCTION("""COMPUTED_VALUE"""),45814.0)</f>
        <v>45814</v>
      </c>
      <c r="F260" s="1429">
        <f>IFERROR(__xludf.DUMMYFUNCTION("""COMPUTED_VALUE"""),45817.0)</f>
        <v>45817</v>
      </c>
      <c r="G260" s="1430">
        <f>IFERROR(__xludf.DUMMYFUNCTION("""COMPUTED_VALUE"""),3.0)</f>
        <v>3</v>
      </c>
      <c r="H260" s="94">
        <f t="shared" si="1"/>
        <v>6</v>
      </c>
    </row>
    <row r="261" ht="15.75" customHeight="1">
      <c r="A261" s="94" t="str">
        <f>IFERROR(__xludf.DUMMYFUNCTION("""COMPUTED_VALUE"""),"WS E704")</f>
        <v>WS E704</v>
      </c>
      <c r="B261" s="94"/>
      <c r="C261" s="94"/>
      <c r="D261" s="94"/>
      <c r="E261" s="1429">
        <f>IFERROR(__xludf.DUMMYFUNCTION("""COMPUTED_VALUE"""),45813.0)</f>
        <v>45813</v>
      </c>
      <c r="F261" s="1429">
        <f>IFERROR(__xludf.DUMMYFUNCTION("""COMPUTED_VALUE"""),45817.0)</f>
        <v>45817</v>
      </c>
      <c r="G261" s="1430">
        <f>IFERROR(__xludf.DUMMYFUNCTION("""COMPUTED_VALUE"""),4.0)</f>
        <v>4</v>
      </c>
      <c r="H261" s="94">
        <f t="shared" si="1"/>
        <v>6</v>
      </c>
    </row>
    <row r="262" ht="15.75" customHeight="1">
      <c r="A262" s="94" t="str">
        <f>IFERROR(__xludf.DUMMYFUNCTION("""COMPUTED_VALUE"""),"DL 11-1305")</f>
        <v>DL 11-1305</v>
      </c>
      <c r="B262" s="94"/>
      <c r="C262" s="94"/>
      <c r="D262" s="94"/>
      <c r="E262" s="1429">
        <f>IFERROR(__xludf.DUMMYFUNCTION("""COMPUTED_VALUE"""),45814.0)</f>
        <v>45814</v>
      </c>
      <c r="F262" s="1429">
        <f>IFERROR(__xludf.DUMMYFUNCTION("""COMPUTED_VALUE"""),45819.0)</f>
        <v>45819</v>
      </c>
      <c r="G262" s="1430">
        <f>IFERROR(__xludf.DUMMYFUNCTION("""COMPUTED_VALUE"""),5.0)</f>
        <v>5</v>
      </c>
      <c r="H262" s="94">
        <f t="shared" si="1"/>
        <v>6</v>
      </c>
    </row>
    <row r="263" ht="15.75" customHeight="1">
      <c r="A263" s="94" t="str">
        <f>IFERROR(__xludf.DUMMYFUNCTION("""COMPUTED_VALUE"""),"Вилла Ева")</f>
        <v>Вилла Ева</v>
      </c>
      <c r="B263" s="94"/>
      <c r="C263" s="94"/>
      <c r="D263" s="94"/>
      <c r="E263" s="1429">
        <f>IFERROR(__xludf.DUMMYFUNCTION("""COMPUTED_VALUE"""),45814.0)</f>
        <v>45814</v>
      </c>
      <c r="F263" s="1429">
        <f>IFERROR(__xludf.DUMMYFUNCTION("""COMPUTED_VALUE"""),45820.0)</f>
        <v>45820</v>
      </c>
      <c r="G263" s="1430">
        <f>IFERROR(__xludf.DUMMYFUNCTION("""COMPUTED_VALUE"""),6.0)</f>
        <v>6</v>
      </c>
      <c r="H263" s="94">
        <f t="shared" si="1"/>
        <v>6</v>
      </c>
    </row>
    <row r="264" ht="15.75" customHeight="1">
      <c r="A264" s="94" t="str">
        <f>IFERROR(__xludf.DUMMYFUNCTION("""COMPUTED_VALUE"""),"WS Е804")</f>
        <v>WS Е804</v>
      </c>
      <c r="B264" s="94"/>
      <c r="C264" s="94"/>
      <c r="D264" s="94"/>
      <c r="E264" s="1429">
        <f>IFERROR(__xludf.DUMMYFUNCTION("""COMPUTED_VALUE"""),45814.0)</f>
        <v>45814</v>
      </c>
      <c r="F264" s="1429">
        <f>IFERROR(__xludf.DUMMYFUNCTION("""COMPUTED_VALUE"""),45819.0)</f>
        <v>45819</v>
      </c>
      <c r="G264" s="1430">
        <f>IFERROR(__xludf.DUMMYFUNCTION("""COMPUTED_VALUE"""),5.0)</f>
        <v>5</v>
      </c>
      <c r="H264" s="94">
        <f t="shared" si="1"/>
        <v>6</v>
      </c>
    </row>
    <row r="265" ht="15.75" customHeight="1">
      <c r="A265" s="94" t="str">
        <f>IFERROR(__xludf.DUMMYFUNCTION("""COMPUTED_VALUE"""),"С 1125")</f>
        <v>С 1125</v>
      </c>
      <c r="B265" s="94"/>
      <c r="C265" s="94"/>
      <c r="D265" s="94"/>
      <c r="E265" s="1429">
        <f>IFERROR(__xludf.DUMMYFUNCTION("""COMPUTED_VALUE"""),45814.0)</f>
        <v>45814</v>
      </c>
      <c r="F265" s="1429">
        <f>IFERROR(__xludf.DUMMYFUNCTION("""COMPUTED_VALUE"""),45817.0)</f>
        <v>45817</v>
      </c>
      <c r="G265" s="1430">
        <f>IFERROR(__xludf.DUMMYFUNCTION("""COMPUTED_VALUE"""),3.0)</f>
        <v>3</v>
      </c>
      <c r="H265" s="94">
        <f t="shared" si="1"/>
        <v>6</v>
      </c>
    </row>
    <row r="266" ht="15.75" customHeight="1">
      <c r="A266" s="94" t="str">
        <f>IFERROR(__xludf.DUMMYFUNCTION("""COMPUTED_VALUE"""),"14-411")</f>
        <v>14-411</v>
      </c>
      <c r="B266" s="94"/>
      <c r="C266" s="94"/>
      <c r="D266" s="94"/>
      <c r="E266" s="1429">
        <f>IFERROR(__xludf.DUMMYFUNCTION("""COMPUTED_VALUE"""),45814.0)</f>
        <v>45814</v>
      </c>
      <c r="F266" s="1429">
        <f>IFERROR(__xludf.DUMMYFUNCTION("""COMPUTED_VALUE"""),45820.0)</f>
        <v>45820</v>
      </c>
      <c r="G266" s="1430">
        <f>IFERROR(__xludf.DUMMYFUNCTION("""COMPUTED_VALUE"""),6.0)</f>
        <v>6</v>
      </c>
      <c r="H266" s="94">
        <f t="shared" si="1"/>
        <v>6</v>
      </c>
    </row>
    <row r="267" ht="15.75" customHeight="1">
      <c r="A267" s="94" t="str">
        <f>IFERROR(__xludf.DUMMYFUNCTION("""COMPUTED_VALUE"""),"WS В 503")</f>
        <v>WS В 503</v>
      </c>
      <c r="B267" s="94"/>
      <c r="C267" s="94"/>
      <c r="D267" s="94"/>
      <c r="E267" s="1429">
        <f>IFERROR(__xludf.DUMMYFUNCTION("""COMPUTED_VALUE"""),45814.0)</f>
        <v>45814</v>
      </c>
      <c r="F267" s="1429">
        <f>IFERROR(__xludf.DUMMYFUNCTION("""COMPUTED_VALUE"""),45816.0)</f>
        <v>45816</v>
      </c>
      <c r="G267" s="1430">
        <f>IFERROR(__xludf.DUMMYFUNCTION("""COMPUTED_VALUE"""),2.0)</f>
        <v>2</v>
      </c>
      <c r="H267" s="94">
        <f t="shared" si="1"/>
        <v>6</v>
      </c>
    </row>
    <row r="268" ht="15.75" customHeight="1">
      <c r="A268" s="94" t="str">
        <f>IFERROR(__xludf.DUMMYFUNCTION("""COMPUTED_VALUE"""),"TGA5")</f>
        <v>TGA5</v>
      </c>
      <c r="B268" s="94"/>
      <c r="C268" s="94"/>
      <c r="D268" s="94"/>
      <c r="E268" s="1429">
        <f>IFERROR(__xludf.DUMMYFUNCTION("""COMPUTED_VALUE"""),45814.0)</f>
        <v>45814</v>
      </c>
      <c r="F268" s="1429">
        <f>IFERROR(__xludf.DUMMYFUNCTION("""COMPUTED_VALUE"""),45822.0)</f>
        <v>45822</v>
      </c>
      <c r="G268" s="1430">
        <f>IFERROR(__xludf.DUMMYFUNCTION("""COMPUTED_VALUE"""),8.0)</f>
        <v>8</v>
      </c>
      <c r="H268" s="94">
        <f t="shared" si="1"/>
        <v>6</v>
      </c>
    </row>
    <row r="269" ht="15.75" customHeight="1">
      <c r="A269" s="94" t="str">
        <f>IFERROR(__xludf.DUMMYFUNCTION("""COMPUTED_VALUE"""),"TGA3")</f>
        <v>TGA3</v>
      </c>
      <c r="B269" s="94"/>
      <c r="C269" s="94"/>
      <c r="D269" s="94"/>
      <c r="E269" s="1429">
        <f>IFERROR(__xludf.DUMMYFUNCTION("""COMPUTED_VALUE"""),45814.0)</f>
        <v>45814</v>
      </c>
      <c r="F269" s="1429">
        <f>IFERROR(__xludf.DUMMYFUNCTION("""COMPUTED_VALUE"""),45817.0)</f>
        <v>45817</v>
      </c>
      <c r="G269" s="1430">
        <f>IFERROR(__xludf.DUMMYFUNCTION("""COMPUTED_VALUE"""),3.0)</f>
        <v>3</v>
      </c>
      <c r="H269" s="94">
        <f t="shared" si="1"/>
        <v>6</v>
      </c>
    </row>
    <row r="270" ht="15.75" customHeight="1">
      <c r="A270" s="94" t="str">
        <f>IFERROR(__xludf.DUMMYFUNCTION("""COMPUTED_VALUE"""),"DL14-518")</f>
        <v>DL14-518</v>
      </c>
      <c r="B270" s="94"/>
      <c r="C270" s="94"/>
      <c r="D270" s="94"/>
      <c r="E270" s="1429">
        <f>IFERROR(__xludf.DUMMYFUNCTION("""COMPUTED_VALUE"""),45815.0)</f>
        <v>45815</v>
      </c>
      <c r="F270" s="1429">
        <f>IFERROR(__xludf.DUMMYFUNCTION("""COMPUTED_VALUE"""),45823.0)</f>
        <v>45823</v>
      </c>
      <c r="G270" s="1430">
        <f>IFERROR(__xludf.DUMMYFUNCTION("""COMPUTED_VALUE"""),8.0)</f>
        <v>8</v>
      </c>
      <c r="H270" s="94">
        <f t="shared" si="1"/>
        <v>6</v>
      </c>
    </row>
    <row r="271" ht="15.75" customHeight="1">
      <c r="A271" s="94" t="str">
        <f>IFERROR(__xludf.DUMMYFUNCTION("""COMPUTED_VALUE"""),"TGA1")</f>
        <v>TGA1</v>
      </c>
      <c r="B271" s="94"/>
      <c r="C271" s="94"/>
      <c r="D271" s="94"/>
      <c r="E271" s="1429">
        <f>IFERROR(__xludf.DUMMYFUNCTION("""COMPUTED_VALUE"""),45815.0)</f>
        <v>45815</v>
      </c>
      <c r="F271" s="1429">
        <f>IFERROR(__xludf.DUMMYFUNCTION("""COMPUTED_VALUE"""),45818.0)</f>
        <v>45818</v>
      </c>
      <c r="G271" s="1430">
        <f>IFERROR(__xludf.DUMMYFUNCTION("""COMPUTED_VALUE"""),3.0)</f>
        <v>3</v>
      </c>
      <c r="H271" s="94">
        <f t="shared" si="1"/>
        <v>6</v>
      </c>
    </row>
    <row r="272" ht="15.75" customHeight="1">
      <c r="A272" s="94" t="str">
        <f>IFERROR(__xludf.DUMMYFUNCTION("""COMPUTED_VALUE"""),"TGA2")</f>
        <v>TGA2</v>
      </c>
      <c r="B272" s="94"/>
      <c r="C272" s="94"/>
      <c r="D272" s="94"/>
      <c r="E272" s="1429">
        <f>IFERROR(__xludf.DUMMYFUNCTION("""COMPUTED_VALUE"""),45815.0)</f>
        <v>45815</v>
      </c>
      <c r="F272" s="1429">
        <f>IFERROR(__xludf.DUMMYFUNCTION("""COMPUTED_VALUE"""),45817.0)</f>
        <v>45817</v>
      </c>
      <c r="G272" s="1430">
        <f>IFERROR(__xludf.DUMMYFUNCTION("""COMPUTED_VALUE"""),2.0)</f>
        <v>2</v>
      </c>
      <c r="H272" s="94">
        <f t="shared" si="1"/>
        <v>6</v>
      </c>
    </row>
    <row r="273" ht="15.75" customHeight="1">
      <c r="A273" s="94" t="str">
        <f>IFERROR(__xludf.DUMMYFUNCTION("""COMPUTED_VALUE"""),"Пиросмани 181")</f>
        <v>Пиросмани 181</v>
      </c>
      <c r="B273" s="94"/>
      <c r="C273" s="94"/>
      <c r="D273" s="94"/>
      <c r="E273" s="1429">
        <f>IFERROR(__xludf.DUMMYFUNCTION("""COMPUTED_VALUE"""),45815.0)</f>
        <v>45815</v>
      </c>
      <c r="F273" s="1429">
        <f>IFERROR(__xludf.DUMMYFUNCTION("""COMPUTED_VALUE"""),45854.0)</f>
        <v>45854</v>
      </c>
      <c r="G273" s="1430">
        <f>IFERROR(__xludf.DUMMYFUNCTION("""COMPUTED_VALUE"""),39.0)</f>
        <v>39</v>
      </c>
      <c r="H273" s="94">
        <f t="shared" si="1"/>
        <v>6</v>
      </c>
    </row>
    <row r="274" ht="15.75" customHeight="1">
      <c r="A274" s="94" t="str">
        <f>IFERROR(__xludf.DUMMYFUNCTION("""COMPUTED_VALUE"""),"WS A 409")</f>
        <v>WS A 409</v>
      </c>
      <c r="B274" s="94"/>
      <c r="C274" s="94"/>
      <c r="D274" s="94"/>
      <c r="E274" s="1429">
        <f>IFERROR(__xludf.DUMMYFUNCTION("""COMPUTED_VALUE"""),45815.0)</f>
        <v>45815</v>
      </c>
      <c r="F274" s="1429">
        <f>IFERROR(__xludf.DUMMYFUNCTION("""COMPUTED_VALUE"""),45822.0)</f>
        <v>45822</v>
      </c>
      <c r="G274" s="1430">
        <f>IFERROR(__xludf.DUMMYFUNCTION("""COMPUTED_VALUE"""),7.0)</f>
        <v>7</v>
      </c>
      <c r="H274" s="94">
        <f t="shared" si="1"/>
        <v>6</v>
      </c>
    </row>
    <row r="275" ht="15.75" customHeight="1">
      <c r="A275" s="94" t="str">
        <f>IFERROR(__xludf.DUMMYFUNCTION("""COMPUTED_VALUE"""),"WS А 908")</f>
        <v>WS А 908</v>
      </c>
      <c r="B275" s="94"/>
      <c r="C275" s="94"/>
      <c r="D275" s="94"/>
      <c r="E275" s="1429">
        <f>IFERROR(__xludf.DUMMYFUNCTION("""COMPUTED_VALUE"""),45815.0)</f>
        <v>45815</v>
      </c>
      <c r="F275" s="1429">
        <f>IFERROR(__xludf.DUMMYFUNCTION("""COMPUTED_VALUE"""),45822.0)</f>
        <v>45822</v>
      </c>
      <c r="G275" s="1430">
        <f>IFERROR(__xludf.DUMMYFUNCTION("""COMPUTED_VALUE"""),7.0)</f>
        <v>7</v>
      </c>
      <c r="H275" s="94">
        <f t="shared" si="1"/>
        <v>6</v>
      </c>
    </row>
    <row r="276" ht="15.75" customHeight="1">
      <c r="A276" s="94" t="str">
        <f>IFERROR(__xludf.DUMMYFUNCTION("""COMPUTED_VALUE"""),"WS A907")</f>
        <v>WS A907</v>
      </c>
      <c r="B276" s="94"/>
      <c r="C276" s="94"/>
      <c r="D276" s="94"/>
      <c r="E276" s="1429">
        <f>IFERROR(__xludf.DUMMYFUNCTION("""COMPUTED_VALUE"""),45815.0)</f>
        <v>45815</v>
      </c>
      <c r="F276" s="1429">
        <f>IFERROR(__xludf.DUMMYFUNCTION("""COMPUTED_VALUE"""),45818.0)</f>
        <v>45818</v>
      </c>
      <c r="G276" s="1430">
        <f>IFERROR(__xludf.DUMMYFUNCTION("""COMPUTED_VALUE"""),3.0)</f>
        <v>3</v>
      </c>
      <c r="H276" s="94">
        <f t="shared" si="1"/>
        <v>6</v>
      </c>
    </row>
    <row r="277" ht="15.75" customHeight="1">
      <c r="A277" s="94" t="str">
        <f>IFERROR(__xludf.DUMMYFUNCTION("""COMPUTED_VALUE"""),"C 4245")</f>
        <v>C 4245</v>
      </c>
      <c r="B277" s="94"/>
      <c r="C277" s="94"/>
      <c r="D277" s="94"/>
      <c r="E277" s="1429">
        <f>IFERROR(__xludf.DUMMYFUNCTION("""COMPUTED_VALUE"""),45815.0)</f>
        <v>45815</v>
      </c>
      <c r="F277" s="1429">
        <f>IFERROR(__xludf.DUMMYFUNCTION("""COMPUTED_VALUE"""),45817.0)</f>
        <v>45817</v>
      </c>
      <c r="G277" s="1430">
        <f>IFERROR(__xludf.DUMMYFUNCTION("""COMPUTED_VALUE"""),2.0)</f>
        <v>2</v>
      </c>
      <c r="H277" s="94">
        <f t="shared" si="1"/>
        <v>6</v>
      </c>
    </row>
    <row r="278" ht="15.75" customHeight="1">
      <c r="A278" s="94" t="str">
        <f>IFERROR(__xludf.DUMMYFUNCTION("""COMPUTED_VALUE"""),"D2 3216")</f>
        <v>D2 3216</v>
      </c>
      <c r="B278" s="94"/>
      <c r="C278" s="94"/>
      <c r="D278" s="94"/>
      <c r="E278" s="1429">
        <f>IFERROR(__xludf.DUMMYFUNCTION("""COMPUTED_VALUE"""),45815.0)</f>
        <v>45815</v>
      </c>
      <c r="F278" s="1429">
        <f>IFERROR(__xludf.DUMMYFUNCTION("""COMPUTED_VALUE"""),45817.0)</f>
        <v>45817</v>
      </c>
      <c r="G278" s="1430">
        <f>IFERROR(__xludf.DUMMYFUNCTION("""COMPUTED_VALUE"""),2.0)</f>
        <v>2</v>
      </c>
      <c r="H278" s="94">
        <f t="shared" si="1"/>
        <v>6</v>
      </c>
    </row>
    <row r="279" ht="15.75" customHeight="1">
      <c r="A279" s="94" t="str">
        <f>IFERROR(__xludf.DUMMYFUNCTION("""COMPUTED_VALUE"""),"D2 1625")</f>
        <v>D2 1625</v>
      </c>
      <c r="B279" s="94"/>
      <c r="C279" s="94"/>
      <c r="D279" s="94"/>
      <c r="E279" s="1429">
        <f>IFERROR(__xludf.DUMMYFUNCTION("""COMPUTED_VALUE"""),45815.0)</f>
        <v>45815</v>
      </c>
      <c r="F279" s="1429">
        <f>IFERROR(__xludf.DUMMYFUNCTION("""COMPUTED_VALUE"""),45819.0)</f>
        <v>45819</v>
      </c>
      <c r="G279" s="1430">
        <f>IFERROR(__xludf.DUMMYFUNCTION("""COMPUTED_VALUE"""),4.0)</f>
        <v>4</v>
      </c>
      <c r="H279" s="94">
        <f t="shared" si="1"/>
        <v>6</v>
      </c>
    </row>
    <row r="280" ht="15.75" customHeight="1">
      <c r="A280" s="94" t="str">
        <f>IFERROR(__xludf.DUMMYFUNCTION("""COMPUTED_VALUE"""),"Steps1123")</f>
        <v>Steps1123</v>
      </c>
      <c r="B280" s="94"/>
      <c r="C280" s="94"/>
      <c r="D280" s="94"/>
      <c r="E280" s="1429">
        <f>IFERROR(__xludf.DUMMYFUNCTION("""COMPUTED_VALUE"""),45815.0)</f>
        <v>45815</v>
      </c>
      <c r="F280" s="1429">
        <f>IFERROR(__xludf.DUMMYFUNCTION("""COMPUTED_VALUE"""),45823.0)</f>
        <v>45823</v>
      </c>
      <c r="G280" s="1430">
        <f>IFERROR(__xludf.DUMMYFUNCTION("""COMPUTED_VALUE"""),8.0)</f>
        <v>8</v>
      </c>
      <c r="H280" s="94">
        <f t="shared" si="1"/>
        <v>6</v>
      </c>
    </row>
    <row r="281" ht="15.75" customHeight="1">
      <c r="A281" s="94" t="str">
        <f>IFERROR(__xludf.DUMMYFUNCTION("""COMPUTED_VALUE"""),"PT2604")</f>
        <v>PT2604</v>
      </c>
      <c r="B281" s="94"/>
      <c r="C281" s="94"/>
      <c r="D281" s="94"/>
      <c r="E281" s="1429">
        <f>IFERROR(__xludf.DUMMYFUNCTION("""COMPUTED_VALUE"""),45815.0)</f>
        <v>45815</v>
      </c>
      <c r="F281" s="1429">
        <f>IFERROR(__xludf.DUMMYFUNCTION("""COMPUTED_VALUE"""),45817.0)</f>
        <v>45817</v>
      </c>
      <c r="G281" s="1430">
        <f>IFERROR(__xludf.DUMMYFUNCTION("""COMPUTED_VALUE"""),2.0)</f>
        <v>2</v>
      </c>
      <c r="H281" s="94">
        <f t="shared" si="1"/>
        <v>6</v>
      </c>
    </row>
    <row r="282" ht="15.75" customHeight="1">
      <c r="A282" s="94" t="str">
        <f>IFERROR(__xludf.DUMMYFUNCTION("""COMPUTED_VALUE"""),"WS A 608")</f>
        <v>WS A 608</v>
      </c>
      <c r="B282" s="94"/>
      <c r="C282" s="94"/>
      <c r="D282" s="94"/>
      <c r="E282" s="1429">
        <f>IFERROR(__xludf.DUMMYFUNCTION("""COMPUTED_VALUE"""),45816.0)</f>
        <v>45816</v>
      </c>
      <c r="F282" s="1429">
        <f>IFERROR(__xludf.DUMMYFUNCTION("""COMPUTED_VALUE"""),45819.0)</f>
        <v>45819</v>
      </c>
      <c r="G282" s="1430">
        <f>IFERROR(__xludf.DUMMYFUNCTION("""COMPUTED_VALUE"""),3.0)</f>
        <v>3</v>
      </c>
      <c r="H282" s="94">
        <f t="shared" si="1"/>
        <v>6</v>
      </c>
    </row>
    <row r="283" ht="15.75" customHeight="1">
      <c r="A283" s="94" t="str">
        <f>IFERROR(__xludf.DUMMYFUNCTION("""COMPUTED_VALUE"""),"TGB1")</f>
        <v>TGB1</v>
      </c>
      <c r="B283" s="94"/>
      <c r="C283" s="94"/>
      <c r="D283" s="94"/>
      <c r="E283" s="1429">
        <f>IFERROR(__xludf.DUMMYFUNCTION("""COMPUTED_VALUE"""),45816.0)</f>
        <v>45816</v>
      </c>
      <c r="F283" s="1429">
        <f>IFERROR(__xludf.DUMMYFUNCTION("""COMPUTED_VALUE"""),45818.0)</f>
        <v>45818</v>
      </c>
      <c r="G283" s="1430">
        <f>IFERROR(__xludf.DUMMYFUNCTION("""COMPUTED_VALUE"""),2.0)</f>
        <v>2</v>
      </c>
      <c r="H283" s="94">
        <f t="shared" si="1"/>
        <v>6</v>
      </c>
    </row>
    <row r="284" ht="15.75" customHeight="1">
      <c r="A284" s="94" t="str">
        <f>IFERROR(__xludf.DUMMYFUNCTION("""COMPUTED_VALUE"""),"WS E 1202")</f>
        <v>WS E 1202</v>
      </c>
      <c r="B284" s="94"/>
      <c r="C284" s="94"/>
      <c r="D284" s="94"/>
      <c r="E284" s="1429">
        <f>IFERROR(__xludf.DUMMYFUNCTION("""COMPUTED_VALUE"""),45816.0)</f>
        <v>45816</v>
      </c>
      <c r="F284" s="1429">
        <f>IFERROR(__xludf.DUMMYFUNCTION("""COMPUTED_VALUE"""),45818.0)</f>
        <v>45818</v>
      </c>
      <c r="G284" s="1430">
        <f>IFERROR(__xludf.DUMMYFUNCTION("""COMPUTED_VALUE"""),2.0)</f>
        <v>2</v>
      </c>
      <c r="H284" s="94">
        <f t="shared" si="1"/>
        <v>6</v>
      </c>
    </row>
    <row r="285" ht="15.75" customHeight="1">
      <c r="A285" s="94" t="str">
        <f>IFERROR(__xludf.DUMMYFUNCTION("""COMPUTED_VALUE"""),"WS В 212")</f>
        <v>WS В 212</v>
      </c>
      <c r="B285" s="94"/>
      <c r="C285" s="94"/>
      <c r="D285" s="94"/>
      <c r="E285" s="1429">
        <f>IFERROR(__xludf.DUMMYFUNCTION("""COMPUTED_VALUE"""),45816.0)</f>
        <v>45816</v>
      </c>
      <c r="F285" s="1429">
        <f>IFERROR(__xludf.DUMMYFUNCTION("""COMPUTED_VALUE"""),45830.0)</f>
        <v>45830</v>
      </c>
      <c r="G285" s="1430">
        <f>IFERROR(__xludf.DUMMYFUNCTION("""COMPUTED_VALUE"""),14.0)</f>
        <v>14</v>
      </c>
      <c r="H285" s="94">
        <f t="shared" si="1"/>
        <v>6</v>
      </c>
    </row>
    <row r="286" ht="15.75" customHeight="1">
      <c r="A286" s="94" t="str">
        <f>IFERROR(__xludf.DUMMYFUNCTION("""COMPUTED_VALUE"""),"CM 1931")</f>
        <v>CM 1931</v>
      </c>
      <c r="B286" s="94"/>
      <c r="C286" s="94"/>
      <c r="D286" s="94"/>
      <c r="E286" s="1429">
        <f>IFERROR(__xludf.DUMMYFUNCTION("""COMPUTED_VALUE"""),45816.0)</f>
        <v>45816</v>
      </c>
      <c r="F286" s="1429">
        <f>IFERROR(__xludf.DUMMYFUNCTION("""COMPUTED_VALUE"""),45821.0)</f>
        <v>45821</v>
      </c>
      <c r="G286" s="1430">
        <f>IFERROR(__xludf.DUMMYFUNCTION("""COMPUTED_VALUE"""),5.0)</f>
        <v>5</v>
      </c>
      <c r="H286" s="94">
        <f t="shared" si="1"/>
        <v>6</v>
      </c>
    </row>
    <row r="287" ht="15.75" customHeight="1">
      <c r="A287" s="94" t="str">
        <f>IFERROR(__xludf.DUMMYFUNCTION("""COMPUTED_VALUE"""),"А 4049")</f>
        <v>А 4049</v>
      </c>
      <c r="B287" s="94"/>
      <c r="C287" s="94"/>
      <c r="D287" s="94"/>
      <c r="E287" s="1429">
        <f>IFERROR(__xludf.DUMMYFUNCTION("""COMPUTED_VALUE"""),45816.0)</f>
        <v>45816</v>
      </c>
      <c r="F287" s="1429">
        <f>IFERROR(__xludf.DUMMYFUNCTION("""COMPUTED_VALUE"""),45822.0)</f>
        <v>45822</v>
      </c>
      <c r="G287" s="1430">
        <f>IFERROR(__xludf.DUMMYFUNCTION("""COMPUTED_VALUE"""),6.0)</f>
        <v>6</v>
      </c>
      <c r="H287" s="94">
        <f t="shared" si="1"/>
        <v>6</v>
      </c>
    </row>
    <row r="288" ht="15.75" customHeight="1">
      <c r="A288" s="94" t="str">
        <f>IFERROR(__xludf.DUMMYFUNCTION("""COMPUTED_VALUE"""),"WS В 1510")</f>
        <v>WS В 1510</v>
      </c>
      <c r="B288" s="94"/>
      <c r="C288" s="94"/>
      <c r="D288" s="94"/>
      <c r="E288" s="1429">
        <f>IFERROR(__xludf.DUMMYFUNCTION("""COMPUTED_VALUE"""),45816.0)</f>
        <v>45816</v>
      </c>
      <c r="F288" s="1429">
        <f>IFERROR(__xludf.DUMMYFUNCTION("""COMPUTED_VALUE"""),45830.0)</f>
        <v>45830</v>
      </c>
      <c r="G288" s="1430">
        <f>IFERROR(__xludf.DUMMYFUNCTION("""COMPUTED_VALUE"""),14.0)</f>
        <v>14</v>
      </c>
      <c r="H288" s="94">
        <f t="shared" si="1"/>
        <v>6</v>
      </c>
    </row>
    <row r="289" ht="15.75" customHeight="1">
      <c r="A289" s="94" t="str">
        <f>IFERROR(__xludf.DUMMYFUNCTION("""COMPUTED_VALUE"""),"TGB2")</f>
        <v>TGB2</v>
      </c>
      <c r="B289" s="94"/>
      <c r="C289" s="94"/>
      <c r="D289" s="94"/>
      <c r="E289" s="1429">
        <f>IFERROR(__xludf.DUMMYFUNCTION("""COMPUTED_VALUE"""),45817.0)</f>
        <v>45817</v>
      </c>
      <c r="F289" s="1429">
        <f>IFERROR(__xludf.DUMMYFUNCTION("""COMPUTED_VALUE"""),45830.0)</f>
        <v>45830</v>
      </c>
      <c r="G289" s="1430">
        <f>IFERROR(__xludf.DUMMYFUNCTION("""COMPUTED_VALUE"""),13.0)</f>
        <v>13</v>
      </c>
      <c r="H289" s="94">
        <f t="shared" si="1"/>
        <v>6</v>
      </c>
    </row>
    <row r="290" ht="15.75" customHeight="1">
      <c r="A290" s="94" t="str">
        <f>IFERROR(__xludf.DUMMYFUNCTION("""COMPUTED_VALUE"""),"TGA4")</f>
        <v>TGA4</v>
      </c>
      <c r="B290" s="94"/>
      <c r="C290" s="94"/>
      <c r="D290" s="94"/>
      <c r="E290" s="1429">
        <f>IFERROR(__xludf.DUMMYFUNCTION("""COMPUTED_VALUE"""),45817.0)</f>
        <v>45817</v>
      </c>
      <c r="F290" s="1429">
        <f>IFERROR(__xludf.DUMMYFUNCTION("""COMPUTED_VALUE"""),45820.0)</f>
        <v>45820</v>
      </c>
      <c r="G290" s="1430">
        <f>IFERROR(__xludf.DUMMYFUNCTION("""COMPUTED_VALUE"""),3.0)</f>
        <v>3</v>
      </c>
      <c r="H290" s="94">
        <f t="shared" si="1"/>
        <v>6</v>
      </c>
    </row>
    <row r="291" ht="15.75" customHeight="1">
      <c r="A291" s="94" t="str">
        <f>IFERROR(__xludf.DUMMYFUNCTION("""COMPUTED_VALUE"""),"TGA8")</f>
        <v>TGA8</v>
      </c>
      <c r="B291" s="94"/>
      <c r="C291" s="94"/>
      <c r="D291" s="94"/>
      <c r="E291" s="1429">
        <f>IFERROR(__xludf.DUMMYFUNCTION("""COMPUTED_VALUE"""),45817.0)</f>
        <v>45817</v>
      </c>
      <c r="F291" s="1429">
        <f>IFERROR(__xludf.DUMMYFUNCTION("""COMPUTED_VALUE"""),45821.0)</f>
        <v>45821</v>
      </c>
      <c r="G291" s="1430">
        <f>IFERROR(__xludf.DUMMYFUNCTION("""COMPUTED_VALUE"""),4.0)</f>
        <v>4</v>
      </c>
      <c r="H291" s="94">
        <f t="shared" si="1"/>
        <v>6</v>
      </c>
    </row>
    <row r="292" ht="15.75" customHeight="1">
      <c r="A292" s="94" t="str">
        <f>IFERROR(__xludf.DUMMYFUNCTION("""COMPUTED_VALUE"""),"TGA6")</f>
        <v>TGA6</v>
      </c>
      <c r="B292" s="94"/>
      <c r="C292" s="94"/>
      <c r="D292" s="94"/>
      <c r="E292" s="1429">
        <f>IFERROR(__xludf.DUMMYFUNCTION("""COMPUTED_VALUE"""),45817.0)</f>
        <v>45817</v>
      </c>
      <c r="F292" s="1429">
        <f>IFERROR(__xludf.DUMMYFUNCTION("""COMPUTED_VALUE"""),45824.0)</f>
        <v>45824</v>
      </c>
      <c r="G292" s="1430">
        <f>IFERROR(__xludf.DUMMYFUNCTION("""COMPUTED_VALUE"""),7.0)</f>
        <v>7</v>
      </c>
      <c r="H292" s="94">
        <f t="shared" si="1"/>
        <v>6</v>
      </c>
    </row>
    <row r="293" ht="15.75" customHeight="1">
      <c r="A293" s="94" t="str">
        <f>IFERROR(__xludf.DUMMYFUNCTION("""COMPUTED_VALUE"""),"BV1318")</f>
        <v>BV1318</v>
      </c>
      <c r="B293" s="94"/>
      <c r="C293" s="94"/>
      <c r="D293" s="94"/>
      <c r="E293" s="1429">
        <f>IFERROR(__xludf.DUMMYFUNCTION("""COMPUTED_VALUE"""),45817.0)</f>
        <v>45817</v>
      </c>
      <c r="F293" s="1429">
        <f>IFERROR(__xludf.DUMMYFUNCTION("""COMPUTED_VALUE"""),45820.0)</f>
        <v>45820</v>
      </c>
      <c r="G293" s="1430">
        <f>IFERROR(__xludf.DUMMYFUNCTION("""COMPUTED_VALUE"""),3.0)</f>
        <v>3</v>
      </c>
      <c r="H293" s="94">
        <f t="shared" si="1"/>
        <v>6</v>
      </c>
    </row>
    <row r="294" ht="15.75" customHeight="1">
      <c r="A294" s="94" t="str">
        <f>IFERROR(__xludf.DUMMYFUNCTION("""COMPUTED_VALUE"""),"PT2604")</f>
        <v>PT2604</v>
      </c>
      <c r="B294" s="94"/>
      <c r="C294" s="94"/>
      <c r="D294" s="94"/>
      <c r="E294" s="1429">
        <f>IFERROR(__xludf.DUMMYFUNCTION("""COMPUTED_VALUE"""),45817.0)</f>
        <v>45817</v>
      </c>
      <c r="F294" s="1429">
        <f>IFERROR(__xludf.DUMMYFUNCTION("""COMPUTED_VALUE"""),45821.0)</f>
        <v>45821</v>
      </c>
      <c r="G294" s="1430">
        <f>IFERROR(__xludf.DUMMYFUNCTION("""COMPUTED_VALUE"""),4.0)</f>
        <v>4</v>
      </c>
      <c r="H294" s="94">
        <f t="shared" si="1"/>
        <v>6</v>
      </c>
    </row>
    <row r="295" ht="15.75" customHeight="1">
      <c r="A295" s="94" t="str">
        <f>IFERROR(__xludf.DUMMYFUNCTION("""COMPUTED_VALUE"""),"PT2704")</f>
        <v>PT2704</v>
      </c>
      <c r="B295" s="94"/>
      <c r="C295" s="94"/>
      <c r="D295" s="94"/>
      <c r="E295" s="1429">
        <f>IFERROR(__xludf.DUMMYFUNCTION("""COMPUTED_VALUE"""),45817.0)</f>
        <v>45817</v>
      </c>
      <c r="F295" s="1429">
        <f>IFERROR(__xludf.DUMMYFUNCTION("""COMPUTED_VALUE"""),45819.0)</f>
        <v>45819</v>
      </c>
      <c r="G295" s="1430">
        <f>IFERROR(__xludf.DUMMYFUNCTION("""COMPUTED_VALUE"""),2.0)</f>
        <v>2</v>
      </c>
      <c r="H295" s="94">
        <f t="shared" si="1"/>
        <v>6</v>
      </c>
    </row>
    <row r="296" ht="15.75" customHeight="1">
      <c r="A296" s="94" t="str">
        <f>IFERROR(__xludf.DUMMYFUNCTION("""COMPUTED_VALUE"""),"С 1125")</f>
        <v>С 1125</v>
      </c>
      <c r="B296" s="94"/>
      <c r="C296" s="94"/>
      <c r="D296" s="94"/>
      <c r="E296" s="1429">
        <f>IFERROR(__xludf.DUMMYFUNCTION("""COMPUTED_VALUE"""),45817.0)</f>
        <v>45817</v>
      </c>
      <c r="F296" s="1429">
        <f>IFERROR(__xludf.DUMMYFUNCTION("""COMPUTED_VALUE"""),45819.0)</f>
        <v>45819</v>
      </c>
      <c r="G296" s="1430">
        <f>IFERROR(__xludf.DUMMYFUNCTION("""COMPUTED_VALUE"""),2.0)</f>
        <v>2</v>
      </c>
      <c r="H296" s="94">
        <f t="shared" si="1"/>
        <v>6</v>
      </c>
    </row>
    <row r="297" ht="15.75" customHeight="1">
      <c r="A297" s="94" t="str">
        <f>IFERROR(__xludf.DUMMYFUNCTION("""COMPUTED_VALUE"""),"D 1321")</f>
        <v>D 1321</v>
      </c>
      <c r="B297" s="94"/>
      <c r="C297" s="94"/>
      <c r="D297" s="94"/>
      <c r="E297" s="1429">
        <f>IFERROR(__xludf.DUMMYFUNCTION("""COMPUTED_VALUE"""),45817.0)</f>
        <v>45817</v>
      </c>
      <c r="F297" s="1429">
        <f>IFERROR(__xludf.DUMMYFUNCTION("""COMPUTED_VALUE"""),45824.0)</f>
        <v>45824</v>
      </c>
      <c r="G297" s="1430">
        <f>IFERROR(__xludf.DUMMYFUNCTION("""COMPUTED_VALUE"""),7.0)</f>
        <v>7</v>
      </c>
      <c r="H297" s="94">
        <f t="shared" si="1"/>
        <v>6</v>
      </c>
    </row>
    <row r="298" ht="15.75" customHeight="1">
      <c r="A298" s="94" t="str">
        <f>IFERROR(__xludf.DUMMYFUNCTION("""COMPUTED_VALUE"""),"D2 3216")</f>
        <v>D2 3216</v>
      </c>
      <c r="B298" s="94"/>
      <c r="C298" s="94"/>
      <c r="D298" s="94"/>
      <c r="E298" s="1429">
        <f>IFERROR(__xludf.DUMMYFUNCTION("""COMPUTED_VALUE"""),45817.0)</f>
        <v>45817</v>
      </c>
      <c r="F298" s="1429">
        <f>IFERROR(__xludf.DUMMYFUNCTION("""COMPUTED_VALUE"""),45820.0)</f>
        <v>45820</v>
      </c>
      <c r="G298" s="1430">
        <f>IFERROR(__xludf.DUMMYFUNCTION("""COMPUTED_VALUE"""),3.0)</f>
        <v>3</v>
      </c>
      <c r="H298" s="94">
        <f t="shared" si="1"/>
        <v>6</v>
      </c>
    </row>
    <row r="299" ht="15.75" customHeight="1">
      <c r="A299" s="94" t="str">
        <f>IFERROR(__xludf.DUMMYFUNCTION("""COMPUTED_VALUE"""),"Пиросмани 162")</f>
        <v>Пиросмани 162</v>
      </c>
      <c r="B299" s="94"/>
      <c r="C299" s="94"/>
      <c r="D299" s="94"/>
      <c r="E299" s="1429">
        <f>IFERROR(__xludf.DUMMYFUNCTION("""COMPUTED_VALUE"""),45818.0)</f>
        <v>45818</v>
      </c>
      <c r="F299" s="1429">
        <f>IFERROR(__xludf.DUMMYFUNCTION("""COMPUTED_VALUE"""),45847.0)</f>
        <v>45847</v>
      </c>
      <c r="G299" s="1430">
        <f>IFERROR(__xludf.DUMMYFUNCTION("""COMPUTED_VALUE"""),29.0)</f>
        <v>29</v>
      </c>
      <c r="H299" s="94">
        <f t="shared" si="1"/>
        <v>6</v>
      </c>
    </row>
    <row r="300" ht="15.75" customHeight="1">
      <c r="A300" s="94" t="str">
        <f>IFERROR(__xludf.DUMMYFUNCTION("""COMPUTED_VALUE"""),"WS E704")</f>
        <v>WS E704</v>
      </c>
      <c r="B300" s="94"/>
      <c r="C300" s="94"/>
      <c r="D300" s="94"/>
      <c r="E300" s="1429">
        <f>IFERROR(__xludf.DUMMYFUNCTION("""COMPUTED_VALUE"""),45817.0)</f>
        <v>45817</v>
      </c>
      <c r="F300" s="1429">
        <f>IFERROR(__xludf.DUMMYFUNCTION("""COMPUTED_VALUE"""),45822.0)</f>
        <v>45822</v>
      </c>
      <c r="G300" s="1430">
        <f>IFERROR(__xludf.DUMMYFUNCTION("""COMPUTED_VALUE"""),5.0)</f>
        <v>5</v>
      </c>
      <c r="H300" s="94">
        <f t="shared" si="1"/>
        <v>6</v>
      </c>
    </row>
    <row r="301" ht="15.75" customHeight="1">
      <c r="A301" s="94" t="str">
        <f>IFERROR(__xludf.DUMMYFUNCTION("""COMPUTED_VALUE"""),"TGA2")</f>
        <v>TGA2</v>
      </c>
      <c r="B301" s="94"/>
      <c r="C301" s="94"/>
      <c r="D301" s="94"/>
      <c r="E301" s="1429">
        <f>IFERROR(__xludf.DUMMYFUNCTION("""COMPUTED_VALUE"""),45818.0)</f>
        <v>45818</v>
      </c>
      <c r="F301" s="1429">
        <f>IFERROR(__xludf.DUMMYFUNCTION("""COMPUTED_VALUE"""),45821.0)</f>
        <v>45821</v>
      </c>
      <c r="G301" s="1430">
        <f>IFERROR(__xludf.DUMMYFUNCTION("""COMPUTED_VALUE"""),3.0)</f>
        <v>3</v>
      </c>
      <c r="H301" s="94">
        <f t="shared" si="1"/>
        <v>6</v>
      </c>
    </row>
    <row r="302" ht="15.75" customHeight="1">
      <c r="A302" s="94" t="str">
        <f>IFERROR(__xludf.DUMMYFUNCTION("""COMPUTED_VALUE"""),"CM 1604")</f>
        <v>CM 1604</v>
      </c>
      <c r="B302" s="94"/>
      <c r="C302" s="94"/>
      <c r="D302" s="94"/>
      <c r="E302" s="1429">
        <f>IFERROR(__xludf.DUMMYFUNCTION("""COMPUTED_VALUE"""),45818.0)</f>
        <v>45818</v>
      </c>
      <c r="F302" s="1429">
        <f>IFERROR(__xludf.DUMMYFUNCTION("""COMPUTED_VALUE"""),45822.0)</f>
        <v>45822</v>
      </c>
      <c r="G302" s="1430">
        <f>IFERROR(__xludf.DUMMYFUNCTION("""COMPUTED_VALUE"""),4.0)</f>
        <v>4</v>
      </c>
      <c r="H302" s="94">
        <f t="shared" si="1"/>
        <v>6</v>
      </c>
    </row>
    <row r="303" ht="15.75" customHeight="1">
      <c r="A303" s="94" t="str">
        <f>IFERROR(__xludf.DUMMYFUNCTION("""COMPUTED_VALUE"""),"DL 14-702")</f>
        <v>DL 14-702</v>
      </c>
      <c r="B303" s="94"/>
      <c r="C303" s="94"/>
      <c r="D303" s="94"/>
      <c r="E303" s="1429">
        <f>IFERROR(__xludf.DUMMYFUNCTION("""COMPUTED_VALUE"""),45818.0)</f>
        <v>45818</v>
      </c>
      <c r="F303" s="1429">
        <f>IFERROR(__xludf.DUMMYFUNCTION("""COMPUTED_VALUE"""),45821.0)</f>
        <v>45821</v>
      </c>
      <c r="G303" s="1430">
        <f>IFERROR(__xludf.DUMMYFUNCTION("""COMPUTED_VALUE"""),3.0)</f>
        <v>3</v>
      </c>
      <c r="H303" s="94">
        <f t="shared" si="1"/>
        <v>6</v>
      </c>
    </row>
    <row r="304" ht="15.75" customHeight="1">
      <c r="A304" s="94" t="str">
        <f>IFERROR(__xludf.DUMMYFUNCTION("""COMPUTED_VALUE"""),"WS E 1202")</f>
        <v>WS E 1202</v>
      </c>
      <c r="B304" s="94"/>
      <c r="C304" s="94"/>
      <c r="D304" s="94"/>
      <c r="E304" s="1429">
        <f>IFERROR(__xludf.DUMMYFUNCTION("""COMPUTED_VALUE"""),45818.0)</f>
        <v>45818</v>
      </c>
      <c r="F304" s="1429">
        <f>IFERROR(__xludf.DUMMYFUNCTION("""COMPUTED_VALUE"""),45821.0)</f>
        <v>45821</v>
      </c>
      <c r="G304" s="1430">
        <f>IFERROR(__xludf.DUMMYFUNCTION("""COMPUTED_VALUE"""),3.0)</f>
        <v>3</v>
      </c>
      <c r="H304" s="94">
        <f t="shared" si="1"/>
        <v>6</v>
      </c>
    </row>
    <row r="305" ht="15.75" customHeight="1">
      <c r="A305" s="94" t="str">
        <f>IFERROR(__xludf.DUMMYFUNCTION("""COMPUTED_VALUE"""),"D 3629")</f>
        <v>D 3629</v>
      </c>
      <c r="B305" s="94"/>
      <c r="C305" s="94"/>
      <c r="D305" s="94"/>
      <c r="E305" s="1429">
        <f>IFERROR(__xludf.DUMMYFUNCTION("""COMPUTED_VALUE"""),45818.0)</f>
        <v>45818</v>
      </c>
      <c r="F305" s="1429">
        <f>IFERROR(__xludf.DUMMYFUNCTION("""COMPUTED_VALUE"""),45823.0)</f>
        <v>45823</v>
      </c>
      <c r="G305" s="1430">
        <f>IFERROR(__xludf.DUMMYFUNCTION("""COMPUTED_VALUE"""),5.0)</f>
        <v>5</v>
      </c>
      <c r="H305" s="94">
        <f t="shared" si="1"/>
        <v>6</v>
      </c>
    </row>
    <row r="306" ht="15.75" customHeight="1">
      <c r="A306" s="94" t="str">
        <f>IFERROR(__xludf.DUMMYFUNCTION("""COMPUTED_VALUE"""),"WS F 907")</f>
        <v>WS F 907</v>
      </c>
      <c r="B306" s="94"/>
      <c r="C306" s="94"/>
      <c r="D306" s="94"/>
      <c r="E306" s="1429">
        <f>IFERROR(__xludf.DUMMYFUNCTION("""COMPUTED_VALUE"""),45818.0)</f>
        <v>45818</v>
      </c>
      <c r="F306" s="1429">
        <f>IFERROR(__xludf.DUMMYFUNCTION("""COMPUTED_VALUE"""),45822.0)</f>
        <v>45822</v>
      </c>
      <c r="G306" s="1430">
        <f>IFERROR(__xludf.DUMMYFUNCTION("""COMPUTED_VALUE"""),4.0)</f>
        <v>4</v>
      </c>
      <c r="H306" s="94">
        <f t="shared" si="1"/>
        <v>6</v>
      </c>
    </row>
    <row r="307" ht="15.75" customHeight="1">
      <c r="A307" s="94" t="str">
        <f>IFERROR(__xludf.DUMMYFUNCTION("""COMPUTED_VALUE"""),"WS A907")</f>
        <v>WS A907</v>
      </c>
      <c r="B307" s="94"/>
      <c r="C307" s="94"/>
      <c r="D307" s="94"/>
      <c r="E307" s="1429">
        <f>IFERROR(__xludf.DUMMYFUNCTION("""COMPUTED_VALUE"""),45818.0)</f>
        <v>45818</v>
      </c>
      <c r="F307" s="1429">
        <f>IFERROR(__xludf.DUMMYFUNCTION("""COMPUTED_VALUE"""),45822.0)</f>
        <v>45822</v>
      </c>
      <c r="G307" s="1430">
        <f>IFERROR(__xludf.DUMMYFUNCTION("""COMPUTED_VALUE"""),4.0)</f>
        <v>4</v>
      </c>
      <c r="H307" s="94">
        <f t="shared" si="1"/>
        <v>6</v>
      </c>
    </row>
    <row r="308" ht="15.75" customHeight="1">
      <c r="A308" s="94" t="str">
        <f>IFERROR(__xludf.DUMMYFUNCTION("""COMPUTED_VALUE"""),"MZ 718")</f>
        <v>MZ 718</v>
      </c>
      <c r="B308" s="94"/>
      <c r="C308" s="94"/>
      <c r="D308" s="94"/>
      <c r="E308" s="1429">
        <f>IFERROR(__xludf.DUMMYFUNCTION("""COMPUTED_VALUE"""),45818.0)</f>
        <v>45818</v>
      </c>
      <c r="F308" s="1429">
        <f>IFERROR(__xludf.DUMMYFUNCTION("""COMPUTED_VALUE"""),45821.0)</f>
        <v>45821</v>
      </c>
      <c r="G308" s="1430">
        <f>IFERROR(__xludf.DUMMYFUNCTION("""COMPUTED_VALUE"""),3.0)</f>
        <v>3</v>
      </c>
      <c r="H308" s="94">
        <f t="shared" si="1"/>
        <v>6</v>
      </c>
    </row>
    <row r="309" ht="15.75" customHeight="1">
      <c r="A309" s="94" t="str">
        <f>IFERROR(__xludf.DUMMYFUNCTION("""COMPUTED_VALUE"""),"TGA3")</f>
        <v>TGA3</v>
      </c>
      <c r="B309" s="94"/>
      <c r="C309" s="94"/>
      <c r="D309" s="94"/>
      <c r="E309" s="1429">
        <f>IFERROR(__xludf.DUMMYFUNCTION("""COMPUTED_VALUE"""),45819.0)</f>
        <v>45819</v>
      </c>
      <c r="F309" s="1429">
        <f>IFERROR(__xludf.DUMMYFUNCTION("""COMPUTED_VALUE"""),45823.0)</f>
        <v>45823</v>
      </c>
      <c r="G309" s="1430">
        <f>IFERROR(__xludf.DUMMYFUNCTION("""COMPUTED_VALUE"""),4.0)</f>
        <v>4</v>
      </c>
      <c r="H309" s="94">
        <f t="shared" si="1"/>
        <v>6</v>
      </c>
    </row>
    <row r="310" ht="15.75" customHeight="1">
      <c r="A310" s="94" t="str">
        <f>IFERROR(__xludf.DUMMYFUNCTION("""COMPUTED_VALUE"""),"C 4245")</f>
        <v>C 4245</v>
      </c>
      <c r="B310" s="94"/>
      <c r="C310" s="94"/>
      <c r="D310" s="94"/>
      <c r="E310" s="1429">
        <f>IFERROR(__xludf.DUMMYFUNCTION("""COMPUTED_VALUE"""),45819.0)</f>
        <v>45819</v>
      </c>
      <c r="F310" s="1429">
        <f>IFERROR(__xludf.DUMMYFUNCTION("""COMPUTED_VALUE"""),45821.0)</f>
        <v>45821</v>
      </c>
      <c r="G310" s="1430">
        <f>IFERROR(__xludf.DUMMYFUNCTION("""COMPUTED_VALUE"""),2.0)</f>
        <v>2</v>
      </c>
      <c r="H310" s="94">
        <f t="shared" si="1"/>
        <v>6</v>
      </c>
    </row>
    <row r="311" ht="15.75" customHeight="1">
      <c r="A311" s="94" t="str">
        <f>IFERROR(__xludf.DUMMYFUNCTION("""COMPUTED_VALUE"""),"С 1125")</f>
        <v>С 1125</v>
      </c>
      <c r="B311" s="94"/>
      <c r="C311" s="94"/>
      <c r="D311" s="94"/>
      <c r="E311" s="1429">
        <f>IFERROR(__xludf.DUMMYFUNCTION("""COMPUTED_VALUE"""),45819.0)</f>
        <v>45819</v>
      </c>
      <c r="F311" s="1429">
        <f>IFERROR(__xludf.DUMMYFUNCTION("""COMPUTED_VALUE"""),45821.0)</f>
        <v>45821</v>
      </c>
      <c r="G311" s="1430">
        <f>IFERROR(__xludf.DUMMYFUNCTION("""COMPUTED_VALUE"""),2.0)</f>
        <v>2</v>
      </c>
      <c r="H311" s="94">
        <f t="shared" si="1"/>
        <v>6</v>
      </c>
    </row>
    <row r="312" ht="15.75" customHeight="1">
      <c r="A312" s="94" t="str">
        <f>IFERROR(__xludf.DUMMYFUNCTION("""COMPUTED_VALUE"""),"WS A 608")</f>
        <v>WS A 608</v>
      </c>
      <c r="B312" s="94"/>
      <c r="C312" s="94"/>
      <c r="D312" s="94"/>
      <c r="E312" s="1429">
        <f>IFERROR(__xludf.DUMMYFUNCTION("""COMPUTED_VALUE"""),45819.0)</f>
        <v>45819</v>
      </c>
      <c r="F312" s="1435">
        <f>IFERROR(__xludf.DUMMYFUNCTION("""COMPUTED_VALUE"""),45821.0)</f>
        <v>45821</v>
      </c>
      <c r="G312" s="1430">
        <f>IFERROR(__xludf.DUMMYFUNCTION("""COMPUTED_VALUE"""),2.0)</f>
        <v>2</v>
      </c>
      <c r="H312" s="94">
        <f t="shared" si="1"/>
        <v>6</v>
      </c>
    </row>
    <row r="313" ht="15.75" customHeight="1">
      <c r="A313" s="94" t="str">
        <f>IFERROR(__xludf.DUMMYFUNCTION("""COMPUTED_VALUE"""),"WS Е804")</f>
        <v>WS Е804</v>
      </c>
      <c r="B313" s="94"/>
      <c r="C313" s="94"/>
      <c r="D313" s="94"/>
      <c r="E313" s="1429">
        <f>IFERROR(__xludf.DUMMYFUNCTION("""COMPUTED_VALUE"""),45819.0)</f>
        <v>45819</v>
      </c>
      <c r="F313" s="1429">
        <f>IFERROR(__xludf.DUMMYFUNCTION("""COMPUTED_VALUE"""),45823.0)</f>
        <v>45823</v>
      </c>
      <c r="G313" s="1430">
        <f>IFERROR(__xludf.DUMMYFUNCTION("""COMPUTED_VALUE"""),4.0)</f>
        <v>4</v>
      </c>
      <c r="H313" s="94">
        <f t="shared" si="1"/>
        <v>6</v>
      </c>
    </row>
    <row r="314" ht="15.75" customHeight="1">
      <c r="A314" s="94" t="str">
        <f>IFERROR(__xludf.DUMMYFUNCTION("""COMPUTED_VALUE"""),"TGA1")</f>
        <v>TGA1</v>
      </c>
      <c r="B314" s="94"/>
      <c r="C314" s="94"/>
      <c r="D314" s="94"/>
      <c r="E314" s="1429">
        <f>IFERROR(__xludf.DUMMYFUNCTION("""COMPUTED_VALUE"""),45820.0)</f>
        <v>45820</v>
      </c>
      <c r="F314" s="1429">
        <f>IFERROR(__xludf.DUMMYFUNCTION("""COMPUTED_VALUE"""),45823.0)</f>
        <v>45823</v>
      </c>
      <c r="G314" s="1430">
        <f>IFERROR(__xludf.DUMMYFUNCTION("""COMPUTED_VALUE"""),3.0)</f>
        <v>3</v>
      </c>
      <c r="H314" s="94">
        <f t="shared" si="1"/>
        <v>6</v>
      </c>
    </row>
    <row r="315" ht="15.75" customHeight="1">
      <c r="A315" s="94" t="str">
        <f>IFERROR(__xludf.DUMMYFUNCTION("""COMPUTED_VALUE"""),"PT2704")</f>
        <v>PT2704</v>
      </c>
      <c r="B315" s="94"/>
      <c r="C315" s="94"/>
      <c r="D315" s="94"/>
      <c r="E315" s="1429">
        <f>IFERROR(__xludf.DUMMYFUNCTION("""COMPUTED_VALUE"""),45820.0)</f>
        <v>45820</v>
      </c>
      <c r="F315" s="1429">
        <f>IFERROR(__xludf.DUMMYFUNCTION("""COMPUTED_VALUE"""),45822.0)</f>
        <v>45822</v>
      </c>
      <c r="G315" s="1430">
        <f>IFERROR(__xludf.DUMMYFUNCTION("""COMPUTED_VALUE"""),2.0)</f>
        <v>2</v>
      </c>
      <c r="H315" s="94">
        <f t="shared" si="1"/>
        <v>6</v>
      </c>
    </row>
    <row r="316" ht="15.75" customHeight="1">
      <c r="A316" s="94" t="str">
        <f>IFERROR(__xludf.DUMMYFUNCTION("""COMPUTED_VALUE"""),"С 1443")</f>
        <v>С 1443</v>
      </c>
      <c r="B316" s="94"/>
      <c r="C316" s="94"/>
      <c r="D316" s="94"/>
      <c r="E316" s="1429">
        <f>IFERROR(__xludf.DUMMYFUNCTION("""COMPUTED_VALUE"""),45820.0)</f>
        <v>45820</v>
      </c>
      <c r="F316" s="1429">
        <f>IFERROR(__xludf.DUMMYFUNCTION("""COMPUTED_VALUE"""),45822.0)</f>
        <v>45822</v>
      </c>
      <c r="G316" s="1430">
        <f>IFERROR(__xludf.DUMMYFUNCTION("""COMPUTED_VALUE"""),2.0)</f>
        <v>2</v>
      </c>
      <c r="H316" s="94">
        <f t="shared" si="1"/>
        <v>6</v>
      </c>
    </row>
    <row r="317" ht="15.75" customHeight="1">
      <c r="A317" s="94" t="str">
        <f>IFERROR(__xludf.DUMMYFUNCTION("""COMPUTED_VALUE"""),"D2 1625")</f>
        <v>D2 1625</v>
      </c>
      <c r="B317" s="94"/>
      <c r="C317" s="94"/>
      <c r="D317" s="94"/>
      <c r="E317" s="1429">
        <f>IFERROR(__xludf.DUMMYFUNCTION("""COMPUTED_VALUE"""),45820.0)</f>
        <v>45820</v>
      </c>
      <c r="F317" s="1429">
        <f>IFERROR(__xludf.DUMMYFUNCTION("""COMPUTED_VALUE"""),45833.0)</f>
        <v>45833</v>
      </c>
      <c r="G317" s="1430">
        <f>IFERROR(__xludf.DUMMYFUNCTION("""COMPUTED_VALUE"""),13.0)</f>
        <v>13</v>
      </c>
      <c r="H317" s="94">
        <f t="shared" si="1"/>
        <v>6</v>
      </c>
    </row>
    <row r="318" ht="15.75" customHeight="1">
      <c r="A318" s="94" t="str">
        <f>IFERROR(__xludf.DUMMYFUNCTION("""COMPUTED_VALUE"""),"14-411")</f>
        <v>14-411</v>
      </c>
      <c r="B318" s="94"/>
      <c r="C318" s="94"/>
      <c r="D318" s="94"/>
      <c r="E318" s="1429">
        <f>IFERROR(__xludf.DUMMYFUNCTION("""COMPUTED_VALUE"""),45821.0)</f>
        <v>45821</v>
      </c>
      <c r="F318" s="1429">
        <f>IFERROR(__xludf.DUMMYFUNCTION("""COMPUTED_VALUE"""),45828.0)</f>
        <v>45828</v>
      </c>
      <c r="G318" s="1430">
        <f>IFERROR(__xludf.DUMMYFUNCTION("""COMPUTED_VALUE"""),7.0)</f>
        <v>7</v>
      </c>
      <c r="H318" s="94">
        <f t="shared" si="1"/>
        <v>6</v>
      </c>
    </row>
    <row r="319" ht="15.75" customHeight="1">
      <c r="A319" s="94" t="str">
        <f>IFERROR(__xludf.DUMMYFUNCTION("""COMPUTED_VALUE"""),"MZ 913")</f>
        <v>MZ 913</v>
      </c>
      <c r="B319" s="94"/>
      <c r="C319" s="94"/>
      <c r="D319" s="94"/>
      <c r="E319" s="1429">
        <f>IFERROR(__xludf.DUMMYFUNCTION("""COMPUTED_VALUE"""),45821.0)</f>
        <v>45821</v>
      </c>
      <c r="F319" s="1429">
        <f>IFERROR(__xludf.DUMMYFUNCTION("""COMPUTED_VALUE"""),45825.0)</f>
        <v>45825</v>
      </c>
      <c r="G319" s="1430">
        <f>IFERROR(__xludf.DUMMYFUNCTION("""COMPUTED_VALUE"""),4.0)</f>
        <v>4</v>
      </c>
      <c r="H319" s="94">
        <f t="shared" si="1"/>
        <v>6</v>
      </c>
    </row>
    <row r="320" ht="15.75" customHeight="1">
      <c r="A320" s="94" t="str">
        <f>IFERROR(__xludf.DUMMYFUNCTION("""COMPUTED_VALUE"""),"CM 1931")</f>
        <v>CM 1931</v>
      </c>
      <c r="B320" s="94"/>
      <c r="C320" s="94"/>
      <c r="D320" s="94"/>
      <c r="E320" s="1429">
        <f>IFERROR(__xludf.DUMMYFUNCTION("""COMPUTED_VALUE"""),45821.0)</f>
        <v>45821</v>
      </c>
      <c r="F320" s="1429">
        <f>IFERROR(__xludf.DUMMYFUNCTION("""COMPUTED_VALUE"""),45824.0)</f>
        <v>45824</v>
      </c>
      <c r="G320" s="1430">
        <f>IFERROR(__xludf.DUMMYFUNCTION("""COMPUTED_VALUE"""),3.0)</f>
        <v>3</v>
      </c>
      <c r="H320" s="94">
        <f t="shared" si="1"/>
        <v>6</v>
      </c>
    </row>
    <row r="321" ht="15.75" customHeight="1">
      <c r="A321" s="94" t="str">
        <f>IFERROR(__xludf.DUMMYFUNCTION("""COMPUTED_VALUE"""),"BV1318")</f>
        <v>BV1318</v>
      </c>
      <c r="B321" s="94"/>
      <c r="C321" s="94"/>
      <c r="D321" s="94"/>
      <c r="E321" s="1429">
        <f>IFERROR(__xludf.DUMMYFUNCTION("""COMPUTED_VALUE"""),45821.0)</f>
        <v>45821</v>
      </c>
      <c r="F321" s="1429">
        <f>IFERROR(__xludf.DUMMYFUNCTION("""COMPUTED_VALUE"""),45823.0)</f>
        <v>45823</v>
      </c>
      <c r="G321" s="1430">
        <f>IFERROR(__xludf.DUMMYFUNCTION("""COMPUTED_VALUE"""),2.0)</f>
        <v>2</v>
      </c>
      <c r="H321" s="94">
        <f t="shared" si="1"/>
        <v>6</v>
      </c>
    </row>
    <row r="322" ht="15.75" customHeight="1">
      <c r="A322" s="94" t="str">
        <f>IFERROR(__xludf.DUMMYFUNCTION("""COMPUTED_VALUE"""),"C 4245")</f>
        <v>C 4245</v>
      </c>
      <c r="B322" s="94"/>
      <c r="C322" s="94"/>
      <c r="D322" s="94"/>
      <c r="E322" s="1429">
        <f>IFERROR(__xludf.DUMMYFUNCTION("""COMPUTED_VALUE"""),45821.0)</f>
        <v>45821</v>
      </c>
      <c r="F322" s="1429">
        <f>IFERROR(__xludf.DUMMYFUNCTION("""COMPUTED_VALUE"""),45823.0)</f>
        <v>45823</v>
      </c>
      <c r="G322" s="1430">
        <f>IFERROR(__xludf.DUMMYFUNCTION("""COMPUTED_VALUE"""),2.0)</f>
        <v>2</v>
      </c>
      <c r="H322" s="94">
        <f t="shared" si="1"/>
        <v>6</v>
      </c>
    </row>
    <row r="323" ht="15.75" customHeight="1">
      <c r="A323" s="94" t="str">
        <f>IFERROR(__xludf.DUMMYFUNCTION("""COMPUTED_VALUE"""),"WS A 608")</f>
        <v>WS A 608</v>
      </c>
      <c r="B323" s="94"/>
      <c r="C323" s="94"/>
      <c r="D323" s="94"/>
      <c r="E323" s="1429">
        <f>IFERROR(__xludf.DUMMYFUNCTION("""COMPUTED_VALUE"""),45821.0)</f>
        <v>45821</v>
      </c>
      <c r="F323" s="1429">
        <f>IFERROR(__xludf.DUMMYFUNCTION("""COMPUTED_VALUE"""),45824.0)</f>
        <v>45824</v>
      </c>
      <c r="G323" s="1430">
        <f>IFERROR(__xludf.DUMMYFUNCTION("""COMPUTED_VALUE"""),3.0)</f>
        <v>3</v>
      </c>
      <c r="H323" s="94">
        <f t="shared" si="1"/>
        <v>6</v>
      </c>
    </row>
    <row r="324" ht="15.75" customHeight="1">
      <c r="A324" s="94" t="str">
        <f>IFERROR(__xludf.DUMMYFUNCTION("""COMPUTED_VALUE"""),"PT2604")</f>
        <v>PT2604</v>
      </c>
      <c r="B324" s="94"/>
      <c r="C324" s="94"/>
      <c r="D324" s="94"/>
      <c r="E324" s="1429">
        <f>IFERROR(__xludf.DUMMYFUNCTION("""COMPUTED_VALUE"""),45821.0)</f>
        <v>45821</v>
      </c>
      <c r="F324" s="1429">
        <f>IFERROR(__xludf.DUMMYFUNCTION("""COMPUTED_VALUE"""),45825.0)</f>
        <v>45825</v>
      </c>
      <c r="G324" s="1430">
        <f>IFERROR(__xludf.DUMMYFUNCTION("""COMPUTED_VALUE"""),4.0)</f>
        <v>4</v>
      </c>
      <c r="H324" s="94">
        <f t="shared" si="1"/>
        <v>6</v>
      </c>
    </row>
    <row r="325" ht="15.75" customHeight="1">
      <c r="A325" s="94" t="str">
        <f>IFERROR(__xludf.DUMMYFUNCTION("""COMPUTED_VALUE"""),"А 4049")</f>
        <v>А 4049</v>
      </c>
      <c r="B325" s="94"/>
      <c r="C325" s="94"/>
      <c r="D325" s="94"/>
      <c r="E325" s="1429">
        <f>IFERROR(__xludf.DUMMYFUNCTION("""COMPUTED_VALUE"""),45822.0)</f>
        <v>45822</v>
      </c>
      <c r="F325" s="1429">
        <f>IFERROR(__xludf.DUMMYFUNCTION("""COMPUTED_VALUE"""),45825.0)</f>
        <v>45825</v>
      </c>
      <c r="G325" s="1430">
        <f>IFERROR(__xludf.DUMMYFUNCTION("""COMPUTED_VALUE"""),3.0)</f>
        <v>3</v>
      </c>
      <c r="H325" s="94">
        <f t="shared" si="1"/>
        <v>6</v>
      </c>
    </row>
    <row r="326" ht="15.75" customHeight="1">
      <c r="A326" s="94" t="str">
        <f>IFERROR(__xludf.DUMMYFUNCTION("""COMPUTED_VALUE"""),"WS В 503")</f>
        <v>WS В 503</v>
      </c>
      <c r="B326" s="94"/>
      <c r="C326" s="94"/>
      <c r="D326" s="94"/>
      <c r="E326" s="1429">
        <f>IFERROR(__xludf.DUMMYFUNCTION("""COMPUTED_VALUE"""),45822.0)</f>
        <v>45822</v>
      </c>
      <c r="F326" s="1429">
        <f>IFERROR(__xludf.DUMMYFUNCTION("""COMPUTED_VALUE"""),45825.0)</f>
        <v>45825</v>
      </c>
      <c r="G326" s="1430">
        <f>IFERROR(__xludf.DUMMYFUNCTION("""COMPUTED_VALUE"""),3.0)</f>
        <v>3</v>
      </c>
      <c r="H326" s="94">
        <f t="shared" si="1"/>
        <v>6</v>
      </c>
    </row>
    <row r="327" ht="15.75" customHeight="1">
      <c r="A327" s="94" t="str">
        <f>IFERROR(__xludf.DUMMYFUNCTION("""COMPUTED_VALUE"""),"WS E704")</f>
        <v>WS E704</v>
      </c>
      <c r="B327" s="94"/>
      <c r="C327" s="94"/>
      <c r="D327" s="94"/>
      <c r="E327" s="1429">
        <f>IFERROR(__xludf.DUMMYFUNCTION("""COMPUTED_VALUE"""),45822.0)</f>
        <v>45822</v>
      </c>
      <c r="F327" s="1429">
        <f>IFERROR(__xludf.DUMMYFUNCTION("""COMPUTED_VALUE"""),45829.0)</f>
        <v>45829</v>
      </c>
      <c r="G327" s="1430">
        <f>IFERROR(__xludf.DUMMYFUNCTION("""COMPUTED_VALUE"""),7.0)</f>
        <v>7</v>
      </c>
      <c r="H327" s="94">
        <f t="shared" si="1"/>
        <v>6</v>
      </c>
    </row>
    <row r="328" ht="15.75" customHeight="1">
      <c r="A328" s="94" t="str">
        <f>IFERROR(__xludf.DUMMYFUNCTION("""COMPUTED_VALUE"""),"NW 9-6")</f>
        <v>NW 9-6</v>
      </c>
      <c r="B328" s="94"/>
      <c r="C328" s="94"/>
      <c r="D328" s="94"/>
      <c r="E328" s="1429">
        <f>IFERROR(__xludf.DUMMYFUNCTION("""COMPUTED_VALUE"""),45821.0)</f>
        <v>45821</v>
      </c>
      <c r="F328" s="1429">
        <f>IFERROR(__xludf.DUMMYFUNCTION("""COMPUTED_VALUE"""),45825.0)</f>
        <v>45825</v>
      </c>
      <c r="G328" s="1430">
        <f>IFERROR(__xludf.DUMMYFUNCTION("""COMPUTED_VALUE"""),4.0)</f>
        <v>4</v>
      </c>
      <c r="H328" s="94">
        <f t="shared" si="1"/>
        <v>6</v>
      </c>
    </row>
    <row r="329" ht="15.75" customHeight="1">
      <c r="A329" s="94" t="str">
        <f>IFERROR(__xludf.DUMMYFUNCTION("""COMPUTED_VALUE"""),"MZ 913")</f>
        <v>MZ 913</v>
      </c>
      <c r="B329" s="94"/>
      <c r="C329" s="94"/>
      <c r="D329" s="94"/>
      <c r="E329" s="1429">
        <f>IFERROR(__xludf.DUMMYFUNCTION("""COMPUTED_VALUE"""),45821.0)</f>
        <v>45821</v>
      </c>
      <c r="F329" s="1429">
        <f>IFERROR(__xludf.DUMMYFUNCTION("""COMPUTED_VALUE"""),45826.0)</f>
        <v>45826</v>
      </c>
      <c r="G329" s="1430">
        <f>IFERROR(__xludf.DUMMYFUNCTION("""COMPUTED_VALUE"""),5.0)</f>
        <v>5</v>
      </c>
      <c r="H329" s="94">
        <f t="shared" si="1"/>
        <v>6</v>
      </c>
    </row>
    <row r="330" ht="15.75" customHeight="1">
      <c r="A330" s="94" t="str">
        <f>IFERROR(__xludf.DUMMYFUNCTION("""COMPUTED_VALUE"""),"С 1125")</f>
        <v>С 1125</v>
      </c>
      <c r="B330" s="94"/>
      <c r="C330" s="94"/>
      <c r="D330" s="94"/>
      <c r="E330" s="1429">
        <f>IFERROR(__xludf.DUMMYFUNCTION("""COMPUTED_VALUE"""),45821.0)</f>
        <v>45821</v>
      </c>
      <c r="F330" s="1429">
        <f>IFERROR(__xludf.DUMMYFUNCTION("""COMPUTED_VALUE"""),45823.0)</f>
        <v>45823</v>
      </c>
      <c r="G330" s="1430">
        <f>IFERROR(__xludf.DUMMYFUNCTION("""COMPUTED_VALUE"""),2.0)</f>
        <v>2</v>
      </c>
      <c r="H330" s="94">
        <f t="shared" si="1"/>
        <v>6</v>
      </c>
    </row>
    <row r="331" ht="15.75" customHeight="1">
      <c r="A331" s="94" t="str">
        <f>IFERROR(__xludf.DUMMYFUNCTION("""COMPUTED_VALUE"""),"BV206")</f>
        <v>BV206</v>
      </c>
      <c r="B331" s="94"/>
      <c r="C331" s="94"/>
      <c r="D331" s="94"/>
      <c r="E331" s="1429">
        <f>IFERROR(__xludf.DUMMYFUNCTION("""COMPUTED_VALUE"""),45822.0)</f>
        <v>45822</v>
      </c>
      <c r="F331" s="1429">
        <f>IFERROR(__xludf.DUMMYFUNCTION("""COMPUTED_VALUE"""),45824.0)</f>
        <v>45824</v>
      </c>
      <c r="G331" s="1430">
        <f>IFERROR(__xludf.DUMMYFUNCTION("""COMPUTED_VALUE"""),2.0)</f>
        <v>2</v>
      </c>
      <c r="H331" s="94">
        <f t="shared" si="1"/>
        <v>6</v>
      </c>
    </row>
    <row r="332" ht="15.75" customHeight="1">
      <c r="A332" s="94" t="str">
        <f>IFERROR(__xludf.DUMMYFUNCTION("""COMPUTED_VALUE"""),"CM 1606")</f>
        <v>CM 1606</v>
      </c>
      <c r="B332" s="94"/>
      <c r="C332" s="94"/>
      <c r="D332" s="94"/>
      <c r="E332" s="1429">
        <f>IFERROR(__xludf.DUMMYFUNCTION("""COMPUTED_VALUE"""),45822.0)</f>
        <v>45822</v>
      </c>
      <c r="F332" s="1429">
        <f>IFERROR(__xludf.DUMMYFUNCTION("""COMPUTED_VALUE"""),45825.0)</f>
        <v>45825</v>
      </c>
      <c r="G332" s="1430">
        <f>IFERROR(__xludf.DUMMYFUNCTION("""COMPUTED_VALUE"""),3.0)</f>
        <v>3</v>
      </c>
      <c r="H332" s="94">
        <f t="shared" si="1"/>
        <v>6</v>
      </c>
    </row>
    <row r="333" ht="15.75" customHeight="1">
      <c r="A333" s="94" t="str">
        <f>IFERROR(__xludf.DUMMYFUNCTION("""COMPUTED_VALUE"""),"Polo 4-12")</f>
        <v>Polo 4-12</v>
      </c>
      <c r="B333" s="94"/>
      <c r="C333" s="94"/>
      <c r="D333" s="94"/>
      <c r="E333" s="1429">
        <f>IFERROR(__xludf.DUMMYFUNCTION("""COMPUTED_VALUE"""),45823.0)</f>
        <v>45823</v>
      </c>
      <c r="F333" s="1429">
        <f>IFERROR(__xludf.DUMMYFUNCTION("""COMPUTED_VALUE"""),45852.0)</f>
        <v>45852</v>
      </c>
      <c r="G333" s="1430">
        <f>IFERROR(__xludf.DUMMYFUNCTION("""COMPUTED_VALUE"""),29.0)</f>
        <v>29</v>
      </c>
      <c r="H333" s="94">
        <f t="shared" si="1"/>
        <v>6</v>
      </c>
    </row>
    <row r="334" ht="15.75" customHeight="1">
      <c r="A334" s="94" t="str">
        <f>IFERROR(__xludf.DUMMYFUNCTION("""COMPUTED_VALUE"""),"WS E 1202")</f>
        <v>WS E 1202</v>
      </c>
      <c r="B334" s="94"/>
      <c r="C334" s="94"/>
      <c r="D334" s="94"/>
      <c r="E334" s="1429">
        <f>IFERROR(__xludf.DUMMYFUNCTION("""COMPUTED_VALUE"""),45823.0)</f>
        <v>45823</v>
      </c>
      <c r="F334" s="1429">
        <f>IFERROR(__xludf.DUMMYFUNCTION("""COMPUTED_VALUE"""),45827.0)</f>
        <v>45827</v>
      </c>
      <c r="G334" s="1430">
        <f>IFERROR(__xludf.DUMMYFUNCTION("""COMPUTED_VALUE"""),4.0)</f>
        <v>4</v>
      </c>
      <c r="H334" s="94">
        <f t="shared" si="1"/>
        <v>6</v>
      </c>
    </row>
    <row r="335" ht="15.75" customHeight="1">
      <c r="A335" s="94" t="str">
        <f>IFERROR(__xludf.DUMMYFUNCTION("""COMPUTED_VALUE"""),"TGA5")</f>
        <v>TGA5</v>
      </c>
      <c r="B335" s="94"/>
      <c r="C335" s="94"/>
      <c r="D335" s="94"/>
      <c r="E335" s="1429">
        <f>IFERROR(__xludf.DUMMYFUNCTION("""COMPUTED_VALUE"""),45823.0)</f>
        <v>45823</v>
      </c>
      <c r="F335" s="1429">
        <f>IFERROR(__xludf.DUMMYFUNCTION("""COMPUTED_VALUE"""),45831.0)</f>
        <v>45831</v>
      </c>
      <c r="G335" s="1430">
        <f>IFERROR(__xludf.DUMMYFUNCTION("""COMPUTED_VALUE"""),8.0)</f>
        <v>8</v>
      </c>
      <c r="H335" s="94">
        <f t="shared" si="1"/>
        <v>6</v>
      </c>
    </row>
    <row r="336" ht="15.75" customHeight="1">
      <c r="A336" s="94" t="str">
        <f>IFERROR(__xludf.DUMMYFUNCTION("""COMPUTED_VALUE"""),"TGA1")</f>
        <v>TGA1</v>
      </c>
      <c r="B336" s="94"/>
      <c r="C336" s="94"/>
      <c r="D336" s="94"/>
      <c r="E336" s="1435">
        <f>IFERROR(__xludf.DUMMYFUNCTION("""COMPUTED_VALUE"""),45823.0)</f>
        <v>45823</v>
      </c>
      <c r="F336" s="1429">
        <f>IFERROR(__xludf.DUMMYFUNCTION("""COMPUTED_VALUE"""),45826.0)</f>
        <v>45826</v>
      </c>
      <c r="G336" s="1430">
        <f>IFERROR(__xludf.DUMMYFUNCTION("""COMPUTED_VALUE"""),3.0)</f>
        <v>3</v>
      </c>
      <c r="H336" s="94">
        <f t="shared" si="1"/>
        <v>6</v>
      </c>
    </row>
    <row r="337" ht="15.75" customHeight="1">
      <c r="A337" s="94" t="str">
        <f>IFERROR(__xludf.DUMMYFUNCTION("""COMPUTED_VALUE"""),"TGB4")</f>
        <v>TGB4</v>
      </c>
      <c r="B337" s="94"/>
      <c r="C337" s="94"/>
      <c r="D337" s="94"/>
      <c r="E337" s="1435">
        <f>IFERROR(__xludf.DUMMYFUNCTION("""COMPUTED_VALUE"""),45823.0)</f>
        <v>45823</v>
      </c>
      <c r="F337" s="1429">
        <f>IFERROR(__xludf.DUMMYFUNCTION("""COMPUTED_VALUE"""),45837.0)</f>
        <v>45837</v>
      </c>
      <c r="G337" s="94"/>
      <c r="H337" s="94">
        <f t="shared" si="1"/>
        <v>6</v>
      </c>
    </row>
    <row r="338" ht="15.75" customHeight="1">
      <c r="A338" s="94" t="str">
        <f>IFERROR(__xludf.DUMMYFUNCTION("""COMPUTED_VALUE"""),"TGB3")</f>
        <v>TGB3</v>
      </c>
      <c r="B338" s="94"/>
      <c r="C338" s="94"/>
      <c r="D338" s="94"/>
      <c r="E338" s="1435">
        <f>IFERROR(__xludf.DUMMYFUNCTION("""COMPUTED_VALUE"""),45823.0)</f>
        <v>45823</v>
      </c>
      <c r="F338" s="1429">
        <f>IFERROR(__xludf.DUMMYFUNCTION("""COMPUTED_VALUE"""),45837.0)</f>
        <v>45837</v>
      </c>
      <c r="G338" s="1430">
        <f>IFERROR(__xludf.DUMMYFUNCTION("""COMPUTED_VALUE"""),14.0)</f>
        <v>14</v>
      </c>
      <c r="H338" s="94">
        <f t="shared" si="1"/>
        <v>6</v>
      </c>
    </row>
    <row r="339" ht="15.75" customHeight="1">
      <c r="A339" s="94" t="str">
        <f>IFERROR(__xludf.DUMMYFUNCTION("""COMPUTED_VALUE"""),"DL 14-505")</f>
        <v>DL 14-505</v>
      </c>
      <c r="B339" s="94"/>
      <c r="C339" s="94"/>
      <c r="D339" s="94"/>
      <c r="E339" s="1435">
        <f>IFERROR(__xludf.DUMMYFUNCTION("""COMPUTED_VALUE"""),45822.0)</f>
        <v>45822</v>
      </c>
      <c r="F339" s="1429">
        <f>IFERROR(__xludf.DUMMYFUNCTION("""COMPUTED_VALUE"""),45829.0)</f>
        <v>45829</v>
      </c>
      <c r="G339" s="1430">
        <f>IFERROR(__xludf.DUMMYFUNCTION("""COMPUTED_VALUE"""),7.0)</f>
        <v>7</v>
      </c>
      <c r="H339" s="94">
        <f t="shared" si="1"/>
        <v>6</v>
      </c>
    </row>
    <row r="340" ht="15.75" customHeight="1">
      <c r="A340" s="94" t="str">
        <f>IFERROR(__xludf.DUMMYFUNCTION("""COMPUTED_VALUE"""),"DL14-1405")</f>
        <v>DL14-1405</v>
      </c>
      <c r="B340" s="94"/>
      <c r="C340" s="94"/>
      <c r="D340" s="94"/>
      <c r="E340" s="1435">
        <f>IFERROR(__xludf.DUMMYFUNCTION("""COMPUTED_VALUE"""),45823.0)</f>
        <v>45823</v>
      </c>
      <c r="F340" s="1429">
        <f>IFERROR(__xludf.DUMMYFUNCTION("""COMPUTED_VALUE"""),45826.0)</f>
        <v>45826</v>
      </c>
      <c r="G340" s="1430">
        <f>IFERROR(__xludf.DUMMYFUNCTION("""COMPUTED_VALUE"""),3.0)</f>
        <v>3</v>
      </c>
      <c r="H340" s="94">
        <f t="shared" si="1"/>
        <v>6</v>
      </c>
    </row>
    <row r="341" ht="15.75" customHeight="1">
      <c r="A341" s="94" t="str">
        <f>IFERROR(__xludf.DUMMYFUNCTION("""COMPUTED_VALUE"""),"DL 14-1710")</f>
        <v>DL 14-1710</v>
      </c>
      <c r="B341" s="94"/>
      <c r="C341" s="94"/>
      <c r="D341" s="94"/>
      <c r="E341" s="1429">
        <f>IFERROR(__xludf.DUMMYFUNCTION("""COMPUTED_VALUE"""),45823.0)</f>
        <v>45823</v>
      </c>
      <c r="F341" s="1429">
        <f>IFERROR(__xludf.DUMMYFUNCTION("""COMPUTED_VALUE"""),45826.0)</f>
        <v>45826</v>
      </c>
      <c r="G341" s="1430">
        <f>IFERROR(__xludf.DUMMYFUNCTION("""COMPUTED_VALUE"""),3.0)</f>
        <v>3</v>
      </c>
      <c r="H341" s="94">
        <f t="shared" si="1"/>
        <v>6</v>
      </c>
    </row>
    <row r="342" ht="15.75" customHeight="1">
      <c r="A342" s="94" t="str">
        <f>IFERROR(__xludf.DUMMYFUNCTION("""COMPUTED_VALUE"""),"Steps 2002")</f>
        <v>Steps 2002</v>
      </c>
      <c r="B342" s="94"/>
      <c r="C342" s="94"/>
      <c r="D342" s="94"/>
      <c r="E342" s="1429">
        <f>IFERROR(__xludf.DUMMYFUNCTION("""COMPUTED_VALUE"""),45823.0)</f>
        <v>45823</v>
      </c>
      <c r="F342" s="1429">
        <f>IFERROR(__xludf.DUMMYFUNCTION("""COMPUTED_VALUE"""),45832.0)</f>
        <v>45832</v>
      </c>
      <c r="G342" s="1430">
        <f>IFERROR(__xludf.DUMMYFUNCTION("""COMPUTED_VALUE"""),9.0)</f>
        <v>9</v>
      </c>
      <c r="H342" s="94">
        <f t="shared" si="1"/>
        <v>6</v>
      </c>
    </row>
    <row r="343" ht="15.75" customHeight="1">
      <c r="A343" s="94" t="str">
        <f>IFERROR(__xludf.DUMMYFUNCTION("""COMPUTED_VALUE"""),"PT2704")</f>
        <v>PT2704</v>
      </c>
      <c r="B343" s="94"/>
      <c r="C343" s="94"/>
      <c r="D343" s="94"/>
      <c r="E343" s="1429">
        <f>IFERROR(__xludf.DUMMYFUNCTION("""COMPUTED_VALUE"""),45823.0)</f>
        <v>45823</v>
      </c>
      <c r="F343" s="1429">
        <f>IFERROR(__xludf.DUMMYFUNCTION("""COMPUTED_VALUE"""),45825.0)</f>
        <v>45825</v>
      </c>
      <c r="G343" s="1430">
        <f>IFERROR(__xludf.DUMMYFUNCTION("""COMPUTED_VALUE"""),2.0)</f>
        <v>2</v>
      </c>
      <c r="H343" s="94">
        <f t="shared" si="1"/>
        <v>6</v>
      </c>
    </row>
    <row r="344" ht="15.75" customHeight="1">
      <c r="A344" s="94" t="str">
        <f>IFERROR(__xludf.DUMMYFUNCTION("""COMPUTED_VALUE"""),"TGB6")</f>
        <v>TGB6</v>
      </c>
      <c r="B344" s="94"/>
      <c r="C344" s="94"/>
      <c r="D344" s="94"/>
      <c r="E344" s="1429">
        <f>IFERROR(__xludf.DUMMYFUNCTION("""COMPUTED_VALUE"""),45824.0)</f>
        <v>45824</v>
      </c>
      <c r="F344" s="1429">
        <f>IFERROR(__xludf.DUMMYFUNCTION("""COMPUTED_VALUE"""),45831.0)</f>
        <v>45831</v>
      </c>
      <c r="G344" s="1430">
        <f>IFERROR(__xludf.DUMMYFUNCTION("""COMPUTED_VALUE"""),7.0)</f>
        <v>7</v>
      </c>
      <c r="H344" s="94">
        <f t="shared" si="1"/>
        <v>6</v>
      </c>
    </row>
    <row r="345" ht="15.75" customHeight="1">
      <c r="A345" s="94" t="str">
        <f>IFERROR(__xludf.DUMMYFUNCTION("""COMPUTED_VALUE"""),"TGA8")</f>
        <v>TGA8</v>
      </c>
      <c r="B345" s="94"/>
      <c r="C345" s="94"/>
      <c r="D345" s="94"/>
      <c r="E345" s="1429">
        <f>IFERROR(__xludf.DUMMYFUNCTION("""COMPUTED_VALUE"""),45824.0)</f>
        <v>45824</v>
      </c>
      <c r="F345" s="1429">
        <f>IFERROR(__xludf.DUMMYFUNCTION("""COMPUTED_VALUE"""),45831.0)</f>
        <v>45831</v>
      </c>
      <c r="G345" s="1430">
        <f>IFERROR(__xludf.DUMMYFUNCTION("""COMPUTED_VALUE"""),7.0)</f>
        <v>7</v>
      </c>
      <c r="H345" s="94">
        <f t="shared" si="1"/>
        <v>6</v>
      </c>
    </row>
    <row r="346" ht="15.75" customHeight="1">
      <c r="A346" s="94" t="str">
        <f>IFERROR(__xludf.DUMMYFUNCTION("""COMPUTED_VALUE"""),"TGA3")</f>
        <v>TGA3</v>
      </c>
      <c r="B346" s="94"/>
      <c r="C346" s="94"/>
      <c r="D346" s="94"/>
      <c r="E346" s="1429">
        <f>IFERROR(__xludf.DUMMYFUNCTION("""COMPUTED_VALUE"""),45824.0)</f>
        <v>45824</v>
      </c>
      <c r="F346" s="1429">
        <f>IFERROR(__xludf.DUMMYFUNCTION("""COMPUTED_VALUE"""),45825.0)</f>
        <v>45825</v>
      </c>
      <c r="G346" s="1430">
        <f>IFERROR(__xludf.DUMMYFUNCTION("""COMPUTED_VALUE"""),1.0)</f>
        <v>1</v>
      </c>
      <c r="H346" s="94">
        <f t="shared" si="1"/>
        <v>6</v>
      </c>
    </row>
    <row r="347" ht="15.75" customHeight="1">
      <c r="A347" s="94" t="str">
        <f>IFERROR(__xludf.DUMMYFUNCTION("""COMPUTED_VALUE"""),"BV1318")</f>
        <v>BV1318</v>
      </c>
      <c r="B347" s="94"/>
      <c r="C347" s="94"/>
      <c r="D347" s="94"/>
      <c r="E347" s="1429">
        <f>IFERROR(__xludf.DUMMYFUNCTION("""COMPUTED_VALUE"""),45824.0)</f>
        <v>45824</v>
      </c>
      <c r="F347" s="1429">
        <f>IFERROR(__xludf.DUMMYFUNCTION("""COMPUTED_VALUE"""),45827.0)</f>
        <v>45827</v>
      </c>
      <c r="G347" s="1430">
        <f>IFERROR(__xludf.DUMMYFUNCTION("""COMPUTED_VALUE"""),3.0)</f>
        <v>3</v>
      </c>
      <c r="H347" s="94">
        <f t="shared" si="1"/>
        <v>6</v>
      </c>
    </row>
    <row r="348" ht="15.75" customHeight="1">
      <c r="A348" s="94" t="str">
        <f>IFERROR(__xludf.DUMMYFUNCTION("""COMPUTED_VALUE"""),"Int 2612")</f>
        <v>Int 2612</v>
      </c>
      <c r="B348" s="94"/>
      <c r="C348" s="94"/>
      <c r="D348" s="94"/>
      <c r="E348" s="1429">
        <f>IFERROR(__xludf.DUMMYFUNCTION("""COMPUTED_VALUE"""),45824.0)</f>
        <v>45824</v>
      </c>
      <c r="F348" s="1429">
        <f>IFERROR(__xludf.DUMMYFUNCTION("""COMPUTED_VALUE"""),45827.0)</f>
        <v>45827</v>
      </c>
      <c r="G348" s="1430">
        <f>IFERROR(__xludf.DUMMYFUNCTION("""COMPUTED_VALUE"""),3.0)</f>
        <v>3</v>
      </c>
      <c r="H348" s="94">
        <f t="shared" si="1"/>
        <v>6</v>
      </c>
    </row>
    <row r="349" ht="15.75" customHeight="1">
      <c r="A349" s="94" t="str">
        <f>IFERROR(__xludf.DUMMYFUNCTION("""COMPUTED_VALUE"""),"TGA10")</f>
        <v>TGA10</v>
      </c>
      <c r="B349" s="94"/>
      <c r="C349" s="94"/>
      <c r="D349" s="94"/>
      <c r="E349" s="1429">
        <f>IFERROR(__xludf.DUMMYFUNCTION("""COMPUTED_VALUE"""),45824.0)</f>
        <v>45824</v>
      </c>
      <c r="F349" s="1429">
        <f>IFERROR(__xludf.DUMMYFUNCTION("""COMPUTED_VALUE"""),45834.0)</f>
        <v>45834</v>
      </c>
      <c r="G349" s="1430">
        <f>IFERROR(__xludf.DUMMYFUNCTION("""COMPUTED_VALUE"""),10.0)</f>
        <v>10</v>
      </c>
      <c r="H349" s="94">
        <f t="shared" si="1"/>
        <v>6</v>
      </c>
    </row>
    <row r="350" ht="15.75" customHeight="1">
      <c r="A350" s="94" t="str">
        <f>IFERROR(__xludf.DUMMYFUNCTION("""COMPUTED_VALUE"""),"WS A 409")</f>
        <v>WS A 409</v>
      </c>
      <c r="B350" s="94"/>
      <c r="C350" s="94"/>
      <c r="D350" s="94"/>
      <c r="E350" s="1429">
        <f>IFERROR(__xludf.DUMMYFUNCTION("""COMPUTED_VALUE"""),45824.0)</f>
        <v>45824</v>
      </c>
      <c r="F350" s="1429">
        <f>IFERROR(__xludf.DUMMYFUNCTION("""COMPUTED_VALUE"""),45830.0)</f>
        <v>45830</v>
      </c>
      <c r="G350" s="1430">
        <f>IFERROR(__xludf.DUMMYFUNCTION("""COMPUTED_VALUE"""),6.0)</f>
        <v>6</v>
      </c>
      <c r="H350" s="94">
        <f t="shared" si="1"/>
        <v>6</v>
      </c>
    </row>
    <row r="351" ht="15.75" customHeight="1">
      <c r="A351" s="94" t="str">
        <f>IFERROR(__xludf.DUMMYFUNCTION("""COMPUTED_VALUE"""),"WS A907")</f>
        <v>WS A907</v>
      </c>
      <c r="B351" s="94"/>
      <c r="C351" s="94"/>
      <c r="D351" s="94"/>
      <c r="E351" s="1429">
        <f>IFERROR(__xludf.DUMMYFUNCTION("""COMPUTED_VALUE"""),45824.0)</f>
        <v>45824</v>
      </c>
      <c r="F351" s="1429">
        <f>IFERROR(__xludf.DUMMYFUNCTION("""COMPUTED_VALUE"""),45829.0)</f>
        <v>45829</v>
      </c>
      <c r="G351" s="1430">
        <f>IFERROR(__xludf.DUMMYFUNCTION("""COMPUTED_VALUE"""),5.0)</f>
        <v>5</v>
      </c>
      <c r="H351" s="94">
        <f t="shared" si="1"/>
        <v>6</v>
      </c>
    </row>
    <row r="352" ht="15.75" customHeight="1">
      <c r="A352" s="94" t="str">
        <f>IFERROR(__xludf.DUMMYFUNCTION("""COMPUTED_VALUE"""),"WS А 908")</f>
        <v>WS А 908</v>
      </c>
      <c r="B352" s="94"/>
      <c r="C352" s="94"/>
      <c r="D352" s="94"/>
      <c r="E352" s="1429">
        <f>IFERROR(__xludf.DUMMYFUNCTION("""COMPUTED_VALUE"""),45824.0)</f>
        <v>45824</v>
      </c>
      <c r="F352" s="1429">
        <f>IFERROR(__xludf.DUMMYFUNCTION("""COMPUTED_VALUE"""),45828.0)</f>
        <v>45828</v>
      </c>
      <c r="G352" s="1430">
        <f>IFERROR(__xludf.DUMMYFUNCTION("""COMPUTED_VALUE"""),4.0)</f>
        <v>4</v>
      </c>
      <c r="H352" s="94">
        <f t="shared" si="1"/>
        <v>6</v>
      </c>
    </row>
    <row r="353" ht="15.75" customHeight="1">
      <c r="A353" s="94" t="str">
        <f>IFERROR(__xludf.DUMMYFUNCTION("""COMPUTED_VALUE"""),"TGB6")</f>
        <v>TGB6</v>
      </c>
      <c r="B353" s="94"/>
      <c r="C353" s="94"/>
      <c r="D353" s="94"/>
      <c r="E353" s="1429">
        <f>IFERROR(__xludf.DUMMYFUNCTION("""COMPUTED_VALUE"""),45824.0)</f>
        <v>45824</v>
      </c>
      <c r="F353" s="1429">
        <f>IFERROR(__xludf.DUMMYFUNCTION("""COMPUTED_VALUE"""),45854.0)</f>
        <v>45854</v>
      </c>
      <c r="G353" s="94"/>
      <c r="H353" s="94">
        <f t="shared" si="1"/>
        <v>6</v>
      </c>
    </row>
    <row r="354" ht="15.75" customHeight="1">
      <c r="A354" s="94" t="str">
        <f>IFERROR(__xludf.DUMMYFUNCTION("""COMPUTED_VALUE"""),"WS F 907")</f>
        <v>WS F 907</v>
      </c>
      <c r="B354" s="94"/>
      <c r="C354" s="94"/>
      <c r="D354" s="94"/>
      <c r="E354" s="1429">
        <f>IFERROR(__xludf.DUMMYFUNCTION("""COMPUTED_VALUE"""),45824.0)</f>
        <v>45824</v>
      </c>
      <c r="F354" s="1429">
        <f>IFERROR(__xludf.DUMMYFUNCTION("""COMPUTED_VALUE"""),45827.0)</f>
        <v>45827</v>
      </c>
      <c r="G354" s="1430">
        <f>IFERROR(__xludf.DUMMYFUNCTION("""COMPUTED_VALUE"""),3.0)</f>
        <v>3</v>
      </c>
      <c r="H354" s="94">
        <f t="shared" si="1"/>
        <v>6</v>
      </c>
    </row>
    <row r="355" ht="15.75" customHeight="1">
      <c r="A355" s="94" t="str">
        <f>IFERROR(__xludf.DUMMYFUNCTION("""COMPUTED_VALUE"""),"C 4245")</f>
        <v>C 4245</v>
      </c>
      <c r="B355" s="94"/>
      <c r="C355" s="94"/>
      <c r="D355" s="94"/>
      <c r="E355" s="1429">
        <f>IFERROR(__xludf.DUMMYFUNCTION("""COMPUTED_VALUE"""),45824.0)</f>
        <v>45824</v>
      </c>
      <c r="F355" s="1429">
        <f>IFERROR(__xludf.DUMMYFUNCTION("""COMPUTED_VALUE"""),45828.0)</f>
        <v>45828</v>
      </c>
      <c r="G355" s="1430">
        <f>IFERROR(__xludf.DUMMYFUNCTION("""COMPUTED_VALUE"""),4.0)</f>
        <v>4</v>
      </c>
      <c r="H355" s="94">
        <f t="shared" si="1"/>
        <v>6</v>
      </c>
    </row>
    <row r="356" ht="15.75" customHeight="1">
      <c r="A356" s="94" t="str">
        <f>IFERROR(__xludf.DUMMYFUNCTION("""COMPUTED_VALUE"""),"D2 3216")</f>
        <v>D2 3216</v>
      </c>
      <c r="B356" s="94"/>
      <c r="C356" s="94"/>
      <c r="D356" s="94"/>
      <c r="E356" s="1429">
        <f>IFERROR(__xludf.DUMMYFUNCTION("""COMPUTED_VALUE"""),45824.0)</f>
        <v>45824</v>
      </c>
      <c r="F356" s="1429">
        <f>IFERROR(__xludf.DUMMYFUNCTION("""COMPUTED_VALUE"""),45828.0)</f>
        <v>45828</v>
      </c>
      <c r="G356" s="1430">
        <f>IFERROR(__xludf.DUMMYFUNCTION("""COMPUTED_VALUE"""),4.0)</f>
        <v>4</v>
      </c>
      <c r="H356" s="94">
        <f t="shared" si="1"/>
        <v>6</v>
      </c>
    </row>
    <row r="357" ht="15.75" customHeight="1">
      <c r="A357" s="94" t="str">
        <f>IFERROR(__xludf.DUMMYFUNCTION("""COMPUTED_VALUE"""),"А 4049")</f>
        <v>А 4049</v>
      </c>
      <c r="B357" s="94"/>
      <c r="C357" s="94"/>
      <c r="D357" s="94"/>
      <c r="E357" s="1429">
        <f>IFERROR(__xludf.DUMMYFUNCTION("""COMPUTED_VALUE"""),45825.0)</f>
        <v>45825</v>
      </c>
      <c r="F357" s="1429">
        <f>IFERROR(__xludf.DUMMYFUNCTION("""COMPUTED_VALUE"""),45830.0)</f>
        <v>45830</v>
      </c>
      <c r="G357" s="1430">
        <f>IFERROR(__xludf.DUMMYFUNCTION("""COMPUTED_VALUE"""),5.0)</f>
        <v>5</v>
      </c>
      <c r="H357" s="94">
        <f t="shared" si="1"/>
        <v>6</v>
      </c>
    </row>
    <row r="358" ht="15.75" customHeight="1">
      <c r="A358" s="94" t="str">
        <f>IFERROR(__xludf.DUMMYFUNCTION("""COMPUTED_VALUE"""),"NW 9-6")</f>
        <v>NW 9-6</v>
      </c>
      <c r="B358" s="94"/>
      <c r="C358" s="94"/>
      <c r="D358" s="94"/>
      <c r="E358" s="1429">
        <f>IFERROR(__xludf.DUMMYFUNCTION("""COMPUTED_VALUE"""),45825.0)</f>
        <v>45825</v>
      </c>
      <c r="F358" s="1429">
        <f>IFERROR(__xludf.DUMMYFUNCTION("""COMPUTED_VALUE"""),45830.0)</f>
        <v>45830</v>
      </c>
      <c r="G358" s="1430">
        <f>IFERROR(__xludf.DUMMYFUNCTION("""COMPUTED_VALUE"""),5.0)</f>
        <v>5</v>
      </c>
      <c r="H358" s="94">
        <f t="shared" si="1"/>
        <v>6</v>
      </c>
    </row>
    <row r="359" ht="15.75" customHeight="1">
      <c r="A359" s="94" t="str">
        <f>IFERROR(__xludf.DUMMYFUNCTION("""COMPUTED_VALUE"""),"PT2704")</f>
        <v>PT2704</v>
      </c>
      <c r="B359" s="94"/>
      <c r="C359" s="94"/>
      <c r="D359" s="94"/>
      <c r="E359" s="1429">
        <f>IFERROR(__xludf.DUMMYFUNCTION("""COMPUTED_VALUE"""),45825.0)</f>
        <v>45825</v>
      </c>
      <c r="F359" s="1429">
        <f>IFERROR(__xludf.DUMMYFUNCTION("""COMPUTED_VALUE"""),45827.0)</f>
        <v>45827</v>
      </c>
      <c r="G359" s="1430">
        <f>IFERROR(__xludf.DUMMYFUNCTION("""COMPUTED_VALUE"""),2.0)</f>
        <v>2</v>
      </c>
      <c r="H359" s="94">
        <f t="shared" si="1"/>
        <v>6</v>
      </c>
    </row>
    <row r="360" ht="15.75" customHeight="1">
      <c r="A360" s="94" t="str">
        <f>IFERROR(__xludf.DUMMYFUNCTION("""COMPUTED_VALUE"""),"PT2704")</f>
        <v>PT2704</v>
      </c>
      <c r="B360" s="94"/>
      <c r="C360" s="94"/>
      <c r="D360" s="94"/>
      <c r="E360" s="1429">
        <f>IFERROR(__xludf.DUMMYFUNCTION("""COMPUTED_VALUE"""),45827.0)</f>
        <v>45827</v>
      </c>
      <c r="F360" s="1429">
        <f>IFERROR(__xludf.DUMMYFUNCTION("""COMPUTED_VALUE"""),45828.0)</f>
        <v>45828</v>
      </c>
      <c r="G360" s="1430">
        <f>IFERROR(__xludf.DUMMYFUNCTION("""COMPUTED_VALUE"""),1.0)</f>
        <v>1</v>
      </c>
      <c r="H360" s="94">
        <f t="shared" si="1"/>
        <v>6</v>
      </c>
    </row>
    <row r="361" ht="15.75" customHeight="1">
      <c r="A361" s="94" t="str">
        <f>IFERROR(__xludf.DUMMYFUNCTION("""COMPUTED_VALUE"""),"PT2604")</f>
        <v>PT2604</v>
      </c>
      <c r="B361" s="94"/>
      <c r="C361" s="94"/>
      <c r="D361" s="94"/>
      <c r="E361" s="1429">
        <f>IFERROR(__xludf.DUMMYFUNCTION("""COMPUTED_VALUE"""),45825.0)</f>
        <v>45825</v>
      </c>
      <c r="F361" s="1429">
        <f>IFERROR(__xludf.DUMMYFUNCTION("""COMPUTED_VALUE"""),45831.0)</f>
        <v>45831</v>
      </c>
      <c r="G361" s="1430">
        <f>IFERROR(__xludf.DUMMYFUNCTION("""COMPUTED_VALUE"""),6.0)</f>
        <v>6</v>
      </c>
      <c r="H361" s="94">
        <f t="shared" si="1"/>
        <v>6</v>
      </c>
    </row>
    <row r="362" ht="15.75" customHeight="1">
      <c r="A362" s="94" t="str">
        <f>IFERROR(__xludf.DUMMYFUNCTION("""COMPUTED_VALUE"""),"CM 1931")</f>
        <v>CM 1931</v>
      </c>
      <c r="B362" s="94"/>
      <c r="C362" s="94"/>
      <c r="D362" s="94"/>
      <c r="E362" s="1429">
        <f>IFERROR(__xludf.DUMMYFUNCTION("""COMPUTED_VALUE"""),45825.0)</f>
        <v>45825</v>
      </c>
      <c r="F362" s="1429">
        <f>IFERROR(__xludf.DUMMYFUNCTION("""COMPUTED_VALUE"""),45831.0)</f>
        <v>45831</v>
      </c>
      <c r="G362" s="1430">
        <f>IFERROR(__xludf.DUMMYFUNCTION("""COMPUTED_VALUE"""),6.0)</f>
        <v>6</v>
      </c>
      <c r="H362" s="94">
        <f t="shared" si="1"/>
        <v>6</v>
      </c>
    </row>
    <row r="363" ht="15.75" customHeight="1">
      <c r="A363" s="94" t="str">
        <f>IFERROR(__xludf.DUMMYFUNCTION("""COMPUTED_VALUE"""),"DL 14-1710")</f>
        <v>DL 14-1710</v>
      </c>
      <c r="B363" s="94"/>
      <c r="C363" s="94"/>
      <c r="D363" s="94"/>
      <c r="E363" s="1429">
        <f>IFERROR(__xludf.DUMMYFUNCTION("""COMPUTED_VALUE"""),45826.0)</f>
        <v>45826</v>
      </c>
      <c r="F363" s="1429">
        <f>IFERROR(__xludf.DUMMYFUNCTION("""COMPUTED_VALUE"""),45828.0)</f>
        <v>45828</v>
      </c>
      <c r="G363" s="1430">
        <f>IFERROR(__xludf.DUMMYFUNCTION("""COMPUTED_VALUE"""),2.0)</f>
        <v>2</v>
      </c>
      <c r="H363" s="94">
        <f t="shared" si="1"/>
        <v>6</v>
      </c>
    </row>
    <row r="364" ht="15.75" customHeight="1">
      <c r="A364" s="94" t="str">
        <f>IFERROR(__xludf.DUMMYFUNCTION("""COMPUTED_VALUE"""),"CM 1604")</f>
        <v>CM 1604</v>
      </c>
      <c r="B364" s="94"/>
      <c r="C364" s="94"/>
      <c r="D364" s="94"/>
      <c r="E364" s="1429">
        <f>IFERROR(__xludf.DUMMYFUNCTION("""COMPUTED_VALUE"""),45826.0)</f>
        <v>45826</v>
      </c>
      <c r="F364" s="1429">
        <f>IFERROR(__xludf.DUMMYFUNCTION("""COMPUTED_VALUE"""),45829.0)</f>
        <v>45829</v>
      </c>
      <c r="G364" s="1430">
        <f>IFERROR(__xludf.DUMMYFUNCTION("""COMPUTED_VALUE"""),3.0)</f>
        <v>3</v>
      </c>
      <c r="H364" s="94">
        <f t="shared" si="1"/>
        <v>6</v>
      </c>
    </row>
    <row r="365" ht="15.75" customHeight="1">
      <c r="A365" s="94" t="str">
        <f>IFERROR(__xludf.DUMMYFUNCTION("""COMPUTED_VALUE"""),"D 3629")</f>
        <v>D 3629</v>
      </c>
      <c r="B365" s="94"/>
      <c r="C365" s="94"/>
      <c r="D365" s="94"/>
      <c r="E365" s="2175">
        <f>IFERROR(__xludf.DUMMYFUNCTION("""COMPUTED_VALUE"""),45826.0)</f>
        <v>45826</v>
      </c>
      <c r="F365" s="1429">
        <f>IFERROR(__xludf.DUMMYFUNCTION("""COMPUTED_VALUE"""),45829.0)</f>
        <v>45829</v>
      </c>
      <c r="G365" s="1430">
        <f>IFERROR(__xludf.DUMMYFUNCTION("""COMPUTED_VALUE"""),3.0)</f>
        <v>3</v>
      </c>
      <c r="H365" s="94">
        <f t="shared" si="1"/>
        <v>6</v>
      </c>
    </row>
    <row r="366" ht="15.75" customHeight="1">
      <c r="A366" s="94" t="str">
        <f>IFERROR(__xludf.DUMMYFUNCTION("""COMPUTED_VALUE"""),"С732")</f>
        <v>С732</v>
      </c>
      <c r="B366" s="94"/>
      <c r="C366" s="94"/>
      <c r="D366" s="94"/>
      <c r="E366" s="2175">
        <f>IFERROR(__xludf.DUMMYFUNCTION("""COMPUTED_VALUE"""),45826.0)</f>
        <v>45826</v>
      </c>
      <c r="F366" s="1429">
        <f>IFERROR(__xludf.DUMMYFUNCTION("""COMPUTED_VALUE"""),45855.0)</f>
        <v>45855</v>
      </c>
      <c r="G366" s="1430">
        <f>IFERROR(__xludf.DUMMYFUNCTION("""COMPUTED_VALUE"""),29.0)</f>
        <v>29</v>
      </c>
      <c r="H366" s="94">
        <f t="shared" si="1"/>
        <v>6</v>
      </c>
    </row>
    <row r="367" ht="15.75" customHeight="1">
      <c r="A367" s="94" t="str">
        <f>IFERROR(__xludf.DUMMYFUNCTION("""COMPUTED_VALUE"""),"MZ 718")</f>
        <v>MZ 718</v>
      </c>
      <c r="B367" s="94"/>
      <c r="C367" s="94"/>
      <c r="D367" s="94"/>
      <c r="E367" s="2175">
        <f>IFERROR(__xludf.DUMMYFUNCTION("""COMPUTED_VALUE"""),45826.0)</f>
        <v>45826</v>
      </c>
      <c r="F367" s="1429">
        <f>IFERROR(__xludf.DUMMYFUNCTION("""COMPUTED_VALUE"""),45830.0)</f>
        <v>45830</v>
      </c>
      <c r="G367" s="1430">
        <f>IFERROR(__xludf.DUMMYFUNCTION("""COMPUTED_VALUE"""),4.0)</f>
        <v>4</v>
      </c>
      <c r="H367" s="94">
        <f t="shared" si="1"/>
        <v>6</v>
      </c>
    </row>
    <row r="368" ht="15.75" customHeight="1">
      <c r="A368" s="94" t="str">
        <f>IFERROR(__xludf.DUMMYFUNCTION("""COMPUTED_VALUE"""),"WS A 608")</f>
        <v>WS A 608</v>
      </c>
      <c r="B368" s="94"/>
      <c r="C368" s="94"/>
      <c r="D368" s="94"/>
      <c r="E368" s="2175">
        <f>IFERROR(__xludf.DUMMYFUNCTION("""COMPUTED_VALUE"""),45826.0)</f>
        <v>45826</v>
      </c>
      <c r="F368" s="1429">
        <f>IFERROR(__xludf.DUMMYFUNCTION("""COMPUTED_VALUE"""),45830.0)</f>
        <v>45830</v>
      </c>
      <c r="G368" s="1430">
        <f>IFERROR(__xludf.DUMMYFUNCTION("""COMPUTED_VALUE"""),4.0)</f>
        <v>4</v>
      </c>
      <c r="H368" s="94">
        <f t="shared" si="1"/>
        <v>6</v>
      </c>
    </row>
    <row r="369" ht="15.75" customHeight="1">
      <c r="A369" s="94" t="str">
        <f>IFERROR(__xludf.DUMMYFUNCTION("""COMPUTED_VALUE"""),"С 1443")</f>
        <v>С 1443</v>
      </c>
      <c r="B369" s="94"/>
      <c r="C369" s="94"/>
      <c r="D369" s="94"/>
      <c r="E369" s="2175">
        <f>IFERROR(__xludf.DUMMYFUNCTION("""COMPUTED_VALUE"""),45826.0)</f>
        <v>45826</v>
      </c>
      <c r="F369" s="1429">
        <f>IFERROR(__xludf.DUMMYFUNCTION("""COMPUTED_VALUE"""),45836.0)</f>
        <v>45836</v>
      </c>
      <c r="G369" s="1430">
        <f>IFERROR(__xludf.DUMMYFUNCTION("""COMPUTED_VALUE"""),10.0)</f>
        <v>10</v>
      </c>
      <c r="H369" s="94">
        <f t="shared" si="1"/>
        <v>6</v>
      </c>
    </row>
    <row r="370" ht="15.75" customHeight="1">
      <c r="A370" s="94" t="str">
        <f>IFERROR(__xludf.DUMMYFUNCTION("""COMPUTED_VALUE"""),"BV206")</f>
        <v>BV206</v>
      </c>
      <c r="B370" s="94"/>
      <c r="C370" s="94"/>
      <c r="D370" s="94"/>
      <c r="E370" s="2175">
        <f>IFERROR(__xludf.DUMMYFUNCTION("""COMPUTED_VALUE"""),45826.0)</f>
        <v>45826</v>
      </c>
      <c r="F370" s="1429">
        <f>IFERROR(__xludf.DUMMYFUNCTION("""COMPUTED_VALUE"""),45830.0)</f>
        <v>45830</v>
      </c>
      <c r="G370" s="1430">
        <f>IFERROR(__xludf.DUMMYFUNCTION("""COMPUTED_VALUE"""),4.0)</f>
        <v>4</v>
      </c>
      <c r="H370" s="94">
        <f t="shared" si="1"/>
        <v>6</v>
      </c>
    </row>
    <row r="371" ht="15.75" customHeight="1">
      <c r="A371" s="94" t="str">
        <f>IFERROR(__xludf.DUMMYFUNCTION("""COMPUTED_VALUE"""),"DL 14-516")</f>
        <v>DL 14-516</v>
      </c>
      <c r="B371" s="94"/>
      <c r="C371" s="94"/>
      <c r="D371" s="94"/>
      <c r="E371" s="2175">
        <f>IFERROR(__xludf.DUMMYFUNCTION("""COMPUTED_VALUE"""),45826.0)</f>
        <v>45826</v>
      </c>
      <c r="F371" s="1429">
        <f>IFERROR(__xludf.DUMMYFUNCTION("""COMPUTED_VALUE"""),45831.0)</f>
        <v>45831</v>
      </c>
      <c r="G371" s="1430">
        <f>IFERROR(__xludf.DUMMYFUNCTION("""COMPUTED_VALUE"""),5.0)</f>
        <v>5</v>
      </c>
      <c r="H371" s="94">
        <f t="shared" si="1"/>
        <v>6</v>
      </c>
    </row>
    <row r="372" ht="15.75" customHeight="1">
      <c r="A372" s="94" t="str">
        <f>IFERROR(__xludf.DUMMYFUNCTION("""COMPUTED_VALUE"""),"DL 11-1305")</f>
        <v>DL 11-1305</v>
      </c>
      <c r="B372" s="94"/>
      <c r="C372" s="94"/>
      <c r="D372" s="94"/>
      <c r="E372" s="2175">
        <f>IFERROR(__xludf.DUMMYFUNCTION("""COMPUTED_VALUE"""),45826.0)</f>
        <v>45826</v>
      </c>
      <c r="F372" s="1429">
        <f>IFERROR(__xludf.DUMMYFUNCTION("""COMPUTED_VALUE"""),45830.0)</f>
        <v>45830</v>
      </c>
      <c r="G372" s="1430">
        <f>IFERROR(__xludf.DUMMYFUNCTION("""COMPUTED_VALUE"""),4.0)</f>
        <v>4</v>
      </c>
      <c r="H372" s="94">
        <f t="shared" si="1"/>
        <v>6</v>
      </c>
    </row>
    <row r="373" ht="15.75" customHeight="1">
      <c r="A373" s="94" t="str">
        <f>IFERROR(__xludf.DUMMYFUNCTION("""COMPUTED_VALUE"""),"DL14-501-502")</f>
        <v>DL14-501-502</v>
      </c>
      <c r="B373" s="94"/>
      <c r="C373" s="94"/>
      <c r="D373" s="94"/>
      <c r="E373" s="2175">
        <f>IFERROR(__xludf.DUMMYFUNCTION("""COMPUTED_VALUE"""),45826.0)</f>
        <v>45826</v>
      </c>
      <c r="F373" s="1429">
        <f>IFERROR(__xludf.DUMMYFUNCTION("""COMPUTED_VALUE"""),45831.0)</f>
        <v>45831</v>
      </c>
      <c r="G373" s="1430">
        <f>IFERROR(__xludf.DUMMYFUNCTION("""COMPUTED_VALUE"""),5.0)</f>
        <v>5</v>
      </c>
      <c r="H373" s="94">
        <f t="shared" si="1"/>
        <v>6</v>
      </c>
    </row>
    <row r="374" ht="15.75" customHeight="1">
      <c r="A374" s="94" t="str">
        <f>IFERROR(__xludf.DUMMYFUNCTION("""COMPUTED_VALUE"""),"D 1321")</f>
        <v>D 1321</v>
      </c>
      <c r="B374" s="94"/>
      <c r="C374" s="94"/>
      <c r="D374" s="94"/>
      <c r="E374" s="2175">
        <f>IFERROR(__xludf.DUMMYFUNCTION("""COMPUTED_VALUE"""),45826.0)</f>
        <v>45826</v>
      </c>
      <c r="F374" s="1429">
        <f>IFERROR(__xludf.DUMMYFUNCTION("""COMPUTED_VALUE"""),45832.0)</f>
        <v>45832</v>
      </c>
      <c r="G374" s="1430">
        <f>IFERROR(__xludf.DUMMYFUNCTION("""COMPUTED_VALUE"""),6.0)</f>
        <v>6</v>
      </c>
      <c r="H374" s="94">
        <f t="shared" si="1"/>
        <v>6</v>
      </c>
    </row>
    <row r="375" ht="15.75" customHeight="1">
      <c r="A375" s="94" t="str">
        <f>IFERROR(__xludf.DUMMYFUNCTION("""COMPUTED_VALUE"""),"WS В 503")</f>
        <v>WS В 503</v>
      </c>
      <c r="B375" s="94"/>
      <c r="C375" s="94"/>
      <c r="D375" s="94"/>
      <c r="E375" s="2175">
        <f>IFERROR(__xludf.DUMMYFUNCTION("""COMPUTED_VALUE"""),45826.0)</f>
        <v>45826</v>
      </c>
      <c r="F375" s="1429">
        <f>IFERROR(__xludf.DUMMYFUNCTION("""COMPUTED_VALUE"""),45827.0)</f>
        <v>45827</v>
      </c>
      <c r="G375" s="1430">
        <f>IFERROR(__xludf.DUMMYFUNCTION("""COMPUTED_VALUE"""),1.0)</f>
        <v>1</v>
      </c>
      <c r="H375" s="94">
        <f t="shared" si="1"/>
        <v>6</v>
      </c>
    </row>
    <row r="376" ht="15.75" customHeight="1">
      <c r="A376" s="94" t="str">
        <f>IFERROR(__xludf.DUMMYFUNCTION("""COMPUTED_VALUE"""),"TGB9")</f>
        <v>TGB9</v>
      </c>
      <c r="B376" s="94"/>
      <c r="C376" s="94"/>
      <c r="D376" s="94"/>
      <c r="E376" s="2175">
        <f>IFERROR(__xludf.DUMMYFUNCTION("""COMPUTED_VALUE"""),45826.0)</f>
        <v>45826</v>
      </c>
      <c r="F376" s="1429">
        <f>IFERROR(__xludf.DUMMYFUNCTION("""COMPUTED_VALUE"""),45831.0)</f>
        <v>45831</v>
      </c>
      <c r="G376" s="1430">
        <f>IFERROR(__xludf.DUMMYFUNCTION("""COMPUTED_VALUE"""),5.0)</f>
        <v>5</v>
      </c>
      <c r="H376" s="94">
        <f t="shared" si="1"/>
        <v>6</v>
      </c>
    </row>
    <row r="377" ht="15.75" customHeight="1">
      <c r="A377" s="94" t="str">
        <f>IFERROR(__xludf.DUMMYFUNCTION("""COMPUTED_VALUE"""),"TGB7")</f>
        <v>TGB7</v>
      </c>
      <c r="B377" s="94"/>
      <c r="C377" s="94"/>
      <c r="D377" s="94"/>
      <c r="E377" s="2175">
        <f>IFERROR(__xludf.DUMMYFUNCTION("""COMPUTED_VALUE"""),45827.0)</f>
        <v>45827</v>
      </c>
      <c r="F377" s="1429">
        <f>IFERROR(__xludf.DUMMYFUNCTION("""COMPUTED_VALUE"""),45835.0)</f>
        <v>45835</v>
      </c>
      <c r="G377" s="1430">
        <f>IFERROR(__xludf.DUMMYFUNCTION("""COMPUTED_VALUE"""),8.0)</f>
        <v>8</v>
      </c>
      <c r="H377" s="94">
        <f t="shared" si="1"/>
        <v>6</v>
      </c>
    </row>
    <row r="378" ht="15.75" customHeight="1">
      <c r="A378" s="94" t="str">
        <f>IFERROR(__xludf.DUMMYFUNCTION("""COMPUTED_VALUE"""),"TGA1")</f>
        <v>TGA1</v>
      </c>
      <c r="B378" s="94"/>
      <c r="C378" s="94"/>
      <c r="D378" s="94"/>
      <c r="E378" s="2175">
        <f>IFERROR(__xludf.DUMMYFUNCTION("""COMPUTED_VALUE"""),45827.0)</f>
        <v>45827</v>
      </c>
      <c r="F378" s="1429">
        <f>IFERROR(__xludf.DUMMYFUNCTION("""COMPUTED_VALUE"""),45830.0)</f>
        <v>45830</v>
      </c>
      <c r="G378" s="1430">
        <f>IFERROR(__xludf.DUMMYFUNCTION("""COMPUTED_VALUE"""),3.0)</f>
        <v>3</v>
      </c>
      <c r="H378" s="94">
        <f t="shared" si="1"/>
        <v>6</v>
      </c>
    </row>
    <row r="379" ht="15.75" customHeight="1">
      <c r="A379" s="94" t="str">
        <f>IFERROR(__xludf.DUMMYFUNCTION("""COMPUTED_VALUE"""),"DL14-518")</f>
        <v>DL14-518</v>
      </c>
      <c r="B379" s="94"/>
      <c r="C379" s="94"/>
      <c r="D379" s="94"/>
      <c r="E379" s="2175">
        <f>IFERROR(__xludf.DUMMYFUNCTION("""COMPUTED_VALUE"""),45827.0)</f>
        <v>45827</v>
      </c>
      <c r="F379" s="1429">
        <f>IFERROR(__xludf.DUMMYFUNCTION("""COMPUTED_VALUE"""),45830.0)</f>
        <v>45830</v>
      </c>
      <c r="G379" s="1430">
        <f>IFERROR(__xludf.DUMMYFUNCTION("""COMPUTED_VALUE"""),3.0)</f>
        <v>3</v>
      </c>
      <c r="H379" s="94">
        <f t="shared" si="1"/>
        <v>6</v>
      </c>
    </row>
    <row r="380" ht="15.75" customHeight="1">
      <c r="A380" s="94" t="str">
        <f>IFERROR(__xludf.DUMMYFUNCTION("""COMPUTED_VALUE"""),"DL14-1405")</f>
        <v>DL14-1405</v>
      </c>
      <c r="B380" s="94"/>
      <c r="C380" s="94"/>
      <c r="D380" s="94"/>
      <c r="E380" s="2175">
        <f>IFERROR(__xludf.DUMMYFUNCTION("""COMPUTED_VALUE"""),45827.0)</f>
        <v>45827</v>
      </c>
      <c r="F380" s="1429">
        <f>IFERROR(__xludf.DUMMYFUNCTION("""COMPUTED_VALUE"""),45830.0)</f>
        <v>45830</v>
      </c>
      <c r="G380" s="1430">
        <f>IFERROR(__xludf.DUMMYFUNCTION("""COMPUTED_VALUE"""),3.0)</f>
        <v>3</v>
      </c>
      <c r="H380" s="94">
        <f t="shared" si="1"/>
        <v>6</v>
      </c>
    </row>
    <row r="381" ht="15.75" customHeight="1">
      <c r="A381" s="94" t="str">
        <f>IFERROR(__xludf.DUMMYFUNCTION("""COMPUTED_VALUE"""),"DL14-305")</f>
        <v>DL14-305</v>
      </c>
      <c r="B381" s="94"/>
      <c r="C381" s="94"/>
      <c r="D381" s="94"/>
      <c r="E381" s="2175">
        <f>IFERROR(__xludf.DUMMYFUNCTION("""COMPUTED_VALUE"""),45827.0)</f>
        <v>45827</v>
      </c>
      <c r="F381" s="1429">
        <f>IFERROR(__xludf.DUMMYFUNCTION("""COMPUTED_VALUE"""),45830.0)</f>
        <v>45830</v>
      </c>
      <c r="G381" s="1430">
        <f>IFERROR(__xludf.DUMMYFUNCTION("""COMPUTED_VALUE"""),3.0)</f>
        <v>3</v>
      </c>
      <c r="H381" s="94">
        <f t="shared" si="1"/>
        <v>6</v>
      </c>
    </row>
    <row r="382" ht="15.75" customHeight="1">
      <c r="A382" s="94" t="str">
        <f>IFERROR(__xludf.DUMMYFUNCTION("""COMPUTED_VALUE"""),"DL 11-1112")</f>
        <v>DL 11-1112</v>
      </c>
      <c r="B382" s="94"/>
      <c r="C382" s="94"/>
      <c r="D382" s="94"/>
      <c r="E382" s="2175">
        <f>IFERROR(__xludf.DUMMYFUNCTION("""COMPUTED_VALUE"""),45828.0)</f>
        <v>45828</v>
      </c>
      <c r="F382" s="1429">
        <f>IFERROR(__xludf.DUMMYFUNCTION("""COMPUTED_VALUE"""),45834.0)</f>
        <v>45834</v>
      </c>
      <c r="G382" s="1430">
        <f>IFERROR(__xludf.DUMMYFUNCTION("""COMPUTED_VALUE"""),6.0)</f>
        <v>6</v>
      </c>
      <c r="H382" s="94">
        <f t="shared" si="1"/>
        <v>6</v>
      </c>
    </row>
    <row r="383" ht="15.75" customHeight="1">
      <c r="A383" s="94" t="str">
        <f>IFERROR(__xludf.DUMMYFUNCTION("""COMPUTED_VALUE"""),"14-411")</f>
        <v>14-411</v>
      </c>
      <c r="B383" s="94"/>
      <c r="C383" s="94"/>
      <c r="D383" s="94"/>
      <c r="E383" s="2175">
        <f>IFERROR(__xludf.DUMMYFUNCTION("""COMPUTED_VALUE"""),45828.0)</f>
        <v>45828</v>
      </c>
      <c r="F383" s="1429">
        <f>IFERROR(__xludf.DUMMYFUNCTION("""COMPUTED_VALUE"""),45831.0)</f>
        <v>45831</v>
      </c>
      <c r="G383" s="1430">
        <f>IFERROR(__xludf.DUMMYFUNCTION("""COMPUTED_VALUE"""),3.0)</f>
        <v>3</v>
      </c>
      <c r="H383" s="94">
        <f t="shared" si="1"/>
        <v>6</v>
      </c>
    </row>
    <row r="384" ht="15.75" customHeight="1">
      <c r="A384" s="94" t="str">
        <f>IFERROR(__xludf.DUMMYFUNCTION("""COMPUTED_VALUE"""),"DL14-1710")</f>
        <v>DL14-1710</v>
      </c>
      <c r="B384" s="94"/>
      <c r="C384" s="94"/>
      <c r="D384" s="94"/>
      <c r="E384" s="2175">
        <f>IFERROR(__xludf.DUMMYFUNCTION("""COMPUTED_VALUE"""),45828.0)</f>
        <v>45828</v>
      </c>
      <c r="F384" s="1429">
        <f>IFERROR(__xludf.DUMMYFUNCTION("""COMPUTED_VALUE"""),45829.0)</f>
        <v>45829</v>
      </c>
      <c r="G384" s="1430">
        <f>IFERROR(__xludf.DUMMYFUNCTION("""COMPUTED_VALUE"""),1.0)</f>
        <v>1</v>
      </c>
      <c r="H384" s="94">
        <f t="shared" si="1"/>
        <v>6</v>
      </c>
    </row>
    <row r="385" ht="15.75" customHeight="1">
      <c r="A385" s="94" t="str">
        <f>IFERROR(__xludf.DUMMYFUNCTION("""COMPUTED_VALUE"""),"WS В 503")</f>
        <v>WS В 503</v>
      </c>
      <c r="B385" s="94"/>
      <c r="C385" s="94"/>
      <c r="D385" s="94"/>
      <c r="E385" s="2175">
        <f>IFERROR(__xludf.DUMMYFUNCTION("""COMPUTED_VALUE"""),45828.0)</f>
        <v>45828</v>
      </c>
      <c r="F385" s="1429">
        <f>IFERROR(__xludf.DUMMYFUNCTION("""COMPUTED_VALUE"""),45833.0)</f>
        <v>45833</v>
      </c>
      <c r="G385" s="1430">
        <f>IFERROR(__xludf.DUMMYFUNCTION("""COMPUTED_VALUE"""),5.0)</f>
        <v>5</v>
      </c>
      <c r="H385" s="94">
        <f t="shared" si="1"/>
        <v>6</v>
      </c>
    </row>
    <row r="386" ht="15.75" customHeight="1">
      <c r="A386" s="94" t="str">
        <f>IFERROR(__xludf.DUMMYFUNCTION("""COMPUTED_VALUE"""),"TGB10")</f>
        <v>TGB10</v>
      </c>
      <c r="B386" s="94"/>
      <c r="C386" s="94"/>
      <c r="D386" s="94"/>
      <c r="E386" s="2175">
        <f>IFERROR(__xludf.DUMMYFUNCTION("""COMPUTED_VALUE"""),45828.0)</f>
        <v>45828</v>
      </c>
      <c r="F386" s="1429">
        <f>IFERROR(__xludf.DUMMYFUNCTION("""COMPUTED_VALUE"""),45831.0)</f>
        <v>45831</v>
      </c>
      <c r="G386" s="1430">
        <f>IFERROR(__xludf.DUMMYFUNCTION("""COMPUTED_VALUE"""),3.0)</f>
        <v>3</v>
      </c>
      <c r="H386" s="94">
        <f t="shared" si="1"/>
        <v>6</v>
      </c>
    </row>
    <row r="387" ht="15.75" customHeight="1">
      <c r="A387" s="94" t="str">
        <f>IFERROR(__xludf.DUMMYFUNCTION("""COMPUTED_VALUE"""),"С 2756")</f>
        <v>С 2756</v>
      </c>
      <c r="B387" s="94"/>
      <c r="C387" s="94"/>
      <c r="D387" s="94"/>
      <c r="E387" s="2175">
        <f>IFERROR(__xludf.DUMMYFUNCTION("""COMPUTED_VALUE"""),45828.0)</f>
        <v>45828</v>
      </c>
      <c r="F387" s="1429">
        <f>IFERROR(__xludf.DUMMYFUNCTION("""COMPUTED_VALUE"""),45831.0)</f>
        <v>45831</v>
      </c>
      <c r="G387" s="1430">
        <f>IFERROR(__xludf.DUMMYFUNCTION("""COMPUTED_VALUE"""),3.0)</f>
        <v>3</v>
      </c>
      <c r="H387" s="94">
        <f t="shared" si="1"/>
        <v>6</v>
      </c>
    </row>
    <row r="388" ht="15.75" customHeight="1">
      <c r="A388" s="94" t="str">
        <f>IFERROR(__xludf.DUMMYFUNCTION("""COMPUTED_VALUE"""),"C 4245")</f>
        <v>C 4245</v>
      </c>
      <c r="B388" s="94"/>
      <c r="C388" s="94"/>
      <c r="D388" s="94"/>
      <c r="E388" s="2175">
        <f>IFERROR(__xludf.DUMMYFUNCTION("""COMPUTED_VALUE"""),45828.0)</f>
        <v>45828</v>
      </c>
      <c r="F388" s="1429">
        <f>IFERROR(__xludf.DUMMYFUNCTION("""COMPUTED_VALUE"""),45830.0)</f>
        <v>45830</v>
      </c>
      <c r="G388" s="1430">
        <f>IFERROR(__xludf.DUMMYFUNCTION("""COMPUTED_VALUE"""),2.0)</f>
        <v>2</v>
      </c>
      <c r="H388" s="94">
        <f t="shared" si="1"/>
        <v>6</v>
      </c>
    </row>
    <row r="389" ht="15.75" customHeight="1">
      <c r="A389" s="94" t="str">
        <f>IFERROR(__xludf.DUMMYFUNCTION("""COMPUTED_VALUE"""),"PT2704")</f>
        <v>PT2704</v>
      </c>
      <c r="B389" s="94"/>
      <c r="C389" s="94"/>
      <c r="D389" s="94"/>
      <c r="E389" s="2175">
        <f>IFERROR(__xludf.DUMMYFUNCTION("""COMPUTED_VALUE"""),45828.0)</f>
        <v>45828</v>
      </c>
      <c r="F389" s="1429">
        <f>IFERROR(__xludf.DUMMYFUNCTION("""COMPUTED_VALUE"""),45834.0)</f>
        <v>45834</v>
      </c>
      <c r="G389" s="1430">
        <f>IFERROR(__xludf.DUMMYFUNCTION("""COMPUTED_VALUE"""),6.0)</f>
        <v>6</v>
      </c>
      <c r="H389" s="94">
        <f t="shared" si="1"/>
        <v>6</v>
      </c>
    </row>
    <row r="390" ht="15.75" customHeight="1">
      <c r="A390" s="94" t="str">
        <f>IFERROR(__xludf.DUMMYFUNCTION("""COMPUTED_VALUE"""),"TGA7")</f>
        <v>TGA7</v>
      </c>
      <c r="B390" s="94"/>
      <c r="C390" s="94"/>
      <c r="D390" s="94"/>
      <c r="E390" s="1429">
        <f>IFERROR(__xludf.DUMMYFUNCTION("""COMPUTED_VALUE"""),45828.0)</f>
        <v>45828</v>
      </c>
      <c r="F390" s="1429">
        <f>IFERROR(__xludf.DUMMYFUNCTION("""COMPUTED_VALUE"""),45836.0)</f>
        <v>45836</v>
      </c>
      <c r="G390" s="1430">
        <f>IFERROR(__xludf.DUMMYFUNCTION("""COMPUTED_VALUE"""),8.0)</f>
        <v>8</v>
      </c>
      <c r="H390" s="94">
        <f t="shared" si="1"/>
        <v>6</v>
      </c>
    </row>
    <row r="391" ht="15.75" customHeight="1">
      <c r="A391" s="94" t="str">
        <f>IFERROR(__xludf.DUMMYFUNCTION("""COMPUTED_VALUE"""),"TGA4")</f>
        <v>TGA4</v>
      </c>
      <c r="B391" s="94"/>
      <c r="C391" s="94"/>
      <c r="D391" s="94"/>
      <c r="E391" s="1429">
        <f>IFERROR(__xludf.DUMMYFUNCTION("""COMPUTED_VALUE"""),45828.0)</f>
        <v>45828</v>
      </c>
      <c r="F391" s="1429">
        <f>IFERROR(__xludf.DUMMYFUNCTION("""COMPUTED_VALUE"""),45833.0)</f>
        <v>45833</v>
      </c>
      <c r="G391" s="1430">
        <f>IFERROR(__xludf.DUMMYFUNCTION("""COMPUTED_VALUE"""),5.0)</f>
        <v>5</v>
      </c>
      <c r="H391" s="94">
        <f t="shared" si="1"/>
        <v>6</v>
      </c>
    </row>
    <row r="392" ht="15.75" customHeight="1">
      <c r="A392" s="94" t="str">
        <f>IFERROR(__xludf.DUMMYFUNCTION("""COMPUTED_VALUE"""),"DL 11-1305")</f>
        <v>DL 11-1305</v>
      </c>
      <c r="B392" s="94"/>
      <c r="C392" s="94"/>
      <c r="D392" s="94"/>
      <c r="E392" s="1429">
        <f>IFERROR(__xludf.DUMMYFUNCTION("""COMPUTED_VALUE"""),45829.0)</f>
        <v>45829</v>
      </c>
      <c r="F392" s="1429">
        <f>IFERROR(__xludf.DUMMYFUNCTION("""COMPUTED_VALUE"""),45838.0)</f>
        <v>45838</v>
      </c>
      <c r="G392" s="1430">
        <f>IFERROR(__xludf.DUMMYFUNCTION("""COMPUTED_VALUE"""),9.0)</f>
        <v>9</v>
      </c>
      <c r="H392" s="94">
        <f t="shared" si="1"/>
        <v>6</v>
      </c>
    </row>
    <row r="393" ht="15.75" customHeight="1">
      <c r="A393" s="94" t="str">
        <f>IFERROR(__xludf.DUMMYFUNCTION("""COMPUTED_VALUE"""),"DL 14-1710")</f>
        <v>DL 14-1710</v>
      </c>
      <c r="B393" s="94"/>
      <c r="C393" s="94"/>
      <c r="D393" s="94"/>
      <c r="E393" s="1429">
        <f>IFERROR(__xludf.DUMMYFUNCTION("""COMPUTED_VALUE"""),45829.0)</f>
        <v>45829</v>
      </c>
      <c r="F393" s="1429">
        <f>IFERROR(__xludf.DUMMYFUNCTION("""COMPUTED_VALUE"""),45832.0)</f>
        <v>45832</v>
      </c>
      <c r="G393" s="1430">
        <f>IFERROR(__xludf.DUMMYFUNCTION("""COMPUTED_VALUE"""),3.0)</f>
        <v>3</v>
      </c>
      <c r="H393" s="94">
        <f t="shared" si="1"/>
        <v>6</v>
      </c>
    </row>
    <row r="394" ht="15.75" customHeight="1">
      <c r="A394" s="94" t="str">
        <f>IFERROR(__xludf.DUMMYFUNCTION("""COMPUTED_VALUE"""),"DL 14-505")</f>
        <v>DL 14-505</v>
      </c>
      <c r="B394" s="94"/>
      <c r="C394" s="94"/>
      <c r="D394" s="94"/>
      <c r="E394" s="1429">
        <f>IFERROR(__xludf.DUMMYFUNCTION("""COMPUTED_VALUE"""),45829.0)</f>
        <v>45829</v>
      </c>
      <c r="F394" s="1429">
        <f>IFERROR(__xludf.DUMMYFUNCTION("""COMPUTED_VALUE"""),45836.0)</f>
        <v>45836</v>
      </c>
      <c r="G394" s="1430">
        <f>IFERROR(__xludf.DUMMYFUNCTION("""COMPUTED_VALUE"""),7.0)</f>
        <v>7</v>
      </c>
      <c r="H394" s="94">
        <f t="shared" si="1"/>
        <v>6</v>
      </c>
    </row>
    <row r="395" ht="15.75" customHeight="1">
      <c r="A395" s="94" t="str">
        <f>IFERROR(__xludf.DUMMYFUNCTION("""COMPUTED_VALUE"""),"TGA3")</f>
        <v>TGA3</v>
      </c>
      <c r="B395" s="94"/>
      <c r="C395" s="94"/>
      <c r="D395" s="94"/>
      <c r="E395" s="1429">
        <f>IFERROR(__xludf.DUMMYFUNCTION("""COMPUTED_VALUE"""),45829.0)</f>
        <v>45829</v>
      </c>
      <c r="F395" s="1429">
        <f>IFERROR(__xludf.DUMMYFUNCTION("""COMPUTED_VALUE"""),45833.0)</f>
        <v>45833</v>
      </c>
      <c r="G395" s="1430">
        <f>IFERROR(__xludf.DUMMYFUNCTION("""COMPUTED_VALUE"""),4.0)</f>
        <v>4</v>
      </c>
      <c r="H395" s="94">
        <f t="shared" si="1"/>
        <v>6</v>
      </c>
    </row>
    <row r="396" ht="15.75" customHeight="1">
      <c r="A396" s="94" t="str">
        <f>IFERROR(__xludf.DUMMYFUNCTION("""COMPUTED_VALUE"""),"TGA2")</f>
        <v>TGA2</v>
      </c>
      <c r="B396" s="94"/>
      <c r="C396" s="94"/>
      <c r="D396" s="94"/>
      <c r="E396" s="1429">
        <f>IFERROR(__xludf.DUMMYFUNCTION("""COMPUTED_VALUE"""),45829.0)</f>
        <v>45829</v>
      </c>
      <c r="F396" s="1429">
        <f>IFERROR(__xludf.DUMMYFUNCTION("""COMPUTED_VALUE"""),45836.0)</f>
        <v>45836</v>
      </c>
      <c r="G396" s="1430">
        <f>IFERROR(__xludf.DUMMYFUNCTION("""COMPUTED_VALUE"""),7.0)</f>
        <v>7</v>
      </c>
      <c r="H396" s="94">
        <f t="shared" si="1"/>
        <v>6</v>
      </c>
    </row>
    <row r="397" ht="15.75" customHeight="1">
      <c r="A397" s="94" t="str">
        <f>IFERROR(__xludf.DUMMYFUNCTION("""COMPUTED_VALUE"""),"TGA9")</f>
        <v>TGA9</v>
      </c>
      <c r="B397" s="94"/>
      <c r="C397" s="94"/>
      <c r="D397" s="94"/>
      <c r="E397" s="1429">
        <f>IFERROR(__xludf.DUMMYFUNCTION("""COMPUTED_VALUE"""),45829.0)</f>
        <v>45829</v>
      </c>
      <c r="F397" s="1429">
        <f>IFERROR(__xludf.DUMMYFUNCTION("""COMPUTED_VALUE"""),45834.0)</f>
        <v>45834</v>
      </c>
      <c r="G397" s="1430">
        <f>IFERROR(__xludf.DUMMYFUNCTION("""COMPUTED_VALUE"""),5.0)</f>
        <v>5</v>
      </c>
      <c r="H397" s="94">
        <f t="shared" si="1"/>
        <v>6</v>
      </c>
    </row>
    <row r="398" ht="15.75" customHeight="1">
      <c r="A398" s="94" t="str">
        <f>IFERROR(__xludf.DUMMYFUNCTION("""COMPUTED_VALUE"""),"MZ 913")</f>
        <v>MZ 913</v>
      </c>
      <c r="B398" s="94"/>
      <c r="C398" s="94"/>
      <c r="D398" s="94"/>
      <c r="E398" s="1429">
        <f>IFERROR(__xludf.DUMMYFUNCTION("""COMPUTED_VALUE"""),45829.0)</f>
        <v>45829</v>
      </c>
      <c r="F398" s="1429">
        <f>IFERROR(__xludf.DUMMYFUNCTION("""COMPUTED_VALUE"""),45832.0)</f>
        <v>45832</v>
      </c>
      <c r="G398" s="1430">
        <f>IFERROR(__xludf.DUMMYFUNCTION("""COMPUTED_VALUE"""),3.0)</f>
        <v>3</v>
      </c>
      <c r="H398" s="94">
        <f t="shared" si="1"/>
        <v>6</v>
      </c>
    </row>
    <row r="399" ht="15.75" customHeight="1">
      <c r="A399" s="94" t="str">
        <f>IFERROR(__xludf.DUMMYFUNCTION("""COMPUTED_VALUE"""),"Steps1123")</f>
        <v>Steps1123</v>
      </c>
      <c r="B399" s="94"/>
      <c r="C399" s="94"/>
      <c r="D399" s="94"/>
      <c r="E399" s="1429">
        <f>IFERROR(__xludf.DUMMYFUNCTION("""COMPUTED_VALUE"""),45829.0)</f>
        <v>45829</v>
      </c>
      <c r="F399" s="1429">
        <f>IFERROR(__xludf.DUMMYFUNCTION("""COMPUTED_VALUE"""),45835.0)</f>
        <v>45835</v>
      </c>
      <c r="G399" s="1430">
        <f>IFERROR(__xludf.DUMMYFUNCTION("""COMPUTED_VALUE"""),6.0)</f>
        <v>6</v>
      </c>
      <c r="H399" s="94">
        <f t="shared" si="1"/>
        <v>6</v>
      </c>
    </row>
    <row r="400" ht="15.75" customHeight="1">
      <c r="A400" s="94" t="str">
        <f>IFERROR(__xludf.DUMMYFUNCTION("""COMPUTED_VALUE"""),"Int 2612")</f>
        <v>Int 2612</v>
      </c>
      <c r="B400" s="94"/>
      <c r="C400" s="94"/>
      <c r="D400" s="94"/>
      <c r="E400" s="1429">
        <f>IFERROR(__xludf.DUMMYFUNCTION("""COMPUTED_VALUE"""),45829.0)</f>
        <v>45829</v>
      </c>
      <c r="F400" s="1429">
        <f>IFERROR(__xludf.DUMMYFUNCTION("""COMPUTED_VALUE"""),45835.0)</f>
        <v>45835</v>
      </c>
      <c r="G400" s="1430">
        <f>IFERROR(__xludf.DUMMYFUNCTION("""COMPUTED_VALUE"""),6.0)</f>
        <v>6</v>
      </c>
      <c r="H400" s="94">
        <f t="shared" si="1"/>
        <v>6</v>
      </c>
    </row>
    <row r="401" ht="15.75" customHeight="1">
      <c r="A401" s="94" t="str">
        <f>IFERROR(__xludf.DUMMYFUNCTION("""COMPUTED_VALUE"""),"WS E 1202")</f>
        <v>WS E 1202</v>
      </c>
      <c r="B401" s="94"/>
      <c r="C401" s="94"/>
      <c r="D401" s="94"/>
      <c r="E401" s="1429">
        <f>IFERROR(__xludf.DUMMYFUNCTION("""COMPUTED_VALUE"""),45829.0)</f>
        <v>45829</v>
      </c>
      <c r="F401" s="1429">
        <f>IFERROR(__xludf.DUMMYFUNCTION("""COMPUTED_VALUE"""),45836.0)</f>
        <v>45836</v>
      </c>
      <c r="G401" s="1430">
        <f>IFERROR(__xludf.DUMMYFUNCTION("""COMPUTED_VALUE"""),7.0)</f>
        <v>7</v>
      </c>
      <c r="H401" s="94">
        <f t="shared" si="1"/>
        <v>6</v>
      </c>
    </row>
    <row r="402" ht="15.75" customHeight="1">
      <c r="A402" s="94" t="str">
        <f>IFERROR(__xludf.DUMMYFUNCTION("""COMPUTED_VALUE"""),"WS А 908")</f>
        <v>WS А 908</v>
      </c>
      <c r="B402" s="94"/>
      <c r="C402" s="94"/>
      <c r="D402" s="94"/>
      <c r="E402" s="1429">
        <f>IFERROR(__xludf.DUMMYFUNCTION("""COMPUTED_VALUE"""),45829.0)</f>
        <v>45829</v>
      </c>
      <c r="F402" s="1429">
        <f>IFERROR(__xludf.DUMMYFUNCTION("""COMPUTED_VALUE"""),45834.0)</f>
        <v>45834</v>
      </c>
      <c r="G402" s="1430">
        <f>IFERROR(__xludf.DUMMYFUNCTION("""COMPUTED_VALUE"""),5.0)</f>
        <v>5</v>
      </c>
      <c r="H402" s="94">
        <f t="shared" si="1"/>
        <v>6</v>
      </c>
    </row>
    <row r="403" ht="15.75" customHeight="1">
      <c r="A403" s="94" t="str">
        <f>IFERROR(__xludf.DUMMYFUNCTION("""COMPUTED_VALUE"""),"Pollo 3-5")</f>
        <v>Pollo 3-5</v>
      </c>
      <c r="B403" s="94"/>
      <c r="C403" s="94"/>
      <c r="D403" s="94"/>
      <c r="E403" s="1429">
        <f>IFERROR(__xludf.DUMMYFUNCTION("""COMPUTED_VALUE"""),45830.0)</f>
        <v>45830</v>
      </c>
      <c r="F403" s="1436">
        <f>IFERROR(__xludf.DUMMYFUNCTION("""COMPUTED_VALUE"""),45859.0)</f>
        <v>45859</v>
      </c>
      <c r="G403" s="1430">
        <f>IFERROR(__xludf.DUMMYFUNCTION("""COMPUTED_VALUE"""),29.0)</f>
        <v>29</v>
      </c>
      <c r="H403" s="94">
        <f t="shared" si="1"/>
        <v>6</v>
      </c>
    </row>
    <row r="404" ht="15.75" customHeight="1">
      <c r="A404" s="94" t="str">
        <f>IFERROR(__xludf.DUMMYFUNCTION("""COMPUTED_VALUE"""),"DL14-1405")</f>
        <v>DL14-1405</v>
      </c>
      <c r="B404" s="94"/>
      <c r="C404" s="94"/>
      <c r="D404" s="94"/>
      <c r="E404" s="1429">
        <f>IFERROR(__xludf.DUMMYFUNCTION("""COMPUTED_VALUE"""),45830.0)</f>
        <v>45830</v>
      </c>
      <c r="F404" s="1429">
        <f>IFERROR(__xludf.DUMMYFUNCTION("""COMPUTED_VALUE"""),45834.0)</f>
        <v>45834</v>
      </c>
      <c r="G404" s="1430">
        <f>IFERROR(__xludf.DUMMYFUNCTION("""COMPUTED_VALUE"""),4.0)</f>
        <v>4</v>
      </c>
      <c r="H404" s="94">
        <f t="shared" si="1"/>
        <v>6</v>
      </c>
    </row>
    <row r="405" ht="15.75" customHeight="1">
      <c r="A405" s="94" t="str">
        <f>IFERROR(__xludf.DUMMYFUNCTION("""COMPUTED_VALUE"""),"CM 1606")</f>
        <v>CM 1606</v>
      </c>
      <c r="B405" s="94"/>
      <c r="C405" s="94"/>
      <c r="D405" s="94"/>
      <c r="E405" s="1429">
        <f>IFERROR(__xludf.DUMMYFUNCTION("""COMPUTED_VALUE"""),45830.0)</f>
        <v>45830</v>
      </c>
      <c r="F405" s="1429">
        <f>IFERROR(__xludf.DUMMYFUNCTION("""COMPUTED_VALUE"""),45835.0)</f>
        <v>45835</v>
      </c>
      <c r="G405" s="1430">
        <f>IFERROR(__xludf.DUMMYFUNCTION("""COMPUTED_VALUE"""),5.0)</f>
        <v>5</v>
      </c>
      <c r="H405" s="94">
        <f t="shared" si="1"/>
        <v>6</v>
      </c>
    </row>
    <row r="406" ht="15.75" customHeight="1">
      <c r="A406" s="94" t="str">
        <f>IFERROR(__xludf.DUMMYFUNCTION("""COMPUTED_VALUE"""),"А 4049")</f>
        <v>А 4049</v>
      </c>
      <c r="B406" s="94"/>
      <c r="C406" s="94"/>
      <c r="D406" s="94"/>
      <c r="E406" s="1429">
        <f>IFERROR(__xludf.DUMMYFUNCTION("""COMPUTED_VALUE"""),45830.0)</f>
        <v>45830</v>
      </c>
      <c r="F406" s="1429">
        <f>IFERROR(__xludf.DUMMYFUNCTION("""COMPUTED_VALUE"""),45832.0)</f>
        <v>45832</v>
      </c>
      <c r="G406" s="1430">
        <f>IFERROR(__xludf.DUMMYFUNCTION("""COMPUTED_VALUE"""),2.0)</f>
        <v>2</v>
      </c>
      <c r="H406" s="94">
        <f t="shared" si="1"/>
        <v>6</v>
      </c>
    </row>
    <row r="407" ht="15.75" customHeight="1">
      <c r="A407" s="94" t="str">
        <f>IFERROR(__xludf.DUMMYFUNCTION("""COMPUTED_VALUE"""),"TGB2")</f>
        <v>TGB2</v>
      </c>
      <c r="B407" s="94"/>
      <c r="C407" s="94"/>
      <c r="D407" s="94"/>
      <c r="E407" s="1434">
        <f>IFERROR(__xludf.DUMMYFUNCTION("""COMPUTED_VALUE"""),45830.0)</f>
        <v>45830</v>
      </c>
      <c r="F407" s="1429">
        <f>IFERROR(__xludf.DUMMYFUNCTION("""COMPUTED_VALUE"""),45832.0)</f>
        <v>45832</v>
      </c>
      <c r="G407" s="1430">
        <f>IFERROR(__xludf.DUMMYFUNCTION("""COMPUTED_VALUE"""),2.0)</f>
        <v>2</v>
      </c>
      <c r="H407" s="94">
        <f t="shared" si="1"/>
        <v>6</v>
      </c>
    </row>
    <row r="408" ht="15.75" customHeight="1">
      <c r="A408" s="94" t="str">
        <f>IFERROR(__xludf.DUMMYFUNCTION("""COMPUTED_VALUE"""),"TGA1")</f>
        <v>TGA1</v>
      </c>
      <c r="B408" s="94"/>
      <c r="C408" s="94"/>
      <c r="D408" s="94"/>
      <c r="E408" s="1429">
        <f>IFERROR(__xludf.DUMMYFUNCTION("""COMPUTED_VALUE"""),45830.0)</f>
        <v>45830</v>
      </c>
      <c r="F408" s="1429">
        <f>IFERROR(__xludf.DUMMYFUNCTION("""COMPUTED_VALUE"""),45838.0)</f>
        <v>45838</v>
      </c>
      <c r="G408" s="1430">
        <f>IFERROR(__xludf.DUMMYFUNCTION("""COMPUTED_VALUE"""),8.0)</f>
        <v>8</v>
      </c>
      <c r="H408" s="94">
        <f t="shared" si="1"/>
        <v>6</v>
      </c>
    </row>
    <row r="409" ht="15.75" customHeight="1">
      <c r="A409" s="94" t="str">
        <f>IFERROR(__xludf.DUMMYFUNCTION("""COMPUTED_VALUE"""),"WS A805")</f>
        <v>WS A805</v>
      </c>
      <c r="B409" s="94"/>
      <c r="C409" s="94"/>
      <c r="D409" s="94"/>
      <c r="E409" s="1429">
        <f>IFERROR(__xludf.DUMMYFUNCTION("""COMPUTED_VALUE"""),45830.0)</f>
        <v>45830</v>
      </c>
      <c r="F409" s="1429">
        <f>IFERROR(__xludf.DUMMYFUNCTION("""COMPUTED_VALUE"""),45832.0)</f>
        <v>45832</v>
      </c>
      <c r="G409" s="1430">
        <f>IFERROR(__xludf.DUMMYFUNCTION("""COMPUTED_VALUE"""),2.0)</f>
        <v>2</v>
      </c>
      <c r="H409" s="94">
        <f t="shared" si="1"/>
        <v>6</v>
      </c>
    </row>
    <row r="410" ht="15.75" customHeight="1">
      <c r="A410" s="94" t="str">
        <f>IFERROR(__xludf.DUMMYFUNCTION("""COMPUTED_VALUE"""),"DL14-518")</f>
        <v>DL14-518</v>
      </c>
      <c r="B410" s="94"/>
      <c r="C410" s="94"/>
      <c r="D410" s="94"/>
      <c r="E410" s="1429">
        <f>IFERROR(__xludf.DUMMYFUNCTION("""COMPUTED_VALUE"""),45830.0)</f>
        <v>45830</v>
      </c>
      <c r="F410" s="1429">
        <f>IFERROR(__xludf.DUMMYFUNCTION("""COMPUTED_VALUE"""),45831.0)</f>
        <v>45831</v>
      </c>
      <c r="G410" s="1430">
        <f>IFERROR(__xludf.DUMMYFUNCTION("""COMPUTED_VALUE"""),1.0)</f>
        <v>1</v>
      </c>
      <c r="H410" s="94">
        <f t="shared" si="1"/>
        <v>6</v>
      </c>
    </row>
    <row r="411" ht="15.75" customHeight="1">
      <c r="A411" s="94" t="str">
        <f>IFERROR(__xludf.DUMMYFUNCTION("""COMPUTED_VALUE"""),"WS Е804")</f>
        <v>WS Е804</v>
      </c>
      <c r="B411" s="94"/>
      <c r="C411" s="94"/>
      <c r="D411" s="94"/>
      <c r="E411" s="1429">
        <f>IFERROR(__xludf.DUMMYFUNCTION("""COMPUTED_VALUE"""),45830.0)</f>
        <v>45830</v>
      </c>
      <c r="F411" s="1429">
        <f>IFERROR(__xludf.DUMMYFUNCTION("""COMPUTED_VALUE"""),45841.0)</f>
        <v>45841</v>
      </c>
      <c r="G411" s="1430">
        <f>IFERROR(__xludf.DUMMYFUNCTION("""COMPUTED_VALUE"""),11.0)</f>
        <v>11</v>
      </c>
      <c r="H411" s="94">
        <f t="shared" si="1"/>
        <v>6</v>
      </c>
    </row>
    <row r="412" ht="15.75" customHeight="1">
      <c r="A412" s="94" t="str">
        <f>IFERROR(__xludf.DUMMYFUNCTION("""COMPUTED_VALUE"""),"DL 14-702")</f>
        <v>DL 14-702</v>
      </c>
      <c r="B412" s="94"/>
      <c r="C412" s="94"/>
      <c r="D412" s="94"/>
      <c r="E412" s="1429">
        <f>IFERROR(__xludf.DUMMYFUNCTION("""COMPUTED_VALUE"""),45831.0)</f>
        <v>45831</v>
      </c>
      <c r="F412" s="1429">
        <f>IFERROR(__xludf.DUMMYFUNCTION("""COMPUTED_VALUE"""),45835.0)</f>
        <v>45835</v>
      </c>
      <c r="G412" s="1430">
        <f>IFERROR(__xludf.DUMMYFUNCTION("""COMPUTED_VALUE"""),4.0)</f>
        <v>4</v>
      </c>
      <c r="H412" s="94">
        <f t="shared" si="1"/>
        <v>6</v>
      </c>
    </row>
    <row r="413" ht="15.75" customHeight="1">
      <c r="A413" s="94" t="str">
        <f>IFERROR(__xludf.DUMMYFUNCTION("""COMPUTED_VALUE"""),"14-411")</f>
        <v>14-411</v>
      </c>
      <c r="B413" s="94"/>
      <c r="C413" s="94"/>
      <c r="D413" s="94"/>
      <c r="E413" s="1429">
        <f>IFERROR(__xludf.DUMMYFUNCTION("""COMPUTED_VALUE"""),45831.0)</f>
        <v>45831</v>
      </c>
      <c r="F413" s="1429">
        <f>IFERROR(__xludf.DUMMYFUNCTION("""COMPUTED_VALUE"""),45836.0)</f>
        <v>45836</v>
      </c>
      <c r="G413" s="1430">
        <f>IFERROR(__xludf.DUMMYFUNCTION("""COMPUTED_VALUE"""),5.0)</f>
        <v>5</v>
      </c>
      <c r="H413" s="94">
        <f t="shared" si="1"/>
        <v>6</v>
      </c>
    </row>
    <row r="414" ht="15.75" customHeight="1">
      <c r="A414" s="94" t="str">
        <f>IFERROR(__xludf.DUMMYFUNCTION("""COMPUTED_VALUE"""),"DL14-305")</f>
        <v>DL14-305</v>
      </c>
      <c r="B414" s="94"/>
      <c r="C414" s="94"/>
      <c r="D414" s="94"/>
      <c r="E414" s="1429">
        <f>IFERROR(__xludf.DUMMYFUNCTION("""COMPUTED_VALUE"""),45831.0)</f>
        <v>45831</v>
      </c>
      <c r="F414" s="1429">
        <f>IFERROR(__xludf.DUMMYFUNCTION("""COMPUTED_VALUE"""),45834.0)</f>
        <v>45834</v>
      </c>
      <c r="G414" s="1430">
        <f>IFERROR(__xludf.DUMMYFUNCTION("""COMPUTED_VALUE"""),3.0)</f>
        <v>3</v>
      </c>
      <c r="H414" s="94">
        <f t="shared" si="1"/>
        <v>6</v>
      </c>
    </row>
    <row r="415" ht="15.75" customHeight="1">
      <c r="A415" s="94" t="str">
        <f>IFERROR(__xludf.DUMMYFUNCTION("""COMPUTED_VALUE"""),"С 1125")</f>
        <v>С 1125</v>
      </c>
      <c r="B415" s="94"/>
      <c r="C415" s="94"/>
      <c r="D415" s="94"/>
      <c r="E415" s="1429">
        <f>IFERROR(__xludf.DUMMYFUNCTION("""COMPUTED_VALUE"""),45831.0)</f>
        <v>45831</v>
      </c>
      <c r="F415" s="1429">
        <f>IFERROR(__xludf.DUMMYFUNCTION("""COMPUTED_VALUE"""),45837.0)</f>
        <v>45837</v>
      </c>
      <c r="G415" s="1430">
        <f>IFERROR(__xludf.DUMMYFUNCTION("""COMPUTED_VALUE"""),6.0)</f>
        <v>6</v>
      </c>
      <c r="H415" s="94">
        <f t="shared" si="1"/>
        <v>6</v>
      </c>
    </row>
    <row r="416" ht="15.75" customHeight="1">
      <c r="A416" s="94" t="str">
        <f>IFERROR(__xludf.DUMMYFUNCTION("""COMPUTED_VALUE"""),"WS A 608")</f>
        <v>WS A 608</v>
      </c>
      <c r="B416" s="94"/>
      <c r="C416" s="94"/>
      <c r="D416" s="94"/>
      <c r="E416" s="1429">
        <f>IFERROR(__xludf.DUMMYFUNCTION("""COMPUTED_VALUE"""),45831.0)</f>
        <v>45831</v>
      </c>
      <c r="F416" s="1429">
        <f>IFERROR(__xludf.DUMMYFUNCTION("""COMPUTED_VALUE"""),45837.0)</f>
        <v>45837</v>
      </c>
      <c r="G416" s="1430">
        <f>IFERROR(__xludf.DUMMYFUNCTION("""COMPUTED_VALUE"""),6.0)</f>
        <v>6</v>
      </c>
      <c r="H416" s="94">
        <f t="shared" si="1"/>
        <v>6</v>
      </c>
    </row>
    <row r="417" ht="15.75" customHeight="1">
      <c r="A417" s="94" t="str">
        <f>IFERROR(__xludf.DUMMYFUNCTION("""COMPUTED_VALUE"""),"WS E704")</f>
        <v>WS E704</v>
      </c>
      <c r="B417" s="94"/>
      <c r="C417" s="94"/>
      <c r="D417" s="94"/>
      <c r="E417" s="1429">
        <f>IFERROR(__xludf.DUMMYFUNCTION("""COMPUTED_VALUE"""),45831.0)</f>
        <v>45831</v>
      </c>
      <c r="F417" s="1429">
        <f>IFERROR(__xludf.DUMMYFUNCTION("""COMPUTED_VALUE"""),45835.0)</f>
        <v>45835</v>
      </c>
      <c r="G417" s="1430">
        <f>IFERROR(__xludf.DUMMYFUNCTION("""COMPUTED_VALUE"""),4.0)</f>
        <v>4</v>
      </c>
      <c r="H417" s="94">
        <f t="shared" si="1"/>
        <v>6</v>
      </c>
    </row>
    <row r="418" ht="15.75" customHeight="1">
      <c r="A418" s="94" t="str">
        <f>IFERROR(__xludf.DUMMYFUNCTION("""COMPUTED_VALUE"""),"TGB8")</f>
        <v>TGB8</v>
      </c>
      <c r="B418" s="94"/>
      <c r="C418" s="94"/>
      <c r="D418" s="94"/>
      <c r="E418" s="1429">
        <f>IFERROR(__xludf.DUMMYFUNCTION("""COMPUTED_VALUE"""),45831.0)</f>
        <v>45831</v>
      </c>
      <c r="F418" s="1429">
        <f>IFERROR(__xludf.DUMMYFUNCTION("""COMPUTED_VALUE"""),45834.0)</f>
        <v>45834</v>
      </c>
      <c r="G418" s="1430">
        <f>IFERROR(__xludf.DUMMYFUNCTION("""COMPUTED_VALUE"""),3.0)</f>
        <v>3</v>
      </c>
      <c r="H418" s="94">
        <f t="shared" si="1"/>
        <v>6</v>
      </c>
    </row>
    <row r="419" ht="15.75" customHeight="1">
      <c r="A419" s="94" t="str">
        <f>IFERROR(__xludf.DUMMYFUNCTION("""COMPUTED_VALUE"""),"TGB10")</f>
        <v>TGB10</v>
      </c>
      <c r="B419" s="94"/>
      <c r="C419" s="94"/>
      <c r="D419" s="94"/>
      <c r="E419" s="1429">
        <f>IFERROR(__xludf.DUMMYFUNCTION("""COMPUTED_VALUE"""),45831.0)</f>
        <v>45831</v>
      </c>
      <c r="F419" s="1429">
        <f>IFERROR(__xludf.DUMMYFUNCTION("""COMPUTED_VALUE"""),45838.0)</f>
        <v>45838</v>
      </c>
      <c r="G419" s="1430">
        <f>IFERROR(__xludf.DUMMYFUNCTION("""COMPUTED_VALUE"""),7.0)</f>
        <v>7</v>
      </c>
      <c r="H419" s="94">
        <f t="shared" si="1"/>
        <v>6</v>
      </c>
    </row>
    <row r="420" ht="15.75" customHeight="1">
      <c r="A420" s="94" t="str">
        <f>IFERROR(__xludf.DUMMYFUNCTION("""COMPUTED_VALUE"""),"TGA5")</f>
        <v>TGA5</v>
      </c>
      <c r="B420" s="94"/>
      <c r="C420" s="94"/>
      <c r="D420" s="94"/>
      <c r="E420" s="1429">
        <f>IFERROR(__xludf.DUMMYFUNCTION("""COMPUTED_VALUE"""),45831.0)</f>
        <v>45831</v>
      </c>
      <c r="F420" s="1429">
        <f>IFERROR(__xludf.DUMMYFUNCTION("""COMPUTED_VALUE"""),45835.0)</f>
        <v>45835</v>
      </c>
      <c r="G420" s="1430">
        <f>IFERROR(__xludf.DUMMYFUNCTION("""COMPUTED_VALUE"""),4.0)</f>
        <v>4</v>
      </c>
      <c r="H420" s="94">
        <f t="shared" si="1"/>
        <v>6</v>
      </c>
    </row>
    <row r="421" ht="15.75" customHeight="1">
      <c r="A421" s="94" t="str">
        <f>IFERROR(__xludf.DUMMYFUNCTION("""COMPUTED_VALUE"""),"С 2756")</f>
        <v>С 2756</v>
      </c>
      <c r="B421" s="94"/>
      <c r="C421" s="94"/>
      <c r="D421" s="94"/>
      <c r="E421" s="1429">
        <f>IFERROR(__xludf.DUMMYFUNCTION("""COMPUTED_VALUE"""),45831.0)</f>
        <v>45831</v>
      </c>
      <c r="F421" s="1429">
        <f>IFERROR(__xludf.DUMMYFUNCTION("""COMPUTED_VALUE"""),45835.0)</f>
        <v>45835</v>
      </c>
      <c r="G421" s="1430">
        <f>IFERROR(__xludf.DUMMYFUNCTION("""COMPUTED_VALUE"""),4.0)</f>
        <v>4</v>
      </c>
      <c r="H421" s="94">
        <f t="shared" si="1"/>
        <v>6</v>
      </c>
    </row>
    <row r="422" ht="15.75" customHeight="1">
      <c r="A422" s="94" t="str">
        <f>IFERROR(__xludf.DUMMYFUNCTION("""COMPUTED_VALUE"""),"WS F1103")</f>
        <v>WS F1103</v>
      </c>
      <c r="B422" s="94"/>
      <c r="C422" s="94"/>
      <c r="D422" s="94"/>
      <c r="E422" s="1429">
        <f>IFERROR(__xludf.DUMMYFUNCTION("""COMPUTED_VALUE"""),45831.0)</f>
        <v>45831</v>
      </c>
      <c r="F422" s="1429">
        <f>IFERROR(__xludf.DUMMYFUNCTION("""COMPUTED_VALUE"""),45834.0)</f>
        <v>45834</v>
      </c>
      <c r="G422" s="1430">
        <f>IFERROR(__xludf.DUMMYFUNCTION("""COMPUTED_VALUE"""),3.0)</f>
        <v>3</v>
      </c>
      <c r="H422" s="94">
        <f t="shared" si="1"/>
        <v>6</v>
      </c>
    </row>
    <row r="423" ht="15.75" customHeight="1">
      <c r="A423" s="94" t="str">
        <f>IFERROR(__xludf.DUMMYFUNCTION("""COMPUTED_VALUE"""),"DL 4-09")</f>
        <v>DL 4-09</v>
      </c>
      <c r="B423" s="94"/>
      <c r="C423" s="94"/>
      <c r="D423" s="94"/>
      <c r="E423" s="1429">
        <f>IFERROR(__xludf.DUMMYFUNCTION("""COMPUTED_VALUE"""),45832.0)</f>
        <v>45832</v>
      </c>
      <c r="F423" s="1429">
        <f>IFERROR(__xludf.DUMMYFUNCTION("""COMPUTED_VALUE"""),45835.0)</f>
        <v>45835</v>
      </c>
      <c r="G423" s="1430">
        <f>IFERROR(__xludf.DUMMYFUNCTION("""COMPUTED_VALUE"""),3.0)</f>
        <v>3</v>
      </c>
      <c r="H423" s="94">
        <f t="shared" si="1"/>
        <v>6</v>
      </c>
    </row>
    <row r="424" ht="15.75" customHeight="1">
      <c r="A424" s="94" t="str">
        <f>IFERROR(__xludf.DUMMYFUNCTION("""COMPUTED_VALUE"""),"DL 4-09")</f>
        <v>DL 4-09</v>
      </c>
      <c r="B424" s="94"/>
      <c r="C424" s="94"/>
      <c r="D424" s="94"/>
      <c r="E424" s="1429">
        <f>IFERROR(__xludf.DUMMYFUNCTION("""COMPUTED_VALUE"""),45836.0)</f>
        <v>45836</v>
      </c>
      <c r="F424" s="1429">
        <f>IFERROR(__xludf.DUMMYFUNCTION("""COMPUTED_VALUE"""),45839.0)</f>
        <v>45839</v>
      </c>
      <c r="G424" s="1430">
        <f>IFERROR(__xludf.DUMMYFUNCTION("""COMPUTED_VALUE"""),3.0)</f>
        <v>3</v>
      </c>
      <c r="H424" s="94">
        <f t="shared" si="1"/>
        <v>6</v>
      </c>
    </row>
    <row r="425" ht="15.75" customHeight="1">
      <c r="A425" s="94" t="str">
        <f>IFERROR(__xludf.DUMMYFUNCTION("""COMPUTED_VALUE"""),"DL14-1907")</f>
        <v>DL14-1907</v>
      </c>
      <c r="B425" s="94"/>
      <c r="C425" s="94"/>
      <c r="D425" s="94"/>
      <c r="E425" s="1429">
        <f>IFERROR(__xludf.DUMMYFUNCTION("""COMPUTED_VALUE"""),45832.0)</f>
        <v>45832</v>
      </c>
      <c r="F425" s="1429">
        <f>IFERROR(__xludf.DUMMYFUNCTION("""COMPUTED_VALUE"""),45837.0)</f>
        <v>45837</v>
      </c>
      <c r="G425" s="1430">
        <f>IFERROR(__xludf.DUMMYFUNCTION("""COMPUTED_VALUE"""),5.0)</f>
        <v>5</v>
      </c>
      <c r="H425" s="94">
        <f t="shared" si="1"/>
        <v>6</v>
      </c>
    </row>
    <row r="426" ht="15.75" customHeight="1">
      <c r="A426" s="94" t="str">
        <f>IFERROR(__xludf.DUMMYFUNCTION("""COMPUTED_VALUE"""),"NW 9-6")</f>
        <v>NW 9-6</v>
      </c>
      <c r="B426" s="94"/>
      <c r="C426" s="94"/>
      <c r="D426" s="94"/>
      <c r="E426" s="1429">
        <f>IFERROR(__xludf.DUMMYFUNCTION("""COMPUTED_VALUE"""),45832.0)</f>
        <v>45832</v>
      </c>
      <c r="F426" s="1429">
        <f>IFERROR(__xludf.DUMMYFUNCTION("""COMPUTED_VALUE"""),45836.0)</f>
        <v>45836</v>
      </c>
      <c r="G426" s="1430">
        <f>IFERROR(__xludf.DUMMYFUNCTION("""COMPUTED_VALUE"""),4.0)</f>
        <v>4</v>
      </c>
      <c r="H426" s="94">
        <f t="shared" si="1"/>
        <v>6</v>
      </c>
    </row>
    <row r="427" ht="15.75" customHeight="1">
      <c r="A427" s="94" t="str">
        <f>IFERROR(__xludf.DUMMYFUNCTION("""COMPUTED_VALUE"""),"PT2604")</f>
        <v>PT2604</v>
      </c>
      <c r="B427" s="94"/>
      <c r="C427" s="94"/>
      <c r="D427" s="94"/>
      <c r="E427" s="1429">
        <f>IFERROR(__xludf.DUMMYFUNCTION("""COMPUTED_VALUE"""),45832.0)</f>
        <v>45832</v>
      </c>
      <c r="F427" s="1429">
        <f>IFERROR(__xludf.DUMMYFUNCTION("""COMPUTED_VALUE"""),45836.0)</f>
        <v>45836</v>
      </c>
      <c r="G427" s="1430">
        <f>IFERROR(__xludf.DUMMYFUNCTION("""COMPUTED_VALUE"""),4.0)</f>
        <v>4</v>
      </c>
      <c r="H427" s="94">
        <f t="shared" si="1"/>
        <v>6</v>
      </c>
    </row>
    <row r="428" ht="15.75" customHeight="1">
      <c r="A428" s="94" t="str">
        <f>IFERROR(__xludf.DUMMYFUNCTION("""COMPUTED_VALUE"""),"А 4049")</f>
        <v>А 4049</v>
      </c>
      <c r="B428" s="94"/>
      <c r="C428" s="94"/>
      <c r="D428" s="94"/>
      <c r="E428" s="1429">
        <f>IFERROR(__xludf.DUMMYFUNCTION("""COMPUTED_VALUE"""),45832.0)</f>
        <v>45832</v>
      </c>
      <c r="F428" s="1429">
        <f>IFERROR(__xludf.DUMMYFUNCTION("""COMPUTED_VALUE"""),45835.0)</f>
        <v>45835</v>
      </c>
      <c r="G428" s="1430">
        <f>IFERROR(__xludf.DUMMYFUNCTION("""COMPUTED_VALUE"""),3.0)</f>
        <v>3</v>
      </c>
      <c r="H428" s="94">
        <f t="shared" si="1"/>
        <v>6</v>
      </c>
    </row>
    <row r="429" ht="15.75" customHeight="1">
      <c r="A429" s="94" t="str">
        <f>IFERROR(__xludf.DUMMYFUNCTION("""COMPUTED_VALUE"""),"MZ 718")</f>
        <v>MZ 718</v>
      </c>
      <c r="B429" s="94"/>
      <c r="C429" s="94"/>
      <c r="D429" s="94"/>
      <c r="E429" s="1429">
        <f>IFERROR(__xludf.DUMMYFUNCTION("""COMPUTED_VALUE"""),45832.0)</f>
        <v>45832</v>
      </c>
      <c r="F429" s="1429">
        <f>IFERROR(__xludf.DUMMYFUNCTION("""COMPUTED_VALUE"""),45835.0)</f>
        <v>45835</v>
      </c>
      <c r="G429" s="1430">
        <f>IFERROR(__xludf.DUMMYFUNCTION("""COMPUTED_VALUE"""),3.0)</f>
        <v>3</v>
      </c>
      <c r="H429" s="94">
        <f t="shared" si="1"/>
        <v>6</v>
      </c>
    </row>
    <row r="430" ht="15.75" customHeight="1">
      <c r="A430" s="94" t="str">
        <f>IFERROR(__xludf.DUMMYFUNCTION("""COMPUTED_VALUE"""),"MZ 913")</f>
        <v>MZ 913</v>
      </c>
      <c r="B430" s="94"/>
      <c r="C430" s="94"/>
      <c r="D430" s="94"/>
      <c r="E430" s="1429">
        <f>IFERROR(__xludf.DUMMYFUNCTION("""COMPUTED_VALUE"""),45832.0)</f>
        <v>45832</v>
      </c>
      <c r="F430" s="1429">
        <f>IFERROR(__xludf.DUMMYFUNCTION("""COMPUTED_VALUE"""),45834.0)</f>
        <v>45834</v>
      </c>
      <c r="G430" s="1430">
        <f>IFERROR(__xludf.DUMMYFUNCTION("""COMPUTED_VALUE"""),2.0)</f>
        <v>2</v>
      </c>
      <c r="H430" s="94">
        <f t="shared" si="1"/>
        <v>6</v>
      </c>
    </row>
    <row r="431" ht="15.75" customHeight="1">
      <c r="A431" s="94" t="str">
        <f>IFERROR(__xludf.DUMMYFUNCTION("""COMPUTED_VALUE"""),"шартава 16/18")</f>
        <v>шартава 16/18</v>
      </c>
      <c r="B431" s="94"/>
      <c r="C431" s="94"/>
      <c r="D431" s="94"/>
      <c r="E431" s="1429">
        <f>IFERROR(__xludf.DUMMYFUNCTION("""COMPUTED_VALUE"""),45833.0)</f>
        <v>45833</v>
      </c>
      <c r="F431" s="1436">
        <f>IFERROR(__xludf.DUMMYFUNCTION("""COMPUTED_VALUE"""),45862.0)</f>
        <v>45862</v>
      </c>
      <c r="G431" s="1430">
        <f>IFERROR(__xludf.DUMMYFUNCTION("""COMPUTED_VALUE"""),29.0)</f>
        <v>29</v>
      </c>
      <c r="H431" s="94">
        <f t="shared" si="1"/>
        <v>6</v>
      </c>
    </row>
    <row r="432" ht="15.75" customHeight="1">
      <c r="A432" s="94" t="str">
        <f>IFERROR(__xludf.DUMMYFUNCTION("""COMPUTED_VALUE"""),"C 4245")</f>
        <v>C 4245</v>
      </c>
      <c r="B432" s="94"/>
      <c r="C432" s="94"/>
      <c r="D432" s="94"/>
      <c r="E432" s="1429">
        <f>IFERROR(__xludf.DUMMYFUNCTION("""COMPUTED_VALUE"""),45833.0)</f>
        <v>45833</v>
      </c>
      <c r="F432" s="1429">
        <f>IFERROR(__xludf.DUMMYFUNCTION("""COMPUTED_VALUE"""),45838.0)</f>
        <v>45838</v>
      </c>
      <c r="G432" s="1430">
        <f>IFERROR(__xludf.DUMMYFUNCTION("""COMPUTED_VALUE"""),5.0)</f>
        <v>5</v>
      </c>
      <c r="H432" s="94">
        <f t="shared" si="1"/>
        <v>6</v>
      </c>
    </row>
    <row r="433" ht="15.75" customHeight="1">
      <c r="A433" s="94" t="str">
        <f>IFERROR(__xludf.DUMMYFUNCTION("""COMPUTED_VALUE"""),"Steps 1108")</f>
        <v>Steps 1108</v>
      </c>
      <c r="B433" s="94"/>
      <c r="C433" s="94"/>
      <c r="D433" s="94"/>
      <c r="E433" s="1429">
        <f>IFERROR(__xludf.DUMMYFUNCTION("""COMPUTED_VALUE"""),45833.0)</f>
        <v>45833</v>
      </c>
      <c r="F433" s="1429">
        <f>IFERROR(__xludf.DUMMYFUNCTION("""COMPUTED_VALUE"""),45861.0)</f>
        <v>45861</v>
      </c>
      <c r="G433" s="1430">
        <f>IFERROR(__xludf.DUMMYFUNCTION("""COMPUTED_VALUE"""),28.0)</f>
        <v>28</v>
      </c>
      <c r="H433" s="94">
        <f t="shared" si="1"/>
        <v>6</v>
      </c>
    </row>
    <row r="434" ht="15.75" customHeight="1">
      <c r="A434" s="94" t="str">
        <f>IFERROR(__xludf.DUMMYFUNCTION("""COMPUTED_VALUE"""),"DL 14-1710")</f>
        <v>DL 14-1710</v>
      </c>
      <c r="B434" s="94"/>
      <c r="C434" s="94"/>
      <c r="D434" s="94"/>
      <c r="E434" s="1429">
        <f>IFERROR(__xludf.DUMMYFUNCTION("""COMPUTED_VALUE"""),45833.0)</f>
        <v>45833</v>
      </c>
      <c r="F434" s="1429">
        <f>IFERROR(__xludf.DUMMYFUNCTION("""COMPUTED_VALUE"""),45839.0)</f>
        <v>45839</v>
      </c>
      <c r="G434" s="1430">
        <f>IFERROR(__xludf.DUMMYFUNCTION("""COMPUTED_VALUE"""),6.0)</f>
        <v>6</v>
      </c>
      <c r="H434" s="94">
        <f t="shared" si="1"/>
        <v>6</v>
      </c>
    </row>
    <row r="435" ht="15.75" customHeight="1">
      <c r="A435" s="94" t="str">
        <f>IFERROR(__xludf.DUMMYFUNCTION("""COMPUTED_VALUE"""),"DL 14-516")</f>
        <v>DL 14-516</v>
      </c>
      <c r="B435" s="94"/>
      <c r="C435" s="94"/>
      <c r="D435" s="94"/>
      <c r="E435" s="1429">
        <f>IFERROR(__xludf.DUMMYFUNCTION("""COMPUTED_VALUE"""),45833.0)</f>
        <v>45833</v>
      </c>
      <c r="F435" s="1429">
        <f>IFERROR(__xludf.DUMMYFUNCTION("""COMPUTED_VALUE"""),45840.0)</f>
        <v>45840</v>
      </c>
      <c r="G435" s="1430">
        <f>IFERROR(__xludf.DUMMYFUNCTION("""COMPUTED_VALUE"""),7.0)</f>
        <v>7</v>
      </c>
      <c r="H435" s="94">
        <f t="shared" si="1"/>
        <v>6</v>
      </c>
    </row>
    <row r="436" ht="15.75" customHeight="1">
      <c r="A436" s="94" t="str">
        <f>IFERROR(__xludf.DUMMYFUNCTION("""COMPUTED_VALUE"""),"WS A805")</f>
        <v>WS A805</v>
      </c>
      <c r="B436" s="94"/>
      <c r="C436" s="94"/>
      <c r="D436" s="94"/>
      <c r="E436" s="1429">
        <f>IFERROR(__xludf.DUMMYFUNCTION("""COMPUTED_VALUE"""),45833.0)</f>
        <v>45833</v>
      </c>
      <c r="F436" s="1429">
        <f>IFERROR(__xludf.DUMMYFUNCTION("""COMPUTED_VALUE"""),45840.0)</f>
        <v>45840</v>
      </c>
      <c r="G436" s="1430">
        <f>IFERROR(__xludf.DUMMYFUNCTION("""COMPUTED_VALUE"""),7.0)</f>
        <v>7</v>
      </c>
      <c r="H436" s="94">
        <f t="shared" si="1"/>
        <v>6</v>
      </c>
    </row>
    <row r="437" ht="15.75" customHeight="1">
      <c r="A437" s="94" t="str">
        <f>IFERROR(__xludf.DUMMYFUNCTION("""COMPUTED_VALUE"""),"WS В 503")</f>
        <v>WS В 503</v>
      </c>
      <c r="B437" s="94"/>
      <c r="C437" s="94"/>
      <c r="D437" s="94"/>
      <c r="E437" s="1429">
        <f>IFERROR(__xludf.DUMMYFUNCTION("""COMPUTED_VALUE"""),45833.0)</f>
        <v>45833</v>
      </c>
      <c r="F437" s="1429">
        <f>IFERROR(__xludf.DUMMYFUNCTION("""COMPUTED_VALUE"""),45836.0)</f>
        <v>45836</v>
      </c>
      <c r="G437" s="1430">
        <f>IFERROR(__xludf.DUMMYFUNCTION("""COMPUTED_VALUE"""),3.0)</f>
        <v>3</v>
      </c>
      <c r="H437" s="94">
        <f t="shared" si="1"/>
        <v>6</v>
      </c>
    </row>
    <row r="438" ht="15.75" customHeight="1">
      <c r="A438" s="94" t="str">
        <f>IFERROR(__xludf.DUMMYFUNCTION("""COMPUTED_VALUE"""),"WS F 907")</f>
        <v>WS F 907</v>
      </c>
      <c r="B438" s="94"/>
      <c r="C438" s="94"/>
      <c r="D438" s="94"/>
      <c r="E438" s="1429">
        <f>IFERROR(__xludf.DUMMYFUNCTION("""COMPUTED_VALUE"""),45833.0)</f>
        <v>45833</v>
      </c>
      <c r="F438" s="1429">
        <f>IFERROR(__xludf.DUMMYFUNCTION("""COMPUTED_VALUE"""),45840.0)</f>
        <v>45840</v>
      </c>
      <c r="G438" s="1430">
        <f>IFERROR(__xludf.DUMMYFUNCTION("""COMPUTED_VALUE"""),7.0)</f>
        <v>7</v>
      </c>
      <c r="H438" s="94">
        <f t="shared" si="1"/>
        <v>6</v>
      </c>
    </row>
    <row r="439" ht="15.75" customHeight="1">
      <c r="A439" s="94" t="str">
        <f>IFERROR(__xludf.DUMMYFUNCTION("""COMPUTED_VALUE"""),"WS A907")</f>
        <v>WS A907</v>
      </c>
      <c r="B439" s="94"/>
      <c r="C439" s="94"/>
      <c r="D439" s="94"/>
      <c r="E439" s="1429">
        <f>IFERROR(__xludf.DUMMYFUNCTION("""COMPUTED_VALUE"""),45833.0)</f>
        <v>45833</v>
      </c>
      <c r="F439" s="1429">
        <f>IFERROR(__xludf.DUMMYFUNCTION("""COMPUTED_VALUE"""),45845.0)</f>
        <v>45845</v>
      </c>
      <c r="G439" s="1430">
        <f>IFERROR(__xludf.DUMMYFUNCTION("""COMPUTED_VALUE"""),12.0)</f>
        <v>12</v>
      </c>
      <c r="H439" s="94">
        <f t="shared" si="1"/>
        <v>6</v>
      </c>
    </row>
    <row r="440" ht="15.75" customHeight="1">
      <c r="A440" s="94" t="str">
        <f>IFERROR(__xludf.DUMMYFUNCTION("""COMPUTED_VALUE"""),"MZ 913")</f>
        <v>MZ 913</v>
      </c>
      <c r="B440" s="94"/>
      <c r="C440" s="94"/>
      <c r="D440" s="94"/>
      <c r="E440" s="1429">
        <f>IFERROR(__xludf.DUMMYFUNCTION("""COMPUTED_VALUE"""),45834.0)</f>
        <v>45834</v>
      </c>
      <c r="F440" s="1429">
        <f>IFERROR(__xludf.DUMMYFUNCTION("""COMPUTED_VALUE"""),45838.0)</f>
        <v>45838</v>
      </c>
      <c r="G440" s="1430">
        <f>IFERROR(__xludf.DUMMYFUNCTION("""COMPUTED_VALUE"""),4.0)</f>
        <v>4</v>
      </c>
      <c r="H440" s="94">
        <f t="shared" si="1"/>
        <v>6</v>
      </c>
    </row>
    <row r="441" ht="15.75" customHeight="1">
      <c r="A441" s="94" t="str">
        <f>IFERROR(__xludf.DUMMYFUNCTION("""COMPUTED_VALUE"""),"PT2704")</f>
        <v>PT2704</v>
      </c>
      <c r="B441" s="94"/>
      <c r="C441" s="94"/>
      <c r="D441" s="94"/>
      <c r="E441" s="1429">
        <f>IFERROR(__xludf.DUMMYFUNCTION("""COMPUTED_VALUE"""),45834.0)</f>
        <v>45834</v>
      </c>
      <c r="F441" s="1429">
        <f>IFERROR(__xludf.DUMMYFUNCTION("""COMPUTED_VALUE"""),45837.0)</f>
        <v>45837</v>
      </c>
      <c r="G441" s="1430">
        <f>IFERROR(__xludf.DUMMYFUNCTION("""COMPUTED_VALUE"""),3.0)</f>
        <v>3</v>
      </c>
      <c r="H441" s="94">
        <f t="shared" si="1"/>
        <v>6</v>
      </c>
    </row>
    <row r="442" ht="15.75" customHeight="1">
      <c r="A442" s="94" t="str">
        <f>IFERROR(__xludf.DUMMYFUNCTION("""COMPUTED_VALUE"""),"TGA8")</f>
        <v>TGA8</v>
      </c>
      <c r="B442" s="94"/>
      <c r="C442" s="94"/>
      <c r="D442" s="94"/>
      <c r="E442" s="1429">
        <f>IFERROR(__xludf.DUMMYFUNCTION("""COMPUTED_VALUE"""),45834.0)</f>
        <v>45834</v>
      </c>
      <c r="F442" s="1429">
        <f>IFERROR(__xludf.DUMMYFUNCTION("""COMPUTED_VALUE"""),45836.0)</f>
        <v>45836</v>
      </c>
      <c r="G442" s="1430">
        <f>IFERROR(__xludf.DUMMYFUNCTION("""COMPUTED_VALUE"""),2.0)</f>
        <v>2</v>
      </c>
      <c r="H442" s="94">
        <f t="shared" si="1"/>
        <v>6</v>
      </c>
    </row>
    <row r="443" ht="15.75" customHeight="1">
      <c r="A443" s="94" t="str">
        <f>IFERROR(__xludf.DUMMYFUNCTION("""COMPUTED_VALUE"""),"TGA5")</f>
        <v>TGA5</v>
      </c>
      <c r="B443" s="94"/>
      <c r="C443" s="94"/>
      <c r="D443" s="94"/>
      <c r="E443" s="1429">
        <f>IFERROR(__xludf.DUMMYFUNCTION("""COMPUTED_VALUE"""),45834.0)</f>
        <v>45834</v>
      </c>
      <c r="F443" s="1429">
        <f>IFERROR(__xludf.DUMMYFUNCTION("""COMPUTED_VALUE"""),45840.0)</f>
        <v>45840</v>
      </c>
      <c r="G443" s="1430">
        <f>IFERROR(__xludf.DUMMYFUNCTION("""COMPUTED_VALUE"""),6.0)</f>
        <v>6</v>
      </c>
      <c r="H443" s="94">
        <f t="shared" si="1"/>
        <v>6</v>
      </c>
    </row>
    <row r="444" ht="15.75" customHeight="1">
      <c r="A444" s="94" t="str">
        <f>IFERROR(__xludf.DUMMYFUNCTION("""COMPUTED_VALUE"""),"Вилла Ева")</f>
        <v>Вилла Ева</v>
      </c>
      <c r="B444" s="94"/>
      <c r="C444" s="94"/>
      <c r="D444" s="94"/>
      <c r="E444" s="1429">
        <f>IFERROR(__xludf.DUMMYFUNCTION("""COMPUTED_VALUE"""),45834.0)</f>
        <v>45834</v>
      </c>
      <c r="F444" s="1429">
        <f>IFERROR(__xludf.DUMMYFUNCTION("""COMPUTED_VALUE"""),45839.0)</f>
        <v>45839</v>
      </c>
      <c r="G444" s="1430">
        <f>IFERROR(__xludf.DUMMYFUNCTION("""COMPUTED_VALUE"""),5.0)</f>
        <v>5</v>
      </c>
      <c r="H444" s="94">
        <f t="shared" si="1"/>
        <v>6</v>
      </c>
    </row>
    <row r="445" ht="15.75" customHeight="1">
      <c r="A445" s="94" t="str">
        <f>IFERROR(__xludf.DUMMYFUNCTION("""COMPUTED_VALUE"""),"WS F1103")</f>
        <v>WS F1103</v>
      </c>
      <c r="B445" s="94"/>
      <c r="C445" s="94"/>
      <c r="D445" s="94"/>
      <c r="E445" s="1429">
        <f>IFERROR(__xludf.DUMMYFUNCTION("""COMPUTED_VALUE"""),45834.0)</f>
        <v>45834</v>
      </c>
      <c r="F445" s="1429">
        <f>IFERROR(__xludf.DUMMYFUNCTION("""COMPUTED_VALUE"""),45845.0)</f>
        <v>45845</v>
      </c>
      <c r="G445" s="1430">
        <f>IFERROR(__xludf.DUMMYFUNCTION("""COMPUTED_VALUE"""),11.0)</f>
        <v>11</v>
      </c>
      <c r="H445" s="94">
        <f t="shared" si="1"/>
        <v>6</v>
      </c>
    </row>
    <row r="446" ht="15.75" customHeight="1">
      <c r="A446" s="94" t="str">
        <f>IFERROR(__xludf.DUMMYFUNCTION("""COMPUTED_VALUE"""),"CM 1931")</f>
        <v>CM 1931</v>
      </c>
      <c r="B446" s="94"/>
      <c r="C446" s="94"/>
      <c r="D446" s="94"/>
      <c r="E446" s="1429">
        <f>IFERROR(__xludf.DUMMYFUNCTION("""COMPUTED_VALUE"""),45834.0)</f>
        <v>45834</v>
      </c>
      <c r="F446" s="1429">
        <f>IFERROR(__xludf.DUMMYFUNCTION("""COMPUTED_VALUE"""),45836.0)</f>
        <v>45836</v>
      </c>
      <c r="G446" s="1430">
        <f>IFERROR(__xludf.DUMMYFUNCTION("""COMPUTED_VALUE"""),2.0)</f>
        <v>2</v>
      </c>
      <c r="H446" s="94">
        <f t="shared" si="1"/>
        <v>6</v>
      </c>
    </row>
    <row r="447" ht="15.75" customHeight="1">
      <c r="A447" s="94" t="str">
        <f>IFERROR(__xludf.DUMMYFUNCTION("""COMPUTED_VALUE"""),"CM 1604")</f>
        <v>CM 1604</v>
      </c>
      <c r="B447" s="94"/>
      <c r="C447" s="94"/>
      <c r="D447" s="94"/>
      <c r="E447" s="1429">
        <f>IFERROR(__xludf.DUMMYFUNCTION("""COMPUTED_VALUE"""),45834.0)</f>
        <v>45834</v>
      </c>
      <c r="F447" s="1429">
        <f>IFERROR(__xludf.DUMMYFUNCTION("""COMPUTED_VALUE"""),45838.0)</f>
        <v>45838</v>
      </c>
      <c r="G447" s="1430">
        <f>IFERROR(__xludf.DUMMYFUNCTION("""COMPUTED_VALUE"""),4.0)</f>
        <v>4</v>
      </c>
      <c r="H447" s="94">
        <f t="shared" si="1"/>
        <v>6</v>
      </c>
    </row>
    <row r="448" ht="15.75" customHeight="1">
      <c r="A448" s="94" t="str">
        <f>IFERROR(__xludf.DUMMYFUNCTION("""COMPUTED_VALUE"""),"D2 1625")</f>
        <v>D2 1625</v>
      </c>
      <c r="B448" s="94"/>
      <c r="C448" s="94"/>
      <c r="D448" s="94"/>
      <c r="E448" s="1429">
        <f>IFERROR(__xludf.DUMMYFUNCTION("""COMPUTED_VALUE"""),45834.0)</f>
        <v>45834</v>
      </c>
      <c r="F448" s="1429">
        <f>IFERROR(__xludf.DUMMYFUNCTION("""COMPUTED_VALUE"""),45837.0)</f>
        <v>45837</v>
      </c>
      <c r="G448" s="1430">
        <f>IFERROR(__xludf.DUMMYFUNCTION("""COMPUTED_VALUE"""),3.0)</f>
        <v>3</v>
      </c>
      <c r="H448" s="94">
        <f t="shared" si="1"/>
        <v>6</v>
      </c>
    </row>
    <row r="449" ht="15.75" customHeight="1">
      <c r="A449" s="94" t="str">
        <f>IFERROR(__xludf.DUMMYFUNCTION("""COMPUTED_VALUE"""),"BV1318")</f>
        <v>BV1318</v>
      </c>
      <c r="B449" s="94"/>
      <c r="C449" s="94"/>
      <c r="D449" s="94"/>
      <c r="E449" s="1429">
        <f>IFERROR(__xludf.DUMMYFUNCTION("""COMPUTED_VALUE"""),45834.0)</f>
        <v>45834</v>
      </c>
      <c r="F449" s="1429">
        <f>IFERROR(__xludf.DUMMYFUNCTION("""COMPUTED_VALUE"""),45837.0)</f>
        <v>45837</v>
      </c>
      <c r="G449" s="1430">
        <f>IFERROR(__xludf.DUMMYFUNCTION("""COMPUTED_VALUE"""),3.0)</f>
        <v>3</v>
      </c>
      <c r="H449" s="94">
        <f t="shared" si="1"/>
        <v>6</v>
      </c>
    </row>
    <row r="450" ht="15.75" customHeight="1">
      <c r="A450" s="94" t="str">
        <f>IFERROR(__xludf.DUMMYFUNCTION("""COMPUTED_VALUE"""),"TGB9")</f>
        <v>TGB9</v>
      </c>
      <c r="B450" s="94"/>
      <c r="C450" s="94"/>
      <c r="D450" s="94"/>
      <c r="E450" s="1429">
        <f>IFERROR(__xludf.DUMMYFUNCTION("""COMPUTED_VALUE"""),45834.0)</f>
        <v>45834</v>
      </c>
      <c r="F450" s="1429">
        <f>IFERROR(__xludf.DUMMYFUNCTION("""COMPUTED_VALUE"""),45839.0)</f>
        <v>45839</v>
      </c>
      <c r="G450" s="1430">
        <f>IFERROR(__xludf.DUMMYFUNCTION("""COMPUTED_VALUE"""),5.0)</f>
        <v>5</v>
      </c>
      <c r="H450" s="94">
        <f t="shared" si="1"/>
        <v>6</v>
      </c>
    </row>
    <row r="451" ht="15.75" customHeight="1">
      <c r="A451" s="94" t="str">
        <f>IFERROR(__xludf.DUMMYFUNCTION("""COMPUTED_VALUE"""),"TGA3")</f>
        <v>TGA3</v>
      </c>
      <c r="B451" s="94"/>
      <c r="C451" s="94"/>
      <c r="D451" s="94"/>
      <c r="E451" s="1429">
        <f>IFERROR(__xludf.DUMMYFUNCTION("""COMPUTED_VALUE"""),45834.0)</f>
        <v>45834</v>
      </c>
      <c r="F451" s="1429">
        <f>IFERROR(__xludf.DUMMYFUNCTION("""COMPUTED_VALUE"""),45838.0)</f>
        <v>45838</v>
      </c>
      <c r="G451" s="1430">
        <f>IFERROR(__xludf.DUMMYFUNCTION("""COMPUTED_VALUE"""),4.0)</f>
        <v>4</v>
      </c>
      <c r="H451" s="94">
        <f t="shared" si="1"/>
        <v>6</v>
      </c>
    </row>
    <row r="452" ht="15.75" customHeight="1">
      <c r="A452" s="94" t="str">
        <f>IFERROR(__xludf.DUMMYFUNCTION("""COMPUTED_VALUE"""),"TGB2")</f>
        <v>TGB2</v>
      </c>
      <c r="B452" s="94"/>
      <c r="C452" s="94"/>
      <c r="D452" s="94"/>
      <c r="E452" s="1429">
        <f>IFERROR(__xludf.DUMMYFUNCTION("""COMPUTED_VALUE"""),45834.0)</f>
        <v>45834</v>
      </c>
      <c r="F452" s="1429">
        <f>IFERROR(__xludf.DUMMYFUNCTION("""COMPUTED_VALUE"""),45836.0)</f>
        <v>45836</v>
      </c>
      <c r="G452" s="1430">
        <f>IFERROR(__xludf.DUMMYFUNCTION("""COMPUTED_VALUE"""),2.0)</f>
        <v>2</v>
      </c>
      <c r="H452" s="94">
        <f t="shared" si="1"/>
        <v>6</v>
      </c>
    </row>
    <row r="453" ht="15.75" customHeight="1">
      <c r="A453" s="94" t="str">
        <f>IFERROR(__xludf.DUMMYFUNCTION("""COMPUTED_VALUE"""),"D 3629")</f>
        <v>D 3629</v>
      </c>
      <c r="B453" s="94"/>
      <c r="C453" s="94"/>
      <c r="D453" s="94"/>
      <c r="E453" s="1429">
        <f>IFERROR(__xludf.DUMMYFUNCTION("""COMPUTED_VALUE"""),45835.0)</f>
        <v>45835</v>
      </c>
      <c r="F453" s="1434">
        <f>IFERROR(__xludf.DUMMYFUNCTION("""COMPUTED_VALUE"""),45839.0)</f>
        <v>45839</v>
      </c>
      <c r="G453" s="1430">
        <f>IFERROR(__xludf.DUMMYFUNCTION("""COMPUTED_VALUE"""),4.0)</f>
        <v>4</v>
      </c>
      <c r="H453" s="94">
        <f t="shared" si="1"/>
        <v>6</v>
      </c>
    </row>
    <row r="454" ht="15.75" customHeight="1">
      <c r="A454" s="94" t="str">
        <f>IFERROR(__xludf.DUMMYFUNCTION("""COMPUTED_VALUE"""),"D 1321")</f>
        <v>D 1321</v>
      </c>
      <c r="B454" s="94"/>
      <c r="C454" s="94"/>
      <c r="D454" s="94"/>
      <c r="E454" s="1429">
        <f>IFERROR(__xludf.DUMMYFUNCTION("""COMPUTED_VALUE"""),45835.0)</f>
        <v>45835</v>
      </c>
      <c r="F454" s="1434">
        <f>IFERROR(__xludf.DUMMYFUNCTION("""COMPUTED_VALUE"""),45839.0)</f>
        <v>45839</v>
      </c>
      <c r="G454" s="1430">
        <f>IFERROR(__xludf.DUMMYFUNCTION("""COMPUTED_VALUE"""),4.0)</f>
        <v>4</v>
      </c>
      <c r="H454" s="94">
        <f t="shared" si="1"/>
        <v>6</v>
      </c>
    </row>
    <row r="455" ht="15.75" customHeight="1">
      <c r="A455" s="94" t="str">
        <f>IFERROR(__xludf.DUMMYFUNCTION("""COMPUTED_VALUE"""),"DL14-501-502")</f>
        <v>DL14-501-502</v>
      </c>
      <c r="B455" s="94"/>
      <c r="C455" s="94"/>
      <c r="D455" s="94"/>
      <c r="E455" s="1429">
        <f>IFERROR(__xludf.DUMMYFUNCTION("""COMPUTED_VALUE"""),45834.0)</f>
        <v>45834</v>
      </c>
      <c r="F455" s="1434">
        <f>IFERROR(__xludf.DUMMYFUNCTION("""COMPUTED_VALUE"""),45837.0)</f>
        <v>45837</v>
      </c>
      <c r="G455" s="1430">
        <f>IFERROR(__xludf.DUMMYFUNCTION("""COMPUTED_VALUE"""),3.0)</f>
        <v>3</v>
      </c>
      <c r="H455" s="94">
        <f t="shared" si="1"/>
        <v>6</v>
      </c>
    </row>
    <row r="456" ht="15.75" customHeight="1">
      <c r="A456" s="94" t="str">
        <f>IFERROR(__xludf.DUMMYFUNCTION("""COMPUTED_VALUE"""),"DL7-16")</f>
        <v>DL7-16</v>
      </c>
      <c r="B456" s="94"/>
      <c r="C456" s="94"/>
      <c r="D456" s="94"/>
      <c r="E456" s="1429">
        <f>IFERROR(__xludf.DUMMYFUNCTION("""COMPUTED_VALUE"""),45835.0)</f>
        <v>45835</v>
      </c>
      <c r="F456" s="1434">
        <f>IFERROR(__xludf.DUMMYFUNCTION("""COMPUTED_VALUE"""),45840.0)</f>
        <v>45840</v>
      </c>
      <c r="G456" s="1430">
        <f>IFERROR(__xludf.DUMMYFUNCTION("""COMPUTED_VALUE"""),5.0)</f>
        <v>5</v>
      </c>
      <c r="H456" s="94">
        <f t="shared" si="1"/>
        <v>6</v>
      </c>
    </row>
    <row r="457" ht="15.75" customHeight="1">
      <c r="A457" s="94" t="str">
        <f>IFERROR(__xludf.DUMMYFUNCTION("""COMPUTED_VALUE"""),"DL 14-702")</f>
        <v>DL 14-702</v>
      </c>
      <c r="B457" s="94"/>
      <c r="C457" s="94"/>
      <c r="D457" s="94"/>
      <c r="E457" s="1429">
        <f>IFERROR(__xludf.DUMMYFUNCTION("""COMPUTED_VALUE"""),45835.0)</f>
        <v>45835</v>
      </c>
      <c r="F457" s="1434">
        <f>IFERROR(__xludf.DUMMYFUNCTION("""COMPUTED_VALUE"""),45837.0)</f>
        <v>45837</v>
      </c>
      <c r="G457" s="1430">
        <f>IFERROR(__xludf.DUMMYFUNCTION("""COMPUTED_VALUE"""),2.0)</f>
        <v>2</v>
      </c>
      <c r="H457" s="94">
        <f t="shared" si="1"/>
        <v>6</v>
      </c>
    </row>
    <row r="458" ht="15.75" customHeight="1">
      <c r="A458" s="94" t="str">
        <f>IFERROR(__xludf.DUMMYFUNCTION("""COMPUTED_VALUE"""),"DL14-1405")</f>
        <v>DL14-1405</v>
      </c>
      <c r="B458" s="94"/>
      <c r="C458" s="94"/>
      <c r="D458" s="94"/>
      <c r="E458" s="1429">
        <f>IFERROR(__xludf.DUMMYFUNCTION("""COMPUTED_VALUE"""),45835.0)</f>
        <v>45835</v>
      </c>
      <c r="F458" s="1434">
        <f>IFERROR(__xludf.DUMMYFUNCTION("""COMPUTED_VALUE"""),45837.0)</f>
        <v>45837</v>
      </c>
      <c r="G458" s="1430">
        <f>IFERROR(__xludf.DUMMYFUNCTION("""COMPUTED_VALUE"""),2.0)</f>
        <v>2</v>
      </c>
      <c r="H458" s="94">
        <f t="shared" si="1"/>
        <v>6</v>
      </c>
    </row>
    <row r="459" ht="15.75" customHeight="1">
      <c r="A459" s="94" t="str">
        <f>IFERROR(__xludf.DUMMYFUNCTION("""COMPUTED_VALUE"""),"DL14-305")</f>
        <v>DL14-305</v>
      </c>
      <c r="B459" s="94"/>
      <c r="C459" s="94"/>
      <c r="D459" s="94"/>
      <c r="E459" s="1429">
        <f>IFERROR(__xludf.DUMMYFUNCTION("""COMPUTED_VALUE"""),45835.0)</f>
        <v>45835</v>
      </c>
      <c r="F459" s="1434">
        <f>IFERROR(__xludf.DUMMYFUNCTION("""COMPUTED_VALUE"""),45837.0)</f>
        <v>45837</v>
      </c>
      <c r="G459" s="1430">
        <f>IFERROR(__xludf.DUMMYFUNCTION("""COMPUTED_VALUE"""),2.0)</f>
        <v>2</v>
      </c>
      <c r="H459" s="94">
        <f t="shared" si="1"/>
        <v>6</v>
      </c>
    </row>
    <row r="460" ht="15.75" customHeight="1">
      <c r="A460" s="94" t="str">
        <f>IFERROR(__xludf.DUMMYFUNCTION("""COMPUTED_VALUE"""),"Int 2612")</f>
        <v>Int 2612</v>
      </c>
      <c r="B460" s="94"/>
      <c r="C460" s="94"/>
      <c r="D460" s="94"/>
      <c r="E460" s="1429">
        <f>IFERROR(__xludf.DUMMYFUNCTION("""COMPUTED_VALUE"""),45835.0)</f>
        <v>45835</v>
      </c>
      <c r="F460" s="1434">
        <f>IFERROR(__xludf.DUMMYFUNCTION("""COMPUTED_VALUE"""),45839.0)</f>
        <v>45839</v>
      </c>
      <c r="G460" s="1430">
        <f>IFERROR(__xludf.DUMMYFUNCTION("""COMPUTED_VALUE"""),4.0)</f>
        <v>4</v>
      </c>
      <c r="H460" s="94">
        <f t="shared" si="1"/>
        <v>6</v>
      </c>
    </row>
    <row r="461" ht="15.75" customHeight="1">
      <c r="A461" s="94" t="str">
        <f>IFERROR(__xludf.DUMMYFUNCTION("""COMPUTED_VALUE"""),"TGA1")</f>
        <v>TGA1</v>
      </c>
      <c r="B461" s="94"/>
      <c r="C461" s="94"/>
      <c r="D461" s="94"/>
      <c r="E461" s="1429">
        <f>IFERROR(__xludf.DUMMYFUNCTION("""COMPUTED_VALUE"""),45835.0)</f>
        <v>45835</v>
      </c>
      <c r="F461" s="1434">
        <f>IFERROR(__xludf.DUMMYFUNCTION("""COMPUTED_VALUE"""),45838.0)</f>
        <v>45838</v>
      </c>
      <c r="G461" s="1430">
        <f>IFERROR(__xludf.DUMMYFUNCTION("""COMPUTED_VALUE"""),3.0)</f>
        <v>3</v>
      </c>
      <c r="H461" s="94">
        <f t="shared" si="1"/>
        <v>6</v>
      </c>
    </row>
    <row r="462" ht="15.75" customHeight="1">
      <c r="A462" s="94" t="str">
        <f>IFERROR(__xludf.DUMMYFUNCTION("""COMPUTED_VALUE"""),"TGA5")</f>
        <v>TGA5</v>
      </c>
      <c r="B462" s="94"/>
      <c r="C462" s="94"/>
      <c r="D462" s="94"/>
      <c r="E462" s="1429">
        <f>IFERROR(__xludf.DUMMYFUNCTION("""COMPUTED_VALUE"""),45835.0)</f>
        <v>45835</v>
      </c>
      <c r="F462" s="1434">
        <f>IFERROR(__xludf.DUMMYFUNCTION("""COMPUTED_VALUE"""),45844.0)</f>
        <v>45844</v>
      </c>
      <c r="G462" s="1430">
        <f>IFERROR(__xludf.DUMMYFUNCTION("""COMPUTED_VALUE"""),9.0)</f>
        <v>9</v>
      </c>
      <c r="H462" s="94">
        <f t="shared" si="1"/>
        <v>6</v>
      </c>
    </row>
    <row r="463" ht="15.75" customHeight="1">
      <c r="A463" s="94" t="str">
        <f>IFERROR(__xludf.DUMMYFUNCTION("""COMPUTED_VALUE"""),"MZ 718")</f>
        <v>MZ 718</v>
      </c>
      <c r="B463" s="94"/>
      <c r="C463" s="94"/>
      <c r="D463" s="94"/>
      <c r="E463" s="1429">
        <f>IFERROR(__xludf.DUMMYFUNCTION("""COMPUTED_VALUE"""),45836.0)</f>
        <v>45836</v>
      </c>
      <c r="F463" s="1434">
        <f>IFERROR(__xludf.DUMMYFUNCTION("""COMPUTED_VALUE"""),45840.0)</f>
        <v>45840</v>
      </c>
      <c r="G463" s="1430">
        <f>IFERROR(__xludf.DUMMYFUNCTION("""COMPUTED_VALUE"""),4.0)</f>
        <v>4</v>
      </c>
      <c r="H463" s="94">
        <f t="shared" si="1"/>
        <v>6</v>
      </c>
    </row>
    <row r="464" ht="15.75" customHeight="1">
      <c r="A464" s="94" t="str">
        <f>IFERROR(__xludf.DUMMYFUNCTION("""COMPUTED_VALUE"""),"Steps1123")</f>
        <v>Steps1123</v>
      </c>
      <c r="B464" s="94"/>
      <c r="C464" s="94"/>
      <c r="D464" s="94"/>
      <c r="E464" s="1429">
        <f>IFERROR(__xludf.DUMMYFUNCTION("""COMPUTED_VALUE"""),45836.0)</f>
        <v>45836</v>
      </c>
      <c r="F464" s="1434">
        <f>IFERROR(__xludf.DUMMYFUNCTION("""COMPUTED_VALUE"""),45838.0)</f>
        <v>45838</v>
      </c>
      <c r="G464" s="1430">
        <f>IFERROR(__xludf.DUMMYFUNCTION("""COMPUTED_VALUE"""),2.0)</f>
        <v>2</v>
      </c>
      <c r="H464" s="94">
        <f t="shared" si="1"/>
        <v>6</v>
      </c>
    </row>
    <row r="465" ht="15.75" customHeight="1">
      <c r="A465" s="94" t="str">
        <f>IFERROR(__xludf.DUMMYFUNCTION("""COMPUTED_VALUE"""),"DL14-518")</f>
        <v>DL14-518</v>
      </c>
      <c r="B465" s="94"/>
      <c r="C465" s="94"/>
      <c r="D465" s="94"/>
      <c r="E465" s="1429">
        <f>IFERROR(__xludf.DUMMYFUNCTION("""COMPUTED_VALUE"""),45836.0)</f>
        <v>45836</v>
      </c>
      <c r="F465" s="1434">
        <f>IFERROR(__xludf.DUMMYFUNCTION("""COMPUTED_VALUE"""),45839.0)</f>
        <v>45839</v>
      </c>
      <c r="G465" s="1430">
        <f>IFERROR(__xludf.DUMMYFUNCTION("""COMPUTED_VALUE"""),3.0)</f>
        <v>3</v>
      </c>
      <c r="H465" s="94">
        <f t="shared" si="1"/>
        <v>6</v>
      </c>
    </row>
    <row r="466" ht="15.75" customHeight="1">
      <c r="A466" s="94" t="str">
        <f>IFERROR(__xludf.DUMMYFUNCTION("""COMPUTED_VALUE"""),"DL 14-1214")</f>
        <v>DL 14-1214</v>
      </c>
      <c r="B466" s="94"/>
      <c r="C466" s="94"/>
      <c r="D466" s="94"/>
      <c r="E466" s="1429">
        <f>IFERROR(__xludf.DUMMYFUNCTION("""COMPUTED_VALUE"""),45836.0)</f>
        <v>45836</v>
      </c>
      <c r="F466" s="1434">
        <f>IFERROR(__xludf.DUMMYFUNCTION("""COMPUTED_VALUE"""),45837.0)</f>
        <v>45837</v>
      </c>
      <c r="G466" s="1430">
        <f>IFERROR(__xludf.DUMMYFUNCTION("""COMPUTED_VALUE"""),1.0)</f>
        <v>1</v>
      </c>
      <c r="H466" s="94">
        <f t="shared" si="1"/>
        <v>6</v>
      </c>
    </row>
    <row r="467" ht="15.75" customHeight="1">
      <c r="A467" s="94" t="str">
        <f>IFERROR(__xludf.DUMMYFUNCTION("""COMPUTED_VALUE"""),"WS В 1510")</f>
        <v>WS В 1510</v>
      </c>
      <c r="B467" s="94"/>
      <c r="C467" s="94"/>
      <c r="D467" s="94"/>
      <c r="E467" s="1429">
        <f>IFERROR(__xludf.DUMMYFUNCTION("""COMPUTED_VALUE"""),45836.0)</f>
        <v>45836</v>
      </c>
      <c r="F467" s="1434">
        <f>IFERROR(__xludf.DUMMYFUNCTION("""COMPUTED_VALUE"""),45843.0)</f>
        <v>45843</v>
      </c>
      <c r="G467" s="1430">
        <f>IFERROR(__xludf.DUMMYFUNCTION("""COMPUTED_VALUE"""),7.0)</f>
        <v>7</v>
      </c>
      <c r="H467" s="94">
        <f t="shared" si="1"/>
        <v>6</v>
      </c>
    </row>
    <row r="468" ht="15.75" customHeight="1">
      <c r="A468" s="94" t="str">
        <f>IFERROR(__xludf.DUMMYFUNCTION("""COMPUTED_VALUE"""),"WS В 503")</f>
        <v>WS В 503</v>
      </c>
      <c r="B468" s="94"/>
      <c r="C468" s="94"/>
      <c r="D468" s="94"/>
      <c r="E468" s="1429">
        <f>IFERROR(__xludf.DUMMYFUNCTION("""COMPUTED_VALUE"""),45836.0)</f>
        <v>45836</v>
      </c>
      <c r="F468" s="1434">
        <f>IFERROR(__xludf.DUMMYFUNCTION("""COMPUTED_VALUE"""),45847.0)</f>
        <v>45847</v>
      </c>
      <c r="G468" s="1430">
        <f>IFERROR(__xludf.DUMMYFUNCTION("""COMPUTED_VALUE"""),11.0)</f>
        <v>11</v>
      </c>
      <c r="H468" s="94">
        <f t="shared" si="1"/>
        <v>6</v>
      </c>
    </row>
    <row r="469" ht="15.75" customHeight="1">
      <c r="A469" s="94" t="str">
        <f>IFERROR(__xludf.DUMMYFUNCTION("""COMPUTED_VALUE"""),"WS А 908")</f>
        <v>WS А 908</v>
      </c>
      <c r="B469" s="94"/>
      <c r="C469" s="94"/>
      <c r="D469" s="94"/>
      <c r="E469" s="1429">
        <f>IFERROR(__xludf.DUMMYFUNCTION("""COMPUTED_VALUE"""),45836.0)</f>
        <v>45836</v>
      </c>
      <c r="F469" s="1434">
        <f>IFERROR(__xludf.DUMMYFUNCTION("""COMPUTED_VALUE"""),45844.0)</f>
        <v>45844</v>
      </c>
      <c r="G469" s="1430">
        <f>IFERROR(__xludf.DUMMYFUNCTION("""COMPUTED_VALUE"""),8.0)</f>
        <v>8</v>
      </c>
      <c r="H469" s="94">
        <f t="shared" si="1"/>
        <v>6</v>
      </c>
    </row>
    <row r="470" ht="15.75" customHeight="1">
      <c r="A470" s="94" t="str">
        <f>IFERROR(__xludf.DUMMYFUNCTION("""COMPUTED_VALUE"""),"А 4049")</f>
        <v>А 4049</v>
      </c>
      <c r="B470" s="94"/>
      <c r="C470" s="94"/>
      <c r="D470" s="94"/>
      <c r="E470" s="1429">
        <f>IFERROR(__xludf.DUMMYFUNCTION("""COMPUTED_VALUE"""),45836.0)</f>
        <v>45836</v>
      </c>
      <c r="F470" s="1434">
        <f>IFERROR(__xludf.DUMMYFUNCTION("""COMPUTED_VALUE"""),45838.0)</f>
        <v>45838</v>
      </c>
      <c r="G470" s="1430">
        <f>IFERROR(__xludf.DUMMYFUNCTION("""COMPUTED_VALUE"""),2.0)</f>
        <v>2</v>
      </c>
      <c r="H470" s="94">
        <f t="shared" si="1"/>
        <v>6</v>
      </c>
    </row>
    <row r="471" ht="15.75" customHeight="1">
      <c r="A471" s="94" t="str">
        <f>IFERROR(__xludf.DUMMYFUNCTION("""COMPUTED_VALUE"""),"TGA2")</f>
        <v>TGA2</v>
      </c>
      <c r="B471" s="94"/>
      <c r="C471" s="94"/>
      <c r="D471" s="94"/>
      <c r="E471" s="1429">
        <f>IFERROR(__xludf.DUMMYFUNCTION("""COMPUTED_VALUE"""),45836.0)</f>
        <v>45836</v>
      </c>
      <c r="F471" s="1434">
        <f>IFERROR(__xludf.DUMMYFUNCTION("""COMPUTED_VALUE"""),45838.0)</f>
        <v>45838</v>
      </c>
      <c r="G471" s="1430">
        <f>IFERROR(__xludf.DUMMYFUNCTION("""COMPUTED_VALUE"""),2.0)</f>
        <v>2</v>
      </c>
      <c r="H471" s="94">
        <f t="shared" si="1"/>
        <v>6</v>
      </c>
    </row>
    <row r="472" ht="15.75" customHeight="1">
      <c r="A472" s="94" t="str">
        <f>IFERROR(__xludf.DUMMYFUNCTION("""COMPUTED_VALUE"""),"TGA6")</f>
        <v>TGA6</v>
      </c>
      <c r="B472" s="94"/>
      <c r="C472" s="94"/>
      <c r="D472" s="94"/>
      <c r="E472" s="1429">
        <f>IFERROR(__xludf.DUMMYFUNCTION("""COMPUTED_VALUE"""),45836.0)</f>
        <v>45836</v>
      </c>
      <c r="F472" s="1434">
        <f>IFERROR(__xludf.DUMMYFUNCTION("""COMPUTED_VALUE"""),45843.0)</f>
        <v>45843</v>
      </c>
      <c r="G472" s="1430">
        <f>IFERROR(__xludf.DUMMYFUNCTION("""COMPUTED_VALUE"""),7.0)</f>
        <v>7</v>
      </c>
      <c r="H472" s="94">
        <f t="shared" si="1"/>
        <v>6</v>
      </c>
    </row>
    <row r="473" ht="15.75" customHeight="1">
      <c r="A473" s="94" t="str">
        <f>IFERROR(__xludf.DUMMYFUNCTION("""COMPUTED_VALUE"""),"TGA10")</f>
        <v>TGA10</v>
      </c>
      <c r="B473" s="94"/>
      <c r="C473" s="94"/>
      <c r="D473" s="94"/>
      <c r="E473" s="1429">
        <f>IFERROR(__xludf.DUMMYFUNCTION("""COMPUTED_VALUE"""),45836.0)</f>
        <v>45836</v>
      </c>
      <c r="F473" s="1434">
        <f>IFERROR(__xludf.DUMMYFUNCTION("""COMPUTED_VALUE"""),45849.0)</f>
        <v>45849</v>
      </c>
      <c r="G473" s="1430">
        <f>IFERROR(__xludf.DUMMYFUNCTION("""COMPUTED_VALUE"""),13.0)</f>
        <v>13</v>
      </c>
      <c r="H473" s="94">
        <f t="shared" si="1"/>
        <v>6</v>
      </c>
    </row>
    <row r="474" ht="15.75" customHeight="1">
      <c r="A474" s="94" t="str">
        <f>IFERROR(__xludf.DUMMYFUNCTION("""COMPUTED_VALUE"""),"TGB2")</f>
        <v>TGB2</v>
      </c>
      <c r="B474" s="94"/>
      <c r="C474" s="94"/>
      <c r="D474" s="94"/>
      <c r="E474" s="1429">
        <f>IFERROR(__xludf.DUMMYFUNCTION("""COMPUTED_VALUE"""),45837.0)</f>
        <v>45837</v>
      </c>
      <c r="F474" s="1434">
        <f>IFERROR(__xludf.DUMMYFUNCTION("""COMPUTED_VALUE"""),45840.0)</f>
        <v>45840</v>
      </c>
      <c r="G474" s="1430">
        <f>IFERROR(__xludf.DUMMYFUNCTION("""COMPUTED_VALUE"""),3.0)</f>
        <v>3</v>
      </c>
      <c r="H474" s="94">
        <f t="shared" si="1"/>
        <v>6</v>
      </c>
    </row>
    <row r="475" ht="15.75" customHeight="1">
      <c r="A475" s="94" t="str">
        <f>IFERROR(__xludf.DUMMYFUNCTION("""COMPUTED_VALUE"""),"WS A 608")</f>
        <v>WS A 608</v>
      </c>
      <c r="B475" s="94"/>
      <c r="C475" s="94"/>
      <c r="D475" s="94"/>
      <c r="E475" s="1429">
        <f>IFERROR(__xludf.DUMMYFUNCTION("""COMPUTED_VALUE"""),45837.0)</f>
        <v>45837</v>
      </c>
      <c r="F475" s="1434">
        <f>IFERROR(__xludf.DUMMYFUNCTION("""COMPUTED_VALUE"""),45846.0)</f>
        <v>45846</v>
      </c>
      <c r="G475" s="1430">
        <f>IFERROR(__xludf.DUMMYFUNCTION("""COMPUTED_VALUE"""),9.0)</f>
        <v>9</v>
      </c>
      <c r="H475" s="94">
        <f t="shared" si="1"/>
        <v>6</v>
      </c>
    </row>
    <row r="476" ht="15.75" customHeight="1">
      <c r="A476" s="94" t="str">
        <f>IFERROR(__xludf.DUMMYFUNCTION("""COMPUTED_VALUE"""),"Шар 2505")</f>
        <v>Шар 2505</v>
      </c>
      <c r="B476" s="94"/>
      <c r="C476" s="94"/>
      <c r="D476" s="94"/>
      <c r="E476" s="1429">
        <f>IFERROR(__xludf.DUMMYFUNCTION("""COMPUTED_VALUE"""),45837.0)</f>
        <v>45837</v>
      </c>
      <c r="F476" s="1434">
        <f>IFERROR(__xludf.DUMMYFUNCTION("""COMPUTED_VALUE"""),45843.0)</f>
        <v>45843</v>
      </c>
      <c r="G476" s="1430">
        <f>IFERROR(__xludf.DUMMYFUNCTION("""COMPUTED_VALUE"""),6.0)</f>
        <v>6</v>
      </c>
      <c r="H476" s="94">
        <f t="shared" si="1"/>
        <v>6</v>
      </c>
    </row>
    <row r="477" ht="15.75" customHeight="1">
      <c r="A477" s="94" t="str">
        <f>IFERROR(__xludf.DUMMYFUNCTION("""COMPUTED_VALUE"""),"С 1443")</f>
        <v>С 1443</v>
      </c>
      <c r="B477" s="94"/>
      <c r="C477" s="94"/>
      <c r="D477" s="94"/>
      <c r="E477" s="1429">
        <f>IFERROR(__xludf.DUMMYFUNCTION("""COMPUTED_VALUE"""),45836.0)</f>
        <v>45836</v>
      </c>
      <c r="F477" s="1434">
        <f>IFERROR(__xludf.DUMMYFUNCTION("""COMPUTED_VALUE"""),45842.0)</f>
        <v>45842</v>
      </c>
      <c r="G477" s="1430">
        <f>IFERROR(__xludf.DUMMYFUNCTION("""COMPUTED_VALUE"""),6.0)</f>
        <v>6</v>
      </c>
      <c r="H477" s="94">
        <f t="shared" si="1"/>
        <v>6</v>
      </c>
    </row>
    <row r="478" ht="15.75" customHeight="1">
      <c r="A478" s="94" t="str">
        <f>IFERROR(__xludf.DUMMYFUNCTION("""COMPUTED_VALUE"""),"С 2756")</f>
        <v>С 2756</v>
      </c>
      <c r="B478" s="94"/>
      <c r="C478" s="94"/>
      <c r="D478" s="94"/>
      <c r="E478" s="1429">
        <f>IFERROR(__xludf.DUMMYFUNCTION("""COMPUTED_VALUE"""),45836.0)</f>
        <v>45836</v>
      </c>
      <c r="F478" s="1434">
        <f>IFERROR(__xludf.DUMMYFUNCTION("""COMPUTED_VALUE"""),45839.0)</f>
        <v>45839</v>
      </c>
      <c r="G478" s="1430">
        <f>IFERROR(__xludf.DUMMYFUNCTION("""COMPUTED_VALUE"""),3.0)</f>
        <v>3</v>
      </c>
      <c r="H478" s="94">
        <f t="shared" si="1"/>
        <v>6</v>
      </c>
    </row>
    <row r="479" ht="15.75" customHeight="1">
      <c r="A479" s="94" t="str">
        <f>IFERROR(__xludf.DUMMYFUNCTION("""COMPUTED_VALUE"""),"DL 11-1305")</f>
        <v>DL 11-1305</v>
      </c>
      <c r="B479" s="94"/>
      <c r="C479" s="94"/>
      <c r="D479" s="94"/>
      <c r="E479" s="1429">
        <f>IFERROR(__xludf.DUMMYFUNCTION("""COMPUTED_VALUE"""),45838.0)</f>
        <v>45838</v>
      </c>
      <c r="F479" s="1434">
        <f>IFERROR(__xludf.DUMMYFUNCTION("""COMPUTED_VALUE"""),45847.0)</f>
        <v>45847</v>
      </c>
      <c r="G479" s="1430">
        <f>IFERROR(__xludf.DUMMYFUNCTION("""COMPUTED_VALUE"""),9.0)</f>
        <v>9</v>
      </c>
      <c r="H479" s="94">
        <f t="shared" si="1"/>
        <v>6</v>
      </c>
    </row>
    <row r="480" ht="15.75" customHeight="1">
      <c r="A480" s="94" t="str">
        <f>IFERROR(__xludf.DUMMYFUNCTION("""COMPUTED_VALUE"""),"Pollo 2-2")</f>
        <v>Pollo 2-2</v>
      </c>
      <c r="B480" s="94"/>
      <c r="C480" s="94"/>
      <c r="D480" s="94"/>
      <c r="E480" s="1429">
        <f>IFERROR(__xludf.DUMMYFUNCTION("""COMPUTED_VALUE"""),45836.0)</f>
        <v>45836</v>
      </c>
      <c r="F480" s="1429">
        <f>IFERROR(__xludf.DUMMYFUNCTION("""COMPUTED_VALUE"""),45865.0)</f>
        <v>45865</v>
      </c>
      <c r="G480" s="1430">
        <f>IFERROR(__xludf.DUMMYFUNCTION("""COMPUTED_VALUE"""),29.0)</f>
        <v>29</v>
      </c>
      <c r="H480" s="94">
        <f t="shared" si="1"/>
        <v>6</v>
      </c>
    </row>
    <row r="481" ht="15.75" customHeight="1">
      <c r="A481" s="94" t="str">
        <f>IFERROR(__xludf.DUMMYFUNCTION("""COMPUTED_VALUE"""),"PT2704")</f>
        <v>PT2704</v>
      </c>
      <c r="B481" s="94"/>
      <c r="C481" s="94"/>
      <c r="D481" s="94"/>
      <c r="E481" s="1429">
        <f>IFERROR(__xludf.DUMMYFUNCTION("""COMPUTED_VALUE"""),45838.0)</f>
        <v>45838</v>
      </c>
      <c r="F481" s="1429">
        <f>IFERROR(__xludf.DUMMYFUNCTION("""COMPUTED_VALUE"""),45843.0)</f>
        <v>45843</v>
      </c>
      <c r="G481" s="1430">
        <f>IFERROR(__xludf.DUMMYFUNCTION("""COMPUTED_VALUE"""),5.0)</f>
        <v>5</v>
      </c>
      <c r="H481" s="94">
        <f t="shared" si="1"/>
        <v>6</v>
      </c>
    </row>
    <row r="482" ht="15.75" customHeight="1">
      <c r="A482" s="94" t="str">
        <f>IFERROR(__xludf.DUMMYFUNCTION("""COMPUTED_VALUE"""),"CM 1606")</f>
        <v>CM 1606</v>
      </c>
      <c r="B482" s="94"/>
      <c r="C482" s="94"/>
      <c r="D482" s="94"/>
      <c r="E482" s="1429">
        <f>IFERROR(__xludf.DUMMYFUNCTION("""COMPUTED_VALUE"""),45838.0)</f>
        <v>45838</v>
      </c>
      <c r="F482" s="1435">
        <f>IFERROR(__xludf.DUMMYFUNCTION("""COMPUTED_VALUE"""),45841.0)</f>
        <v>45841</v>
      </c>
      <c r="G482" s="1430">
        <f>IFERROR(__xludf.DUMMYFUNCTION("""COMPUTED_VALUE"""),3.0)</f>
        <v>3</v>
      </c>
      <c r="H482" s="94">
        <f t="shared" si="1"/>
        <v>6</v>
      </c>
    </row>
    <row r="483" ht="15.75" customHeight="1">
      <c r="A483" s="94" t="str">
        <f>IFERROR(__xludf.DUMMYFUNCTION("""COMPUTED_VALUE"""),"TGA3")</f>
        <v>TGA3</v>
      </c>
      <c r="B483" s="94"/>
      <c r="C483" s="94"/>
      <c r="D483" s="94"/>
      <c r="E483" s="1429">
        <f>IFERROR(__xludf.DUMMYFUNCTION("""COMPUTED_VALUE"""),45838.0)</f>
        <v>45838</v>
      </c>
      <c r="F483" s="1429">
        <f>IFERROR(__xludf.DUMMYFUNCTION("""COMPUTED_VALUE"""),45842.0)</f>
        <v>45842</v>
      </c>
      <c r="G483" s="1430">
        <f>IFERROR(__xludf.DUMMYFUNCTION("""COMPUTED_VALUE"""),4.0)</f>
        <v>4</v>
      </c>
      <c r="H483" s="94">
        <f t="shared" si="1"/>
        <v>6</v>
      </c>
    </row>
    <row r="484" ht="15.75" customHeight="1">
      <c r="A484" s="94" t="str">
        <f>IFERROR(__xludf.DUMMYFUNCTION("""COMPUTED_VALUE"""),"TGA1")</f>
        <v>TGA1</v>
      </c>
      <c r="B484" s="94"/>
      <c r="C484" s="94"/>
      <c r="D484" s="94"/>
      <c r="E484" s="1429">
        <f>IFERROR(__xludf.DUMMYFUNCTION("""COMPUTED_VALUE"""),45838.0)</f>
        <v>45838</v>
      </c>
      <c r="F484" s="1429">
        <f>IFERROR(__xludf.DUMMYFUNCTION("""COMPUTED_VALUE"""),45841.0)</f>
        <v>45841</v>
      </c>
      <c r="G484" s="1430">
        <f>IFERROR(__xludf.DUMMYFUNCTION("""COMPUTED_VALUE"""),3.0)</f>
        <v>3</v>
      </c>
      <c r="H484" s="94">
        <f t="shared" si="1"/>
        <v>6</v>
      </c>
    </row>
    <row r="485" ht="15.75" customHeight="1">
      <c r="A485" s="94" t="str">
        <f>IFERROR(__xludf.DUMMYFUNCTION("""COMPUTED_VALUE"""),"TGB9")</f>
        <v>TGB9</v>
      </c>
      <c r="B485" s="94"/>
      <c r="C485" s="94"/>
      <c r="D485" s="94"/>
      <c r="E485" s="1429">
        <f>IFERROR(__xludf.DUMMYFUNCTION("""COMPUTED_VALUE"""),45838.0)</f>
        <v>45838</v>
      </c>
      <c r="F485" s="1429">
        <f>IFERROR(__xludf.DUMMYFUNCTION("""COMPUTED_VALUE"""),45842.0)</f>
        <v>45842</v>
      </c>
      <c r="G485" s="1430">
        <f>IFERROR(__xludf.DUMMYFUNCTION("""COMPUTED_VALUE"""),4.0)</f>
        <v>4</v>
      </c>
      <c r="H485" s="94">
        <f t="shared" si="1"/>
        <v>6</v>
      </c>
    </row>
    <row r="486" ht="15.75" customHeight="1">
      <c r="A486" s="94" t="str">
        <f>IFERROR(__xludf.DUMMYFUNCTION("""COMPUTED_VALUE"""),"C 4245")</f>
        <v>C 4245</v>
      </c>
      <c r="B486" s="94"/>
      <c r="C486" s="94"/>
      <c r="D486" s="94"/>
      <c r="E486" s="1429">
        <f>IFERROR(__xludf.DUMMYFUNCTION("""COMPUTED_VALUE"""),45838.0)</f>
        <v>45838</v>
      </c>
      <c r="F486" s="1429">
        <f>IFERROR(__xludf.DUMMYFUNCTION("""COMPUTED_VALUE"""),45842.0)</f>
        <v>45842</v>
      </c>
      <c r="G486" s="1430">
        <f>IFERROR(__xludf.DUMMYFUNCTION("""COMPUTED_VALUE"""),4.0)</f>
        <v>4</v>
      </c>
      <c r="H486" s="94">
        <f t="shared" si="1"/>
        <v>6</v>
      </c>
    </row>
    <row r="487" ht="15.75" customHeight="1">
      <c r="A487" s="94" t="str">
        <f>IFERROR(__xludf.DUMMYFUNCTION("""COMPUTED_VALUE"""),"WS A 409")</f>
        <v>WS A 409</v>
      </c>
      <c r="B487" s="94"/>
      <c r="C487" s="94"/>
      <c r="D487" s="94"/>
      <c r="E487" s="1429">
        <f>IFERROR(__xludf.DUMMYFUNCTION("""COMPUTED_VALUE"""),45839.0)</f>
        <v>45839</v>
      </c>
      <c r="F487" s="1429">
        <f>IFERROR(__xludf.DUMMYFUNCTION("""COMPUTED_VALUE"""),45841.0)</f>
        <v>45841</v>
      </c>
      <c r="G487" s="1430">
        <f>IFERROR(__xludf.DUMMYFUNCTION("""COMPUTED_VALUE"""),2.0)</f>
        <v>2</v>
      </c>
      <c r="H487" s="94">
        <f t="shared" si="1"/>
        <v>7</v>
      </c>
    </row>
    <row r="488" ht="15.75" customHeight="1">
      <c r="A488" s="94" t="str">
        <f>IFERROR(__xludf.DUMMYFUNCTION("""COMPUTED_VALUE"""),"WS E704")</f>
        <v>WS E704</v>
      </c>
      <c r="B488" s="94"/>
      <c r="C488" s="94"/>
      <c r="D488" s="94"/>
      <c r="E488" s="1429">
        <f>IFERROR(__xludf.DUMMYFUNCTION("""COMPUTED_VALUE"""),45839.0)</f>
        <v>45839</v>
      </c>
      <c r="F488" s="1429">
        <f>IFERROR(__xludf.DUMMYFUNCTION("""COMPUTED_VALUE"""),45841.0)</f>
        <v>45841</v>
      </c>
      <c r="G488" s="1430">
        <f>IFERROR(__xludf.DUMMYFUNCTION("""COMPUTED_VALUE"""),2.0)</f>
        <v>2</v>
      </c>
      <c r="H488" s="94">
        <f t="shared" si="1"/>
        <v>7</v>
      </c>
    </row>
    <row r="489" ht="15.75" customHeight="1">
      <c r="A489" s="94" t="str">
        <f>IFERROR(__xludf.DUMMYFUNCTION("""COMPUTED_VALUE"""),"D 1321")</f>
        <v>D 1321</v>
      </c>
      <c r="B489" s="94"/>
      <c r="C489" s="94"/>
      <c r="D489" s="94"/>
      <c r="E489" s="1429">
        <f>IFERROR(__xludf.DUMMYFUNCTION("""COMPUTED_VALUE"""),45839.0)</f>
        <v>45839</v>
      </c>
      <c r="F489" s="1429">
        <f>IFERROR(__xludf.DUMMYFUNCTION("""COMPUTED_VALUE"""),45846.0)</f>
        <v>45846</v>
      </c>
      <c r="G489" s="1430">
        <f>IFERROR(__xludf.DUMMYFUNCTION("""COMPUTED_VALUE"""),7.0)</f>
        <v>7</v>
      </c>
      <c r="H489" s="94">
        <f t="shared" si="1"/>
        <v>7</v>
      </c>
    </row>
    <row r="490" ht="15.75" customHeight="1">
      <c r="A490" s="94" t="str">
        <f>IFERROR(__xludf.DUMMYFUNCTION("""COMPUTED_VALUE"""),"DL 4-09")</f>
        <v>DL 4-09</v>
      </c>
      <c r="B490" s="94"/>
      <c r="C490" s="94"/>
      <c r="D490" s="94"/>
      <c r="E490" s="1429">
        <f>IFERROR(__xludf.DUMMYFUNCTION("""COMPUTED_VALUE"""),45839.0)</f>
        <v>45839</v>
      </c>
      <c r="F490" s="1429">
        <f>IFERROR(__xludf.DUMMYFUNCTION("""COMPUTED_VALUE"""),45844.0)</f>
        <v>45844</v>
      </c>
      <c r="G490" s="1430">
        <f>IFERROR(__xludf.DUMMYFUNCTION("""COMPUTED_VALUE"""),5.0)</f>
        <v>5</v>
      </c>
      <c r="H490" s="94">
        <f t="shared" si="1"/>
        <v>7</v>
      </c>
    </row>
    <row r="491" ht="15.75" customHeight="1">
      <c r="A491" s="94" t="str">
        <f>IFERROR(__xludf.DUMMYFUNCTION("""COMPUTED_VALUE"""),"TGA4")</f>
        <v>TGA4</v>
      </c>
      <c r="B491" s="94"/>
      <c r="C491" s="94"/>
      <c r="D491" s="94"/>
      <c r="E491" s="1429">
        <f>IFERROR(__xludf.DUMMYFUNCTION("""COMPUTED_VALUE"""),45839.0)</f>
        <v>45839</v>
      </c>
      <c r="F491" s="1429">
        <f>IFERROR(__xludf.DUMMYFUNCTION("""COMPUTED_VALUE"""),45843.0)</f>
        <v>45843</v>
      </c>
      <c r="G491" s="1430">
        <f>IFERROR(__xludf.DUMMYFUNCTION("""COMPUTED_VALUE"""),4.0)</f>
        <v>4</v>
      </c>
      <c r="H491" s="94">
        <f t="shared" si="1"/>
        <v>7</v>
      </c>
    </row>
    <row r="492" ht="15.75" customHeight="1">
      <c r="A492" s="94" t="str">
        <f>IFERROR(__xludf.DUMMYFUNCTION("""COMPUTED_VALUE"""),"TGB9")</f>
        <v>TGB9</v>
      </c>
      <c r="B492" s="94"/>
      <c r="C492" s="94"/>
      <c r="D492" s="94"/>
      <c r="E492" s="1429">
        <f>IFERROR(__xludf.DUMMYFUNCTION("""COMPUTED_VALUE"""),45839.0)</f>
        <v>45839</v>
      </c>
      <c r="F492" s="1429">
        <f>IFERROR(__xludf.DUMMYFUNCTION("""COMPUTED_VALUE"""),45840.0)</f>
        <v>45840</v>
      </c>
      <c r="G492" s="1430">
        <f>IFERROR(__xludf.DUMMYFUNCTION("""COMPUTED_VALUE"""),1.0)</f>
        <v>1</v>
      </c>
      <c r="H492" s="94">
        <f t="shared" si="1"/>
        <v>7</v>
      </c>
    </row>
    <row r="493" ht="15.75" customHeight="1">
      <c r="A493" s="94" t="str">
        <f>IFERROR(__xludf.DUMMYFUNCTION("""COMPUTED_VALUE"""),"TGB1")</f>
        <v>TGB1</v>
      </c>
      <c r="B493" s="94"/>
      <c r="C493" s="94"/>
      <c r="D493" s="94"/>
      <c r="E493" s="1429">
        <f>IFERROR(__xludf.DUMMYFUNCTION("""COMPUTED_VALUE"""),45839.0)</f>
        <v>45839</v>
      </c>
      <c r="F493" s="1429">
        <f>IFERROR(__xludf.DUMMYFUNCTION("""COMPUTED_VALUE"""),45848.0)</f>
        <v>45848</v>
      </c>
      <c r="G493" s="1430">
        <f>IFERROR(__xludf.DUMMYFUNCTION("""COMPUTED_VALUE"""),9.0)</f>
        <v>9</v>
      </c>
      <c r="H493" s="94">
        <f t="shared" si="1"/>
        <v>7</v>
      </c>
    </row>
    <row r="494" ht="15.75" customHeight="1">
      <c r="A494" s="94" t="str">
        <f>IFERROR(__xludf.DUMMYFUNCTION("""COMPUTED_VALUE"""),"TGB5")</f>
        <v>TGB5</v>
      </c>
      <c r="B494" s="94"/>
      <c r="C494" s="94"/>
      <c r="D494" s="94"/>
      <c r="E494" s="1429">
        <f>IFERROR(__xludf.DUMMYFUNCTION("""COMPUTED_VALUE"""),45839.0)</f>
        <v>45839</v>
      </c>
      <c r="F494" s="1429">
        <f>IFERROR(__xludf.DUMMYFUNCTION("""COMPUTED_VALUE"""),45848.0)</f>
        <v>45848</v>
      </c>
      <c r="G494" s="1430">
        <f>IFERROR(__xludf.DUMMYFUNCTION("""COMPUTED_VALUE"""),9.0)</f>
        <v>9</v>
      </c>
      <c r="H494" s="94">
        <f t="shared" si="1"/>
        <v>7</v>
      </c>
    </row>
    <row r="495" ht="15.75" customHeight="1">
      <c r="A495" s="94" t="str">
        <f>IFERROR(__xludf.DUMMYFUNCTION("""COMPUTED_VALUE"""),"TGB3")</f>
        <v>TGB3</v>
      </c>
      <c r="B495" s="94"/>
      <c r="C495" s="94"/>
      <c r="D495" s="94"/>
      <c r="E495" s="1429">
        <f>IFERROR(__xludf.DUMMYFUNCTION("""COMPUTED_VALUE"""),45839.0)</f>
        <v>45839</v>
      </c>
      <c r="F495" s="1429">
        <f>IFERROR(__xludf.DUMMYFUNCTION("""COMPUTED_VALUE"""),45848.0)</f>
        <v>45848</v>
      </c>
      <c r="G495" s="1430">
        <f>IFERROR(__xludf.DUMMYFUNCTION("""COMPUTED_VALUE"""),9.0)</f>
        <v>9</v>
      </c>
      <c r="H495" s="94">
        <f t="shared" si="1"/>
        <v>7</v>
      </c>
    </row>
    <row r="496" ht="15.75" customHeight="1">
      <c r="A496" s="94" t="str">
        <f>IFERROR(__xludf.DUMMYFUNCTION("""COMPUTED_VALUE"""),"TGB11")</f>
        <v>TGB11</v>
      </c>
      <c r="B496" s="94"/>
      <c r="C496" s="94"/>
      <c r="D496" s="94"/>
      <c r="E496" s="1429">
        <f>IFERROR(__xludf.DUMMYFUNCTION("""COMPUTED_VALUE"""),45839.0)</f>
        <v>45839</v>
      </c>
      <c r="F496" s="1429">
        <f>IFERROR(__xludf.DUMMYFUNCTION("""COMPUTED_VALUE"""),45851.0)</f>
        <v>45851</v>
      </c>
      <c r="G496" s="1430">
        <f>IFERROR(__xludf.DUMMYFUNCTION("""COMPUTED_VALUE"""),12.0)</f>
        <v>12</v>
      </c>
      <c r="H496" s="94">
        <f t="shared" si="1"/>
        <v>7</v>
      </c>
    </row>
    <row r="497" ht="15.75" customHeight="1">
      <c r="A497" s="94" t="str">
        <f>IFERROR(__xludf.DUMMYFUNCTION("""COMPUTED_VALUE"""),"WS E 1202")</f>
        <v>WS E 1202</v>
      </c>
      <c r="B497" s="94"/>
      <c r="C497" s="94"/>
      <c r="D497" s="94"/>
      <c r="E497" s="1429">
        <f>IFERROR(__xludf.DUMMYFUNCTION("""COMPUTED_VALUE"""),45839.0)</f>
        <v>45839</v>
      </c>
      <c r="F497" s="1429">
        <f>IFERROR(__xludf.DUMMYFUNCTION("""COMPUTED_VALUE"""),45854.0)</f>
        <v>45854</v>
      </c>
      <c r="G497" s="1430">
        <f>IFERROR(__xludf.DUMMYFUNCTION("""COMPUTED_VALUE"""),15.0)</f>
        <v>15</v>
      </c>
      <c r="H497" s="94">
        <f t="shared" si="1"/>
        <v>7</v>
      </c>
    </row>
    <row r="498" ht="15.75" customHeight="1">
      <c r="A498" s="94" t="str">
        <f>IFERROR(__xludf.DUMMYFUNCTION("""COMPUTED_VALUE"""),"Int 2612")</f>
        <v>Int 2612</v>
      </c>
      <c r="B498" s="94"/>
      <c r="C498" s="94"/>
      <c r="D498" s="94"/>
      <c r="E498" s="1429">
        <f>IFERROR(__xludf.DUMMYFUNCTION("""COMPUTED_VALUE"""),45839.0)</f>
        <v>45839</v>
      </c>
      <c r="F498" s="1429">
        <f>IFERROR(__xludf.DUMMYFUNCTION("""COMPUTED_VALUE"""),45844.0)</f>
        <v>45844</v>
      </c>
      <c r="G498" s="1430">
        <f>IFERROR(__xludf.DUMMYFUNCTION("""COMPUTED_VALUE"""),5.0)</f>
        <v>5</v>
      </c>
      <c r="H498" s="94">
        <f t="shared" si="1"/>
        <v>7</v>
      </c>
    </row>
    <row r="499" ht="15.75" customHeight="1">
      <c r="A499" s="94" t="str">
        <f>IFERROR(__xludf.DUMMYFUNCTION("""COMPUTED_VALUE"""),"DL 14-1710")</f>
        <v>DL 14-1710</v>
      </c>
      <c r="B499" s="94"/>
      <c r="C499" s="94"/>
      <c r="D499" s="94"/>
      <c r="E499" s="1429">
        <f>IFERROR(__xludf.DUMMYFUNCTION("""COMPUTED_VALUE"""),45839.0)</f>
        <v>45839</v>
      </c>
      <c r="F499" s="1429">
        <f>IFERROR(__xludf.DUMMYFUNCTION("""COMPUTED_VALUE"""),45840.0)</f>
        <v>45840</v>
      </c>
      <c r="G499" s="1430">
        <f>IFERROR(__xludf.DUMMYFUNCTION("""COMPUTED_VALUE"""),1.0)</f>
        <v>1</v>
      </c>
      <c r="H499" s="94">
        <f t="shared" si="1"/>
        <v>7</v>
      </c>
    </row>
    <row r="500" ht="15.75" customHeight="1">
      <c r="A500" s="94" t="str">
        <f>IFERROR(__xludf.DUMMYFUNCTION("""COMPUTED_VALUE"""),"DL14-1405")</f>
        <v>DL14-1405</v>
      </c>
      <c r="B500" s="94"/>
      <c r="C500" s="94"/>
      <c r="D500" s="94"/>
      <c r="E500" s="1429">
        <f>IFERROR(__xludf.DUMMYFUNCTION("""COMPUTED_VALUE"""),45839.0)</f>
        <v>45839</v>
      </c>
      <c r="F500" s="1429">
        <f>IFERROR(__xludf.DUMMYFUNCTION("""COMPUTED_VALUE"""),45840.0)</f>
        <v>45840</v>
      </c>
      <c r="G500" s="1430">
        <f>IFERROR(__xludf.DUMMYFUNCTION("""COMPUTED_VALUE"""),1.0)</f>
        <v>1</v>
      </c>
      <c r="H500" s="94">
        <f t="shared" si="1"/>
        <v>7</v>
      </c>
    </row>
    <row r="501" ht="15.75" customHeight="1">
      <c r="A501" s="94" t="str">
        <f>IFERROR(__xludf.DUMMYFUNCTION("""COMPUTED_VALUE"""),"DL 14-505")</f>
        <v>DL 14-505</v>
      </c>
      <c r="B501" s="94"/>
      <c r="C501" s="94"/>
      <c r="D501" s="94"/>
      <c r="E501" s="1429">
        <f>IFERROR(__xludf.DUMMYFUNCTION("""COMPUTED_VALUE"""),45839.0)</f>
        <v>45839</v>
      </c>
      <c r="F501" s="1429">
        <f>IFERROR(__xludf.DUMMYFUNCTION("""COMPUTED_VALUE"""),45842.0)</f>
        <v>45842</v>
      </c>
      <c r="G501" s="1430">
        <f>IFERROR(__xludf.DUMMYFUNCTION("""COMPUTED_VALUE"""),3.0)</f>
        <v>3</v>
      </c>
      <c r="H501" s="94">
        <f t="shared" si="1"/>
        <v>7</v>
      </c>
    </row>
    <row r="502" ht="15.75" customHeight="1">
      <c r="A502" s="94" t="str">
        <f>IFERROR(__xludf.DUMMYFUNCTION("""COMPUTED_VALUE"""),"DL14-518")</f>
        <v>DL14-518</v>
      </c>
      <c r="B502" s="94"/>
      <c r="C502" s="94"/>
      <c r="D502" s="94"/>
      <c r="E502" s="1429">
        <f>IFERROR(__xludf.DUMMYFUNCTION("""COMPUTED_VALUE"""),45839.0)</f>
        <v>45839</v>
      </c>
      <c r="F502" s="1429">
        <f>IFERROR(__xludf.DUMMYFUNCTION("""COMPUTED_VALUE"""),45842.0)</f>
        <v>45842</v>
      </c>
      <c r="G502" s="1430">
        <f>IFERROR(__xludf.DUMMYFUNCTION("""COMPUTED_VALUE"""),3.0)</f>
        <v>3</v>
      </c>
      <c r="H502" s="94">
        <f t="shared" si="1"/>
        <v>7</v>
      </c>
    </row>
    <row r="503" ht="15.75" customHeight="1">
      <c r="A503" s="94" t="str">
        <f>IFERROR(__xludf.DUMMYFUNCTION("""COMPUTED_VALUE"""),"14-411")</f>
        <v>14-411</v>
      </c>
      <c r="B503" s="94"/>
      <c r="C503" s="94"/>
      <c r="D503" s="94"/>
      <c r="E503" s="1429">
        <f>IFERROR(__xludf.DUMMYFUNCTION("""COMPUTED_VALUE"""),45839.0)</f>
        <v>45839</v>
      </c>
      <c r="F503" s="1429">
        <f>IFERROR(__xludf.DUMMYFUNCTION("""COMPUTED_VALUE"""),45842.0)</f>
        <v>45842</v>
      </c>
      <c r="G503" s="1430">
        <f>IFERROR(__xludf.DUMMYFUNCTION("""COMPUTED_VALUE"""),3.0)</f>
        <v>3</v>
      </c>
      <c r="H503" s="94">
        <f t="shared" si="1"/>
        <v>7</v>
      </c>
    </row>
    <row r="504" ht="15.75" customHeight="1">
      <c r="A504" s="94" t="str">
        <f>IFERROR(__xludf.DUMMYFUNCTION("""COMPUTED_VALUE"""),"NW 4-9")</f>
        <v>NW 4-9</v>
      </c>
      <c r="B504" s="94"/>
      <c r="C504" s="94"/>
      <c r="D504" s="94"/>
      <c r="E504" s="1429">
        <f>IFERROR(__xludf.DUMMYFUNCTION("""COMPUTED_VALUE"""),45839.0)</f>
        <v>45839</v>
      </c>
      <c r="F504" s="1429">
        <f>IFERROR(__xludf.DUMMYFUNCTION("""COMPUTED_VALUE"""),45846.0)</f>
        <v>45846</v>
      </c>
      <c r="G504" s="1430">
        <f>IFERROR(__xludf.DUMMYFUNCTION("""COMPUTED_VALUE"""),7.0)</f>
        <v>7</v>
      </c>
      <c r="H504" s="94">
        <f t="shared" si="1"/>
        <v>7</v>
      </c>
    </row>
    <row r="505" ht="15.75" customHeight="1">
      <c r="A505" s="94" t="str">
        <f>IFERROR(__xludf.DUMMYFUNCTION("""COMPUTED_VALUE"""),"MZ 1416")</f>
        <v>MZ 1416</v>
      </c>
      <c r="B505" s="94"/>
      <c r="C505" s="94"/>
      <c r="D505" s="94"/>
      <c r="E505" s="1429">
        <f>IFERROR(__xludf.DUMMYFUNCTION("""COMPUTED_VALUE"""),45840.0)</f>
        <v>45840</v>
      </c>
      <c r="F505" s="1429">
        <f>IFERROR(__xludf.DUMMYFUNCTION("""COMPUTED_VALUE"""),45843.0)</f>
        <v>45843</v>
      </c>
      <c r="G505" s="1430">
        <f>IFERROR(__xludf.DUMMYFUNCTION("""COMPUTED_VALUE"""),3.0)</f>
        <v>3</v>
      </c>
      <c r="H505" s="94">
        <f t="shared" si="1"/>
        <v>7</v>
      </c>
    </row>
    <row r="506" ht="15.75" customHeight="1">
      <c r="A506" s="94" t="str">
        <f>IFERROR(__xludf.DUMMYFUNCTION("""COMPUTED_VALUE"""),"CM 1604")</f>
        <v>CM 1604</v>
      </c>
      <c r="B506" s="94"/>
      <c r="C506" s="94"/>
      <c r="D506" s="94"/>
      <c r="E506" s="1429">
        <f>IFERROR(__xludf.DUMMYFUNCTION("""COMPUTED_VALUE"""),45840.0)</f>
        <v>45840</v>
      </c>
      <c r="F506" s="1429">
        <f>IFERROR(__xludf.DUMMYFUNCTION("""COMPUTED_VALUE"""),45843.0)</f>
        <v>45843</v>
      </c>
      <c r="G506" s="1430">
        <f>IFERROR(__xludf.DUMMYFUNCTION("""COMPUTED_VALUE"""),3.0)</f>
        <v>3</v>
      </c>
      <c r="H506" s="94">
        <f t="shared" si="1"/>
        <v>7</v>
      </c>
    </row>
    <row r="507" ht="15.75" customHeight="1">
      <c r="A507" s="94" t="str">
        <f>IFERROR(__xludf.DUMMYFUNCTION("""COMPUTED_VALUE"""),"DL 14-516")</f>
        <v>DL 14-516</v>
      </c>
      <c r="B507" s="94"/>
      <c r="C507" s="94"/>
      <c r="D507" s="94"/>
      <c r="E507" s="1429">
        <f>IFERROR(__xludf.DUMMYFUNCTION("""COMPUTED_VALUE"""),45840.0)</f>
        <v>45840</v>
      </c>
      <c r="F507" s="1429">
        <f>IFERROR(__xludf.DUMMYFUNCTION("""COMPUTED_VALUE"""),45852.0)</f>
        <v>45852</v>
      </c>
      <c r="G507" s="1430">
        <f>IFERROR(__xludf.DUMMYFUNCTION("""COMPUTED_VALUE"""),12.0)</f>
        <v>12</v>
      </c>
      <c r="H507" s="94">
        <f t="shared" si="1"/>
        <v>7</v>
      </c>
    </row>
    <row r="508" ht="15.75" customHeight="1">
      <c r="A508" s="94" t="str">
        <f>IFERROR(__xludf.DUMMYFUNCTION("""COMPUTED_VALUE"""),"DL14-1405")</f>
        <v>DL14-1405</v>
      </c>
      <c r="B508" s="94"/>
      <c r="C508" s="94"/>
      <c r="D508" s="94"/>
      <c r="E508" s="1429">
        <f>IFERROR(__xludf.DUMMYFUNCTION("""COMPUTED_VALUE"""),45840.0)</f>
        <v>45840</v>
      </c>
      <c r="F508" s="1434">
        <f>IFERROR(__xludf.DUMMYFUNCTION("""COMPUTED_VALUE"""),45845.0)</f>
        <v>45845</v>
      </c>
      <c r="G508" s="1430">
        <f>IFERROR(__xludf.DUMMYFUNCTION("""COMPUTED_VALUE"""),5.0)</f>
        <v>5</v>
      </c>
      <c r="H508" s="94">
        <f t="shared" si="1"/>
        <v>7</v>
      </c>
    </row>
    <row r="509" ht="15.75" customHeight="1">
      <c r="A509" s="94" t="str">
        <f>IFERROR(__xludf.DUMMYFUNCTION("""COMPUTED_VALUE"""),"BV1318")</f>
        <v>BV1318</v>
      </c>
      <c r="B509" s="94"/>
      <c r="C509" s="94"/>
      <c r="D509" s="94"/>
      <c r="E509" s="1429">
        <f>IFERROR(__xludf.DUMMYFUNCTION("""COMPUTED_VALUE"""),45840.0)</f>
        <v>45840</v>
      </c>
      <c r="F509" s="1434">
        <f>IFERROR(__xludf.DUMMYFUNCTION("""COMPUTED_VALUE"""),45843.0)</f>
        <v>45843</v>
      </c>
      <c r="G509" s="1430">
        <f>IFERROR(__xludf.DUMMYFUNCTION("""COMPUTED_VALUE"""),3.0)</f>
        <v>3</v>
      </c>
      <c r="H509" s="94">
        <f t="shared" si="1"/>
        <v>7</v>
      </c>
    </row>
    <row r="510" ht="15.75" customHeight="1">
      <c r="A510" s="94" t="str">
        <f>IFERROR(__xludf.DUMMYFUNCTION("""COMPUTED_VALUE"""),"Вилла Ева")</f>
        <v>Вилла Ева</v>
      </c>
      <c r="B510" s="94"/>
      <c r="C510" s="94"/>
      <c r="D510" s="94"/>
      <c r="E510" s="1429">
        <f>IFERROR(__xludf.DUMMYFUNCTION("""COMPUTED_VALUE"""),45840.0)</f>
        <v>45840</v>
      </c>
      <c r="F510" s="1434">
        <f>IFERROR(__xludf.DUMMYFUNCTION("""COMPUTED_VALUE"""),45843.0)</f>
        <v>45843</v>
      </c>
      <c r="G510" s="1430">
        <f>IFERROR(__xludf.DUMMYFUNCTION("""COMPUTED_VALUE"""),3.0)</f>
        <v>3</v>
      </c>
      <c r="H510" s="94">
        <f t="shared" si="1"/>
        <v>7</v>
      </c>
    </row>
    <row r="511" ht="15.75" customHeight="1">
      <c r="A511" s="94" t="str">
        <f>IFERROR(__xludf.DUMMYFUNCTION("""COMPUTED_VALUE"""),"TGB4")</f>
        <v>TGB4</v>
      </c>
      <c r="B511" s="94"/>
      <c r="C511" s="94"/>
      <c r="D511" s="94"/>
      <c r="E511" s="1429">
        <f>IFERROR(__xludf.DUMMYFUNCTION("""COMPUTED_VALUE"""),45840.0)</f>
        <v>45840</v>
      </c>
      <c r="F511" s="1434">
        <f>IFERROR(__xludf.DUMMYFUNCTION("""COMPUTED_VALUE"""),45843.0)</f>
        <v>45843</v>
      </c>
      <c r="G511" s="1430">
        <f>IFERROR(__xludf.DUMMYFUNCTION("""COMPUTED_VALUE"""),3.0)</f>
        <v>3</v>
      </c>
      <c r="H511" s="94">
        <f t="shared" si="1"/>
        <v>7</v>
      </c>
    </row>
    <row r="512" ht="15.75" customHeight="1">
      <c r="A512" s="94" t="str">
        <f>IFERROR(__xludf.DUMMYFUNCTION("""COMPUTED_VALUE"""),"WS F 907")</f>
        <v>WS F 907</v>
      </c>
      <c r="B512" s="94"/>
      <c r="C512" s="94"/>
      <c r="D512" s="94"/>
      <c r="E512" s="1429">
        <f>IFERROR(__xludf.DUMMYFUNCTION("""COMPUTED_VALUE"""),45840.0)</f>
        <v>45840</v>
      </c>
      <c r="F512" s="1434">
        <f>IFERROR(__xludf.DUMMYFUNCTION("""COMPUTED_VALUE"""),45843.0)</f>
        <v>45843</v>
      </c>
      <c r="G512" s="1430">
        <f>IFERROR(__xludf.DUMMYFUNCTION("""COMPUTED_VALUE"""),3.0)</f>
        <v>3</v>
      </c>
      <c r="H512" s="94">
        <f t="shared" si="1"/>
        <v>7</v>
      </c>
    </row>
    <row r="513" ht="15.75" customHeight="1">
      <c r="A513" s="94" t="str">
        <f>IFERROR(__xludf.DUMMYFUNCTION("""COMPUTED_VALUE"""),"WS A805")</f>
        <v>WS A805</v>
      </c>
      <c r="B513" s="94"/>
      <c r="C513" s="94"/>
      <c r="D513" s="94"/>
      <c r="E513" s="1429">
        <f>IFERROR(__xludf.DUMMYFUNCTION("""COMPUTED_VALUE"""),45840.0)</f>
        <v>45840</v>
      </c>
      <c r="F513" s="1434">
        <f>IFERROR(__xludf.DUMMYFUNCTION("""COMPUTED_VALUE"""),45843.0)</f>
        <v>45843</v>
      </c>
      <c r="G513" s="1430">
        <f>IFERROR(__xludf.DUMMYFUNCTION("""COMPUTED_VALUE"""),3.0)</f>
        <v>3</v>
      </c>
      <c r="H513" s="94">
        <f t="shared" si="1"/>
        <v>7</v>
      </c>
    </row>
    <row r="514" ht="15.75" customHeight="1">
      <c r="A514" s="94" t="str">
        <f>IFERROR(__xludf.DUMMYFUNCTION("""COMPUTED_VALUE"""),"D2 1625")</f>
        <v>D2 1625</v>
      </c>
      <c r="B514" s="94"/>
      <c r="C514" s="94"/>
      <c r="D514" s="94"/>
      <c r="E514" s="1429">
        <f>IFERROR(__xludf.DUMMYFUNCTION("""COMPUTED_VALUE"""),45840.0)</f>
        <v>45840</v>
      </c>
      <c r="F514" s="1434">
        <f>IFERROR(__xludf.DUMMYFUNCTION("""COMPUTED_VALUE"""),45844.0)</f>
        <v>45844</v>
      </c>
      <c r="G514" s="1430">
        <f>IFERROR(__xludf.DUMMYFUNCTION("""COMPUTED_VALUE"""),4.0)</f>
        <v>4</v>
      </c>
      <c r="H514" s="94">
        <f t="shared" si="1"/>
        <v>7</v>
      </c>
    </row>
    <row r="515" ht="15.75" customHeight="1">
      <c r="A515" s="94" t="str">
        <f>IFERROR(__xludf.DUMMYFUNCTION("""COMPUTED_VALUE"""),"D 3629")</f>
        <v>D 3629</v>
      </c>
      <c r="B515" s="94"/>
      <c r="C515" s="94"/>
      <c r="D515" s="94"/>
      <c r="E515" s="1429">
        <f>IFERROR(__xludf.DUMMYFUNCTION("""COMPUTED_VALUE"""),45840.0)</f>
        <v>45840</v>
      </c>
      <c r="F515" s="1434">
        <f>IFERROR(__xludf.DUMMYFUNCTION("""COMPUTED_VALUE"""),45843.0)</f>
        <v>45843</v>
      </c>
      <c r="G515" s="1430">
        <f>IFERROR(__xludf.DUMMYFUNCTION("""COMPUTED_VALUE"""),3.0)</f>
        <v>3</v>
      </c>
      <c r="H515" s="94">
        <f t="shared" si="1"/>
        <v>7</v>
      </c>
    </row>
    <row r="516" ht="15.75" customHeight="1">
      <c r="A516" s="94" t="str">
        <f>IFERROR(__xludf.DUMMYFUNCTION("""COMPUTED_VALUE"""),"NW 4-10")</f>
        <v>NW 4-10</v>
      </c>
      <c r="B516" s="94"/>
      <c r="C516" s="94"/>
      <c r="D516" s="94"/>
      <c r="E516" s="1429">
        <f>IFERROR(__xludf.DUMMYFUNCTION("""COMPUTED_VALUE"""),45840.0)</f>
        <v>45840</v>
      </c>
      <c r="F516" s="1434">
        <f>IFERROR(__xludf.DUMMYFUNCTION("""COMPUTED_VALUE"""),45850.0)</f>
        <v>45850</v>
      </c>
      <c r="G516" s="1430">
        <f>IFERROR(__xludf.DUMMYFUNCTION("""COMPUTED_VALUE"""),10.0)</f>
        <v>10</v>
      </c>
      <c r="H516" s="94">
        <f t="shared" si="1"/>
        <v>7</v>
      </c>
    </row>
    <row r="517" ht="15.75" customHeight="1">
      <c r="A517" s="94" t="str">
        <f>IFERROR(__xludf.DUMMYFUNCTION("""COMPUTED_VALUE"""),"Steps1123")</f>
        <v>Steps1123</v>
      </c>
      <c r="B517" s="94"/>
      <c r="C517" s="94"/>
      <c r="D517" s="94"/>
      <c r="E517" s="1429">
        <f>IFERROR(__xludf.DUMMYFUNCTION("""COMPUTED_VALUE"""),45841.0)</f>
        <v>45841</v>
      </c>
      <c r="F517" s="1434">
        <f>IFERROR(__xludf.DUMMYFUNCTION("""COMPUTED_VALUE"""),45846.0)</f>
        <v>45846</v>
      </c>
      <c r="G517" s="1430">
        <f>IFERROR(__xludf.DUMMYFUNCTION("""COMPUTED_VALUE"""),5.0)</f>
        <v>5</v>
      </c>
      <c r="H517" s="94">
        <f t="shared" si="1"/>
        <v>7</v>
      </c>
    </row>
    <row r="518" ht="15.75" customHeight="1">
      <c r="A518" s="94" t="str">
        <f>IFERROR(__xludf.DUMMYFUNCTION("""COMPUTED_VALUE"""),"CM 1606")</f>
        <v>CM 1606</v>
      </c>
      <c r="B518" s="94"/>
      <c r="C518" s="94"/>
      <c r="D518" s="94"/>
      <c r="E518" s="1429">
        <f>IFERROR(__xludf.DUMMYFUNCTION("""COMPUTED_VALUE"""),45841.0)</f>
        <v>45841</v>
      </c>
      <c r="F518" s="1434">
        <f>IFERROR(__xludf.DUMMYFUNCTION("""COMPUTED_VALUE"""),45845.0)</f>
        <v>45845</v>
      </c>
      <c r="G518" s="1430">
        <f>IFERROR(__xludf.DUMMYFUNCTION("""COMPUTED_VALUE"""),4.0)</f>
        <v>4</v>
      </c>
      <c r="H518" s="94">
        <f t="shared" si="1"/>
        <v>7</v>
      </c>
    </row>
    <row r="519" ht="15.75" customHeight="1">
      <c r="A519" s="94" t="str">
        <f>IFERROR(__xludf.DUMMYFUNCTION("""COMPUTED_VALUE"""),"CM 1931")</f>
        <v>CM 1931</v>
      </c>
      <c r="B519" s="94"/>
      <c r="C519" s="94"/>
      <c r="D519" s="94"/>
      <c r="E519" s="1429">
        <f>IFERROR(__xludf.DUMMYFUNCTION("""COMPUTED_VALUE"""),45841.0)</f>
        <v>45841</v>
      </c>
      <c r="F519" s="1434">
        <f>IFERROR(__xludf.DUMMYFUNCTION("""COMPUTED_VALUE"""),45846.0)</f>
        <v>45846</v>
      </c>
      <c r="G519" s="1430">
        <f>IFERROR(__xludf.DUMMYFUNCTION("""COMPUTED_VALUE"""),5.0)</f>
        <v>5</v>
      </c>
      <c r="H519" s="94">
        <f t="shared" si="1"/>
        <v>7</v>
      </c>
    </row>
    <row r="520" ht="15.75" customHeight="1">
      <c r="A520" s="94" t="str">
        <f>IFERROR(__xludf.DUMMYFUNCTION("""COMPUTED_VALUE"""),"TGA5")</f>
        <v>TGA5</v>
      </c>
      <c r="B520" s="94"/>
      <c r="C520" s="94"/>
      <c r="D520" s="94"/>
      <c r="E520" s="1429">
        <f>IFERROR(__xludf.DUMMYFUNCTION("""COMPUTED_VALUE"""),45841.0)</f>
        <v>45841</v>
      </c>
      <c r="F520" s="1434">
        <f>IFERROR(__xludf.DUMMYFUNCTION("""COMPUTED_VALUE"""),45845.0)</f>
        <v>45845</v>
      </c>
      <c r="G520" s="1430">
        <f>IFERROR(__xludf.DUMMYFUNCTION("""COMPUTED_VALUE"""),4.0)</f>
        <v>4</v>
      </c>
      <c r="H520" s="94">
        <f t="shared" si="1"/>
        <v>7</v>
      </c>
    </row>
    <row r="521" ht="15.75" customHeight="1">
      <c r="A521" s="94" t="str">
        <f>IFERROR(__xludf.DUMMYFUNCTION("""COMPUTED_VALUE"""),"TGA1")</f>
        <v>TGA1</v>
      </c>
      <c r="B521" s="94"/>
      <c r="C521" s="94"/>
      <c r="D521" s="94"/>
      <c r="E521" s="1429">
        <f>IFERROR(__xludf.DUMMYFUNCTION("""COMPUTED_VALUE"""),45841.0)</f>
        <v>45841</v>
      </c>
      <c r="F521" s="1434">
        <f>IFERROR(__xludf.DUMMYFUNCTION("""COMPUTED_VALUE"""),45848.0)</f>
        <v>45848</v>
      </c>
      <c r="G521" s="1430">
        <f>IFERROR(__xludf.DUMMYFUNCTION("""COMPUTED_VALUE"""),7.0)</f>
        <v>7</v>
      </c>
      <c r="H521" s="94">
        <f t="shared" si="1"/>
        <v>7</v>
      </c>
    </row>
    <row r="522" ht="15.75" customHeight="1">
      <c r="A522" s="94" t="str">
        <f>IFERROR(__xludf.DUMMYFUNCTION("""COMPUTED_VALUE"""),"MZ 718")</f>
        <v>MZ 718</v>
      </c>
      <c r="B522" s="94"/>
      <c r="C522" s="94"/>
      <c r="D522" s="94"/>
      <c r="E522" s="1429">
        <f>IFERROR(__xludf.DUMMYFUNCTION("""COMPUTED_VALUE"""),45841.0)</f>
        <v>45841</v>
      </c>
      <c r="F522" s="1429">
        <f>IFERROR(__xludf.DUMMYFUNCTION("""COMPUTED_VALUE"""),45846.0)</f>
        <v>45846</v>
      </c>
      <c r="G522" s="1430">
        <f>IFERROR(__xludf.DUMMYFUNCTION("""COMPUTED_VALUE"""),5.0)</f>
        <v>5</v>
      </c>
      <c r="H522" s="94">
        <f t="shared" si="1"/>
        <v>7</v>
      </c>
    </row>
    <row r="523" ht="15.75" customHeight="1">
      <c r="A523" s="94" t="str">
        <f>IFERROR(__xludf.DUMMYFUNCTION("""COMPUTED_VALUE"""),"WS E704")</f>
        <v>WS E704</v>
      </c>
      <c r="B523" s="94"/>
      <c r="C523" s="94"/>
      <c r="D523" s="94"/>
      <c r="E523" s="1429">
        <f>IFERROR(__xludf.DUMMYFUNCTION("""COMPUTED_VALUE"""),45841.0)</f>
        <v>45841</v>
      </c>
      <c r="F523" s="1429">
        <f>IFERROR(__xludf.DUMMYFUNCTION("""COMPUTED_VALUE"""),45844.0)</f>
        <v>45844</v>
      </c>
      <c r="G523" s="1430">
        <f>IFERROR(__xludf.DUMMYFUNCTION("""COMPUTED_VALUE"""),3.0)</f>
        <v>3</v>
      </c>
      <c r="H523" s="94">
        <f t="shared" si="1"/>
        <v>7</v>
      </c>
    </row>
    <row r="524" ht="15.75" customHeight="1">
      <c r="A524" s="94" t="str">
        <f>IFERROR(__xludf.DUMMYFUNCTION("""COMPUTED_VALUE"""),"WS A 409")</f>
        <v>WS A 409</v>
      </c>
      <c r="B524" s="94"/>
      <c r="C524" s="94"/>
      <c r="D524" s="94"/>
      <c r="E524" s="1429">
        <f>IFERROR(__xludf.DUMMYFUNCTION("""COMPUTED_VALUE"""),45841.0)</f>
        <v>45841</v>
      </c>
      <c r="F524" s="1429">
        <f>IFERROR(__xludf.DUMMYFUNCTION("""COMPUTED_VALUE"""),45849.0)</f>
        <v>45849</v>
      </c>
      <c r="G524" s="1430">
        <f>IFERROR(__xludf.DUMMYFUNCTION("""COMPUTED_VALUE"""),8.0)</f>
        <v>8</v>
      </c>
      <c r="H524" s="94">
        <f t="shared" si="1"/>
        <v>7</v>
      </c>
    </row>
    <row r="525" ht="15.75" customHeight="1">
      <c r="A525" s="94" t="str">
        <f>IFERROR(__xludf.DUMMYFUNCTION("""COMPUTED_VALUE"""),"PT2604")</f>
        <v>PT2604</v>
      </c>
      <c r="B525" s="94"/>
      <c r="C525" s="94"/>
      <c r="D525" s="94"/>
      <c r="E525" s="1429">
        <f>IFERROR(__xludf.DUMMYFUNCTION("""COMPUTED_VALUE"""),45841.0)</f>
        <v>45841</v>
      </c>
      <c r="F525" s="1429">
        <f>IFERROR(__xludf.DUMMYFUNCTION("""COMPUTED_VALUE"""),45846.0)</f>
        <v>45846</v>
      </c>
      <c r="G525" s="1430">
        <f>IFERROR(__xludf.DUMMYFUNCTION("""COMPUTED_VALUE"""),5.0)</f>
        <v>5</v>
      </c>
      <c r="H525" s="94">
        <f t="shared" si="1"/>
        <v>7</v>
      </c>
    </row>
    <row r="526" ht="15.75" customHeight="1">
      <c r="A526" s="94" t="str">
        <f>IFERROR(__xludf.DUMMYFUNCTION("""COMPUTED_VALUE"""),"DL 14-1214")</f>
        <v>DL 14-1214</v>
      </c>
      <c r="B526" s="94"/>
      <c r="C526" s="94"/>
      <c r="D526" s="94"/>
      <c r="E526" s="1429">
        <f>IFERROR(__xludf.DUMMYFUNCTION("""COMPUTED_VALUE"""),45841.0)</f>
        <v>45841</v>
      </c>
      <c r="F526" s="1429">
        <f>IFERROR(__xludf.DUMMYFUNCTION("""COMPUTED_VALUE"""),45846.0)</f>
        <v>45846</v>
      </c>
      <c r="G526" s="1430">
        <f>IFERROR(__xludf.DUMMYFUNCTION("""COMPUTED_VALUE"""),5.0)</f>
        <v>5</v>
      </c>
      <c r="H526" s="94">
        <f t="shared" si="1"/>
        <v>7</v>
      </c>
    </row>
    <row r="527" ht="15.75" customHeight="1">
      <c r="A527" s="94" t="str">
        <f>IFERROR(__xludf.DUMMYFUNCTION("""COMPUTED_VALUE"""),"DL14-1907")</f>
        <v>DL14-1907</v>
      </c>
      <c r="B527" s="94"/>
      <c r="C527" s="94"/>
      <c r="D527" s="94"/>
      <c r="E527" s="1429">
        <f>IFERROR(__xludf.DUMMYFUNCTION("""COMPUTED_VALUE"""),45841.0)</f>
        <v>45841</v>
      </c>
      <c r="F527" s="1429">
        <f>IFERROR(__xludf.DUMMYFUNCTION("""COMPUTED_VALUE"""),45846.0)</f>
        <v>45846</v>
      </c>
      <c r="G527" s="1430">
        <f>IFERROR(__xludf.DUMMYFUNCTION("""COMPUTED_VALUE"""),5.0)</f>
        <v>5</v>
      </c>
      <c r="H527" s="94">
        <f t="shared" si="1"/>
        <v>7</v>
      </c>
    </row>
    <row r="528" ht="15.75" customHeight="1">
      <c r="A528" s="94" t="str">
        <f>IFERROR(__xludf.DUMMYFUNCTION("""COMPUTED_VALUE"""),"TGA2")</f>
        <v>TGA2</v>
      </c>
      <c r="B528" s="94"/>
      <c r="C528" s="94"/>
      <c r="D528" s="94"/>
      <c r="E528" s="1429">
        <f>IFERROR(__xludf.DUMMYFUNCTION("""COMPUTED_VALUE"""),45842.0)</f>
        <v>45842</v>
      </c>
      <c r="F528" s="1429">
        <f>IFERROR(__xludf.DUMMYFUNCTION("""COMPUTED_VALUE"""),45845.0)</f>
        <v>45845</v>
      </c>
      <c r="G528" s="1430">
        <f>IFERROR(__xludf.DUMMYFUNCTION("""COMPUTED_VALUE"""),3.0)</f>
        <v>3</v>
      </c>
      <c r="H528" s="94">
        <f t="shared" si="1"/>
        <v>7</v>
      </c>
    </row>
    <row r="529" ht="15.75" customHeight="1">
      <c r="A529" s="94" t="str">
        <f>IFERROR(__xludf.DUMMYFUNCTION("""COMPUTED_VALUE"""),"TGA3")</f>
        <v>TGA3</v>
      </c>
      <c r="B529" s="94"/>
      <c r="C529" s="94"/>
      <c r="D529" s="94"/>
      <c r="E529" s="1429">
        <f>IFERROR(__xludf.DUMMYFUNCTION("""COMPUTED_VALUE"""),45842.0)</f>
        <v>45842</v>
      </c>
      <c r="F529" s="1429">
        <f>IFERROR(__xludf.DUMMYFUNCTION("""COMPUTED_VALUE"""),45852.0)</f>
        <v>45852</v>
      </c>
      <c r="G529" s="1430">
        <f>IFERROR(__xludf.DUMMYFUNCTION("""COMPUTED_VALUE"""),10.0)</f>
        <v>10</v>
      </c>
      <c r="H529" s="94">
        <f t="shared" si="1"/>
        <v>7</v>
      </c>
    </row>
    <row r="530" ht="15.75" customHeight="1">
      <c r="A530" s="94" t="str">
        <f>IFERROR(__xludf.DUMMYFUNCTION("""COMPUTED_VALUE"""),"WS Е804")</f>
        <v>WS Е804</v>
      </c>
      <c r="B530" s="94"/>
      <c r="C530" s="94"/>
      <c r="D530" s="94"/>
      <c r="E530" s="1429">
        <f>IFERROR(__xludf.DUMMYFUNCTION("""COMPUTED_VALUE"""),45842.0)</f>
        <v>45842</v>
      </c>
      <c r="F530" s="1429">
        <f>IFERROR(__xludf.DUMMYFUNCTION("""COMPUTED_VALUE"""),45849.0)</f>
        <v>45849</v>
      </c>
      <c r="G530" s="1430">
        <f>IFERROR(__xludf.DUMMYFUNCTION("""COMPUTED_VALUE"""),7.0)</f>
        <v>7</v>
      </c>
      <c r="H530" s="94">
        <f t="shared" si="1"/>
        <v>7</v>
      </c>
    </row>
    <row r="531" ht="15.75" customHeight="1">
      <c r="A531" s="94" t="str">
        <f>IFERROR(__xludf.DUMMYFUNCTION("""COMPUTED_VALUE"""),"MZ 913")</f>
        <v>MZ 913</v>
      </c>
      <c r="B531" s="94"/>
      <c r="C531" s="94"/>
      <c r="D531" s="94"/>
      <c r="E531" s="1429">
        <f>IFERROR(__xludf.DUMMYFUNCTION("""COMPUTED_VALUE"""),45842.0)</f>
        <v>45842</v>
      </c>
      <c r="F531" s="1429">
        <f>IFERROR(__xludf.DUMMYFUNCTION("""COMPUTED_VALUE"""),45849.0)</f>
        <v>45849</v>
      </c>
      <c r="G531" s="1430">
        <f>IFERROR(__xludf.DUMMYFUNCTION("""COMPUTED_VALUE"""),7.0)</f>
        <v>7</v>
      </c>
      <c r="H531" s="94">
        <f t="shared" si="1"/>
        <v>7</v>
      </c>
    </row>
    <row r="532" ht="15.75" customHeight="1">
      <c r="A532" s="94" t="str">
        <f>IFERROR(__xludf.DUMMYFUNCTION("""COMPUTED_VALUE"""),"С 2756")</f>
        <v>С 2756</v>
      </c>
      <c r="B532" s="94"/>
      <c r="C532" s="94"/>
      <c r="D532" s="94"/>
      <c r="E532" s="1429">
        <f>IFERROR(__xludf.DUMMYFUNCTION("""COMPUTED_VALUE"""),45842.0)</f>
        <v>45842</v>
      </c>
      <c r="F532" s="1429">
        <f>IFERROR(__xludf.DUMMYFUNCTION("""COMPUTED_VALUE"""),45847.0)</f>
        <v>45847</v>
      </c>
      <c r="G532" s="1430">
        <f>IFERROR(__xludf.DUMMYFUNCTION("""COMPUTED_VALUE"""),5.0)</f>
        <v>5</v>
      </c>
      <c r="H532" s="94">
        <f t="shared" si="1"/>
        <v>7</v>
      </c>
    </row>
    <row r="533" ht="15.75" customHeight="1">
      <c r="A533" s="94" t="str">
        <f>IFERROR(__xludf.DUMMYFUNCTION("""COMPUTED_VALUE"""),"MZ 1416")</f>
        <v>MZ 1416</v>
      </c>
      <c r="B533" s="94"/>
      <c r="C533" s="94"/>
      <c r="D533" s="94"/>
      <c r="E533" s="1429">
        <f>IFERROR(__xludf.DUMMYFUNCTION("""COMPUTED_VALUE"""),45843.0)</f>
        <v>45843</v>
      </c>
      <c r="F533" s="1429">
        <f>IFERROR(__xludf.DUMMYFUNCTION("""COMPUTED_VALUE"""),45847.0)</f>
        <v>45847</v>
      </c>
      <c r="G533" s="1430">
        <f>IFERROR(__xludf.DUMMYFUNCTION("""COMPUTED_VALUE"""),4.0)</f>
        <v>4</v>
      </c>
      <c r="H533" s="94">
        <f t="shared" si="1"/>
        <v>7</v>
      </c>
    </row>
    <row r="534" ht="15.75" customHeight="1">
      <c r="A534" s="94" t="str">
        <f>IFERROR(__xludf.DUMMYFUNCTION("""COMPUTED_VALUE"""),"Шар 2505")</f>
        <v>Шар 2505</v>
      </c>
      <c r="B534" s="94"/>
      <c r="C534" s="94"/>
      <c r="D534" s="94"/>
      <c r="E534" s="1429">
        <f>IFERROR(__xludf.DUMMYFUNCTION("""COMPUTED_VALUE"""),45843.0)</f>
        <v>45843</v>
      </c>
      <c r="F534" s="1429">
        <f>IFERROR(__xludf.DUMMYFUNCTION("""COMPUTED_VALUE"""),45844.0)</f>
        <v>45844</v>
      </c>
      <c r="G534" s="1430">
        <f>IFERROR(__xludf.DUMMYFUNCTION("""COMPUTED_VALUE"""),1.0)</f>
        <v>1</v>
      </c>
      <c r="H534" s="94">
        <f t="shared" si="1"/>
        <v>7</v>
      </c>
    </row>
    <row r="535" ht="15.75" customHeight="1">
      <c r="A535" s="94" t="str">
        <f>IFERROR(__xludf.DUMMYFUNCTION("""COMPUTED_VALUE"""),"CM 1604")</f>
        <v>CM 1604</v>
      </c>
      <c r="B535" s="94"/>
      <c r="C535" s="94"/>
      <c r="D535" s="94"/>
      <c r="E535" s="1429">
        <f>IFERROR(__xludf.DUMMYFUNCTION("""COMPUTED_VALUE"""),45843.0)</f>
        <v>45843</v>
      </c>
      <c r="F535" s="1429">
        <f>IFERROR(__xludf.DUMMYFUNCTION("""COMPUTED_VALUE"""),45848.0)</f>
        <v>45848</v>
      </c>
      <c r="G535" s="1430">
        <f>IFERROR(__xludf.DUMMYFUNCTION("""COMPUTED_VALUE"""),5.0)</f>
        <v>5</v>
      </c>
      <c r="H535" s="94">
        <f t="shared" si="1"/>
        <v>7</v>
      </c>
    </row>
    <row r="536" ht="15.75" customHeight="1">
      <c r="A536" s="94" t="str">
        <f>IFERROR(__xludf.DUMMYFUNCTION("""COMPUTED_VALUE"""),"DL 11-1112")</f>
        <v>DL 11-1112</v>
      </c>
      <c r="B536" s="94"/>
      <c r="C536" s="94"/>
      <c r="D536" s="94"/>
      <c r="E536" s="1429">
        <f>IFERROR(__xludf.DUMMYFUNCTION("""COMPUTED_VALUE"""),45843.0)</f>
        <v>45843</v>
      </c>
      <c r="F536" s="1429">
        <f>IFERROR(__xludf.DUMMYFUNCTION("""COMPUTED_VALUE"""),45847.0)</f>
        <v>45847</v>
      </c>
      <c r="G536" s="1430">
        <f>IFERROR(__xludf.DUMMYFUNCTION("""COMPUTED_VALUE"""),4.0)</f>
        <v>4</v>
      </c>
      <c r="H536" s="94">
        <f t="shared" si="1"/>
        <v>7</v>
      </c>
    </row>
    <row r="537" ht="15.75" customHeight="1">
      <c r="A537" s="94" t="str">
        <f>IFERROR(__xludf.DUMMYFUNCTION("""COMPUTED_VALUE"""),"TGB7")</f>
        <v>TGB7</v>
      </c>
      <c r="B537" s="94"/>
      <c r="C537" s="94"/>
      <c r="D537" s="94"/>
      <c r="E537" s="1429">
        <f>IFERROR(__xludf.DUMMYFUNCTION("""COMPUTED_VALUE"""),45843.0)</f>
        <v>45843</v>
      </c>
      <c r="F537" s="1429">
        <f>IFERROR(__xludf.DUMMYFUNCTION("""COMPUTED_VALUE"""),45856.0)</f>
        <v>45856</v>
      </c>
      <c r="G537" s="1430">
        <f>IFERROR(__xludf.DUMMYFUNCTION("""COMPUTED_VALUE"""),13.0)</f>
        <v>13</v>
      </c>
      <c r="H537" s="94">
        <f t="shared" si="1"/>
        <v>7</v>
      </c>
    </row>
    <row r="538" ht="15.75" customHeight="1">
      <c r="A538" s="94" t="str">
        <f>IFERROR(__xludf.DUMMYFUNCTION("""COMPUTED_VALUE"""),"TGB2")</f>
        <v>TGB2</v>
      </c>
      <c r="B538" s="94"/>
      <c r="C538" s="94"/>
      <c r="D538" s="94"/>
      <c r="E538" s="1429">
        <f>IFERROR(__xludf.DUMMYFUNCTION("""COMPUTED_VALUE"""),45843.0)</f>
        <v>45843</v>
      </c>
      <c r="F538" s="1429">
        <f>IFERROR(__xludf.DUMMYFUNCTION("""COMPUTED_VALUE"""),45850.0)</f>
        <v>45850</v>
      </c>
      <c r="G538" s="1430">
        <f>IFERROR(__xludf.DUMMYFUNCTION("""COMPUTED_VALUE"""),7.0)</f>
        <v>7</v>
      </c>
      <c r="H538" s="94">
        <f t="shared" si="1"/>
        <v>7</v>
      </c>
    </row>
    <row r="539" ht="15.75" customHeight="1">
      <c r="A539" s="94" t="str">
        <f>IFERROR(__xludf.DUMMYFUNCTION("""COMPUTED_VALUE"""),"WS В 1510")</f>
        <v>WS В 1510</v>
      </c>
      <c r="B539" s="94"/>
      <c r="C539" s="94"/>
      <c r="D539" s="94"/>
      <c r="E539" s="1429">
        <f>IFERROR(__xludf.DUMMYFUNCTION("""COMPUTED_VALUE"""),45843.0)</f>
        <v>45843</v>
      </c>
      <c r="F539" s="1429">
        <f>IFERROR(__xludf.DUMMYFUNCTION("""COMPUTED_VALUE"""),45852.0)</f>
        <v>45852</v>
      </c>
      <c r="G539" s="1430">
        <f>IFERROR(__xludf.DUMMYFUNCTION("""COMPUTED_VALUE"""),9.0)</f>
        <v>9</v>
      </c>
      <c r="H539" s="94">
        <f t="shared" si="1"/>
        <v>7</v>
      </c>
    </row>
    <row r="540" ht="15.75" customHeight="1">
      <c r="A540" s="94" t="str">
        <f>IFERROR(__xludf.DUMMYFUNCTION("""COMPUTED_VALUE"""),"WS A805")</f>
        <v>WS A805</v>
      </c>
      <c r="B540" s="94"/>
      <c r="C540" s="94"/>
      <c r="D540" s="94"/>
      <c r="E540" s="1429">
        <f>IFERROR(__xludf.DUMMYFUNCTION("""COMPUTED_VALUE"""),45843.0)</f>
        <v>45843</v>
      </c>
      <c r="F540" s="1429">
        <f>IFERROR(__xludf.DUMMYFUNCTION("""COMPUTED_VALUE"""),45846.0)</f>
        <v>45846</v>
      </c>
      <c r="G540" s="1430">
        <f>IFERROR(__xludf.DUMMYFUNCTION("""COMPUTED_VALUE"""),3.0)</f>
        <v>3</v>
      </c>
      <c r="H540" s="94">
        <f t="shared" si="1"/>
        <v>7</v>
      </c>
    </row>
    <row r="541" ht="15.75" customHeight="1">
      <c r="A541" s="94" t="str">
        <f>IFERROR(__xludf.DUMMYFUNCTION("""COMPUTED_VALUE"""),"Вилла Ева")</f>
        <v>Вилла Ева</v>
      </c>
      <c r="B541" s="94"/>
      <c r="C541" s="94"/>
      <c r="D541" s="94"/>
      <c r="E541" s="1429">
        <f>IFERROR(__xludf.DUMMYFUNCTION("""COMPUTED_VALUE"""),45843.0)</f>
        <v>45843</v>
      </c>
      <c r="F541" s="1429">
        <f>IFERROR(__xludf.DUMMYFUNCTION("""COMPUTED_VALUE"""),45848.0)</f>
        <v>45848</v>
      </c>
      <c r="G541" s="1430">
        <f>IFERROR(__xludf.DUMMYFUNCTION("""COMPUTED_VALUE"""),5.0)</f>
        <v>5</v>
      </c>
      <c r="H541" s="94">
        <f t="shared" si="1"/>
        <v>7</v>
      </c>
    </row>
    <row r="542" ht="15.75" customHeight="1">
      <c r="A542" s="94" t="str">
        <f>IFERROR(__xludf.DUMMYFUNCTION("""COMPUTED_VALUE"""),"BV1318")</f>
        <v>BV1318</v>
      </c>
      <c r="B542" s="94"/>
      <c r="C542" s="94"/>
      <c r="D542" s="94"/>
      <c r="E542" s="1434">
        <f>IFERROR(__xludf.DUMMYFUNCTION("""COMPUTED_VALUE"""),45844.0)</f>
        <v>45844</v>
      </c>
      <c r="F542" s="1434">
        <f>IFERROR(__xludf.DUMMYFUNCTION("""COMPUTED_VALUE"""),45845.0)</f>
        <v>45845</v>
      </c>
      <c r="G542" s="1430">
        <f>IFERROR(__xludf.DUMMYFUNCTION("""COMPUTED_VALUE"""),1.0)</f>
        <v>1</v>
      </c>
      <c r="H542" s="94">
        <f t="shared" si="1"/>
        <v>7</v>
      </c>
    </row>
    <row r="543" ht="15.75" customHeight="1">
      <c r="A543" s="94" t="str">
        <f>IFERROR(__xludf.DUMMYFUNCTION("""COMPUTED_VALUE"""),"Int 2905")</f>
        <v>Int 2905</v>
      </c>
      <c r="B543" s="94"/>
      <c r="C543" s="94"/>
      <c r="D543" s="94"/>
      <c r="E543" s="1429">
        <f>IFERROR(__xludf.DUMMYFUNCTION("""COMPUTED_VALUE"""),45844.0)</f>
        <v>45844</v>
      </c>
      <c r="F543" s="1429">
        <f>IFERROR(__xludf.DUMMYFUNCTION("""COMPUTED_VALUE"""),45872.0)</f>
        <v>45872</v>
      </c>
      <c r="G543" s="1430">
        <f>IFERROR(__xludf.DUMMYFUNCTION("""COMPUTED_VALUE"""),28.0)</f>
        <v>28</v>
      </c>
      <c r="H543" s="94">
        <f t="shared" si="1"/>
        <v>7</v>
      </c>
    </row>
    <row r="544" ht="15.75" customHeight="1">
      <c r="A544" s="94" t="str">
        <f>IFERROR(__xludf.DUMMYFUNCTION("""COMPUTED_VALUE"""),"Шар 2505")</f>
        <v>Шар 2505</v>
      </c>
      <c r="B544" s="94"/>
      <c r="C544" s="94"/>
      <c r="D544" s="94"/>
      <c r="E544" s="1429">
        <f>IFERROR(__xludf.DUMMYFUNCTION("""COMPUTED_VALUE"""),45844.0)</f>
        <v>45844</v>
      </c>
      <c r="F544" s="1429">
        <f>IFERROR(__xludf.DUMMYFUNCTION("""COMPUTED_VALUE"""),45849.0)</f>
        <v>45849</v>
      </c>
      <c r="G544" s="1430">
        <f>IFERROR(__xludf.DUMMYFUNCTION("""COMPUTED_VALUE"""),5.0)</f>
        <v>5</v>
      </c>
      <c r="H544" s="94">
        <f t="shared" si="1"/>
        <v>7</v>
      </c>
    </row>
    <row r="545" ht="15.75" customHeight="1">
      <c r="A545" s="94" t="str">
        <f>IFERROR(__xludf.DUMMYFUNCTION("""COMPUTED_VALUE"""),"WS А 908")</f>
        <v>WS А 908</v>
      </c>
      <c r="B545" s="94"/>
      <c r="C545" s="94"/>
      <c r="D545" s="94"/>
      <c r="E545" s="1429">
        <f>IFERROR(__xludf.DUMMYFUNCTION("""COMPUTED_VALUE"""),45844.0)</f>
        <v>45844</v>
      </c>
      <c r="F545" s="1429">
        <f>IFERROR(__xludf.DUMMYFUNCTION("""COMPUTED_VALUE"""),45847.0)</f>
        <v>45847</v>
      </c>
      <c r="G545" s="1430">
        <f>IFERROR(__xludf.DUMMYFUNCTION("""COMPUTED_VALUE"""),3.0)</f>
        <v>3</v>
      </c>
      <c r="H545" s="94">
        <f t="shared" si="1"/>
        <v>7</v>
      </c>
    </row>
    <row r="546" ht="15.75" customHeight="1">
      <c r="A546" s="94" t="str">
        <f>IFERROR(__xludf.DUMMYFUNCTION("""COMPUTED_VALUE"""),"WS E704")</f>
        <v>WS E704</v>
      </c>
      <c r="B546" s="94"/>
      <c r="C546" s="94"/>
      <c r="D546" s="94"/>
      <c r="E546" s="1429">
        <f>IFERROR(__xludf.DUMMYFUNCTION("""COMPUTED_VALUE"""),45844.0)</f>
        <v>45844</v>
      </c>
      <c r="F546" s="1429">
        <f>IFERROR(__xludf.DUMMYFUNCTION("""COMPUTED_VALUE"""),45854.0)</f>
        <v>45854</v>
      </c>
      <c r="G546" s="1430">
        <f>IFERROR(__xludf.DUMMYFUNCTION("""COMPUTED_VALUE"""),10.0)</f>
        <v>10</v>
      </c>
      <c r="H546" s="94">
        <f t="shared" si="1"/>
        <v>7</v>
      </c>
    </row>
    <row r="547" ht="15.75" customHeight="1">
      <c r="A547" s="94" t="str">
        <f>IFERROR(__xludf.DUMMYFUNCTION("""COMPUTED_VALUE"""),"TGB6")</f>
        <v>TGB6</v>
      </c>
      <c r="B547" s="94"/>
      <c r="C547" s="94"/>
      <c r="D547" s="94"/>
      <c r="E547" s="1429">
        <f>IFERROR(__xludf.DUMMYFUNCTION("""COMPUTED_VALUE"""),45844.0)</f>
        <v>45844</v>
      </c>
      <c r="F547" s="1429">
        <f>IFERROR(__xludf.DUMMYFUNCTION("""COMPUTED_VALUE"""),45850.0)</f>
        <v>45850</v>
      </c>
      <c r="G547" s="1430">
        <f>IFERROR(__xludf.DUMMYFUNCTION("""COMPUTED_VALUE"""),6.0)</f>
        <v>6</v>
      </c>
      <c r="H547" s="94">
        <f t="shared" si="1"/>
        <v>7</v>
      </c>
    </row>
    <row r="548" ht="15.75" customHeight="1">
      <c r="A548" s="94" t="str">
        <f>IFERROR(__xludf.DUMMYFUNCTION("""COMPUTED_VALUE"""),"TGA6")</f>
        <v>TGA6</v>
      </c>
      <c r="B548" s="94"/>
      <c r="C548" s="94"/>
      <c r="D548" s="94"/>
      <c r="E548" s="1429">
        <f>IFERROR(__xludf.DUMMYFUNCTION("""COMPUTED_VALUE"""),45844.0)</f>
        <v>45844</v>
      </c>
      <c r="F548" s="1429">
        <f>IFERROR(__xludf.DUMMYFUNCTION("""COMPUTED_VALUE"""),45847.0)</f>
        <v>45847</v>
      </c>
      <c r="G548" s="1430">
        <f>IFERROR(__xludf.DUMMYFUNCTION("""COMPUTED_VALUE"""),3.0)</f>
        <v>3</v>
      </c>
      <c r="H548" s="94">
        <f t="shared" si="1"/>
        <v>7</v>
      </c>
    </row>
    <row r="549" ht="15.75" customHeight="1">
      <c r="A549" s="94" t="str">
        <f>IFERROR(__xludf.DUMMYFUNCTION("""COMPUTED_VALUE"""),"TGA8")</f>
        <v>TGA8</v>
      </c>
      <c r="B549" s="94"/>
      <c r="C549" s="94"/>
      <c r="D549" s="94"/>
      <c r="E549" s="1429">
        <f>IFERROR(__xludf.DUMMYFUNCTION("""COMPUTED_VALUE"""),45844.0)</f>
        <v>45844</v>
      </c>
      <c r="F549" s="1429">
        <f>IFERROR(__xludf.DUMMYFUNCTION("""COMPUTED_VALUE"""),45848.0)</f>
        <v>45848</v>
      </c>
      <c r="G549" s="1430">
        <f>IFERROR(__xludf.DUMMYFUNCTION("""COMPUTED_VALUE"""),4.0)</f>
        <v>4</v>
      </c>
      <c r="H549" s="94">
        <f t="shared" si="1"/>
        <v>7</v>
      </c>
    </row>
    <row r="550" ht="15.75" customHeight="1">
      <c r="A550" s="94" t="str">
        <f>IFERROR(__xludf.DUMMYFUNCTION("""COMPUTED_VALUE"""),"TGB10")</f>
        <v>TGB10</v>
      </c>
      <c r="B550" s="94"/>
      <c r="C550" s="94"/>
      <c r="D550" s="94"/>
      <c r="E550" s="1429">
        <f>IFERROR(__xludf.DUMMYFUNCTION("""COMPUTED_VALUE"""),45844.0)</f>
        <v>45844</v>
      </c>
      <c r="F550" s="1429">
        <f>IFERROR(__xludf.DUMMYFUNCTION("""COMPUTED_VALUE"""),45876.0)</f>
        <v>45876</v>
      </c>
      <c r="G550" s="1430">
        <f>IFERROR(__xludf.DUMMYFUNCTION("""COMPUTED_VALUE"""),32.0)</f>
        <v>32</v>
      </c>
      <c r="H550" s="94">
        <f t="shared" si="1"/>
        <v>7</v>
      </c>
    </row>
    <row r="551" ht="15.75" customHeight="1">
      <c r="A551" s="94" t="str">
        <f>IFERROR(__xludf.DUMMYFUNCTION("""COMPUTED_VALUE"""),"TGA9")</f>
        <v>TGA9</v>
      </c>
      <c r="B551" s="94"/>
      <c r="C551" s="94"/>
      <c r="D551" s="94"/>
      <c r="E551" s="1429">
        <f>IFERROR(__xludf.DUMMYFUNCTION("""COMPUTED_VALUE"""),45844.0)</f>
        <v>45844</v>
      </c>
      <c r="F551" s="1429">
        <f>IFERROR(__xludf.DUMMYFUNCTION("""COMPUTED_VALUE"""),45848.0)</f>
        <v>45848</v>
      </c>
      <c r="G551" s="1430">
        <f>IFERROR(__xludf.DUMMYFUNCTION("""COMPUTED_VALUE"""),4.0)</f>
        <v>4</v>
      </c>
      <c r="H551" s="94">
        <f t="shared" si="1"/>
        <v>7</v>
      </c>
    </row>
    <row r="552" ht="15.75" customHeight="1">
      <c r="A552" s="94" t="str">
        <f>IFERROR(__xludf.DUMMYFUNCTION("""COMPUTED_VALUE"""),"D 3629")</f>
        <v>D 3629</v>
      </c>
      <c r="B552" s="94"/>
      <c r="C552" s="94"/>
      <c r="D552" s="94"/>
      <c r="E552" s="1429">
        <f>IFERROR(__xludf.DUMMYFUNCTION("""COMPUTED_VALUE"""),45844.0)</f>
        <v>45844</v>
      </c>
      <c r="F552" s="1429">
        <f>IFERROR(__xludf.DUMMYFUNCTION("""COMPUTED_VALUE"""),45847.0)</f>
        <v>45847</v>
      </c>
      <c r="G552" s="1430">
        <f>IFERROR(__xludf.DUMMYFUNCTION("""COMPUTED_VALUE"""),3.0)</f>
        <v>3</v>
      </c>
      <c r="H552" s="94">
        <f t="shared" si="1"/>
        <v>7</v>
      </c>
    </row>
    <row r="553" ht="15.75" customHeight="1">
      <c r="A553" s="94" t="str">
        <f>IFERROR(__xludf.DUMMYFUNCTION("""COMPUTED_VALUE"""),"А 4049")</f>
        <v>А 4049</v>
      </c>
      <c r="B553" s="94"/>
      <c r="C553" s="94"/>
      <c r="D553" s="94"/>
      <c r="E553" s="1429">
        <f>IFERROR(__xludf.DUMMYFUNCTION("""COMPUTED_VALUE"""),45844.0)</f>
        <v>45844</v>
      </c>
      <c r="F553" s="1429">
        <f>IFERROR(__xludf.DUMMYFUNCTION("""COMPUTED_VALUE"""),45848.0)</f>
        <v>45848</v>
      </c>
      <c r="G553" s="1430">
        <f>IFERROR(__xludf.DUMMYFUNCTION("""COMPUTED_VALUE"""),4.0)</f>
        <v>4</v>
      </c>
      <c r="H553" s="94">
        <f t="shared" si="1"/>
        <v>7</v>
      </c>
    </row>
    <row r="554" ht="15.75" customHeight="1">
      <c r="A554" s="94" t="str">
        <f>IFERROR(__xludf.DUMMYFUNCTION("""COMPUTED_VALUE"""),"PT2704")</f>
        <v>PT2704</v>
      </c>
      <c r="B554" s="94"/>
      <c r="C554" s="94"/>
      <c r="D554" s="94"/>
      <c r="E554" s="1429">
        <f>IFERROR(__xludf.DUMMYFUNCTION("""COMPUTED_VALUE"""),45844.0)</f>
        <v>45844</v>
      </c>
      <c r="F554" s="1429">
        <f>IFERROR(__xludf.DUMMYFUNCTION("""COMPUTED_VALUE"""),45856.0)</f>
        <v>45856</v>
      </c>
      <c r="G554" s="1430">
        <f>IFERROR(__xludf.DUMMYFUNCTION("""COMPUTED_VALUE"""),12.0)</f>
        <v>12</v>
      </c>
      <c r="H554" s="94">
        <f t="shared" si="1"/>
        <v>7</v>
      </c>
    </row>
    <row r="555" ht="15.75" customHeight="1">
      <c r="A555" s="94" t="str">
        <f>IFERROR(__xludf.DUMMYFUNCTION("""COMPUTED_VALUE"""),"DL14-305")</f>
        <v>DL14-305</v>
      </c>
      <c r="B555" s="94"/>
      <c r="C555" s="94"/>
      <c r="D555" s="94"/>
      <c r="E555" s="1429">
        <f>IFERROR(__xludf.DUMMYFUNCTION("""COMPUTED_VALUE"""),45844.0)</f>
        <v>45844</v>
      </c>
      <c r="F555" s="1429">
        <f>IFERROR(__xludf.DUMMYFUNCTION("""COMPUTED_VALUE"""),45853.0)</f>
        <v>45853</v>
      </c>
      <c r="G555" s="1430">
        <f>IFERROR(__xludf.DUMMYFUNCTION("""COMPUTED_VALUE"""),9.0)</f>
        <v>9</v>
      </c>
      <c r="H555" s="94">
        <f t="shared" si="1"/>
        <v>7</v>
      </c>
    </row>
    <row r="556" ht="15.75" customHeight="1">
      <c r="A556" s="94" t="str">
        <f>IFERROR(__xludf.DUMMYFUNCTION("""COMPUTED_VALUE"""),"DL14-1710")</f>
        <v>DL14-1710</v>
      </c>
      <c r="B556" s="94"/>
      <c r="C556" s="94"/>
      <c r="D556" s="94"/>
      <c r="E556" s="1429">
        <f>IFERROR(__xludf.DUMMYFUNCTION("""COMPUTED_VALUE"""),45844.0)</f>
        <v>45844</v>
      </c>
      <c r="F556" s="1429">
        <f>IFERROR(__xludf.DUMMYFUNCTION("""COMPUTED_VALUE"""),45850.0)</f>
        <v>45850</v>
      </c>
      <c r="G556" s="1430">
        <f>IFERROR(__xludf.DUMMYFUNCTION("""COMPUTED_VALUE"""),6.0)</f>
        <v>6</v>
      </c>
      <c r="H556" s="94">
        <f t="shared" si="1"/>
        <v>7</v>
      </c>
    </row>
    <row r="557" ht="15.75" customHeight="1">
      <c r="A557" s="94" t="str">
        <f>IFERROR(__xludf.DUMMYFUNCTION("""COMPUTED_VALUE"""),"DL 14-505")</f>
        <v>DL 14-505</v>
      </c>
      <c r="B557" s="94"/>
      <c r="C557" s="94"/>
      <c r="D557" s="94"/>
      <c r="E557" s="1429">
        <f>IFERROR(__xludf.DUMMYFUNCTION("""COMPUTED_VALUE"""),45844.0)</f>
        <v>45844</v>
      </c>
      <c r="F557" s="1429">
        <f>IFERROR(__xludf.DUMMYFUNCTION("""COMPUTED_VALUE"""),45858.0)</f>
        <v>45858</v>
      </c>
      <c r="G557" s="1430">
        <f>IFERROR(__xludf.DUMMYFUNCTION("""COMPUTED_VALUE"""),14.0)</f>
        <v>14</v>
      </c>
      <c r="H557" s="94">
        <f t="shared" si="1"/>
        <v>7</v>
      </c>
    </row>
    <row r="558" ht="15.75" customHeight="1">
      <c r="A558" s="94" t="str">
        <f>IFERROR(__xludf.DUMMYFUNCTION("""COMPUTED_VALUE"""),"DL 4-09")</f>
        <v>DL 4-09</v>
      </c>
      <c r="B558" s="94"/>
      <c r="C558" s="94"/>
      <c r="D558" s="94"/>
      <c r="E558" s="1429">
        <f>IFERROR(__xludf.DUMMYFUNCTION("""COMPUTED_VALUE"""),45844.0)</f>
        <v>45844</v>
      </c>
      <c r="F558" s="1429">
        <f>IFERROR(__xludf.DUMMYFUNCTION("""COMPUTED_VALUE"""),45858.0)</f>
        <v>45858</v>
      </c>
      <c r="G558" s="1430">
        <f>IFERROR(__xludf.DUMMYFUNCTION("""COMPUTED_VALUE"""),14.0)</f>
        <v>14</v>
      </c>
      <c r="H558" s="94">
        <f t="shared" si="1"/>
        <v>7</v>
      </c>
    </row>
    <row r="559" ht="15.75" customHeight="1">
      <c r="A559" s="94" t="str">
        <f>IFERROR(__xludf.DUMMYFUNCTION("""COMPUTED_VALUE"""),"DL14-501-502")</f>
        <v>DL14-501-502</v>
      </c>
      <c r="B559" s="94"/>
      <c r="C559" s="94"/>
      <c r="D559" s="94"/>
      <c r="E559" s="1429">
        <f>IFERROR(__xludf.DUMMYFUNCTION("""COMPUTED_VALUE"""),45844.0)</f>
        <v>45844</v>
      </c>
      <c r="F559" s="1429">
        <f>IFERROR(__xludf.DUMMYFUNCTION("""COMPUTED_VALUE"""),45851.0)</f>
        <v>45851</v>
      </c>
      <c r="G559" s="1430">
        <f>IFERROR(__xludf.DUMMYFUNCTION("""COMPUTED_VALUE"""),7.0)</f>
        <v>7</v>
      </c>
      <c r="H559" s="94">
        <f t="shared" si="1"/>
        <v>7</v>
      </c>
    </row>
    <row r="560" ht="15.75" customHeight="1">
      <c r="A560" s="94" t="str">
        <f>IFERROR(__xludf.DUMMYFUNCTION("""COMPUTED_VALUE"""),"DL 14-702")</f>
        <v>DL 14-702</v>
      </c>
      <c r="B560" s="94"/>
      <c r="C560" s="94"/>
      <c r="D560" s="94"/>
      <c r="E560" s="1429">
        <f>IFERROR(__xludf.DUMMYFUNCTION("""COMPUTED_VALUE"""),45844.0)</f>
        <v>45844</v>
      </c>
      <c r="F560" s="1429">
        <f>IFERROR(__xludf.DUMMYFUNCTION("""COMPUTED_VALUE"""),45849.0)</f>
        <v>45849</v>
      </c>
      <c r="G560" s="1430">
        <f>IFERROR(__xludf.DUMMYFUNCTION("""COMPUTED_VALUE"""),5.0)</f>
        <v>5</v>
      </c>
      <c r="H560" s="94">
        <f t="shared" si="1"/>
        <v>7</v>
      </c>
    </row>
    <row r="561" ht="15.75" customHeight="1">
      <c r="A561" s="94" t="str">
        <f>IFERROR(__xludf.DUMMYFUNCTION("""COMPUTED_VALUE"""),"14-411")</f>
        <v>14-411</v>
      </c>
      <c r="B561" s="94"/>
      <c r="C561" s="94"/>
      <c r="D561" s="94"/>
      <c r="E561" s="1429">
        <f>IFERROR(__xludf.DUMMYFUNCTION("""COMPUTED_VALUE"""),45844.0)</f>
        <v>45844</v>
      </c>
      <c r="F561" s="1429">
        <f>IFERROR(__xludf.DUMMYFUNCTION("""COMPUTED_VALUE"""),45847.0)</f>
        <v>45847</v>
      </c>
      <c r="G561" s="1430">
        <f>IFERROR(__xludf.DUMMYFUNCTION("""COMPUTED_VALUE"""),3.0)</f>
        <v>3</v>
      </c>
      <c r="H561" s="94">
        <f t="shared" si="1"/>
        <v>7</v>
      </c>
    </row>
    <row r="562" ht="15.75" customHeight="1">
      <c r="A562" s="94" t="str">
        <f>IFERROR(__xludf.DUMMYFUNCTION("""COMPUTED_VALUE"""),"Int 2612")</f>
        <v>Int 2612</v>
      </c>
      <c r="B562" s="94"/>
      <c r="C562" s="94"/>
      <c r="D562" s="94"/>
      <c r="E562" s="1429">
        <f>IFERROR(__xludf.DUMMYFUNCTION("""COMPUTED_VALUE"""),45844.0)</f>
        <v>45844</v>
      </c>
      <c r="F562" s="1429">
        <f>IFERROR(__xludf.DUMMYFUNCTION("""COMPUTED_VALUE"""),45861.0)</f>
        <v>45861</v>
      </c>
      <c r="G562" s="1430">
        <f>IFERROR(__xludf.DUMMYFUNCTION("""COMPUTED_VALUE"""),17.0)</f>
        <v>17</v>
      </c>
      <c r="H562" s="94">
        <f t="shared" si="1"/>
        <v>7</v>
      </c>
    </row>
    <row r="563" ht="15.75" customHeight="1">
      <c r="A563" s="94" t="str">
        <f>IFERROR(__xludf.DUMMYFUNCTION("""COMPUTED_VALUE"""),"NW 10-6")</f>
        <v>NW 10-6</v>
      </c>
      <c r="B563" s="94"/>
      <c r="C563" s="94"/>
      <c r="D563" s="94"/>
      <c r="E563" s="1429">
        <f>IFERROR(__xludf.DUMMYFUNCTION("""COMPUTED_VALUE"""),45844.0)</f>
        <v>45844</v>
      </c>
      <c r="F563" s="1429">
        <f>IFERROR(__xludf.DUMMYFUNCTION("""COMPUTED_VALUE"""),45847.0)</f>
        <v>45847</v>
      </c>
      <c r="G563" s="1430">
        <f>IFERROR(__xludf.DUMMYFUNCTION("""COMPUTED_VALUE"""),3.0)</f>
        <v>3</v>
      </c>
      <c r="H563" s="94">
        <f t="shared" si="1"/>
        <v>7</v>
      </c>
    </row>
    <row r="564" ht="15.75" customHeight="1">
      <c r="A564" s="94" t="str">
        <f>IFERROR(__xludf.DUMMYFUNCTION("""COMPUTED_VALUE"""),"WS A907")</f>
        <v>WS A907</v>
      </c>
      <c r="B564" s="94"/>
      <c r="C564" s="94"/>
      <c r="D564" s="94"/>
      <c r="E564" s="1429">
        <f>IFERROR(__xludf.DUMMYFUNCTION("""COMPUTED_VALUE"""),45845.0)</f>
        <v>45845</v>
      </c>
      <c r="F564" s="1429">
        <f>IFERROR(__xludf.DUMMYFUNCTION("""COMPUTED_VALUE"""),45849.0)</f>
        <v>45849</v>
      </c>
      <c r="G564" s="1430">
        <f>IFERROR(__xludf.DUMMYFUNCTION("""COMPUTED_VALUE"""),4.0)</f>
        <v>4</v>
      </c>
      <c r="H564" s="94">
        <f t="shared" si="1"/>
        <v>7</v>
      </c>
    </row>
    <row r="565" ht="15.75" customHeight="1">
      <c r="A565" s="94" t="str">
        <f>IFERROR(__xludf.DUMMYFUNCTION("""COMPUTED_VALUE"""),"WS F1103")</f>
        <v>WS F1103</v>
      </c>
      <c r="B565" s="94"/>
      <c r="C565" s="94"/>
      <c r="D565" s="94"/>
      <c r="E565" s="1429">
        <f>IFERROR(__xludf.DUMMYFUNCTION("""COMPUTED_VALUE"""),45845.0)</f>
        <v>45845</v>
      </c>
      <c r="F565" s="1429">
        <f>IFERROR(__xludf.DUMMYFUNCTION("""COMPUTED_VALUE"""),45848.0)</f>
        <v>45848</v>
      </c>
      <c r="G565" s="1430">
        <f>IFERROR(__xludf.DUMMYFUNCTION("""COMPUTED_VALUE"""),3.0)</f>
        <v>3</v>
      </c>
      <c r="H565" s="94">
        <f t="shared" si="1"/>
        <v>7</v>
      </c>
    </row>
    <row r="566" ht="15.75" customHeight="1">
      <c r="A566" s="94" t="str">
        <f>IFERROR(__xludf.DUMMYFUNCTION("""COMPUTED_VALUE"""),"С 1443")</f>
        <v>С 1443</v>
      </c>
      <c r="B566" s="94"/>
      <c r="C566" s="94"/>
      <c r="D566" s="94"/>
      <c r="E566" s="1429">
        <f>IFERROR(__xludf.DUMMYFUNCTION("""COMPUTED_VALUE"""),45845.0)</f>
        <v>45845</v>
      </c>
      <c r="F566" s="1429">
        <f>IFERROR(__xludf.DUMMYFUNCTION("""COMPUTED_VALUE"""),45848.0)</f>
        <v>45848</v>
      </c>
      <c r="G566" s="1430">
        <f>IFERROR(__xludf.DUMMYFUNCTION("""COMPUTED_VALUE"""),3.0)</f>
        <v>3</v>
      </c>
      <c r="H566" s="94">
        <f t="shared" si="1"/>
        <v>7</v>
      </c>
    </row>
    <row r="567" ht="15.75" customHeight="1">
      <c r="A567" s="94" t="str">
        <f>IFERROR(__xludf.DUMMYFUNCTION("""COMPUTED_VALUE"""),"C 4245")</f>
        <v>C 4245</v>
      </c>
      <c r="B567" s="94"/>
      <c r="C567" s="94"/>
      <c r="D567" s="94"/>
      <c r="E567" s="1429">
        <f>IFERROR(__xludf.DUMMYFUNCTION("""COMPUTED_VALUE"""),45845.0)</f>
        <v>45845</v>
      </c>
      <c r="F567" s="1429">
        <f>IFERROR(__xludf.DUMMYFUNCTION("""COMPUTED_VALUE"""),45850.0)</f>
        <v>45850</v>
      </c>
      <c r="G567" s="1430">
        <f>IFERROR(__xludf.DUMMYFUNCTION("""COMPUTED_VALUE"""),5.0)</f>
        <v>5</v>
      </c>
      <c r="H567" s="94">
        <f t="shared" si="1"/>
        <v>7</v>
      </c>
    </row>
    <row r="568" ht="15.75" customHeight="1">
      <c r="A568" s="94" t="str">
        <f>IFERROR(__xludf.DUMMYFUNCTION("""COMPUTED_VALUE"""),"NW 3-7")</f>
        <v>NW 3-7</v>
      </c>
      <c r="B568" s="94"/>
      <c r="C568" s="94"/>
      <c r="D568" s="94"/>
      <c r="E568" s="1429">
        <f>IFERROR(__xludf.DUMMYFUNCTION("""COMPUTED_VALUE"""),45845.0)</f>
        <v>45845</v>
      </c>
      <c r="F568" s="1429">
        <f>IFERROR(__xludf.DUMMYFUNCTION("""COMPUTED_VALUE"""),45851.0)</f>
        <v>45851</v>
      </c>
      <c r="G568" s="1430">
        <f>IFERROR(__xludf.DUMMYFUNCTION("""COMPUTED_VALUE"""),6.0)</f>
        <v>6</v>
      </c>
      <c r="H568" s="94">
        <f t="shared" si="1"/>
        <v>7</v>
      </c>
    </row>
    <row r="569" ht="15.75" customHeight="1">
      <c r="A569" s="94" t="str">
        <f>IFERROR(__xludf.DUMMYFUNCTION("""COMPUTED_VALUE"""),"DL14-518")</f>
        <v>DL14-518</v>
      </c>
      <c r="B569" s="94"/>
      <c r="C569" s="94"/>
      <c r="D569" s="94"/>
      <c r="E569" s="1429">
        <f>IFERROR(__xludf.DUMMYFUNCTION("""COMPUTED_VALUE"""),45845.0)</f>
        <v>45845</v>
      </c>
      <c r="F569" s="1429">
        <f>IFERROR(__xludf.DUMMYFUNCTION("""COMPUTED_VALUE"""),45848.0)</f>
        <v>45848</v>
      </c>
      <c r="G569" s="1430">
        <f>IFERROR(__xludf.DUMMYFUNCTION("""COMPUTED_VALUE"""),3.0)</f>
        <v>3</v>
      </c>
      <c r="H569" s="94">
        <f t="shared" si="1"/>
        <v>7</v>
      </c>
    </row>
    <row r="570" ht="15.75" customHeight="1">
      <c r="A570" s="94" t="str">
        <f>IFERROR(__xludf.DUMMYFUNCTION("""COMPUTED_VALUE"""),"MZ 1408")</f>
        <v>MZ 1408</v>
      </c>
      <c r="B570" s="94"/>
      <c r="C570" s="94"/>
      <c r="D570" s="94"/>
      <c r="E570" s="1429">
        <f>IFERROR(__xludf.DUMMYFUNCTION("""COMPUTED_VALUE"""),45845.0)</f>
        <v>45845</v>
      </c>
      <c r="F570" s="1429">
        <f>IFERROR(__xludf.DUMMYFUNCTION("""COMPUTED_VALUE"""),45848.0)</f>
        <v>45848</v>
      </c>
      <c r="G570" s="1430">
        <f>IFERROR(__xludf.DUMMYFUNCTION("""COMPUTED_VALUE"""),3.0)</f>
        <v>3</v>
      </c>
      <c r="H570" s="94">
        <f t="shared" si="1"/>
        <v>7</v>
      </c>
    </row>
    <row r="571" ht="15.75" customHeight="1">
      <c r="A571" s="94" t="str">
        <f>IFERROR(__xludf.DUMMYFUNCTION("""COMPUTED_VALUE"""),"WS F 907")</f>
        <v>WS F 907</v>
      </c>
      <c r="B571" s="94"/>
      <c r="C571" s="94"/>
      <c r="D571" s="94"/>
      <c r="E571" s="1429">
        <f>IFERROR(__xludf.DUMMYFUNCTION("""COMPUTED_VALUE"""),45846.0)</f>
        <v>45846</v>
      </c>
      <c r="F571" s="1429">
        <f>IFERROR(__xludf.DUMMYFUNCTION("""COMPUTED_VALUE"""),45860.0)</f>
        <v>45860</v>
      </c>
      <c r="G571" s="1430">
        <f>IFERROR(__xludf.DUMMYFUNCTION("""COMPUTED_VALUE"""),14.0)</f>
        <v>14</v>
      </c>
      <c r="H571" s="94">
        <f t="shared" si="1"/>
        <v>7</v>
      </c>
    </row>
    <row r="572" ht="15.75" customHeight="1">
      <c r="A572" s="94" t="str">
        <f>IFERROR(__xludf.DUMMYFUNCTION("""COMPUTED_VALUE"""),"BV1318")</f>
        <v>BV1318</v>
      </c>
      <c r="B572" s="94"/>
      <c r="C572" s="94"/>
      <c r="D572" s="94"/>
      <c r="E572" s="1429">
        <f>IFERROR(__xludf.DUMMYFUNCTION("""COMPUTED_VALUE"""),45846.0)</f>
        <v>45846</v>
      </c>
      <c r="F572" s="1429">
        <f>IFERROR(__xludf.DUMMYFUNCTION("""COMPUTED_VALUE"""),45853.0)</f>
        <v>45853</v>
      </c>
      <c r="G572" s="1430">
        <f>IFERROR(__xludf.DUMMYFUNCTION("""COMPUTED_VALUE"""),7.0)</f>
        <v>7</v>
      </c>
      <c r="H572" s="94">
        <f t="shared" si="1"/>
        <v>7</v>
      </c>
    </row>
    <row r="573" ht="15.75" customHeight="1">
      <c r="A573" s="94" t="str">
        <f>IFERROR(__xludf.DUMMYFUNCTION("""COMPUTED_VALUE"""),"TGB9")</f>
        <v>TGB9</v>
      </c>
      <c r="B573" s="94"/>
      <c r="C573" s="94"/>
      <c r="D573" s="94"/>
      <c r="E573" s="1429">
        <f>IFERROR(__xludf.DUMMYFUNCTION("""COMPUTED_VALUE"""),45846.0)</f>
        <v>45846</v>
      </c>
      <c r="F573" s="1429">
        <f>IFERROR(__xludf.DUMMYFUNCTION("""COMPUTED_VALUE"""),45854.0)</f>
        <v>45854</v>
      </c>
      <c r="G573" s="1430">
        <f>IFERROR(__xludf.DUMMYFUNCTION("""COMPUTED_VALUE"""),8.0)</f>
        <v>8</v>
      </c>
      <c r="H573" s="94">
        <f t="shared" si="1"/>
        <v>7</v>
      </c>
    </row>
    <row r="574" ht="15.75" customHeight="1">
      <c r="A574" s="94" t="str">
        <f>IFERROR(__xludf.DUMMYFUNCTION("""COMPUTED_VALUE"""),"TGA5")</f>
        <v>TGA5</v>
      </c>
      <c r="B574" s="94"/>
      <c r="C574" s="94"/>
      <c r="D574" s="94"/>
      <c r="E574" s="1429">
        <f>IFERROR(__xludf.DUMMYFUNCTION("""COMPUTED_VALUE"""),45846.0)</f>
        <v>45846</v>
      </c>
      <c r="F574" s="1429">
        <f>IFERROR(__xludf.DUMMYFUNCTION("""COMPUTED_VALUE"""),45852.0)</f>
        <v>45852</v>
      </c>
      <c r="G574" s="1430">
        <f>IFERROR(__xludf.DUMMYFUNCTION("""COMPUTED_VALUE"""),6.0)</f>
        <v>6</v>
      </c>
      <c r="H574" s="94">
        <f t="shared" si="1"/>
        <v>7</v>
      </c>
    </row>
    <row r="575" ht="15.75" customHeight="1">
      <c r="A575" s="94" t="str">
        <f>IFERROR(__xludf.DUMMYFUNCTION("""COMPUTED_VALUE"""),"TGB4")</f>
        <v>TGB4</v>
      </c>
      <c r="B575" s="94"/>
      <c r="C575" s="94"/>
      <c r="D575" s="94"/>
      <c r="E575" s="1429">
        <f>IFERROR(__xludf.DUMMYFUNCTION("""COMPUTED_VALUE"""),45846.0)</f>
        <v>45846</v>
      </c>
      <c r="F575" s="1429">
        <f>IFERROR(__xludf.DUMMYFUNCTION("""COMPUTED_VALUE"""),45856.0)</f>
        <v>45856</v>
      </c>
      <c r="G575" s="1430">
        <f>IFERROR(__xludf.DUMMYFUNCTION("""COMPUTED_VALUE"""),10.0)</f>
        <v>10</v>
      </c>
      <c r="H575" s="94">
        <f t="shared" si="1"/>
        <v>7</v>
      </c>
    </row>
    <row r="576" ht="15.75" customHeight="1">
      <c r="A576" s="94" t="str">
        <f>IFERROR(__xludf.DUMMYFUNCTION("""COMPUTED_VALUE"""),"DL14-1405")</f>
        <v>DL14-1405</v>
      </c>
      <c r="B576" s="94"/>
      <c r="C576" s="94"/>
      <c r="D576" s="94"/>
      <c r="E576" s="1429">
        <f>IFERROR(__xludf.DUMMYFUNCTION("""COMPUTED_VALUE"""),45846.0)</f>
        <v>45846</v>
      </c>
      <c r="F576" s="1429">
        <f>IFERROR(__xludf.DUMMYFUNCTION("""COMPUTED_VALUE"""),45850.0)</f>
        <v>45850</v>
      </c>
      <c r="G576" s="1430">
        <f>IFERROR(__xludf.DUMMYFUNCTION("""COMPUTED_VALUE"""),4.0)</f>
        <v>4</v>
      </c>
      <c r="H576" s="94">
        <f t="shared" si="1"/>
        <v>7</v>
      </c>
    </row>
    <row r="577" ht="15.75" customHeight="1">
      <c r="A577" s="94" t="str">
        <f>IFERROR(__xludf.DUMMYFUNCTION("""COMPUTED_VALUE"""),"DL7-16")</f>
        <v>DL7-16</v>
      </c>
      <c r="B577" s="94"/>
      <c r="C577" s="94"/>
      <c r="D577" s="94"/>
      <c r="E577" s="1429">
        <f>IFERROR(__xludf.DUMMYFUNCTION("""COMPUTED_VALUE"""),45846.0)</f>
        <v>45846</v>
      </c>
      <c r="F577" s="1429">
        <f>IFERROR(__xludf.DUMMYFUNCTION("""COMPUTED_VALUE"""),45849.0)</f>
        <v>45849</v>
      </c>
      <c r="G577" s="1430">
        <f>IFERROR(__xludf.DUMMYFUNCTION("""COMPUTED_VALUE"""),3.0)</f>
        <v>3</v>
      </c>
      <c r="H577" s="94">
        <f t="shared" si="1"/>
        <v>7</v>
      </c>
    </row>
    <row r="578" ht="15.75" customHeight="1">
      <c r="A578" s="94" t="str">
        <f>IFERROR(__xludf.DUMMYFUNCTION("""COMPUTED_VALUE"""),"PT2604")</f>
        <v>PT2604</v>
      </c>
      <c r="B578" s="94"/>
      <c r="C578" s="94"/>
      <c r="D578" s="94"/>
      <c r="E578" s="1429">
        <f>IFERROR(__xludf.DUMMYFUNCTION("""COMPUTED_VALUE"""),45846.0)</f>
        <v>45846</v>
      </c>
      <c r="F578" s="1429">
        <f>IFERROR(__xludf.DUMMYFUNCTION("""COMPUTED_VALUE"""),45849.0)</f>
        <v>45849</v>
      </c>
      <c r="G578" s="1430">
        <f>IFERROR(__xludf.DUMMYFUNCTION("""COMPUTED_VALUE"""),3.0)</f>
        <v>3</v>
      </c>
      <c r="H578" s="94">
        <f t="shared" si="1"/>
        <v>7</v>
      </c>
    </row>
    <row r="579" ht="15.75" customHeight="1">
      <c r="A579" s="94" t="str">
        <f>IFERROR(__xludf.DUMMYFUNCTION("""COMPUTED_VALUE"""),"NW 10-6")</f>
        <v>NW 10-6</v>
      </c>
      <c r="B579" s="94"/>
      <c r="C579" s="94"/>
      <c r="D579" s="94"/>
      <c r="E579" s="1429">
        <f>IFERROR(__xludf.DUMMYFUNCTION("""COMPUTED_VALUE"""),45847.0)</f>
        <v>45847</v>
      </c>
      <c r="F579" s="1429">
        <f>IFERROR(__xludf.DUMMYFUNCTION("""COMPUTED_VALUE"""),45854.0)</f>
        <v>45854</v>
      </c>
      <c r="G579" s="1430">
        <f>IFERROR(__xludf.DUMMYFUNCTION("""COMPUTED_VALUE"""),7.0)</f>
        <v>7</v>
      </c>
      <c r="H579" s="94">
        <f t="shared" si="1"/>
        <v>7</v>
      </c>
    </row>
    <row r="580" ht="15.75" customHeight="1">
      <c r="A580" s="94" t="str">
        <f>IFERROR(__xludf.DUMMYFUNCTION("""COMPUTED_VALUE"""),"CM 1606")</f>
        <v>CM 1606</v>
      </c>
      <c r="B580" s="94"/>
      <c r="C580" s="94"/>
      <c r="D580" s="94"/>
      <c r="E580" s="1429">
        <f>IFERROR(__xludf.DUMMYFUNCTION("""COMPUTED_VALUE"""),45847.0)</f>
        <v>45847</v>
      </c>
      <c r="F580" s="1429">
        <f>IFERROR(__xludf.DUMMYFUNCTION("""COMPUTED_VALUE"""),45850.0)</f>
        <v>45850</v>
      </c>
      <c r="G580" s="1430">
        <f>IFERROR(__xludf.DUMMYFUNCTION("""COMPUTED_VALUE"""),3.0)</f>
        <v>3</v>
      </c>
      <c r="H580" s="94">
        <f t="shared" si="1"/>
        <v>7</v>
      </c>
    </row>
    <row r="581" ht="15.75" customHeight="1">
      <c r="A581" s="94" t="str">
        <f>IFERROR(__xludf.DUMMYFUNCTION("""COMPUTED_VALUE"""),"WS В 503")</f>
        <v>WS В 503</v>
      </c>
      <c r="B581" s="94"/>
      <c r="C581" s="94"/>
      <c r="D581" s="94"/>
      <c r="E581" s="1429">
        <f>IFERROR(__xludf.DUMMYFUNCTION("""COMPUTED_VALUE"""),45847.0)</f>
        <v>45847</v>
      </c>
      <c r="F581" s="1429">
        <f>IFERROR(__xludf.DUMMYFUNCTION("""COMPUTED_VALUE"""),45850.0)</f>
        <v>45850</v>
      </c>
      <c r="G581" s="1430">
        <f>IFERROR(__xludf.DUMMYFUNCTION("""COMPUTED_VALUE"""),3.0)</f>
        <v>3</v>
      </c>
      <c r="H581" s="94">
        <f t="shared" si="1"/>
        <v>7</v>
      </c>
    </row>
    <row r="582" ht="15.75" customHeight="1">
      <c r="A582" s="94" t="str">
        <f>IFERROR(__xludf.DUMMYFUNCTION("""COMPUTED_VALUE"""),"WS A805")</f>
        <v>WS A805</v>
      </c>
      <c r="B582" s="94"/>
      <c r="C582" s="94"/>
      <c r="D582" s="94"/>
      <c r="E582" s="1429">
        <f>IFERROR(__xludf.DUMMYFUNCTION("""COMPUTED_VALUE"""),45847.0)</f>
        <v>45847</v>
      </c>
      <c r="F582" s="1429">
        <f>IFERROR(__xludf.DUMMYFUNCTION("""COMPUTED_VALUE"""),45850.0)</f>
        <v>45850</v>
      </c>
      <c r="G582" s="1430">
        <f>IFERROR(__xludf.DUMMYFUNCTION("""COMPUTED_VALUE"""),3.0)</f>
        <v>3</v>
      </c>
      <c r="H582" s="94">
        <f t="shared" si="1"/>
        <v>7</v>
      </c>
    </row>
    <row r="583" ht="15.75" customHeight="1">
      <c r="A583" s="94" t="str">
        <f>IFERROR(__xludf.DUMMYFUNCTION("""COMPUTED_VALUE"""),"WS В 212")</f>
        <v>WS В 212</v>
      </c>
      <c r="B583" s="94"/>
      <c r="C583" s="94"/>
      <c r="D583" s="94"/>
      <c r="E583" s="1429">
        <f>IFERROR(__xludf.DUMMYFUNCTION("""COMPUTED_VALUE"""),45847.0)</f>
        <v>45847</v>
      </c>
      <c r="F583" s="1429">
        <f>IFERROR(__xludf.DUMMYFUNCTION("""COMPUTED_VALUE"""),45854.0)</f>
        <v>45854</v>
      </c>
      <c r="G583" s="1430">
        <f>IFERROR(__xludf.DUMMYFUNCTION("""COMPUTED_VALUE"""),7.0)</f>
        <v>7</v>
      </c>
      <c r="H583" s="94">
        <f t="shared" si="1"/>
        <v>7</v>
      </c>
    </row>
    <row r="584" ht="15.75" customHeight="1">
      <c r="A584" s="94" t="str">
        <f>IFERROR(__xludf.DUMMYFUNCTION("""COMPUTED_VALUE"""),"CM 1604")</f>
        <v>CM 1604</v>
      </c>
      <c r="B584" s="94"/>
      <c r="C584" s="94"/>
      <c r="D584" s="94"/>
      <c r="E584" s="1429">
        <f>IFERROR(__xludf.DUMMYFUNCTION("""COMPUTED_VALUE"""),45848.0)</f>
        <v>45848</v>
      </c>
      <c r="F584" s="1429">
        <f>IFERROR(__xludf.DUMMYFUNCTION("""COMPUTED_VALUE"""),45850.0)</f>
        <v>45850</v>
      </c>
      <c r="G584" s="94"/>
      <c r="H584" s="94">
        <f t="shared" si="1"/>
        <v>7</v>
      </c>
    </row>
    <row r="585" ht="15.75" customHeight="1">
      <c r="A585" s="94" t="str">
        <f>IFERROR(__xludf.DUMMYFUNCTION("""COMPUTED_VALUE"""),"BV206")</f>
        <v>BV206</v>
      </c>
      <c r="B585" s="94"/>
      <c r="C585" s="94"/>
      <c r="D585" s="94"/>
      <c r="E585" s="1429">
        <f>IFERROR(__xludf.DUMMYFUNCTION("""COMPUTED_VALUE"""),45848.0)</f>
        <v>45848</v>
      </c>
      <c r="F585" s="1429">
        <f>IFERROR(__xludf.DUMMYFUNCTION("""COMPUTED_VALUE"""),45863.0)</f>
        <v>45863</v>
      </c>
      <c r="G585" s="1430">
        <f>IFERROR(__xludf.DUMMYFUNCTION("""COMPUTED_VALUE"""),15.0)</f>
        <v>15</v>
      </c>
      <c r="H585" s="94">
        <f t="shared" si="1"/>
        <v>7</v>
      </c>
    </row>
    <row r="586" ht="15.75" customHeight="1">
      <c r="A586" s="94" t="str">
        <f>IFERROR(__xludf.DUMMYFUNCTION("""COMPUTED_VALUE"""),"Пиросмани 162")</f>
        <v>Пиросмани 162</v>
      </c>
      <c r="B586" s="94"/>
      <c r="C586" s="94"/>
      <c r="D586" s="94"/>
      <c r="E586" s="1429">
        <f>IFERROR(__xludf.DUMMYFUNCTION("""COMPUTED_VALUE"""),45848.0)</f>
        <v>45848</v>
      </c>
      <c r="F586" s="1429">
        <f>IFERROR(__xludf.DUMMYFUNCTION("""COMPUTED_VALUE"""),45878.0)</f>
        <v>45878</v>
      </c>
      <c r="G586" s="1430">
        <f>IFERROR(__xludf.DUMMYFUNCTION("""COMPUTED_VALUE"""),30.0)</f>
        <v>30</v>
      </c>
      <c r="H586" s="94">
        <f t="shared" si="1"/>
        <v>7</v>
      </c>
    </row>
    <row r="587" ht="15.75" customHeight="1">
      <c r="A587" s="94" t="str">
        <f>IFERROR(__xludf.DUMMYFUNCTION("""COMPUTED_VALUE"""),"NW 4-9")</f>
        <v>NW 4-9</v>
      </c>
      <c r="B587" s="94"/>
      <c r="C587" s="94"/>
      <c r="D587" s="94"/>
      <c r="E587" s="1429">
        <f>IFERROR(__xludf.DUMMYFUNCTION("""COMPUTED_VALUE"""),45848.0)</f>
        <v>45848</v>
      </c>
      <c r="F587" s="1429">
        <f>IFERROR(__xludf.DUMMYFUNCTION("""COMPUTED_VALUE"""),45852.0)</f>
        <v>45852</v>
      </c>
      <c r="G587" s="1430">
        <f>IFERROR(__xludf.DUMMYFUNCTION("""COMPUTED_VALUE"""),4.0)</f>
        <v>4</v>
      </c>
      <c r="H587" s="94">
        <f t="shared" si="1"/>
        <v>7</v>
      </c>
    </row>
    <row r="588" ht="15.75" customHeight="1">
      <c r="A588" s="94" t="str">
        <f>IFERROR(__xludf.DUMMYFUNCTION("""COMPUTED_VALUE"""),"D2 1625")</f>
        <v>D2 1625</v>
      </c>
      <c r="B588" s="94"/>
      <c r="C588" s="94"/>
      <c r="D588" s="94"/>
      <c r="E588" s="1429">
        <f>IFERROR(__xludf.DUMMYFUNCTION("""COMPUTED_VALUE"""),45848.0)</f>
        <v>45848</v>
      </c>
      <c r="F588" s="1429">
        <f>IFERROR(__xludf.DUMMYFUNCTION("""COMPUTED_VALUE"""),45851.0)</f>
        <v>45851</v>
      </c>
      <c r="G588" s="1430">
        <f>IFERROR(__xludf.DUMMYFUNCTION("""COMPUTED_VALUE"""),3.0)</f>
        <v>3</v>
      </c>
      <c r="H588" s="94">
        <f t="shared" si="1"/>
        <v>7</v>
      </c>
    </row>
    <row r="589" ht="15.75" customHeight="1">
      <c r="A589" s="94" t="str">
        <f>IFERROR(__xludf.DUMMYFUNCTION("""COMPUTED_VALUE"""),"С 1443")</f>
        <v>С 1443</v>
      </c>
      <c r="B589" s="94"/>
      <c r="C589" s="94"/>
      <c r="D589" s="94"/>
      <c r="E589" s="1429">
        <f>IFERROR(__xludf.DUMMYFUNCTION("""COMPUTED_VALUE"""),45848.0)</f>
        <v>45848</v>
      </c>
      <c r="F589" s="1429">
        <f>IFERROR(__xludf.DUMMYFUNCTION("""COMPUTED_VALUE"""),45864.0)</f>
        <v>45864</v>
      </c>
      <c r="G589" s="1430">
        <f>IFERROR(__xludf.DUMMYFUNCTION("""COMPUTED_VALUE"""),16.0)</f>
        <v>16</v>
      </c>
      <c r="H589" s="94">
        <f t="shared" si="1"/>
        <v>7</v>
      </c>
    </row>
    <row r="590" ht="15.75" customHeight="1">
      <c r="A590" s="94" t="str">
        <f>IFERROR(__xludf.DUMMYFUNCTION("""COMPUTED_VALUE"""),"WS A 608")</f>
        <v>WS A 608</v>
      </c>
      <c r="B590" s="94"/>
      <c r="C590" s="94"/>
      <c r="D590" s="94"/>
      <c r="E590" s="1429">
        <f>IFERROR(__xludf.DUMMYFUNCTION("""COMPUTED_VALUE"""),45848.0)</f>
        <v>45848</v>
      </c>
      <c r="F590" s="1429">
        <f>IFERROR(__xludf.DUMMYFUNCTION("""COMPUTED_VALUE"""),45851.0)</f>
        <v>45851</v>
      </c>
      <c r="G590" s="1430">
        <f>IFERROR(__xludf.DUMMYFUNCTION("""COMPUTED_VALUE"""),3.0)</f>
        <v>3</v>
      </c>
      <c r="H590" s="94">
        <f t="shared" si="1"/>
        <v>7</v>
      </c>
    </row>
    <row r="591" ht="15.75" customHeight="1">
      <c r="A591" s="94" t="str">
        <f>IFERROR(__xludf.DUMMYFUNCTION("""COMPUTED_VALUE"""),"WS F1103")</f>
        <v>WS F1103</v>
      </c>
      <c r="B591" s="94"/>
      <c r="C591" s="94"/>
      <c r="D591" s="94"/>
      <c r="E591" s="1429">
        <f>IFERROR(__xludf.DUMMYFUNCTION("""COMPUTED_VALUE"""),45848.0)</f>
        <v>45848</v>
      </c>
      <c r="F591" s="1429">
        <f>IFERROR(__xludf.DUMMYFUNCTION("""COMPUTED_VALUE"""),45856.0)</f>
        <v>45856</v>
      </c>
      <c r="G591" s="1430">
        <f>IFERROR(__xludf.DUMMYFUNCTION("""COMPUTED_VALUE"""),8.0)</f>
        <v>8</v>
      </c>
      <c r="H591" s="94">
        <f t="shared" si="1"/>
        <v>7</v>
      </c>
    </row>
    <row r="592" ht="15.75" customHeight="1">
      <c r="A592" s="94" t="str">
        <f>IFERROR(__xludf.DUMMYFUNCTION("""COMPUTED_VALUE"""),"MZ 1416")</f>
        <v>MZ 1416</v>
      </c>
      <c r="B592" s="94"/>
      <c r="C592" s="94"/>
      <c r="D592" s="94"/>
      <c r="E592" s="1429">
        <f>IFERROR(__xludf.DUMMYFUNCTION("""COMPUTED_VALUE"""),45848.0)</f>
        <v>45848</v>
      </c>
      <c r="F592" s="1429">
        <f>IFERROR(__xludf.DUMMYFUNCTION("""COMPUTED_VALUE"""),45851.0)</f>
        <v>45851</v>
      </c>
      <c r="G592" s="1430">
        <f>IFERROR(__xludf.DUMMYFUNCTION("""COMPUTED_VALUE"""),3.0)</f>
        <v>3</v>
      </c>
      <c r="H592" s="94">
        <f t="shared" si="1"/>
        <v>7</v>
      </c>
    </row>
    <row r="593" ht="15.75" customHeight="1">
      <c r="A593" s="94" t="str">
        <f>IFERROR(__xludf.DUMMYFUNCTION("""COMPUTED_VALUE"""),"WS E 1202")</f>
        <v>WS E 1202</v>
      </c>
      <c r="B593" s="94"/>
      <c r="C593" s="94"/>
      <c r="D593" s="94"/>
      <c r="E593" s="1435">
        <f>IFERROR(__xludf.DUMMYFUNCTION("""COMPUTED_VALUE"""),45848.0)</f>
        <v>45848</v>
      </c>
      <c r="F593" s="94"/>
      <c r="G593" s="1430">
        <f>IFERROR(__xludf.DUMMYFUNCTION("""COMPUTED_VALUE"""),-6.0)</f>
        <v>-6</v>
      </c>
      <c r="H593" s="94">
        <f t="shared" si="1"/>
        <v>7</v>
      </c>
    </row>
    <row r="594" ht="15.75" customHeight="1">
      <c r="A594" s="94" t="str">
        <f>IFERROR(__xludf.DUMMYFUNCTION("""COMPUTED_VALUE"""),"TGA4")</f>
        <v>TGA4</v>
      </c>
      <c r="B594" s="94"/>
      <c r="C594" s="94"/>
      <c r="D594" s="94"/>
      <c r="E594" s="1429">
        <f>IFERROR(__xludf.DUMMYFUNCTION("""COMPUTED_VALUE"""),45848.0)</f>
        <v>45848</v>
      </c>
      <c r="F594" s="1429">
        <f>IFERROR(__xludf.DUMMYFUNCTION("""COMPUTED_VALUE"""),45857.0)</f>
        <v>45857</v>
      </c>
      <c r="G594" s="1430">
        <f>IFERROR(__xludf.DUMMYFUNCTION("""COMPUTED_VALUE"""),9.0)</f>
        <v>9</v>
      </c>
      <c r="H594" s="94">
        <f t="shared" si="1"/>
        <v>7</v>
      </c>
    </row>
    <row r="595" ht="15.75" customHeight="1">
      <c r="A595" s="94" t="str">
        <f>IFERROR(__xludf.DUMMYFUNCTION("""COMPUTED_VALUE"""),"TGA2")</f>
        <v>TGA2</v>
      </c>
      <c r="B595" s="94"/>
      <c r="C595" s="94"/>
      <c r="D595" s="94"/>
      <c r="E595" s="1429">
        <f>IFERROR(__xludf.DUMMYFUNCTION("""COMPUTED_VALUE"""),45848.0)</f>
        <v>45848</v>
      </c>
      <c r="F595" s="1429">
        <f>IFERROR(__xludf.DUMMYFUNCTION("""COMPUTED_VALUE"""),45857.0)</f>
        <v>45857</v>
      </c>
      <c r="G595" s="1430">
        <f>IFERROR(__xludf.DUMMYFUNCTION("""COMPUTED_VALUE"""),9.0)</f>
        <v>9</v>
      </c>
      <c r="H595" s="94">
        <f t="shared" si="1"/>
        <v>7</v>
      </c>
    </row>
    <row r="596" ht="15.75" customHeight="1">
      <c r="A596" s="94" t="str">
        <f>IFERROR(__xludf.DUMMYFUNCTION("""COMPUTED_VALUE"""),"TGA9")</f>
        <v>TGA9</v>
      </c>
      <c r="B596" s="94"/>
      <c r="C596" s="94"/>
      <c r="D596" s="94"/>
      <c r="E596" s="1429">
        <f>IFERROR(__xludf.DUMMYFUNCTION("""COMPUTED_VALUE"""),45848.0)</f>
        <v>45848</v>
      </c>
      <c r="F596" s="1429">
        <f>IFERROR(__xludf.DUMMYFUNCTION("""COMPUTED_VALUE"""),45849.0)</f>
        <v>45849</v>
      </c>
      <c r="G596" s="1430">
        <f>IFERROR(__xludf.DUMMYFUNCTION("""COMPUTED_VALUE"""),1.0)</f>
        <v>1</v>
      </c>
      <c r="H596" s="94">
        <f t="shared" si="1"/>
        <v>7</v>
      </c>
    </row>
    <row r="597" ht="15.75" customHeight="1">
      <c r="A597" s="94" t="str">
        <f>IFERROR(__xludf.DUMMYFUNCTION("""COMPUTED_VALUE"""),"DL 11-1305")</f>
        <v>DL 11-1305</v>
      </c>
      <c r="B597" s="94"/>
      <c r="C597" s="94"/>
      <c r="D597" s="94"/>
      <c r="E597" s="1429">
        <f>IFERROR(__xludf.DUMMYFUNCTION("""COMPUTED_VALUE"""),45848.0)</f>
        <v>45848</v>
      </c>
      <c r="F597" s="1435">
        <f>IFERROR(__xludf.DUMMYFUNCTION("""COMPUTED_VALUE"""),45853.0)</f>
        <v>45853</v>
      </c>
      <c r="G597" s="1430">
        <f>IFERROR(__xludf.DUMMYFUNCTION("""COMPUTED_VALUE"""),5.0)</f>
        <v>5</v>
      </c>
      <c r="H597" s="94">
        <f t="shared" si="1"/>
        <v>7</v>
      </c>
    </row>
    <row r="598" ht="15.75" customHeight="1">
      <c r="A598" s="94" t="str">
        <f>IFERROR(__xludf.DUMMYFUNCTION("""COMPUTED_VALUE"""),"DL 14-1214")</f>
        <v>DL 14-1214</v>
      </c>
      <c r="B598" s="94"/>
      <c r="C598" s="94"/>
      <c r="D598" s="94"/>
      <c r="E598" s="1429">
        <f>IFERROR(__xludf.DUMMYFUNCTION("""COMPUTED_VALUE"""),45848.0)</f>
        <v>45848</v>
      </c>
      <c r="F598" s="1435">
        <f>IFERROR(__xludf.DUMMYFUNCTION("""COMPUTED_VALUE"""),45853.0)</f>
        <v>45853</v>
      </c>
      <c r="G598" s="1430">
        <f>IFERROR(__xludf.DUMMYFUNCTION("""COMPUTED_VALUE"""),5.0)</f>
        <v>5</v>
      </c>
      <c r="H598" s="94">
        <f t="shared" si="1"/>
        <v>7</v>
      </c>
    </row>
    <row r="599" ht="15.75" customHeight="1">
      <c r="A599" s="94" t="str">
        <f>IFERROR(__xludf.DUMMYFUNCTION("""COMPUTED_VALUE"""),"DL14-1907")</f>
        <v>DL14-1907</v>
      </c>
      <c r="B599" s="94"/>
      <c r="C599" s="94"/>
      <c r="D599" s="94"/>
      <c r="E599" s="1429">
        <f>IFERROR(__xludf.DUMMYFUNCTION("""COMPUTED_VALUE"""),45848.0)</f>
        <v>45848</v>
      </c>
      <c r="F599" s="1429">
        <f>IFERROR(__xludf.DUMMYFUNCTION("""COMPUTED_VALUE"""),45849.0)</f>
        <v>45849</v>
      </c>
      <c r="G599" s="1430">
        <f>IFERROR(__xludf.DUMMYFUNCTION("""COMPUTED_VALUE"""),1.0)</f>
        <v>1</v>
      </c>
      <c r="H599" s="94">
        <f t="shared" si="1"/>
        <v>7</v>
      </c>
    </row>
    <row r="600" ht="15.75" customHeight="1">
      <c r="A600" s="94" t="str">
        <f>IFERROR(__xludf.DUMMYFUNCTION("""COMPUTED_VALUE"""),"DL 13-709")</f>
        <v>DL 13-709</v>
      </c>
      <c r="B600" s="94"/>
      <c r="C600" s="94"/>
      <c r="D600" s="94"/>
      <c r="E600" s="1429">
        <f>IFERROR(__xludf.DUMMYFUNCTION("""COMPUTED_VALUE"""),45849.0)</f>
        <v>45849</v>
      </c>
      <c r="F600" s="1429">
        <f>IFERROR(__xludf.DUMMYFUNCTION("""COMPUTED_VALUE"""),45859.0)</f>
        <v>45859</v>
      </c>
      <c r="G600" s="1430">
        <f>IFERROR(__xludf.DUMMYFUNCTION("""COMPUTED_VALUE"""),10.0)</f>
        <v>10</v>
      </c>
      <c r="H600" s="94">
        <f t="shared" si="1"/>
        <v>7</v>
      </c>
    </row>
    <row r="601" ht="15.75" customHeight="1">
      <c r="A601" s="94" t="str">
        <f>IFERROR(__xludf.DUMMYFUNCTION("""COMPUTED_VALUE"""),"14-411")</f>
        <v>14-411</v>
      </c>
      <c r="B601" s="94"/>
      <c r="C601" s="94"/>
      <c r="D601" s="94"/>
      <c r="E601" s="1429">
        <f>IFERROR(__xludf.DUMMYFUNCTION("""COMPUTED_VALUE"""),45848.0)</f>
        <v>45848</v>
      </c>
      <c r="F601" s="1429">
        <f>IFERROR(__xludf.DUMMYFUNCTION("""COMPUTED_VALUE"""),45851.0)</f>
        <v>45851</v>
      </c>
      <c r="G601" s="1430">
        <f>IFERROR(__xludf.DUMMYFUNCTION("""COMPUTED_VALUE"""),3.0)</f>
        <v>3</v>
      </c>
      <c r="H601" s="94">
        <f t="shared" si="1"/>
        <v>7</v>
      </c>
    </row>
    <row r="602" ht="15.75" customHeight="1">
      <c r="A602" s="94" t="str">
        <f>IFERROR(__xludf.DUMMYFUNCTION("""COMPUTED_VALUE"""),"DL 11-1112")</f>
        <v>DL 11-1112</v>
      </c>
      <c r="B602" s="94"/>
      <c r="C602" s="94"/>
      <c r="D602" s="94"/>
      <c r="E602" s="1429">
        <f>IFERROR(__xludf.DUMMYFUNCTION("""COMPUTED_VALUE"""),45849.0)</f>
        <v>45849</v>
      </c>
      <c r="F602" s="1429">
        <f>IFERROR(__xludf.DUMMYFUNCTION("""COMPUTED_VALUE"""),45852.0)</f>
        <v>45852</v>
      </c>
      <c r="G602" s="1430">
        <f>IFERROR(__xludf.DUMMYFUNCTION("""COMPUTED_VALUE"""),3.0)</f>
        <v>3</v>
      </c>
      <c r="H602" s="94">
        <f t="shared" si="1"/>
        <v>7</v>
      </c>
    </row>
    <row r="603" ht="15.75" customHeight="1">
      <c r="A603" s="94" t="str">
        <f>IFERROR(__xludf.DUMMYFUNCTION("""COMPUTED_VALUE"""),"DL 14-702")</f>
        <v>DL 14-702</v>
      </c>
      <c r="B603" s="94"/>
      <c r="C603" s="94"/>
      <c r="D603" s="94"/>
      <c r="E603" s="1429">
        <f>IFERROR(__xludf.DUMMYFUNCTION("""COMPUTED_VALUE"""),45849.0)</f>
        <v>45849</v>
      </c>
      <c r="F603" s="1429">
        <f>IFERROR(__xludf.DUMMYFUNCTION("""COMPUTED_VALUE"""),45852.0)</f>
        <v>45852</v>
      </c>
      <c r="G603" s="1430">
        <f>IFERROR(__xludf.DUMMYFUNCTION("""COMPUTED_VALUE"""),3.0)</f>
        <v>3</v>
      </c>
      <c r="H603" s="94">
        <f t="shared" si="1"/>
        <v>7</v>
      </c>
    </row>
    <row r="604" ht="15.75" customHeight="1">
      <c r="A604" s="94" t="str">
        <f>IFERROR(__xludf.DUMMYFUNCTION("""COMPUTED_VALUE"""),"DL 13-201")</f>
        <v>DL 13-201</v>
      </c>
      <c r="B604" s="94"/>
      <c r="C604" s="94"/>
      <c r="D604" s="94"/>
      <c r="E604" s="1429">
        <f>IFERROR(__xludf.DUMMYFUNCTION("""COMPUTED_VALUE"""),45849.0)</f>
        <v>45849</v>
      </c>
      <c r="F604" s="1429">
        <f>IFERROR(__xludf.DUMMYFUNCTION("""COMPUTED_VALUE"""),45854.0)</f>
        <v>45854</v>
      </c>
      <c r="G604" s="1430">
        <f>IFERROR(__xludf.DUMMYFUNCTION("""COMPUTED_VALUE"""),5.0)</f>
        <v>5</v>
      </c>
      <c r="H604" s="94">
        <f t="shared" si="1"/>
        <v>7</v>
      </c>
    </row>
    <row r="605" ht="15.75" customHeight="1">
      <c r="A605" s="94" t="str">
        <f>IFERROR(__xludf.DUMMYFUNCTION("""COMPUTED_VALUE"""),"PT2604")</f>
        <v>PT2604</v>
      </c>
      <c r="B605" s="94"/>
      <c r="C605" s="94"/>
      <c r="D605" s="94"/>
      <c r="E605" s="1429">
        <f>IFERROR(__xludf.DUMMYFUNCTION("""COMPUTED_VALUE"""),45849.0)</f>
        <v>45849</v>
      </c>
      <c r="F605" s="1429">
        <f>IFERROR(__xludf.DUMMYFUNCTION("""COMPUTED_VALUE"""),45853.0)</f>
        <v>45853</v>
      </c>
      <c r="G605" s="1430">
        <f>IFERROR(__xludf.DUMMYFUNCTION("""COMPUTED_VALUE"""),4.0)</f>
        <v>4</v>
      </c>
      <c r="H605" s="94">
        <f t="shared" si="1"/>
        <v>7</v>
      </c>
    </row>
    <row r="606" ht="15.75" customHeight="1">
      <c r="A606" s="94" t="str">
        <f>IFERROR(__xludf.DUMMYFUNCTION("""COMPUTED_VALUE"""),"CM 1931")</f>
        <v>CM 1931</v>
      </c>
      <c r="B606" s="94"/>
      <c r="C606" s="94"/>
      <c r="D606" s="94"/>
      <c r="E606" s="1429">
        <f>IFERROR(__xludf.DUMMYFUNCTION("""COMPUTED_VALUE"""),45849.0)</f>
        <v>45849</v>
      </c>
      <c r="F606" s="1429">
        <f>IFERROR(__xludf.DUMMYFUNCTION("""COMPUTED_VALUE"""),45854.0)</f>
        <v>45854</v>
      </c>
      <c r="G606" s="1430">
        <f>IFERROR(__xludf.DUMMYFUNCTION("""COMPUTED_VALUE"""),5.0)</f>
        <v>5</v>
      </c>
      <c r="H606" s="94">
        <f t="shared" si="1"/>
        <v>7</v>
      </c>
    </row>
    <row r="607" ht="15.75" customHeight="1">
      <c r="A607" s="94" t="str">
        <f>IFERROR(__xludf.DUMMYFUNCTION("""COMPUTED_VALUE"""),"CM 1604")</f>
        <v>CM 1604</v>
      </c>
      <c r="B607" s="94"/>
      <c r="C607" s="94"/>
      <c r="D607" s="94"/>
      <c r="E607" s="1429">
        <f>IFERROR(__xludf.DUMMYFUNCTION("""COMPUTED_VALUE"""),45848.0)</f>
        <v>45848</v>
      </c>
      <c r="F607" s="1429">
        <f>IFERROR(__xludf.DUMMYFUNCTION("""COMPUTED_VALUE"""),45850.0)</f>
        <v>45850</v>
      </c>
      <c r="G607" s="1430">
        <f>IFERROR(__xludf.DUMMYFUNCTION("""COMPUTED_VALUE"""),2.0)</f>
        <v>2</v>
      </c>
      <c r="H607" s="94">
        <f t="shared" si="1"/>
        <v>7</v>
      </c>
    </row>
    <row r="608" ht="15.75" customHeight="1">
      <c r="A608" s="94" t="str">
        <f>IFERROR(__xludf.DUMMYFUNCTION("""COMPUTED_VALUE"""),"А 4049")</f>
        <v>А 4049</v>
      </c>
      <c r="B608" s="94"/>
      <c r="C608" s="94"/>
      <c r="D608" s="94"/>
      <c r="E608" s="1429">
        <f>IFERROR(__xludf.DUMMYFUNCTION("""COMPUTED_VALUE"""),45849.0)</f>
        <v>45849</v>
      </c>
      <c r="F608" s="1429">
        <f>IFERROR(__xludf.DUMMYFUNCTION("""COMPUTED_VALUE"""),45852.0)</f>
        <v>45852</v>
      </c>
      <c r="G608" s="1430">
        <f>IFERROR(__xludf.DUMMYFUNCTION("""COMPUTED_VALUE"""),3.0)</f>
        <v>3</v>
      </c>
      <c r="H608" s="94">
        <f t="shared" si="1"/>
        <v>7</v>
      </c>
    </row>
    <row r="609" ht="15.75" customHeight="1">
      <c r="A609" s="94" t="str">
        <f>IFERROR(__xludf.DUMMYFUNCTION("""COMPUTED_VALUE"""),"WS A 409")</f>
        <v>WS A 409</v>
      </c>
      <c r="B609" s="94"/>
      <c r="C609" s="94"/>
      <c r="D609" s="94"/>
      <c r="E609" s="1429">
        <f>IFERROR(__xludf.DUMMYFUNCTION("""COMPUTED_VALUE"""),45849.0)</f>
        <v>45849</v>
      </c>
      <c r="F609" s="94"/>
      <c r="G609" s="1430">
        <f>IFERROR(__xludf.DUMMYFUNCTION("""COMPUTED_VALUE"""),-1.0)</f>
        <v>-1</v>
      </c>
      <c r="H609" s="94">
        <f t="shared" si="1"/>
        <v>7</v>
      </c>
    </row>
    <row r="610" ht="15.75" customHeight="1">
      <c r="A610" s="94" t="str">
        <f>IFERROR(__xludf.DUMMYFUNCTION("""COMPUTED_VALUE"""),"D 1321")</f>
        <v>D 1321</v>
      </c>
      <c r="B610" s="94"/>
      <c r="C610" s="94"/>
      <c r="D610" s="94"/>
      <c r="E610" s="1429">
        <f>IFERROR(__xludf.DUMMYFUNCTION("""COMPUTED_VALUE"""),45849.0)</f>
        <v>45849</v>
      </c>
      <c r="F610" s="1429">
        <f>IFERROR(__xludf.DUMMYFUNCTION("""COMPUTED_VALUE"""),45852.0)</f>
        <v>45852</v>
      </c>
      <c r="G610" s="1430">
        <f>IFERROR(__xludf.DUMMYFUNCTION("""COMPUTED_VALUE"""),3.0)</f>
        <v>3</v>
      </c>
      <c r="H610" s="94">
        <f t="shared" si="1"/>
        <v>7</v>
      </c>
    </row>
    <row r="611" ht="15.75" customHeight="1">
      <c r="A611" s="94" t="str">
        <f>IFERROR(__xludf.DUMMYFUNCTION("""COMPUTED_VALUE"""),"TGB3")</f>
        <v>TGB3</v>
      </c>
      <c r="B611" s="94"/>
      <c r="C611" s="94"/>
      <c r="D611" s="94"/>
      <c r="E611" s="1434">
        <f>IFERROR(__xludf.DUMMYFUNCTION("""COMPUTED_VALUE"""),45849.0)</f>
        <v>45849</v>
      </c>
      <c r="F611" s="1429">
        <f>IFERROR(__xludf.DUMMYFUNCTION("""COMPUTED_VALUE"""),45852.0)</f>
        <v>45852</v>
      </c>
      <c r="G611" s="1430">
        <f>IFERROR(__xludf.DUMMYFUNCTION("""COMPUTED_VALUE"""),3.0)</f>
        <v>3</v>
      </c>
      <c r="H611" s="94">
        <f t="shared" si="1"/>
        <v>7</v>
      </c>
    </row>
    <row r="612" ht="15.75" customHeight="1">
      <c r="A612" s="94" t="str">
        <f>IFERROR(__xludf.DUMMYFUNCTION("""COMPUTED_VALUE"""),"TGA9")</f>
        <v>TGA9</v>
      </c>
      <c r="B612" s="94"/>
      <c r="C612" s="94"/>
      <c r="D612" s="94"/>
      <c r="E612" s="1434">
        <f>IFERROR(__xludf.DUMMYFUNCTION("""COMPUTED_VALUE"""),45849.0)</f>
        <v>45849</v>
      </c>
      <c r="F612" s="1429">
        <f>IFERROR(__xludf.DUMMYFUNCTION("""COMPUTED_VALUE"""),45853.0)</f>
        <v>45853</v>
      </c>
      <c r="G612" s="1430">
        <f>IFERROR(__xludf.DUMMYFUNCTION("""COMPUTED_VALUE"""),4.0)</f>
        <v>4</v>
      </c>
      <c r="H612" s="94">
        <f t="shared" si="1"/>
        <v>7</v>
      </c>
    </row>
    <row r="613" ht="15.75" customHeight="1">
      <c r="A613" s="94" t="str">
        <f>IFERROR(__xludf.DUMMYFUNCTION("""COMPUTED_VALUE"""),"TGA7")</f>
        <v>TGA7</v>
      </c>
      <c r="B613" s="94"/>
      <c r="C613" s="94"/>
      <c r="D613" s="94"/>
      <c r="E613" s="1434">
        <f>IFERROR(__xludf.DUMMYFUNCTION("""COMPUTED_VALUE"""),45849.0)</f>
        <v>45849</v>
      </c>
      <c r="F613" s="1429">
        <f>IFERROR(__xludf.DUMMYFUNCTION("""COMPUTED_VALUE"""),45869.0)</f>
        <v>45869</v>
      </c>
      <c r="G613" s="1430">
        <f>IFERROR(__xludf.DUMMYFUNCTION("""COMPUTED_VALUE"""),20.0)</f>
        <v>20</v>
      </c>
      <c r="H613" s="94">
        <f t="shared" si="1"/>
        <v>7</v>
      </c>
    </row>
    <row r="614" ht="15.75" customHeight="1">
      <c r="A614" s="94" t="str">
        <f>IFERROR(__xludf.DUMMYFUNCTION("""COMPUTED_VALUE"""),"TGA1")</f>
        <v>TGA1</v>
      </c>
      <c r="B614" s="94"/>
      <c r="C614" s="94"/>
      <c r="D614" s="94"/>
      <c r="E614" s="1434">
        <f>IFERROR(__xludf.DUMMYFUNCTION("""COMPUTED_VALUE"""),45849.0)</f>
        <v>45849</v>
      </c>
      <c r="F614" s="1429">
        <f>IFERROR(__xludf.DUMMYFUNCTION("""COMPUTED_VALUE"""),45856.0)</f>
        <v>45856</v>
      </c>
      <c r="G614" s="1430">
        <f>IFERROR(__xludf.DUMMYFUNCTION("""COMPUTED_VALUE"""),7.0)</f>
        <v>7</v>
      </c>
      <c r="H614" s="94">
        <f t="shared" si="1"/>
        <v>7</v>
      </c>
    </row>
    <row r="615" ht="15.75" customHeight="1">
      <c r="A615" s="94" t="str">
        <f>IFERROR(__xludf.DUMMYFUNCTION("""COMPUTED_VALUE"""),"TGB1")</f>
        <v>TGB1</v>
      </c>
      <c r="B615" s="94"/>
      <c r="C615" s="94"/>
      <c r="D615" s="94"/>
      <c r="E615" s="1429">
        <f>IFERROR(__xludf.DUMMYFUNCTION("""COMPUTED_VALUE"""),45849.0)</f>
        <v>45849</v>
      </c>
      <c r="F615" s="1429">
        <f>IFERROR(__xludf.DUMMYFUNCTION("""COMPUTED_VALUE"""),45857.0)</f>
        <v>45857</v>
      </c>
      <c r="G615" s="1430">
        <f>IFERROR(__xludf.DUMMYFUNCTION("""COMPUTED_VALUE"""),8.0)</f>
        <v>8</v>
      </c>
      <c r="H615" s="94">
        <f t="shared" si="1"/>
        <v>7</v>
      </c>
    </row>
    <row r="616" ht="15.75" customHeight="1">
      <c r="A616" s="94" t="str">
        <f>IFERROR(__xludf.DUMMYFUNCTION("""COMPUTED_VALUE"""),"WS Е804")</f>
        <v>WS Е804</v>
      </c>
      <c r="B616" s="94"/>
      <c r="C616" s="94"/>
      <c r="D616" s="94"/>
      <c r="E616" s="1429">
        <f>IFERROR(__xludf.DUMMYFUNCTION("""COMPUTED_VALUE"""),45849.0)</f>
        <v>45849</v>
      </c>
      <c r="F616" s="1429">
        <f>IFERROR(__xludf.DUMMYFUNCTION("""COMPUTED_VALUE"""),45852.0)</f>
        <v>45852</v>
      </c>
      <c r="G616" s="1430">
        <f>IFERROR(__xludf.DUMMYFUNCTION("""COMPUTED_VALUE"""),3.0)</f>
        <v>3</v>
      </c>
      <c r="H616" s="94">
        <f t="shared" si="1"/>
        <v>7</v>
      </c>
    </row>
    <row r="617" ht="15.75" customHeight="1">
      <c r="A617" s="94" t="str">
        <f>IFERROR(__xludf.DUMMYFUNCTION("""COMPUTED_VALUE"""),"WS A 409")</f>
        <v>WS A 409</v>
      </c>
      <c r="B617" s="94"/>
      <c r="C617" s="94"/>
      <c r="D617" s="94"/>
      <c r="E617" s="1429">
        <f>IFERROR(__xludf.DUMMYFUNCTION("""COMPUTED_VALUE"""),45849.0)</f>
        <v>45849</v>
      </c>
      <c r="F617" s="1429">
        <f>IFERROR(__xludf.DUMMYFUNCTION("""COMPUTED_VALUE"""),45854.0)</f>
        <v>45854</v>
      </c>
      <c r="G617" s="1430">
        <f>IFERROR(__xludf.DUMMYFUNCTION("""COMPUTED_VALUE"""),5.0)</f>
        <v>5</v>
      </c>
      <c r="H617" s="94">
        <f t="shared" si="1"/>
        <v>7</v>
      </c>
    </row>
    <row r="618" ht="15.75" customHeight="1">
      <c r="A618" s="94" t="str">
        <f>IFERROR(__xludf.DUMMYFUNCTION("""COMPUTED_VALUE"""),"WS А 908")</f>
        <v>WS А 908</v>
      </c>
      <c r="B618" s="94"/>
      <c r="C618" s="94"/>
      <c r="D618" s="94"/>
      <c r="E618" s="1429">
        <f>IFERROR(__xludf.DUMMYFUNCTION("""COMPUTED_VALUE"""),45848.0)</f>
        <v>45848</v>
      </c>
      <c r="F618" s="1429">
        <f>IFERROR(__xludf.DUMMYFUNCTION("""COMPUTED_VALUE"""),45853.0)</f>
        <v>45853</v>
      </c>
      <c r="G618" s="1430">
        <f>IFERROR(__xludf.DUMMYFUNCTION("""COMPUTED_VALUE"""),5.0)</f>
        <v>5</v>
      </c>
      <c r="H618" s="94">
        <f t="shared" si="1"/>
        <v>7</v>
      </c>
    </row>
    <row r="619" ht="15.75" customHeight="1">
      <c r="A619" s="94" t="str">
        <f>IFERROR(__xludf.DUMMYFUNCTION("""COMPUTED_VALUE"""),"DL7-16")</f>
        <v>DL7-16</v>
      </c>
      <c r="B619" s="94"/>
      <c r="C619" s="94"/>
      <c r="D619" s="94"/>
      <c r="E619" s="1429">
        <f>IFERROR(__xludf.DUMMYFUNCTION("""COMPUTED_VALUE"""),45848.0)</f>
        <v>45848</v>
      </c>
      <c r="F619" s="1429">
        <f>IFERROR(__xludf.DUMMYFUNCTION("""COMPUTED_VALUE"""),45849.0)</f>
        <v>45849</v>
      </c>
      <c r="G619" s="1430">
        <f>IFERROR(__xludf.DUMMYFUNCTION("""COMPUTED_VALUE"""),1.0)</f>
        <v>1</v>
      </c>
      <c r="H619" s="94">
        <f t="shared" si="1"/>
        <v>7</v>
      </c>
    </row>
    <row r="620" ht="15.75" customHeight="1">
      <c r="A620" s="94" t="str">
        <f>IFERROR(__xludf.DUMMYFUNCTION("""COMPUTED_VALUE"""),"DL14-1907")</f>
        <v>DL14-1907</v>
      </c>
      <c r="B620" s="94"/>
      <c r="C620" s="94"/>
      <c r="D620" s="94"/>
      <c r="E620" s="1429">
        <f>IFERROR(__xludf.DUMMYFUNCTION("""COMPUTED_VALUE"""),45849.0)</f>
        <v>45849</v>
      </c>
      <c r="F620" s="1429">
        <f>IFERROR(__xludf.DUMMYFUNCTION("""COMPUTED_VALUE"""),45853.0)</f>
        <v>45853</v>
      </c>
      <c r="G620" s="1430">
        <f>IFERROR(__xludf.DUMMYFUNCTION("""COMPUTED_VALUE"""),4.0)</f>
        <v>4</v>
      </c>
      <c r="H620" s="94">
        <f t="shared" si="1"/>
        <v>7</v>
      </c>
    </row>
    <row r="621" ht="15.75" customHeight="1">
      <c r="A621" s="94" t="str">
        <f>IFERROR(__xludf.DUMMYFUNCTION("""COMPUTED_VALUE"""),"TGA6")</f>
        <v>TGA6</v>
      </c>
      <c r="B621" s="94"/>
      <c r="C621" s="94"/>
      <c r="D621" s="94"/>
      <c r="E621" s="1429">
        <f>IFERROR(__xludf.DUMMYFUNCTION("""COMPUTED_VALUE"""),45850.0)</f>
        <v>45850</v>
      </c>
      <c r="F621" s="1429">
        <f>IFERROR(__xludf.DUMMYFUNCTION("""COMPUTED_VALUE"""),45857.0)</f>
        <v>45857</v>
      </c>
      <c r="G621" s="1430">
        <f>IFERROR(__xludf.DUMMYFUNCTION("""COMPUTED_VALUE"""),7.0)</f>
        <v>7</v>
      </c>
      <c r="H621" s="94">
        <f t="shared" si="1"/>
        <v>7</v>
      </c>
    </row>
    <row r="622" ht="15.75" customHeight="1">
      <c r="A622" s="94" t="str">
        <f>IFERROR(__xludf.DUMMYFUNCTION("""COMPUTED_VALUE"""),"MZ 718")</f>
        <v>MZ 718</v>
      </c>
      <c r="B622" s="94"/>
      <c r="C622" s="94"/>
      <c r="D622" s="94"/>
      <c r="E622" s="1429">
        <f>IFERROR(__xludf.DUMMYFUNCTION("""COMPUTED_VALUE"""),45850.0)</f>
        <v>45850</v>
      </c>
      <c r="F622" s="1429">
        <f>IFERROR(__xludf.DUMMYFUNCTION("""COMPUTED_VALUE"""),45854.0)</f>
        <v>45854</v>
      </c>
      <c r="G622" s="1430">
        <f>IFERROR(__xludf.DUMMYFUNCTION("""COMPUTED_VALUE"""),4.0)</f>
        <v>4</v>
      </c>
      <c r="H622" s="94">
        <f t="shared" si="1"/>
        <v>7</v>
      </c>
    </row>
    <row r="623" ht="15.75" customHeight="1">
      <c r="A623" s="94" t="str">
        <f>IFERROR(__xludf.DUMMYFUNCTION("""COMPUTED_VALUE"""),"С 2756")</f>
        <v>С 2756</v>
      </c>
      <c r="B623" s="94"/>
      <c r="C623" s="94"/>
      <c r="D623" s="94"/>
      <c r="E623" s="1429">
        <f>IFERROR(__xludf.DUMMYFUNCTION("""COMPUTED_VALUE"""),45850.0)</f>
        <v>45850</v>
      </c>
      <c r="F623" s="1429">
        <f>IFERROR(__xludf.DUMMYFUNCTION("""COMPUTED_VALUE"""),45855.0)</f>
        <v>45855</v>
      </c>
      <c r="G623" s="1430">
        <f>IFERROR(__xludf.DUMMYFUNCTION("""COMPUTED_VALUE"""),5.0)</f>
        <v>5</v>
      </c>
      <c r="H623" s="94">
        <f t="shared" si="1"/>
        <v>7</v>
      </c>
    </row>
    <row r="624" ht="15.75" customHeight="1">
      <c r="A624" s="94" t="str">
        <f>IFERROR(__xludf.DUMMYFUNCTION("""COMPUTED_VALUE"""),"D2 3216")</f>
        <v>D2 3216</v>
      </c>
      <c r="B624" s="94"/>
      <c r="C624" s="94"/>
      <c r="D624" s="94"/>
      <c r="E624" s="1429">
        <f>IFERROR(__xludf.DUMMYFUNCTION("""COMPUTED_VALUE"""),45850.0)</f>
        <v>45850</v>
      </c>
      <c r="F624" s="1429">
        <f>IFERROR(__xludf.DUMMYFUNCTION("""COMPUTED_VALUE"""),45854.0)</f>
        <v>45854</v>
      </c>
      <c r="G624" s="1430">
        <f>IFERROR(__xludf.DUMMYFUNCTION("""COMPUTED_VALUE"""),4.0)</f>
        <v>4</v>
      </c>
      <c r="H624" s="94">
        <f t="shared" si="1"/>
        <v>7</v>
      </c>
    </row>
    <row r="625" ht="15.75" customHeight="1">
      <c r="A625" s="94" t="str">
        <f>IFERROR(__xludf.DUMMYFUNCTION("""COMPUTED_VALUE"""),"D 3629")</f>
        <v>D 3629</v>
      </c>
      <c r="B625" s="94"/>
      <c r="C625" s="94"/>
      <c r="D625" s="94"/>
      <c r="E625" s="1429">
        <f>IFERROR(__xludf.DUMMYFUNCTION("""COMPUTED_VALUE"""),45850.0)</f>
        <v>45850</v>
      </c>
      <c r="F625" s="1429">
        <f>IFERROR(__xludf.DUMMYFUNCTION("""COMPUTED_VALUE"""),45860.0)</f>
        <v>45860</v>
      </c>
      <c r="G625" s="1430">
        <f>IFERROR(__xludf.DUMMYFUNCTION("""COMPUTED_VALUE"""),10.0)</f>
        <v>10</v>
      </c>
      <c r="H625" s="94">
        <f t="shared" si="1"/>
        <v>7</v>
      </c>
    </row>
    <row r="626" ht="15.75" customHeight="1">
      <c r="A626" s="94" t="str">
        <f>IFERROR(__xludf.DUMMYFUNCTION("""COMPUTED_VALUE"""),"CM 1606")</f>
        <v>CM 1606</v>
      </c>
      <c r="B626" s="94"/>
      <c r="C626" s="94"/>
      <c r="D626" s="94"/>
      <c r="E626" s="1429">
        <f>IFERROR(__xludf.DUMMYFUNCTION("""COMPUTED_VALUE"""),45850.0)</f>
        <v>45850</v>
      </c>
      <c r="F626" s="1429">
        <f>IFERROR(__xludf.DUMMYFUNCTION("""COMPUTED_VALUE"""),45857.0)</f>
        <v>45857</v>
      </c>
      <c r="G626" s="1430">
        <f>IFERROR(__xludf.DUMMYFUNCTION("""COMPUTED_VALUE"""),7.0)</f>
        <v>7</v>
      </c>
      <c r="H626" s="94">
        <f t="shared" si="1"/>
        <v>7</v>
      </c>
    </row>
    <row r="627" ht="15.75" customHeight="1">
      <c r="A627" s="94" t="str">
        <f>IFERROR(__xludf.DUMMYFUNCTION("""COMPUTED_VALUE"""),"CM 1604")</f>
        <v>CM 1604</v>
      </c>
      <c r="B627" s="94"/>
      <c r="C627" s="94"/>
      <c r="D627" s="94"/>
      <c r="E627" s="1429">
        <f>IFERROR(__xludf.DUMMYFUNCTION("""COMPUTED_VALUE"""),45850.0)</f>
        <v>45850</v>
      </c>
      <c r="F627" s="1429">
        <f>IFERROR(__xludf.DUMMYFUNCTION("""COMPUTED_VALUE"""),45854.0)</f>
        <v>45854</v>
      </c>
      <c r="G627" s="1430">
        <f>IFERROR(__xludf.DUMMYFUNCTION("""COMPUTED_VALUE"""),4.0)</f>
        <v>4</v>
      </c>
      <c r="H627" s="94">
        <f t="shared" si="1"/>
        <v>7</v>
      </c>
    </row>
    <row r="628" ht="15.75" customHeight="1">
      <c r="A628" s="94" t="str">
        <f>IFERROR(__xludf.DUMMYFUNCTION("""COMPUTED_VALUE"""),"WS A907")</f>
        <v>WS A907</v>
      </c>
      <c r="B628" s="94"/>
      <c r="C628" s="94"/>
      <c r="D628" s="94"/>
      <c r="E628" s="1429">
        <f>IFERROR(__xludf.DUMMYFUNCTION("""COMPUTED_VALUE"""),45850.0)</f>
        <v>45850</v>
      </c>
      <c r="F628" s="1429">
        <f>IFERROR(__xludf.DUMMYFUNCTION("""COMPUTED_VALUE"""),45858.0)</f>
        <v>45858</v>
      </c>
      <c r="G628" s="1430">
        <f>IFERROR(__xludf.DUMMYFUNCTION("""COMPUTED_VALUE"""),8.0)</f>
        <v>8</v>
      </c>
      <c r="H628" s="94">
        <f t="shared" si="1"/>
        <v>7</v>
      </c>
    </row>
    <row r="629" ht="15.75" customHeight="1">
      <c r="A629" s="94" t="str">
        <f>IFERROR(__xludf.DUMMYFUNCTION("""COMPUTED_VALUE"""),"WS В 503")</f>
        <v>WS В 503</v>
      </c>
      <c r="B629" s="94"/>
      <c r="C629" s="94"/>
      <c r="D629" s="94"/>
      <c r="E629" s="1429">
        <f>IFERROR(__xludf.DUMMYFUNCTION("""COMPUTED_VALUE"""),45850.0)</f>
        <v>45850</v>
      </c>
      <c r="F629" s="1429">
        <f>IFERROR(__xludf.DUMMYFUNCTION("""COMPUTED_VALUE"""),45854.0)</f>
        <v>45854</v>
      </c>
      <c r="G629" s="1430">
        <f>IFERROR(__xludf.DUMMYFUNCTION("""COMPUTED_VALUE"""),4.0)</f>
        <v>4</v>
      </c>
      <c r="H629" s="94">
        <f t="shared" si="1"/>
        <v>7</v>
      </c>
    </row>
    <row r="630" ht="15.75" customHeight="1">
      <c r="A630" s="94" t="str">
        <f>IFERROR(__xludf.DUMMYFUNCTION("""COMPUTED_VALUE"""),"TGA8")</f>
        <v>TGA8</v>
      </c>
      <c r="B630" s="94"/>
      <c r="C630" s="94"/>
      <c r="D630" s="94"/>
      <c r="E630" s="1429">
        <f>IFERROR(__xludf.DUMMYFUNCTION("""COMPUTED_VALUE"""),45850.0)</f>
        <v>45850</v>
      </c>
      <c r="F630" s="1429">
        <f>IFERROR(__xludf.DUMMYFUNCTION("""COMPUTED_VALUE"""),45853.0)</f>
        <v>45853</v>
      </c>
      <c r="G630" s="1430">
        <f>IFERROR(__xludf.DUMMYFUNCTION("""COMPUTED_VALUE"""),3.0)</f>
        <v>3</v>
      </c>
      <c r="H630" s="94">
        <f t="shared" si="1"/>
        <v>7</v>
      </c>
    </row>
    <row r="631" ht="15.75" customHeight="1">
      <c r="A631" s="94" t="str">
        <f>IFERROR(__xludf.DUMMYFUNCTION("""COMPUTED_VALUE"""),"Шар 2505")</f>
        <v>Шар 2505</v>
      </c>
      <c r="B631" s="94"/>
      <c r="C631" s="94"/>
      <c r="D631" s="94"/>
      <c r="E631" s="1429">
        <f>IFERROR(__xludf.DUMMYFUNCTION("""COMPUTED_VALUE"""),45850.0)</f>
        <v>45850</v>
      </c>
      <c r="F631" s="1429">
        <f>IFERROR(__xludf.DUMMYFUNCTION("""COMPUTED_VALUE"""),45854.0)</f>
        <v>45854</v>
      </c>
      <c r="G631" s="1430">
        <f>IFERROR(__xludf.DUMMYFUNCTION("""COMPUTED_VALUE"""),4.0)</f>
        <v>4</v>
      </c>
      <c r="H631" s="94">
        <f t="shared" si="1"/>
        <v>7</v>
      </c>
    </row>
    <row r="632" ht="15.75" customHeight="1">
      <c r="A632" s="94" t="str">
        <f>IFERROR(__xludf.DUMMYFUNCTION("""COMPUTED_VALUE"""),"NW 4-10")</f>
        <v>NW 4-10</v>
      </c>
      <c r="B632" s="94"/>
      <c r="C632" s="94"/>
      <c r="D632" s="94"/>
      <c r="E632" s="1429">
        <f>IFERROR(__xludf.DUMMYFUNCTION("""COMPUTED_VALUE"""),45850.0)</f>
        <v>45850</v>
      </c>
      <c r="F632" s="1429">
        <f>IFERROR(__xludf.DUMMYFUNCTION("""COMPUTED_VALUE"""),45857.0)</f>
        <v>45857</v>
      </c>
      <c r="G632" s="1430">
        <f>IFERROR(__xludf.DUMMYFUNCTION("""COMPUTED_VALUE"""),7.0)</f>
        <v>7</v>
      </c>
      <c r="H632" s="94">
        <f t="shared" si="1"/>
        <v>7</v>
      </c>
    </row>
    <row r="633" ht="15.75" customHeight="1">
      <c r="A633" s="94" t="str">
        <f>IFERROR(__xludf.DUMMYFUNCTION("""COMPUTED_VALUE"""),"DL7-16")</f>
        <v>DL7-16</v>
      </c>
      <c r="B633" s="94"/>
      <c r="C633" s="94"/>
      <c r="D633" s="94"/>
      <c r="E633" s="1429">
        <f>IFERROR(__xludf.DUMMYFUNCTION("""COMPUTED_VALUE"""),45849.0)</f>
        <v>45849</v>
      </c>
      <c r="F633" s="1429">
        <f>IFERROR(__xludf.DUMMYFUNCTION("""COMPUTED_VALUE"""),45861.0)</f>
        <v>45861</v>
      </c>
      <c r="G633" s="1430">
        <f>IFERROR(__xludf.DUMMYFUNCTION("""COMPUTED_VALUE"""),12.0)</f>
        <v>12</v>
      </c>
      <c r="H633" s="94">
        <f t="shared" si="1"/>
        <v>7</v>
      </c>
    </row>
    <row r="634" ht="15.75" customHeight="1">
      <c r="A634" s="94" t="str">
        <f>IFERROR(__xludf.DUMMYFUNCTION("""COMPUTED_VALUE"""),"14-411")</f>
        <v>14-411</v>
      </c>
      <c r="B634" s="94"/>
      <c r="C634" s="94"/>
      <c r="D634" s="94"/>
      <c r="E634" s="1429">
        <f>IFERROR(__xludf.DUMMYFUNCTION("""COMPUTED_VALUE"""),45851.0)</f>
        <v>45851</v>
      </c>
      <c r="F634" s="1429">
        <f>IFERROR(__xludf.DUMMYFUNCTION("""COMPUTED_VALUE"""),45861.0)</f>
        <v>45861</v>
      </c>
      <c r="G634" s="1430">
        <f>IFERROR(__xludf.DUMMYFUNCTION("""COMPUTED_VALUE"""),10.0)</f>
        <v>10</v>
      </c>
      <c r="H634" s="94">
        <f t="shared" si="1"/>
        <v>7</v>
      </c>
    </row>
    <row r="635" ht="15.75" customHeight="1">
      <c r="A635" s="94" t="str">
        <f>IFERROR(__xludf.DUMMYFUNCTION("""COMPUTED_VALUE"""),"D2 503")</f>
        <v>D2 503</v>
      </c>
      <c r="B635" s="94"/>
      <c r="C635" s="94"/>
      <c r="D635" s="94"/>
      <c r="E635" s="1429">
        <f>IFERROR(__xludf.DUMMYFUNCTION("""COMPUTED_VALUE"""),45851.0)</f>
        <v>45851</v>
      </c>
      <c r="F635" s="1429">
        <f>IFERROR(__xludf.DUMMYFUNCTION("""COMPUTED_VALUE"""),45854.0)</f>
        <v>45854</v>
      </c>
      <c r="G635" s="1430">
        <f>IFERROR(__xludf.DUMMYFUNCTION("""COMPUTED_VALUE"""),3.0)</f>
        <v>3</v>
      </c>
      <c r="H635" s="94">
        <f t="shared" si="1"/>
        <v>7</v>
      </c>
    </row>
    <row r="636" ht="15.75" customHeight="1">
      <c r="A636" s="94" t="str">
        <f>IFERROR(__xludf.DUMMYFUNCTION("""COMPUTED_VALUE"""),"C 4245")</f>
        <v>C 4245</v>
      </c>
      <c r="B636" s="94"/>
      <c r="C636" s="94"/>
      <c r="D636" s="94"/>
      <c r="E636" s="1429">
        <f>IFERROR(__xludf.DUMMYFUNCTION("""COMPUTED_VALUE"""),45851.0)</f>
        <v>45851</v>
      </c>
      <c r="F636" s="1429">
        <f>IFERROR(__xludf.DUMMYFUNCTION("""COMPUTED_VALUE"""),45858.0)</f>
        <v>45858</v>
      </c>
      <c r="G636" s="1430">
        <f>IFERROR(__xludf.DUMMYFUNCTION("""COMPUTED_VALUE"""),7.0)</f>
        <v>7</v>
      </c>
      <c r="H636" s="94">
        <f t="shared" si="1"/>
        <v>7</v>
      </c>
    </row>
    <row r="637" ht="15.75" customHeight="1">
      <c r="A637" s="94" t="str">
        <f>IFERROR(__xludf.DUMMYFUNCTION("""COMPUTED_VALUE"""),"D2 1625")</f>
        <v>D2 1625</v>
      </c>
      <c r="B637" s="94"/>
      <c r="C637" s="94"/>
      <c r="D637" s="94"/>
      <c r="E637" s="1429">
        <f>IFERROR(__xludf.DUMMYFUNCTION("""COMPUTED_VALUE"""),45851.0)</f>
        <v>45851</v>
      </c>
      <c r="F637" s="1429">
        <f>IFERROR(__xludf.DUMMYFUNCTION("""COMPUTED_VALUE"""),45853.0)</f>
        <v>45853</v>
      </c>
      <c r="G637" s="1430">
        <f>IFERROR(__xludf.DUMMYFUNCTION("""COMPUTED_VALUE"""),2.0)</f>
        <v>2</v>
      </c>
      <c r="H637" s="94">
        <f t="shared" si="1"/>
        <v>7</v>
      </c>
    </row>
    <row r="638" ht="15.75" customHeight="1">
      <c r="A638" s="94" t="str">
        <f>IFERROR(__xludf.DUMMYFUNCTION("""COMPUTED_VALUE"""),"NW 3-7")</f>
        <v>NW 3-7</v>
      </c>
      <c r="B638" s="94"/>
      <c r="C638" s="94"/>
      <c r="D638" s="94"/>
      <c r="E638" s="1434">
        <f>IFERROR(__xludf.DUMMYFUNCTION("""COMPUTED_VALUE"""),45851.0)</f>
        <v>45851</v>
      </c>
      <c r="F638" s="1429">
        <f>IFERROR(__xludf.DUMMYFUNCTION("""COMPUTED_VALUE"""),45859.0)</f>
        <v>45859</v>
      </c>
      <c r="G638" s="1430">
        <f>IFERROR(__xludf.DUMMYFUNCTION("""COMPUTED_VALUE"""),8.0)</f>
        <v>8</v>
      </c>
      <c r="H638" s="94">
        <f t="shared" si="1"/>
        <v>7</v>
      </c>
    </row>
    <row r="639" ht="15.75" customHeight="1">
      <c r="A639" s="94" t="str">
        <f>IFERROR(__xludf.DUMMYFUNCTION("""COMPUTED_VALUE"""),"MZ 913")</f>
        <v>MZ 913</v>
      </c>
      <c r="B639" s="94"/>
      <c r="C639" s="94"/>
      <c r="D639" s="94"/>
      <c r="E639" s="1429">
        <f>IFERROR(__xludf.DUMMYFUNCTION("""COMPUTED_VALUE"""),45851.0)</f>
        <v>45851</v>
      </c>
      <c r="F639" s="1429">
        <f>IFERROR(__xludf.DUMMYFUNCTION("""COMPUTED_VALUE"""),45857.0)</f>
        <v>45857</v>
      </c>
      <c r="G639" s="1430">
        <f>IFERROR(__xludf.DUMMYFUNCTION("""COMPUTED_VALUE"""),6.0)</f>
        <v>6</v>
      </c>
      <c r="H639" s="94">
        <f t="shared" si="1"/>
        <v>7</v>
      </c>
    </row>
    <row r="640" ht="15.75" customHeight="1">
      <c r="A640" s="94" t="str">
        <f>IFERROR(__xludf.DUMMYFUNCTION("""COMPUTED_VALUE"""),"WS A805")</f>
        <v>WS A805</v>
      </c>
      <c r="B640" s="94"/>
      <c r="C640" s="94"/>
      <c r="D640" s="94"/>
      <c r="E640" s="1429">
        <f>IFERROR(__xludf.DUMMYFUNCTION("""COMPUTED_VALUE"""),45851.0)</f>
        <v>45851</v>
      </c>
      <c r="F640" s="1429">
        <f>IFERROR(__xludf.DUMMYFUNCTION("""COMPUTED_VALUE"""),45856.0)</f>
        <v>45856</v>
      </c>
      <c r="G640" s="1430">
        <f>IFERROR(__xludf.DUMMYFUNCTION("""COMPUTED_VALUE"""),5.0)</f>
        <v>5</v>
      </c>
      <c r="H640" s="94">
        <f t="shared" si="1"/>
        <v>7</v>
      </c>
    </row>
    <row r="641" ht="15.75" customHeight="1">
      <c r="A641" s="94" t="str">
        <f>IFERROR(__xludf.DUMMYFUNCTION("""COMPUTED_VALUE"""),"WS A 608")</f>
        <v>WS A 608</v>
      </c>
      <c r="B641" s="94"/>
      <c r="C641" s="94"/>
      <c r="D641" s="94"/>
      <c r="E641" s="1429">
        <f>IFERROR(__xludf.DUMMYFUNCTION("""COMPUTED_VALUE"""),45851.0)</f>
        <v>45851</v>
      </c>
      <c r="F641" s="1429">
        <f>IFERROR(__xludf.DUMMYFUNCTION("""COMPUTED_VALUE"""),45854.0)</f>
        <v>45854</v>
      </c>
      <c r="G641" s="1430">
        <f>IFERROR(__xludf.DUMMYFUNCTION("""COMPUTED_VALUE"""),3.0)</f>
        <v>3</v>
      </c>
      <c r="H641" s="94">
        <f t="shared" si="1"/>
        <v>7</v>
      </c>
    </row>
    <row r="642" ht="15.75" customHeight="1">
      <c r="A642" s="94" t="str">
        <f>IFERROR(__xludf.DUMMYFUNCTION("""COMPUTED_VALUE"""),"Steps1123")</f>
        <v>Steps1123</v>
      </c>
      <c r="B642" s="94"/>
      <c r="C642" s="94"/>
      <c r="D642" s="94"/>
      <c r="E642" s="1429">
        <f>IFERROR(__xludf.DUMMYFUNCTION("""COMPUTED_VALUE"""),45851.0)</f>
        <v>45851</v>
      </c>
      <c r="F642" s="1429">
        <f>IFERROR(__xludf.DUMMYFUNCTION("""COMPUTED_VALUE"""),45856.0)</f>
        <v>45856</v>
      </c>
      <c r="G642" s="1430">
        <f>IFERROR(__xludf.DUMMYFUNCTION("""COMPUTED_VALUE"""),5.0)</f>
        <v>5</v>
      </c>
      <c r="H642" s="94">
        <f t="shared" si="1"/>
        <v>7</v>
      </c>
    </row>
    <row r="643" ht="15.75" customHeight="1">
      <c r="A643" s="94" t="str">
        <f>IFERROR(__xludf.DUMMYFUNCTION("""COMPUTED_VALUE"""),"TGB2")</f>
        <v>TGB2</v>
      </c>
      <c r="B643" s="94"/>
      <c r="C643" s="94"/>
      <c r="D643" s="94"/>
      <c r="E643" s="1429">
        <f>IFERROR(__xludf.DUMMYFUNCTION("""COMPUTED_VALUE"""),45851.0)</f>
        <v>45851</v>
      </c>
      <c r="F643" s="1429">
        <f>IFERROR(__xludf.DUMMYFUNCTION("""COMPUTED_VALUE"""),45853.0)</f>
        <v>45853</v>
      </c>
      <c r="G643" s="1430">
        <f>IFERROR(__xludf.DUMMYFUNCTION("""COMPUTED_VALUE"""),2.0)</f>
        <v>2</v>
      </c>
      <c r="H643" s="94">
        <f t="shared" si="1"/>
        <v>7</v>
      </c>
    </row>
    <row r="644" ht="15.75" customHeight="1">
      <c r="A644" s="94" t="str">
        <f>IFERROR(__xludf.DUMMYFUNCTION("""COMPUTED_VALUE"""),"DL14-1405")</f>
        <v>DL14-1405</v>
      </c>
      <c r="B644" s="94"/>
      <c r="C644" s="94"/>
      <c r="D644" s="94"/>
      <c r="E644" s="1429">
        <f>IFERROR(__xludf.DUMMYFUNCTION("""COMPUTED_VALUE"""),45851.0)</f>
        <v>45851</v>
      </c>
      <c r="F644" s="1429">
        <f>IFERROR(__xludf.DUMMYFUNCTION("""COMPUTED_VALUE"""),45856.0)</f>
        <v>45856</v>
      </c>
      <c r="G644" s="1430">
        <f>IFERROR(__xludf.DUMMYFUNCTION("""COMPUTED_VALUE"""),5.0)</f>
        <v>5</v>
      </c>
      <c r="H644" s="94">
        <f t="shared" si="1"/>
        <v>7</v>
      </c>
    </row>
    <row r="645" ht="15.75" customHeight="1">
      <c r="A645" s="94" t="str">
        <f>IFERROR(__xludf.DUMMYFUNCTION("""COMPUTED_VALUE"""),"TGB6")</f>
        <v>TGB6</v>
      </c>
      <c r="B645" s="94"/>
      <c r="C645" s="94"/>
      <c r="D645" s="94"/>
      <c r="E645" s="1429">
        <f>IFERROR(__xludf.DUMMYFUNCTION("""COMPUTED_VALUE"""),45848.0)</f>
        <v>45848</v>
      </c>
      <c r="F645" s="1429">
        <f>IFERROR(__xludf.DUMMYFUNCTION("""COMPUTED_VALUE"""),45852.0)</f>
        <v>45852</v>
      </c>
      <c r="G645" s="1430">
        <f>IFERROR(__xludf.DUMMYFUNCTION("""COMPUTED_VALUE"""),4.0)</f>
        <v>4</v>
      </c>
      <c r="H645" s="94">
        <f t="shared" si="1"/>
        <v>7</v>
      </c>
    </row>
    <row r="646" ht="15.75" customHeight="1">
      <c r="A646" s="94" t="str">
        <f>IFERROR(__xludf.DUMMYFUNCTION("""COMPUTED_VALUE"""),"NW 4-9")</f>
        <v>NW 4-9</v>
      </c>
      <c r="B646" s="94"/>
      <c r="C646" s="94"/>
      <c r="D646" s="94"/>
      <c r="E646" s="1429">
        <f>IFERROR(__xludf.DUMMYFUNCTION("""COMPUTED_VALUE"""),45852.0)</f>
        <v>45852</v>
      </c>
      <c r="F646" s="1429">
        <f>IFERROR(__xludf.DUMMYFUNCTION("""COMPUTED_VALUE"""),45855.0)</f>
        <v>45855</v>
      </c>
      <c r="G646" s="1430">
        <f>IFERROR(__xludf.DUMMYFUNCTION("""COMPUTED_VALUE"""),3.0)</f>
        <v>3</v>
      </c>
      <c r="H646" s="94">
        <f t="shared" si="1"/>
        <v>7</v>
      </c>
    </row>
    <row r="647" ht="15.75" customHeight="1">
      <c r="A647" s="94" t="str">
        <f>IFERROR(__xludf.DUMMYFUNCTION("""COMPUTED_VALUE"""),"TGB6")</f>
        <v>TGB6</v>
      </c>
      <c r="B647" s="94"/>
      <c r="C647" s="94"/>
      <c r="D647" s="94"/>
      <c r="E647" s="1429">
        <f>IFERROR(__xludf.DUMMYFUNCTION("""COMPUTED_VALUE"""),45852.0)</f>
        <v>45852</v>
      </c>
      <c r="F647" s="1429">
        <f>IFERROR(__xludf.DUMMYFUNCTION("""COMPUTED_VALUE"""),45857.0)</f>
        <v>45857</v>
      </c>
      <c r="G647" s="1430">
        <f>IFERROR(__xludf.DUMMYFUNCTION("""COMPUTED_VALUE"""),5.0)</f>
        <v>5</v>
      </c>
      <c r="H647" s="94">
        <f t="shared" si="1"/>
        <v>7</v>
      </c>
    </row>
    <row r="648" ht="15.75" customHeight="1">
      <c r="A648" s="94" t="str">
        <f>IFERROR(__xludf.DUMMYFUNCTION("""COMPUTED_VALUE"""),"TGA3")</f>
        <v>TGA3</v>
      </c>
      <c r="B648" s="94"/>
      <c r="C648" s="94"/>
      <c r="D648" s="94"/>
      <c r="E648" s="1429">
        <f>IFERROR(__xludf.DUMMYFUNCTION("""COMPUTED_VALUE"""),45852.0)</f>
        <v>45852</v>
      </c>
      <c r="F648" s="1429">
        <f>IFERROR(__xludf.DUMMYFUNCTION("""COMPUTED_VALUE"""),45862.0)</f>
        <v>45862</v>
      </c>
      <c r="G648" s="1430">
        <f>IFERROR(__xludf.DUMMYFUNCTION("""COMPUTED_VALUE"""),10.0)</f>
        <v>10</v>
      </c>
      <c r="H648" s="94">
        <f t="shared" si="1"/>
        <v>7</v>
      </c>
    </row>
    <row r="649" ht="15.75" customHeight="1">
      <c r="A649" s="94" t="str">
        <f>IFERROR(__xludf.DUMMYFUNCTION("""COMPUTED_VALUE"""),"TGA10")</f>
        <v>TGA10</v>
      </c>
      <c r="B649" s="94"/>
      <c r="C649" s="94"/>
      <c r="D649" s="94"/>
      <c r="E649" s="1429">
        <f>IFERROR(__xludf.DUMMYFUNCTION("""COMPUTED_VALUE"""),45852.0)</f>
        <v>45852</v>
      </c>
      <c r="F649" s="1429">
        <f>IFERROR(__xludf.DUMMYFUNCTION("""COMPUTED_VALUE"""),45857.0)</f>
        <v>45857</v>
      </c>
      <c r="G649" s="1430">
        <f>IFERROR(__xludf.DUMMYFUNCTION("""COMPUTED_VALUE"""),5.0)</f>
        <v>5</v>
      </c>
      <c r="H649" s="94">
        <f t="shared" si="1"/>
        <v>7</v>
      </c>
    </row>
    <row r="650" ht="15.75" customHeight="1">
      <c r="A650" s="94" t="str">
        <f>IFERROR(__xludf.DUMMYFUNCTION("""COMPUTED_VALUE"""),"DL 14-1710")</f>
        <v>DL 14-1710</v>
      </c>
      <c r="B650" s="94"/>
      <c r="C650" s="94"/>
      <c r="D650" s="94"/>
      <c r="E650" s="1429">
        <f>IFERROR(__xludf.DUMMYFUNCTION("""COMPUTED_VALUE"""),45854.0)</f>
        <v>45854</v>
      </c>
      <c r="F650" s="1429">
        <f>IFERROR(__xludf.DUMMYFUNCTION("""COMPUTED_VALUE"""),45861.0)</f>
        <v>45861</v>
      </c>
      <c r="G650" s="1430">
        <f>IFERROR(__xludf.DUMMYFUNCTION("""COMPUTED_VALUE"""),7.0)</f>
        <v>7</v>
      </c>
      <c r="H650" s="94">
        <f t="shared" si="1"/>
        <v>7</v>
      </c>
    </row>
    <row r="651" ht="15.75" customHeight="1">
      <c r="A651" s="94" t="str">
        <f>IFERROR(__xludf.DUMMYFUNCTION("""COMPUTED_VALUE"""),"А 4049")</f>
        <v>А 4049</v>
      </c>
      <c r="B651" s="94"/>
      <c r="C651" s="94"/>
      <c r="D651" s="94"/>
      <c r="E651" s="1429">
        <f>IFERROR(__xludf.DUMMYFUNCTION("""COMPUTED_VALUE"""),45852.0)</f>
        <v>45852</v>
      </c>
      <c r="F651" s="1429">
        <f>IFERROR(__xludf.DUMMYFUNCTION("""COMPUTED_VALUE"""),45859.0)</f>
        <v>45859</v>
      </c>
      <c r="G651" s="1430">
        <f>IFERROR(__xludf.DUMMYFUNCTION("""COMPUTED_VALUE"""),7.0)</f>
        <v>7</v>
      </c>
      <c r="H651" s="94">
        <f t="shared" si="1"/>
        <v>7</v>
      </c>
    </row>
    <row r="652" ht="15.75" customHeight="1">
      <c r="A652" s="94" t="str">
        <f>IFERROR(__xludf.DUMMYFUNCTION("""COMPUTED_VALUE"""),"Вилла Ева")</f>
        <v>Вилла Ева</v>
      </c>
      <c r="B652" s="94"/>
      <c r="C652" s="94"/>
      <c r="D652" s="94"/>
      <c r="E652" s="1429">
        <f>IFERROR(__xludf.DUMMYFUNCTION("""COMPUTED_VALUE"""),45852.0)</f>
        <v>45852</v>
      </c>
      <c r="F652" s="1429">
        <f>IFERROR(__xludf.DUMMYFUNCTION("""COMPUTED_VALUE"""),45859.0)</f>
        <v>45859</v>
      </c>
      <c r="G652" s="1430">
        <f>IFERROR(__xludf.DUMMYFUNCTION("""COMPUTED_VALUE"""),7.0)</f>
        <v>7</v>
      </c>
      <c r="H652" s="94">
        <f t="shared" si="1"/>
        <v>7</v>
      </c>
    </row>
    <row r="653" ht="15.75" customHeight="1">
      <c r="A653" s="94" t="str">
        <f>IFERROR(__xludf.DUMMYFUNCTION("""COMPUTED_VALUE"""),"D 1321")</f>
        <v>D 1321</v>
      </c>
      <c r="B653" s="94"/>
      <c r="C653" s="94"/>
      <c r="D653" s="94"/>
      <c r="E653" s="1429">
        <f>IFERROR(__xludf.DUMMYFUNCTION("""COMPUTED_VALUE"""),45853.0)</f>
        <v>45853</v>
      </c>
      <c r="F653" s="1429">
        <f>IFERROR(__xludf.DUMMYFUNCTION("""COMPUTED_VALUE"""),45856.0)</f>
        <v>45856</v>
      </c>
      <c r="G653" s="1430">
        <f>IFERROR(__xludf.DUMMYFUNCTION("""COMPUTED_VALUE"""),3.0)</f>
        <v>3</v>
      </c>
      <c r="H653" s="94">
        <f t="shared" si="1"/>
        <v>7</v>
      </c>
    </row>
    <row r="654" ht="15.75" customHeight="1">
      <c r="A654" s="94" t="str">
        <f>IFERROR(__xludf.DUMMYFUNCTION("""COMPUTED_VALUE"""),"WS Е804")</f>
        <v>WS Е804</v>
      </c>
      <c r="B654" s="94"/>
      <c r="C654" s="94"/>
      <c r="D654" s="94"/>
      <c r="E654" s="1429">
        <f>IFERROR(__xludf.DUMMYFUNCTION("""COMPUTED_VALUE"""),45853.0)</f>
        <v>45853</v>
      </c>
      <c r="F654" s="1429">
        <f>IFERROR(__xludf.DUMMYFUNCTION("""COMPUTED_VALUE"""),45856.0)</f>
        <v>45856</v>
      </c>
      <c r="G654" s="1430">
        <f>IFERROR(__xludf.DUMMYFUNCTION("""COMPUTED_VALUE"""),3.0)</f>
        <v>3</v>
      </c>
      <c r="H654" s="94">
        <f t="shared" si="1"/>
        <v>7</v>
      </c>
    </row>
    <row r="655" ht="15.75" customHeight="1">
      <c r="A655" s="94" t="str">
        <f>IFERROR(__xludf.DUMMYFUNCTION("""COMPUTED_VALUE"""),"WS А 908")</f>
        <v>WS А 908</v>
      </c>
      <c r="B655" s="94"/>
      <c r="C655" s="94"/>
      <c r="D655" s="94"/>
      <c r="E655" s="1429">
        <f>IFERROR(__xludf.DUMMYFUNCTION("""COMPUTED_VALUE"""),45853.0)</f>
        <v>45853</v>
      </c>
      <c r="F655" s="1429">
        <f>IFERROR(__xludf.DUMMYFUNCTION("""COMPUTED_VALUE"""),45859.0)</f>
        <v>45859</v>
      </c>
      <c r="G655" s="1430">
        <f>IFERROR(__xludf.DUMMYFUNCTION("""COMPUTED_VALUE"""),6.0)</f>
        <v>6</v>
      </c>
      <c r="H655" s="94">
        <f t="shared" si="1"/>
        <v>7</v>
      </c>
    </row>
    <row r="656" ht="15.75" customHeight="1">
      <c r="A656" s="94" t="str">
        <f>IFERROR(__xludf.DUMMYFUNCTION("""COMPUTED_VALUE"""),"Polo 4-12")</f>
        <v>Polo 4-12</v>
      </c>
      <c r="B656" s="94"/>
      <c r="C656" s="94"/>
      <c r="D656" s="94"/>
      <c r="E656" s="1429">
        <f>IFERROR(__xludf.DUMMYFUNCTION("""COMPUTED_VALUE"""),45853.0)</f>
        <v>45853</v>
      </c>
      <c r="F656" s="1429">
        <f>IFERROR(__xludf.DUMMYFUNCTION("""COMPUTED_VALUE"""),45883.0)</f>
        <v>45883</v>
      </c>
      <c r="G656" s="1430">
        <f>IFERROR(__xludf.DUMMYFUNCTION("""COMPUTED_VALUE"""),30.0)</f>
        <v>30</v>
      </c>
      <c r="H656" s="94">
        <f t="shared" si="1"/>
        <v>7</v>
      </c>
    </row>
    <row r="657" ht="15.75" customHeight="1">
      <c r="A657" s="94" t="str">
        <f>IFERROR(__xludf.DUMMYFUNCTION("""COMPUTED_VALUE"""),"MZ 1416")</f>
        <v>MZ 1416</v>
      </c>
      <c r="B657" s="94"/>
      <c r="C657" s="94"/>
      <c r="D657" s="94"/>
      <c r="E657" s="1429">
        <f>IFERROR(__xludf.DUMMYFUNCTION("""COMPUTED_VALUE"""),45853.0)</f>
        <v>45853</v>
      </c>
      <c r="F657" s="1429">
        <f>IFERROR(__xludf.DUMMYFUNCTION("""COMPUTED_VALUE"""),45857.0)</f>
        <v>45857</v>
      </c>
      <c r="G657" s="1430">
        <f>IFERROR(__xludf.DUMMYFUNCTION("""COMPUTED_VALUE"""),4.0)</f>
        <v>4</v>
      </c>
      <c r="H657" s="94">
        <f t="shared" si="1"/>
        <v>7</v>
      </c>
    </row>
    <row r="658" ht="15.75" customHeight="1">
      <c r="A658" s="94" t="str">
        <f>IFERROR(__xludf.DUMMYFUNCTION("""COMPUTED_VALUE"""),"TGA5")</f>
        <v>TGA5</v>
      </c>
      <c r="B658" s="94"/>
      <c r="C658" s="94"/>
      <c r="D658" s="94"/>
      <c r="E658" s="1429">
        <f>IFERROR(__xludf.DUMMYFUNCTION("""COMPUTED_VALUE"""),45853.0)</f>
        <v>45853</v>
      </c>
      <c r="F658" s="1429">
        <f>IFERROR(__xludf.DUMMYFUNCTION("""COMPUTED_VALUE"""),45856.0)</f>
        <v>45856</v>
      </c>
      <c r="G658" s="1430">
        <f>IFERROR(__xludf.DUMMYFUNCTION("""COMPUTED_VALUE"""),3.0)</f>
        <v>3</v>
      </c>
      <c r="H658" s="94">
        <f t="shared" si="1"/>
        <v>7</v>
      </c>
    </row>
    <row r="659" ht="15.75" customHeight="1">
      <c r="A659" s="94" t="str">
        <f>IFERROR(__xludf.DUMMYFUNCTION("""COMPUTED_VALUE"""),"TGA8")</f>
        <v>TGA8</v>
      </c>
      <c r="B659" s="94"/>
      <c r="C659" s="94"/>
      <c r="D659" s="94"/>
      <c r="E659" s="1429">
        <f>IFERROR(__xludf.DUMMYFUNCTION("""COMPUTED_VALUE"""),45853.0)</f>
        <v>45853</v>
      </c>
      <c r="F659" s="1429">
        <f>IFERROR(__xludf.DUMMYFUNCTION("""COMPUTED_VALUE"""),45856.0)</f>
        <v>45856</v>
      </c>
      <c r="G659" s="1430">
        <f>IFERROR(__xludf.DUMMYFUNCTION("""COMPUTED_VALUE"""),3.0)</f>
        <v>3</v>
      </c>
      <c r="H659" s="94">
        <f t="shared" si="1"/>
        <v>7</v>
      </c>
    </row>
    <row r="660" ht="15.75" customHeight="1">
      <c r="A660" s="94" t="str">
        <f>IFERROR(__xludf.DUMMYFUNCTION("""COMPUTED_VALUE"""),"TGB3")</f>
        <v>TGB3</v>
      </c>
      <c r="B660" s="94"/>
      <c r="C660" s="94"/>
      <c r="D660" s="94"/>
      <c r="E660" s="1429">
        <f>IFERROR(__xludf.DUMMYFUNCTION("""COMPUTED_VALUE"""),45853.0)</f>
        <v>45853</v>
      </c>
      <c r="F660" s="1429">
        <f>IFERROR(__xludf.DUMMYFUNCTION("""COMPUTED_VALUE"""),45856.0)</f>
        <v>45856</v>
      </c>
      <c r="G660" s="1430">
        <f>IFERROR(__xludf.DUMMYFUNCTION("""COMPUTED_VALUE"""),3.0)</f>
        <v>3</v>
      </c>
      <c r="H660" s="94">
        <f t="shared" si="1"/>
        <v>7</v>
      </c>
    </row>
    <row r="661" ht="15.75" customHeight="1">
      <c r="A661" s="94" t="str">
        <f>IFERROR(__xludf.DUMMYFUNCTION("""COMPUTED_VALUE"""),"TGB5")</f>
        <v>TGB5</v>
      </c>
      <c r="B661" s="94"/>
      <c r="C661" s="94"/>
      <c r="D661" s="94"/>
      <c r="E661" s="1429">
        <f>IFERROR(__xludf.DUMMYFUNCTION("""COMPUTED_VALUE"""),45853.0)</f>
        <v>45853</v>
      </c>
      <c r="F661" s="1429">
        <f>IFERROR(__xludf.DUMMYFUNCTION("""COMPUTED_VALUE"""),45857.0)</f>
        <v>45857</v>
      </c>
      <c r="G661" s="1430">
        <f>IFERROR(__xludf.DUMMYFUNCTION("""COMPUTED_VALUE"""),4.0)</f>
        <v>4</v>
      </c>
      <c r="H661" s="94">
        <f t="shared" si="1"/>
        <v>7</v>
      </c>
    </row>
    <row r="662" ht="15.75" customHeight="1">
      <c r="A662" s="94" t="str">
        <f>IFERROR(__xludf.DUMMYFUNCTION("""COMPUTED_VALUE"""),"TGB2")</f>
        <v>TGB2</v>
      </c>
      <c r="B662" s="94"/>
      <c r="C662" s="94"/>
      <c r="D662" s="94"/>
      <c r="E662" s="1429">
        <f>IFERROR(__xludf.DUMMYFUNCTION("""COMPUTED_VALUE"""),45853.0)</f>
        <v>45853</v>
      </c>
      <c r="F662" s="1429">
        <f>IFERROR(__xludf.DUMMYFUNCTION("""COMPUTED_VALUE"""),45857.0)</f>
        <v>45857</v>
      </c>
      <c r="G662" s="1430">
        <f>IFERROR(__xludf.DUMMYFUNCTION("""COMPUTED_VALUE"""),4.0)</f>
        <v>4</v>
      </c>
      <c r="H662" s="94">
        <f t="shared" si="1"/>
        <v>7</v>
      </c>
    </row>
    <row r="663" ht="15.75" customHeight="1">
      <c r="A663" s="94" t="str">
        <f>IFERROR(__xludf.DUMMYFUNCTION("""COMPUTED_VALUE"""),"TGB11")</f>
        <v>TGB11</v>
      </c>
      <c r="B663" s="94"/>
      <c r="C663" s="94"/>
      <c r="D663" s="94"/>
      <c r="E663" s="1429">
        <f>IFERROR(__xludf.DUMMYFUNCTION("""COMPUTED_VALUE"""),45853.0)</f>
        <v>45853</v>
      </c>
      <c r="F663" s="1429">
        <f>IFERROR(__xludf.DUMMYFUNCTION("""COMPUTED_VALUE"""),45857.0)</f>
        <v>45857</v>
      </c>
      <c r="G663" s="1430">
        <f>IFERROR(__xludf.DUMMYFUNCTION("""COMPUTED_VALUE"""),4.0)</f>
        <v>4</v>
      </c>
      <c r="H663" s="94">
        <f t="shared" si="1"/>
        <v>7</v>
      </c>
    </row>
    <row r="664" ht="15.75" customHeight="1">
      <c r="A664" s="94" t="str">
        <f>IFERROR(__xludf.DUMMYFUNCTION("""COMPUTED_VALUE"""),"TGA7")</f>
        <v>TGA7</v>
      </c>
      <c r="B664" s="94"/>
      <c r="C664" s="94"/>
      <c r="D664" s="94"/>
      <c r="E664" s="1429">
        <f>IFERROR(__xludf.DUMMYFUNCTION("""COMPUTED_VALUE"""),45853.0)</f>
        <v>45853</v>
      </c>
      <c r="F664" s="1429">
        <f>IFERROR(__xludf.DUMMYFUNCTION("""COMPUTED_VALUE"""),45860.0)</f>
        <v>45860</v>
      </c>
      <c r="G664" s="1430">
        <f>IFERROR(__xludf.DUMMYFUNCTION("""COMPUTED_VALUE"""),7.0)</f>
        <v>7</v>
      </c>
      <c r="H664" s="94">
        <f t="shared" si="1"/>
        <v>7</v>
      </c>
    </row>
    <row r="665" ht="15.75" customHeight="1">
      <c r="A665" s="94" t="str">
        <f>IFERROR(__xludf.DUMMYFUNCTION("""COMPUTED_VALUE"""),"Шар 2505")</f>
        <v>Шар 2505</v>
      </c>
      <c r="B665" s="94"/>
      <c r="C665" s="94"/>
      <c r="D665" s="94"/>
      <c r="E665" s="1429">
        <f>IFERROR(__xludf.DUMMYFUNCTION("""COMPUTED_VALUE"""),45854.0)</f>
        <v>45854</v>
      </c>
      <c r="F665" s="1429">
        <f>IFERROR(__xludf.DUMMYFUNCTION("""COMPUTED_VALUE"""),45859.0)</f>
        <v>45859</v>
      </c>
      <c r="G665" s="1430">
        <f>IFERROR(__xludf.DUMMYFUNCTION("""COMPUTED_VALUE"""),5.0)</f>
        <v>5</v>
      </c>
      <c r="H665" s="94">
        <f t="shared" si="1"/>
        <v>7</v>
      </c>
    </row>
    <row r="666" ht="15.75" customHeight="1">
      <c r="A666" s="94" t="str">
        <f>IFERROR(__xludf.DUMMYFUNCTION("""COMPUTED_VALUE"""),"DL14-501-502")</f>
        <v>DL14-501-502</v>
      </c>
      <c r="B666" s="94"/>
      <c r="C666" s="94"/>
      <c r="D666" s="94"/>
      <c r="E666" s="1429">
        <f>IFERROR(__xludf.DUMMYFUNCTION("""COMPUTED_VALUE"""),45854.0)</f>
        <v>45854</v>
      </c>
      <c r="F666" s="1429">
        <f>IFERROR(__xludf.DUMMYFUNCTION("""COMPUTED_VALUE"""),45860.0)</f>
        <v>45860</v>
      </c>
      <c r="G666" s="1430">
        <f>IFERROR(__xludf.DUMMYFUNCTION("""COMPUTED_VALUE"""),6.0)</f>
        <v>6</v>
      </c>
      <c r="H666" s="94">
        <f t="shared" si="1"/>
        <v>7</v>
      </c>
    </row>
    <row r="667" ht="15.75" customHeight="1">
      <c r="A667" s="94" t="str">
        <f>IFERROR(__xludf.DUMMYFUNCTION("""COMPUTED_VALUE"""),"WS В 212")</f>
        <v>WS В 212</v>
      </c>
      <c r="B667" s="94"/>
      <c r="C667" s="94"/>
      <c r="D667" s="94"/>
      <c r="E667" s="1429">
        <f>IFERROR(__xludf.DUMMYFUNCTION("""COMPUTED_VALUE"""),45854.0)</f>
        <v>45854</v>
      </c>
      <c r="F667" s="1429">
        <f>IFERROR(__xludf.DUMMYFUNCTION("""COMPUTED_VALUE"""),45855.0)</f>
        <v>45855</v>
      </c>
      <c r="G667" s="1430">
        <f>IFERROR(__xludf.DUMMYFUNCTION("""COMPUTED_VALUE"""),1.0)</f>
        <v>1</v>
      </c>
      <c r="H667" s="94">
        <f t="shared" si="1"/>
        <v>7</v>
      </c>
    </row>
    <row r="668" ht="15.75" customHeight="1">
      <c r="A668" s="94" t="str">
        <f>IFERROR(__xludf.DUMMYFUNCTION("""COMPUTED_VALUE"""),"WS В 503")</f>
        <v>WS В 503</v>
      </c>
      <c r="B668" s="94"/>
      <c r="C668" s="94"/>
      <c r="D668" s="94"/>
      <c r="E668" s="1429">
        <f>IFERROR(__xludf.DUMMYFUNCTION("""COMPUTED_VALUE"""),45854.0)</f>
        <v>45854</v>
      </c>
      <c r="F668" s="1429">
        <f>IFERROR(__xludf.DUMMYFUNCTION("""COMPUTED_VALUE"""),45859.0)</f>
        <v>45859</v>
      </c>
      <c r="G668" s="1430">
        <f>IFERROR(__xludf.DUMMYFUNCTION("""COMPUTED_VALUE"""),5.0)</f>
        <v>5</v>
      </c>
      <c r="H668" s="94">
        <f t="shared" si="1"/>
        <v>7</v>
      </c>
    </row>
    <row r="669" ht="15.75" customHeight="1">
      <c r="A669" s="94" t="str">
        <f>IFERROR(__xludf.DUMMYFUNCTION("""COMPUTED_VALUE"""),"WS A 409")</f>
        <v>WS A 409</v>
      </c>
      <c r="B669" s="94"/>
      <c r="C669" s="94"/>
      <c r="D669" s="94"/>
      <c r="E669" s="1429">
        <f>IFERROR(__xludf.DUMMYFUNCTION("""COMPUTED_VALUE"""),45854.0)</f>
        <v>45854</v>
      </c>
      <c r="F669" s="1429">
        <f>IFERROR(__xludf.DUMMYFUNCTION("""COMPUTED_VALUE"""),45857.0)</f>
        <v>45857</v>
      </c>
      <c r="G669" s="1430">
        <f>IFERROR(__xludf.DUMMYFUNCTION("""COMPUTED_VALUE"""),3.0)</f>
        <v>3</v>
      </c>
      <c r="H669" s="94">
        <f t="shared" si="1"/>
        <v>7</v>
      </c>
    </row>
    <row r="670" ht="15.75" customHeight="1">
      <c r="A670" s="94" t="str">
        <f>IFERROR(__xludf.DUMMYFUNCTION("""COMPUTED_VALUE"""),"CM 1604")</f>
        <v>CM 1604</v>
      </c>
      <c r="B670" s="94"/>
      <c r="C670" s="94"/>
      <c r="D670" s="94"/>
      <c r="E670" s="1429">
        <f>IFERROR(__xludf.DUMMYFUNCTION("""COMPUTED_VALUE"""),45854.0)</f>
        <v>45854</v>
      </c>
      <c r="F670" s="1429">
        <f>IFERROR(__xludf.DUMMYFUNCTION("""COMPUTED_VALUE"""),45857.0)</f>
        <v>45857</v>
      </c>
      <c r="G670" s="1430">
        <f>IFERROR(__xludf.DUMMYFUNCTION("""COMPUTED_VALUE"""),3.0)</f>
        <v>3</v>
      </c>
      <c r="H670" s="94">
        <f t="shared" si="1"/>
        <v>7</v>
      </c>
    </row>
    <row r="671" ht="15.75" customHeight="1">
      <c r="A671" s="94" t="str">
        <f>IFERROR(__xludf.DUMMYFUNCTION("""COMPUTED_VALUE"""),"PT2604")</f>
        <v>PT2604</v>
      </c>
      <c r="B671" s="94"/>
      <c r="C671" s="94"/>
      <c r="D671" s="94"/>
      <c r="E671" s="1429">
        <f>IFERROR(__xludf.DUMMYFUNCTION("""COMPUTED_VALUE"""),45854.0)</f>
        <v>45854</v>
      </c>
      <c r="F671" s="1429">
        <f>IFERROR(__xludf.DUMMYFUNCTION("""COMPUTED_VALUE"""),45858.0)</f>
        <v>45858</v>
      </c>
      <c r="G671" s="1430">
        <f>IFERROR(__xludf.DUMMYFUNCTION("""COMPUTED_VALUE"""),4.0)</f>
        <v>4</v>
      </c>
      <c r="H671" s="94">
        <f t="shared" si="1"/>
        <v>7</v>
      </c>
    </row>
    <row r="672" ht="15.75" customHeight="1">
      <c r="A672" s="94" t="str">
        <f>IFERROR(__xludf.DUMMYFUNCTION("""COMPUTED_VALUE"""),"D2 1625")</f>
        <v>D2 1625</v>
      </c>
      <c r="B672" s="94"/>
      <c r="C672" s="94"/>
      <c r="D672" s="94"/>
      <c r="E672" s="1429">
        <f>IFERROR(__xludf.DUMMYFUNCTION("""COMPUTED_VALUE"""),45854.0)</f>
        <v>45854</v>
      </c>
      <c r="F672" s="1429">
        <f>IFERROR(__xludf.DUMMYFUNCTION("""COMPUTED_VALUE"""),45857.0)</f>
        <v>45857</v>
      </c>
      <c r="G672" s="1430">
        <f>IFERROR(__xludf.DUMMYFUNCTION("""COMPUTED_VALUE"""),3.0)</f>
        <v>3</v>
      </c>
      <c r="H672" s="94">
        <f t="shared" si="1"/>
        <v>7</v>
      </c>
    </row>
    <row r="673" ht="15.75" customHeight="1">
      <c r="A673" s="94" t="str">
        <f>IFERROR(__xludf.DUMMYFUNCTION("""COMPUTED_VALUE"""),"CM 1931")</f>
        <v>CM 1931</v>
      </c>
      <c r="B673" s="94"/>
      <c r="C673" s="94"/>
      <c r="D673" s="94"/>
      <c r="E673" s="1429">
        <f>IFERROR(__xludf.DUMMYFUNCTION("""COMPUTED_VALUE"""),45855.0)</f>
        <v>45855</v>
      </c>
      <c r="F673" s="1429">
        <f>IFERROR(__xludf.DUMMYFUNCTION("""COMPUTED_VALUE"""),45858.0)</f>
        <v>45858</v>
      </c>
      <c r="G673" s="1430">
        <f>IFERROR(__xludf.DUMMYFUNCTION("""COMPUTED_VALUE"""),3.0)</f>
        <v>3</v>
      </c>
      <c r="H673" s="94">
        <f t="shared" si="1"/>
        <v>7</v>
      </c>
    </row>
    <row r="674" ht="15.75" customHeight="1">
      <c r="A674" s="94" t="str">
        <f>IFERROR(__xludf.DUMMYFUNCTION("""COMPUTED_VALUE"""),"D2 503")</f>
        <v>D2 503</v>
      </c>
      <c r="B674" s="94"/>
      <c r="C674" s="94"/>
      <c r="D674" s="94"/>
      <c r="E674" s="1429">
        <f>IFERROR(__xludf.DUMMYFUNCTION("""COMPUTED_VALUE"""),45855.0)</f>
        <v>45855</v>
      </c>
      <c r="F674" s="1429">
        <f>IFERROR(__xludf.DUMMYFUNCTION("""COMPUTED_VALUE"""),45865.0)</f>
        <v>45865</v>
      </c>
      <c r="G674" s="1430">
        <f>IFERROR(__xludf.DUMMYFUNCTION("""COMPUTED_VALUE"""),10.0)</f>
        <v>10</v>
      </c>
      <c r="H674" s="94">
        <f t="shared" si="1"/>
        <v>7</v>
      </c>
    </row>
    <row r="675" ht="15.75" customHeight="1">
      <c r="A675" s="94" t="str">
        <f>IFERROR(__xludf.DUMMYFUNCTION("""COMPUTED_VALUE"""),"NW 4-9")</f>
        <v>NW 4-9</v>
      </c>
      <c r="B675" s="94"/>
      <c r="C675" s="94"/>
      <c r="D675" s="94"/>
      <c r="E675" s="1429">
        <f>IFERROR(__xludf.DUMMYFUNCTION("""COMPUTED_VALUE"""),45855.0)</f>
        <v>45855</v>
      </c>
      <c r="F675" s="1429">
        <f>IFERROR(__xludf.DUMMYFUNCTION("""COMPUTED_VALUE"""),45859.0)</f>
        <v>45859</v>
      </c>
      <c r="G675" s="1430">
        <f>IFERROR(__xludf.DUMMYFUNCTION("""COMPUTED_VALUE"""),4.0)</f>
        <v>4</v>
      </c>
      <c r="H675" s="94">
        <f t="shared" si="1"/>
        <v>7</v>
      </c>
    </row>
    <row r="676" ht="15.75" customHeight="1">
      <c r="A676" s="94" t="str">
        <f>IFERROR(__xludf.DUMMYFUNCTION("""COMPUTED_VALUE"""),"MZ 718")</f>
        <v>MZ 718</v>
      </c>
      <c r="B676" s="94"/>
      <c r="C676" s="94"/>
      <c r="D676" s="94"/>
      <c r="E676" s="1429">
        <f>IFERROR(__xludf.DUMMYFUNCTION("""COMPUTED_VALUE"""),45855.0)</f>
        <v>45855</v>
      </c>
      <c r="F676" s="1429">
        <f>IFERROR(__xludf.DUMMYFUNCTION("""COMPUTED_VALUE"""),45858.0)</f>
        <v>45858</v>
      </c>
      <c r="G676" s="1430">
        <f>IFERROR(__xludf.DUMMYFUNCTION("""COMPUTED_VALUE"""),3.0)</f>
        <v>3</v>
      </c>
      <c r="H676" s="94">
        <f t="shared" si="1"/>
        <v>7</v>
      </c>
    </row>
    <row r="677" ht="15.75" customHeight="1">
      <c r="A677" s="94" t="str">
        <f>IFERROR(__xludf.DUMMYFUNCTION("""COMPUTED_VALUE"""),"WS В 1510")</f>
        <v>WS В 1510</v>
      </c>
      <c r="B677" s="94"/>
      <c r="C677" s="94"/>
      <c r="D677" s="94"/>
      <c r="E677" s="1429">
        <f>IFERROR(__xludf.DUMMYFUNCTION("""COMPUTED_VALUE"""),45855.0)</f>
        <v>45855</v>
      </c>
      <c r="F677" s="1429">
        <f>IFERROR(__xludf.DUMMYFUNCTION("""COMPUTED_VALUE"""),45858.0)</f>
        <v>45858</v>
      </c>
      <c r="G677" s="1430">
        <f>IFERROR(__xludf.DUMMYFUNCTION("""COMPUTED_VALUE"""),3.0)</f>
        <v>3</v>
      </c>
      <c r="H677" s="94">
        <f t="shared" si="1"/>
        <v>7</v>
      </c>
    </row>
    <row r="678" ht="15.75" customHeight="1">
      <c r="A678" s="94" t="str">
        <f>IFERROR(__xludf.DUMMYFUNCTION("""COMPUTED_VALUE"""),"WS E704")</f>
        <v>WS E704</v>
      </c>
      <c r="B678" s="94"/>
      <c r="C678" s="94"/>
      <c r="D678" s="94"/>
      <c r="E678" s="1429">
        <f>IFERROR(__xludf.DUMMYFUNCTION("""COMPUTED_VALUE"""),45855.0)</f>
        <v>45855</v>
      </c>
      <c r="F678" s="1429">
        <f>IFERROR(__xludf.DUMMYFUNCTION("""COMPUTED_VALUE"""),45863.0)</f>
        <v>45863</v>
      </c>
      <c r="G678" s="1430">
        <f>IFERROR(__xludf.DUMMYFUNCTION("""COMPUTED_VALUE"""),8.0)</f>
        <v>8</v>
      </c>
      <c r="H678" s="94">
        <f t="shared" si="1"/>
        <v>7</v>
      </c>
    </row>
    <row r="679" ht="15.75" customHeight="1">
      <c r="A679" s="94" t="str">
        <f>IFERROR(__xludf.DUMMYFUNCTION("""COMPUTED_VALUE"""),"DL 14-1214")</f>
        <v>DL 14-1214</v>
      </c>
      <c r="B679" s="94"/>
      <c r="C679" s="94"/>
      <c r="D679" s="94"/>
      <c r="E679" s="1429">
        <f>IFERROR(__xludf.DUMMYFUNCTION("""COMPUTED_VALUE"""),45855.0)</f>
        <v>45855</v>
      </c>
      <c r="F679" s="1429">
        <f>IFERROR(__xludf.DUMMYFUNCTION("""COMPUTED_VALUE"""),45859.0)</f>
        <v>45859</v>
      </c>
      <c r="G679" s="1430">
        <f>IFERROR(__xludf.DUMMYFUNCTION("""COMPUTED_VALUE"""),4.0)</f>
        <v>4</v>
      </c>
      <c r="H679" s="94">
        <f t="shared" si="1"/>
        <v>7</v>
      </c>
    </row>
    <row r="680" ht="15.75" customHeight="1">
      <c r="A680" s="94" t="str">
        <f>IFERROR(__xludf.DUMMYFUNCTION("""COMPUTED_VALUE"""),"DL 13-206")</f>
        <v>DL 13-206</v>
      </c>
      <c r="B680" s="94"/>
      <c r="C680" s="94"/>
      <c r="D680" s="94"/>
      <c r="E680" s="1429">
        <f>IFERROR(__xludf.DUMMYFUNCTION("""COMPUTED_VALUE"""),45855.0)</f>
        <v>45855</v>
      </c>
      <c r="F680" s="1429">
        <f>IFERROR(__xludf.DUMMYFUNCTION("""COMPUTED_VALUE"""),45858.0)</f>
        <v>45858</v>
      </c>
      <c r="G680" s="1430">
        <f>IFERROR(__xludf.DUMMYFUNCTION("""COMPUTED_VALUE"""),3.0)</f>
        <v>3</v>
      </c>
      <c r="H680" s="94">
        <f t="shared" si="1"/>
        <v>7</v>
      </c>
    </row>
    <row r="681" ht="15.75" customHeight="1">
      <c r="A681" s="94" t="str">
        <f>IFERROR(__xludf.DUMMYFUNCTION("""COMPUTED_VALUE"""),"DL 13-703")</f>
        <v>DL 13-703</v>
      </c>
      <c r="B681" s="94"/>
      <c r="C681" s="94"/>
      <c r="D681" s="94"/>
      <c r="E681" s="1429">
        <f>IFERROR(__xludf.DUMMYFUNCTION("""COMPUTED_VALUE"""),45855.0)</f>
        <v>45855</v>
      </c>
      <c r="F681" s="1429">
        <f>IFERROR(__xludf.DUMMYFUNCTION("""COMPUTED_VALUE"""),45861.0)</f>
        <v>45861</v>
      </c>
      <c r="G681" s="1430">
        <f>IFERROR(__xludf.DUMMYFUNCTION("""COMPUTED_VALUE"""),6.0)</f>
        <v>6</v>
      </c>
      <c r="H681" s="94">
        <f t="shared" si="1"/>
        <v>7</v>
      </c>
    </row>
    <row r="682" ht="15.75" customHeight="1">
      <c r="A682" s="94" t="str">
        <f>IFERROR(__xludf.DUMMYFUNCTION("""COMPUTED_VALUE"""),"DL 14-702")</f>
        <v>DL 14-702</v>
      </c>
      <c r="B682" s="94"/>
      <c r="C682" s="94"/>
      <c r="D682" s="94"/>
      <c r="E682" s="1429">
        <f>IFERROR(__xludf.DUMMYFUNCTION("""COMPUTED_VALUE"""),45855.0)</f>
        <v>45855</v>
      </c>
      <c r="F682" s="1429">
        <f>IFERROR(__xludf.DUMMYFUNCTION("""COMPUTED_VALUE"""),45858.0)</f>
        <v>45858</v>
      </c>
      <c r="G682" s="1430">
        <f>IFERROR(__xludf.DUMMYFUNCTION("""COMPUTED_VALUE"""),3.0)</f>
        <v>3</v>
      </c>
      <c r="H682" s="94">
        <f t="shared" si="1"/>
        <v>7</v>
      </c>
    </row>
    <row r="683" ht="15.75" customHeight="1">
      <c r="A683" s="94" t="str">
        <f>IFERROR(__xludf.DUMMYFUNCTION("""COMPUTED_VALUE"""),"BV1318")</f>
        <v>BV1318</v>
      </c>
      <c r="B683" s="94"/>
      <c r="C683" s="94"/>
      <c r="D683" s="94"/>
      <c r="E683" s="1429">
        <f>IFERROR(__xludf.DUMMYFUNCTION("""COMPUTED_VALUE"""),45855.0)</f>
        <v>45855</v>
      </c>
      <c r="F683" s="1429">
        <f>IFERROR(__xludf.DUMMYFUNCTION("""COMPUTED_VALUE"""),45861.0)</f>
        <v>45861</v>
      </c>
      <c r="G683" s="1430">
        <f>IFERROR(__xludf.DUMMYFUNCTION("""COMPUTED_VALUE"""),6.0)</f>
        <v>6</v>
      </c>
      <c r="H683" s="94">
        <f t="shared" si="1"/>
        <v>7</v>
      </c>
    </row>
    <row r="684" ht="15.75" customHeight="1">
      <c r="A684" s="94" t="str">
        <f>IFERROR(__xludf.DUMMYFUNCTION("""COMPUTED_VALUE"""),"WS F1103")</f>
        <v>WS F1103</v>
      </c>
      <c r="B684" s="94"/>
      <c r="C684" s="94"/>
      <c r="D684" s="94"/>
      <c r="E684" s="1429">
        <f>IFERROR(__xludf.DUMMYFUNCTION("""COMPUTED_VALUE"""),45856.0)</f>
        <v>45856</v>
      </c>
      <c r="F684" s="1429">
        <f>IFERROR(__xludf.DUMMYFUNCTION("""COMPUTED_VALUE"""),45860.0)</f>
        <v>45860</v>
      </c>
      <c r="G684" s="1430">
        <f>IFERROR(__xludf.DUMMYFUNCTION("""COMPUTED_VALUE"""),4.0)</f>
        <v>4</v>
      </c>
      <c r="H684" s="94">
        <f t="shared" si="1"/>
        <v>7</v>
      </c>
    </row>
    <row r="685" ht="15.75" customHeight="1">
      <c r="A685" s="94" t="str">
        <f>IFERROR(__xludf.DUMMYFUNCTION("""COMPUTED_VALUE"""),"DL14-1907")</f>
        <v>DL14-1907</v>
      </c>
      <c r="B685" s="94"/>
      <c r="C685" s="94"/>
      <c r="D685" s="94"/>
      <c r="E685" s="1429">
        <f>IFERROR(__xludf.DUMMYFUNCTION("""COMPUTED_VALUE"""),45856.0)</f>
        <v>45856</v>
      </c>
      <c r="F685" s="1429">
        <f>IFERROR(__xludf.DUMMYFUNCTION("""COMPUTED_VALUE"""),45864.0)</f>
        <v>45864</v>
      </c>
      <c r="G685" s="1430">
        <f>IFERROR(__xludf.DUMMYFUNCTION("""COMPUTED_VALUE"""),8.0)</f>
        <v>8</v>
      </c>
      <c r="H685" s="94">
        <f t="shared" si="1"/>
        <v>7</v>
      </c>
    </row>
    <row r="686" ht="15.75" customHeight="1">
      <c r="A686" s="94" t="str">
        <f>IFERROR(__xludf.DUMMYFUNCTION("""COMPUTED_VALUE"""),"DL14-305")</f>
        <v>DL14-305</v>
      </c>
      <c r="B686" s="94"/>
      <c r="C686" s="94"/>
      <c r="D686" s="94"/>
      <c r="E686" s="1429">
        <f>IFERROR(__xludf.DUMMYFUNCTION("""COMPUTED_VALUE"""),45856.0)</f>
        <v>45856</v>
      </c>
      <c r="F686" s="1429">
        <f>IFERROR(__xludf.DUMMYFUNCTION("""COMPUTED_VALUE"""),45863.0)</f>
        <v>45863</v>
      </c>
      <c r="G686" s="1430">
        <f>IFERROR(__xludf.DUMMYFUNCTION("""COMPUTED_VALUE"""),7.0)</f>
        <v>7</v>
      </c>
      <c r="H686" s="94">
        <f t="shared" si="1"/>
        <v>7</v>
      </c>
    </row>
    <row r="687" ht="15.75" customHeight="1">
      <c r="A687" s="94" t="str">
        <f>IFERROR(__xludf.DUMMYFUNCTION("""COMPUTED_VALUE"""),"PT2704")</f>
        <v>PT2704</v>
      </c>
      <c r="B687" s="94"/>
      <c r="C687" s="94"/>
      <c r="D687" s="94"/>
      <c r="E687" s="1429">
        <f>IFERROR(__xludf.DUMMYFUNCTION("""COMPUTED_VALUE"""),45856.0)</f>
        <v>45856</v>
      </c>
      <c r="F687" s="1429">
        <f>IFERROR(__xludf.DUMMYFUNCTION("""COMPUTED_VALUE"""),45859.0)</f>
        <v>45859</v>
      </c>
      <c r="G687" s="1430">
        <f>IFERROR(__xludf.DUMMYFUNCTION("""COMPUTED_VALUE"""),3.0)</f>
        <v>3</v>
      </c>
      <c r="H687" s="94">
        <f t="shared" si="1"/>
        <v>7</v>
      </c>
    </row>
    <row r="688" ht="15.75" customHeight="1">
      <c r="A688" s="94" t="str">
        <f>IFERROR(__xludf.DUMMYFUNCTION("""COMPUTED_VALUE"""),"DL 14-516")</f>
        <v>DL 14-516</v>
      </c>
      <c r="B688" s="94"/>
      <c r="C688" s="94"/>
      <c r="D688" s="94"/>
      <c r="E688" s="1429">
        <f>IFERROR(__xludf.DUMMYFUNCTION("""COMPUTED_VALUE"""),45856.0)</f>
        <v>45856</v>
      </c>
      <c r="F688" s="1429">
        <f>IFERROR(__xludf.DUMMYFUNCTION("""COMPUTED_VALUE"""),45865.0)</f>
        <v>45865</v>
      </c>
      <c r="G688" s="1430">
        <f>IFERROR(__xludf.DUMMYFUNCTION("""COMPUTED_VALUE"""),9.0)</f>
        <v>9</v>
      </c>
      <c r="H688" s="94">
        <f t="shared" si="1"/>
        <v>7</v>
      </c>
    </row>
    <row r="689" ht="15.75" customHeight="1">
      <c r="A689" s="94" t="str">
        <f>IFERROR(__xludf.DUMMYFUNCTION("""COMPUTED_VALUE"""),"DL 11-1305")</f>
        <v>DL 11-1305</v>
      </c>
      <c r="B689" s="94"/>
      <c r="C689" s="94"/>
      <c r="D689" s="94"/>
      <c r="E689" s="1429">
        <f>IFERROR(__xludf.DUMMYFUNCTION("""COMPUTED_VALUE"""),45856.0)</f>
        <v>45856</v>
      </c>
      <c r="F689" s="1429">
        <f>IFERROR(__xludf.DUMMYFUNCTION("""COMPUTED_VALUE"""),45859.0)</f>
        <v>45859</v>
      </c>
      <c r="G689" s="1430">
        <f>IFERROR(__xludf.DUMMYFUNCTION("""COMPUTED_VALUE"""),3.0)</f>
        <v>3</v>
      </c>
      <c r="H689" s="94">
        <f t="shared" si="1"/>
        <v>7</v>
      </c>
    </row>
    <row r="690" ht="15.75" customHeight="1">
      <c r="A690" s="94" t="str">
        <f>IFERROR(__xludf.DUMMYFUNCTION("""COMPUTED_VALUE"""),"D 1321")</f>
        <v>D 1321</v>
      </c>
      <c r="B690" s="94"/>
      <c r="C690" s="94"/>
      <c r="D690" s="94"/>
      <c r="E690" s="2175">
        <f>IFERROR(__xludf.DUMMYFUNCTION("""COMPUTED_VALUE"""),45856.0)</f>
        <v>45856</v>
      </c>
      <c r="F690" s="1434">
        <f>IFERROR(__xludf.DUMMYFUNCTION("""COMPUTED_VALUE"""),45865.0)</f>
        <v>45865</v>
      </c>
      <c r="G690" s="1430">
        <f>IFERROR(__xludf.DUMMYFUNCTION("""COMPUTED_VALUE"""),9.0)</f>
        <v>9</v>
      </c>
      <c r="H690" s="94">
        <f t="shared" si="1"/>
        <v>7</v>
      </c>
    </row>
    <row r="691" ht="15.75" customHeight="1">
      <c r="A691" s="94" t="str">
        <f>IFERROR(__xludf.DUMMYFUNCTION("""COMPUTED_VALUE"""),"D2 3216")</f>
        <v>D2 3216</v>
      </c>
      <c r="B691" s="94"/>
      <c r="C691" s="94"/>
      <c r="D691" s="94"/>
      <c r="E691" s="2175">
        <f>IFERROR(__xludf.DUMMYFUNCTION("""COMPUTED_VALUE"""),45856.0)</f>
        <v>45856</v>
      </c>
      <c r="F691" s="1434">
        <f>IFERROR(__xludf.DUMMYFUNCTION("""COMPUTED_VALUE"""),45863.0)</f>
        <v>45863</v>
      </c>
      <c r="G691" s="1430">
        <f>IFERROR(__xludf.DUMMYFUNCTION("""COMPUTED_VALUE"""),7.0)</f>
        <v>7</v>
      </c>
      <c r="H691" s="94">
        <f t="shared" si="1"/>
        <v>7</v>
      </c>
    </row>
    <row r="692" ht="15.75" customHeight="1">
      <c r="A692" s="94" t="str">
        <f>IFERROR(__xludf.DUMMYFUNCTION("""COMPUTED_VALUE"""),"С732")</f>
        <v>С732</v>
      </c>
      <c r="B692" s="94"/>
      <c r="C692" s="94"/>
      <c r="D692" s="94"/>
      <c r="E692" s="2175">
        <f>IFERROR(__xludf.DUMMYFUNCTION("""COMPUTED_VALUE"""),45856.0)</f>
        <v>45856</v>
      </c>
      <c r="F692" s="1429">
        <f>IFERROR(__xludf.DUMMYFUNCTION("""COMPUTED_VALUE"""),45886.0)</f>
        <v>45886</v>
      </c>
      <c r="G692" s="1430">
        <f>IFERROR(__xludf.DUMMYFUNCTION("""COMPUTED_VALUE"""),30.0)</f>
        <v>30</v>
      </c>
      <c r="H692" s="94">
        <f t="shared" si="1"/>
        <v>7</v>
      </c>
    </row>
    <row r="693" ht="15.75" customHeight="1">
      <c r="A693" s="94" t="str">
        <f>IFERROR(__xludf.DUMMYFUNCTION("""COMPUTED_VALUE"""),"TGB9")</f>
        <v>TGB9</v>
      </c>
      <c r="B693" s="94"/>
      <c r="C693" s="94"/>
      <c r="D693" s="94"/>
      <c r="E693" s="1429">
        <f>IFERROR(__xludf.DUMMYFUNCTION("""COMPUTED_VALUE"""),45856.0)</f>
        <v>45856</v>
      </c>
      <c r="F693" s="1429">
        <f>IFERROR(__xludf.DUMMYFUNCTION("""COMPUTED_VALUE"""),45859.0)</f>
        <v>45859</v>
      </c>
      <c r="G693" s="1430">
        <f>IFERROR(__xludf.DUMMYFUNCTION("""COMPUTED_VALUE"""),3.0)</f>
        <v>3</v>
      </c>
      <c r="H693" s="94">
        <f t="shared" si="1"/>
        <v>7</v>
      </c>
    </row>
    <row r="694" ht="15.75" customHeight="1">
      <c r="A694" s="94" t="str">
        <f>IFERROR(__xludf.DUMMYFUNCTION("""COMPUTED_VALUE"""),"TGB3")</f>
        <v>TGB3</v>
      </c>
      <c r="B694" s="94"/>
      <c r="C694" s="94"/>
      <c r="D694" s="94"/>
      <c r="E694" s="1435">
        <f>IFERROR(__xludf.DUMMYFUNCTION("""COMPUTED_VALUE"""),45856.0)</f>
        <v>45856</v>
      </c>
      <c r="F694" s="1429">
        <f>IFERROR(__xludf.DUMMYFUNCTION("""COMPUTED_VALUE"""),45859.0)</f>
        <v>45859</v>
      </c>
      <c r="G694" s="1430">
        <f>IFERROR(__xludf.DUMMYFUNCTION("""COMPUTED_VALUE"""),3.0)</f>
        <v>3</v>
      </c>
      <c r="H694" s="94">
        <f t="shared" si="1"/>
        <v>7</v>
      </c>
    </row>
    <row r="695" ht="15.75" customHeight="1">
      <c r="A695" s="94" t="str">
        <f>IFERROR(__xludf.DUMMYFUNCTION("""COMPUTED_VALUE"""),"TGB4")</f>
        <v>TGB4</v>
      </c>
      <c r="B695" s="94"/>
      <c r="C695" s="94"/>
      <c r="D695" s="94"/>
      <c r="E695" s="1429">
        <f>IFERROR(__xludf.DUMMYFUNCTION("""COMPUTED_VALUE"""),45856.0)</f>
        <v>45856</v>
      </c>
      <c r="F695" s="1429">
        <f>IFERROR(__xludf.DUMMYFUNCTION("""COMPUTED_VALUE"""),45859.0)</f>
        <v>45859</v>
      </c>
      <c r="G695" s="1430">
        <f>IFERROR(__xludf.DUMMYFUNCTION("""COMPUTED_VALUE"""),3.0)</f>
        <v>3</v>
      </c>
      <c r="H695" s="94">
        <f t="shared" si="1"/>
        <v>7</v>
      </c>
    </row>
    <row r="696" ht="15.75" customHeight="1">
      <c r="A696" s="94" t="str">
        <f>IFERROR(__xludf.DUMMYFUNCTION("""COMPUTED_VALUE"""),"NW 10-6")</f>
        <v>NW 10-6</v>
      </c>
      <c r="B696" s="94"/>
      <c r="C696" s="94"/>
      <c r="D696" s="94"/>
      <c r="E696" s="1429">
        <f>IFERROR(__xludf.DUMMYFUNCTION("""COMPUTED_VALUE"""),45856.0)</f>
        <v>45856</v>
      </c>
      <c r="F696" s="1429">
        <f>IFERROR(__xludf.DUMMYFUNCTION("""COMPUTED_VALUE"""),45861.0)</f>
        <v>45861</v>
      </c>
      <c r="G696" s="1430">
        <f>IFERROR(__xludf.DUMMYFUNCTION("""COMPUTED_VALUE"""),5.0)</f>
        <v>5</v>
      </c>
      <c r="H696" s="94">
        <f t="shared" si="1"/>
        <v>7</v>
      </c>
    </row>
    <row r="697" ht="15.75" customHeight="1">
      <c r="A697" s="94" t="str">
        <f>IFERROR(__xludf.DUMMYFUNCTION("""COMPUTED_VALUE"""),"WS A805")</f>
        <v>WS A805</v>
      </c>
      <c r="B697" s="94"/>
      <c r="C697" s="94"/>
      <c r="D697" s="94"/>
      <c r="E697" s="1429">
        <f>IFERROR(__xludf.DUMMYFUNCTION("""COMPUTED_VALUE"""),45856.0)</f>
        <v>45856</v>
      </c>
      <c r="F697" s="1429">
        <f>IFERROR(__xludf.DUMMYFUNCTION("""COMPUTED_VALUE"""),45864.0)</f>
        <v>45864</v>
      </c>
      <c r="G697" s="1430">
        <f>IFERROR(__xludf.DUMMYFUNCTION("""COMPUTED_VALUE"""),8.0)</f>
        <v>8</v>
      </c>
      <c r="H697" s="94">
        <f t="shared" si="1"/>
        <v>7</v>
      </c>
    </row>
    <row r="698" ht="15.75" customHeight="1">
      <c r="A698" s="94" t="str">
        <f>IFERROR(__xludf.DUMMYFUNCTION("""COMPUTED_VALUE"""),"WS A 608")</f>
        <v>WS A 608</v>
      </c>
      <c r="B698" s="94"/>
      <c r="C698" s="94"/>
      <c r="D698" s="94"/>
      <c r="E698" s="1429">
        <f>IFERROR(__xludf.DUMMYFUNCTION("""COMPUTED_VALUE"""),45856.0)</f>
        <v>45856</v>
      </c>
      <c r="F698" s="1429">
        <f>IFERROR(__xludf.DUMMYFUNCTION("""COMPUTED_VALUE"""),45864.0)</f>
        <v>45864</v>
      </c>
      <c r="G698" s="1430">
        <f>IFERROR(__xludf.DUMMYFUNCTION("""COMPUTED_VALUE"""),8.0)</f>
        <v>8</v>
      </c>
      <c r="H698" s="94">
        <f t="shared" si="1"/>
        <v>7</v>
      </c>
    </row>
    <row r="699" ht="15.75" customHeight="1">
      <c r="A699" s="94" t="str">
        <f>IFERROR(__xludf.DUMMYFUNCTION("""COMPUTED_VALUE"""),"Steps1123")</f>
        <v>Steps1123</v>
      </c>
      <c r="B699" s="94"/>
      <c r="C699" s="94"/>
      <c r="D699" s="94"/>
      <c r="E699" s="1429">
        <f>IFERROR(__xludf.DUMMYFUNCTION("""COMPUTED_VALUE"""),45856.0)</f>
        <v>45856</v>
      </c>
      <c r="F699" s="1429">
        <f>IFERROR(__xludf.DUMMYFUNCTION("""COMPUTED_VALUE"""),45863.0)</f>
        <v>45863</v>
      </c>
      <c r="G699" s="1430">
        <f>IFERROR(__xludf.DUMMYFUNCTION("""COMPUTED_VALUE"""),7.0)</f>
        <v>7</v>
      </c>
      <c r="H699" s="94">
        <f t="shared" si="1"/>
        <v>7</v>
      </c>
    </row>
    <row r="700" ht="15.75" customHeight="1">
      <c r="A700" s="94" t="str">
        <f>IFERROR(__xludf.DUMMYFUNCTION("""COMPUTED_VALUE"""),"WS Е804")</f>
        <v>WS Е804</v>
      </c>
      <c r="B700" s="94"/>
      <c r="C700" s="94"/>
      <c r="D700" s="94"/>
      <c r="E700" s="1429">
        <f>IFERROR(__xludf.DUMMYFUNCTION("""COMPUTED_VALUE"""),45857.0)</f>
        <v>45857</v>
      </c>
      <c r="F700" s="1429">
        <f>IFERROR(__xludf.DUMMYFUNCTION("""COMPUTED_VALUE"""),45860.0)</f>
        <v>45860</v>
      </c>
      <c r="G700" s="1430">
        <f>IFERROR(__xludf.DUMMYFUNCTION("""COMPUTED_VALUE"""),3.0)</f>
        <v>3</v>
      </c>
      <c r="H700" s="94">
        <f t="shared" si="1"/>
        <v>7</v>
      </c>
    </row>
    <row r="701" ht="15.75" customHeight="1">
      <c r="A701" s="94" t="str">
        <f>IFERROR(__xludf.DUMMYFUNCTION("""COMPUTED_VALUE"""),"WS A 409")</f>
        <v>WS A 409</v>
      </c>
      <c r="B701" s="94"/>
      <c r="C701" s="94"/>
      <c r="D701" s="94"/>
      <c r="E701" s="1429">
        <f>IFERROR(__xludf.DUMMYFUNCTION("""COMPUTED_VALUE"""),45857.0)</f>
        <v>45857</v>
      </c>
      <c r="F701" s="1429">
        <f>IFERROR(__xludf.DUMMYFUNCTION("""COMPUTED_VALUE"""),45860.0)</f>
        <v>45860</v>
      </c>
      <c r="G701" s="1430">
        <f>IFERROR(__xludf.DUMMYFUNCTION("""COMPUTED_VALUE"""),3.0)</f>
        <v>3</v>
      </c>
      <c r="H701" s="94">
        <f t="shared" si="1"/>
        <v>7</v>
      </c>
    </row>
    <row r="702" ht="15.75" customHeight="1">
      <c r="A702" s="94" t="str">
        <f>IFERROR(__xludf.DUMMYFUNCTION("""COMPUTED_VALUE"""),"WS В 212")</f>
        <v>WS В 212</v>
      </c>
      <c r="B702" s="94"/>
      <c r="C702" s="94"/>
      <c r="D702" s="94"/>
      <c r="E702" s="1429">
        <f>IFERROR(__xludf.DUMMYFUNCTION("""COMPUTED_VALUE"""),45857.0)</f>
        <v>45857</v>
      </c>
      <c r="F702" s="1429">
        <f>IFERROR(__xludf.DUMMYFUNCTION("""COMPUTED_VALUE"""),45861.0)</f>
        <v>45861</v>
      </c>
      <c r="G702" s="1430">
        <f>IFERROR(__xludf.DUMMYFUNCTION("""COMPUTED_VALUE"""),4.0)</f>
        <v>4</v>
      </c>
      <c r="H702" s="94">
        <f t="shared" si="1"/>
        <v>7</v>
      </c>
    </row>
    <row r="703" ht="15.75" customHeight="1">
      <c r="A703" s="94" t="str">
        <f>IFERROR(__xludf.DUMMYFUNCTION("""COMPUTED_VALUE"""),"CM 1606")</f>
        <v>CM 1606</v>
      </c>
      <c r="B703" s="94"/>
      <c r="C703" s="94"/>
      <c r="D703" s="94"/>
      <c r="E703" s="1429">
        <f>IFERROR(__xludf.DUMMYFUNCTION("""COMPUTED_VALUE"""),45857.0)</f>
        <v>45857</v>
      </c>
      <c r="F703" s="1429">
        <f>IFERROR(__xludf.DUMMYFUNCTION("""COMPUTED_VALUE"""),45863.0)</f>
        <v>45863</v>
      </c>
      <c r="G703" s="1430">
        <f>IFERROR(__xludf.DUMMYFUNCTION("""COMPUTED_VALUE"""),6.0)</f>
        <v>6</v>
      </c>
      <c r="H703" s="94">
        <f t="shared" si="1"/>
        <v>7</v>
      </c>
    </row>
    <row r="704" ht="15.75" customHeight="1">
      <c r="A704" s="94" t="str">
        <f>IFERROR(__xludf.DUMMYFUNCTION("""COMPUTED_VALUE"""),"NW 4-10")</f>
        <v>NW 4-10</v>
      </c>
      <c r="B704" s="94"/>
      <c r="C704" s="94"/>
      <c r="D704" s="94"/>
      <c r="E704" s="1429">
        <f>IFERROR(__xludf.DUMMYFUNCTION("""COMPUTED_VALUE"""),45857.0)</f>
        <v>45857</v>
      </c>
      <c r="F704" s="1429">
        <f>IFERROR(__xludf.DUMMYFUNCTION("""COMPUTED_VALUE"""),45863.0)</f>
        <v>45863</v>
      </c>
      <c r="G704" s="1430">
        <f>IFERROR(__xludf.DUMMYFUNCTION("""COMPUTED_VALUE"""),6.0)</f>
        <v>6</v>
      </c>
      <c r="H704" s="94">
        <f t="shared" si="1"/>
        <v>7</v>
      </c>
    </row>
    <row r="705" ht="15.75" customHeight="1">
      <c r="A705" s="94" t="str">
        <f>IFERROR(__xludf.DUMMYFUNCTION("""COMPUTED_VALUE"""),"DL14-1405")</f>
        <v>DL14-1405</v>
      </c>
      <c r="B705" s="94"/>
      <c r="C705" s="94"/>
      <c r="D705" s="94"/>
      <c r="E705" s="1429">
        <f>IFERROR(__xludf.DUMMYFUNCTION("""COMPUTED_VALUE"""),45857.0)</f>
        <v>45857</v>
      </c>
      <c r="F705" s="1429">
        <f>IFERROR(__xludf.DUMMYFUNCTION("""COMPUTED_VALUE"""),45861.0)</f>
        <v>45861</v>
      </c>
      <c r="G705" s="1430">
        <f>IFERROR(__xludf.DUMMYFUNCTION("""COMPUTED_VALUE"""),4.0)</f>
        <v>4</v>
      </c>
      <c r="H705" s="94">
        <f t="shared" si="1"/>
        <v>7</v>
      </c>
    </row>
    <row r="706" ht="15.75" customHeight="1">
      <c r="A706" s="94" t="str">
        <f>IFERROR(__xludf.DUMMYFUNCTION("""COMPUTED_VALUE"""),"MZ 913")</f>
        <v>MZ 913</v>
      </c>
      <c r="B706" s="94"/>
      <c r="C706" s="94"/>
      <c r="D706" s="94"/>
      <c r="E706" s="1429">
        <f>IFERROR(__xludf.DUMMYFUNCTION("""COMPUTED_VALUE"""),45857.0)</f>
        <v>45857</v>
      </c>
      <c r="F706" s="1429">
        <f>IFERROR(__xludf.DUMMYFUNCTION("""COMPUTED_VALUE"""),45860.0)</f>
        <v>45860</v>
      </c>
      <c r="G706" s="1430">
        <f>IFERROR(__xludf.DUMMYFUNCTION("""COMPUTED_VALUE"""),3.0)</f>
        <v>3</v>
      </c>
      <c r="H706" s="94">
        <f t="shared" si="1"/>
        <v>7</v>
      </c>
    </row>
    <row r="707" ht="15.75" customHeight="1">
      <c r="A707" s="94" t="str">
        <f>IFERROR(__xludf.DUMMYFUNCTION("""COMPUTED_VALUE"""),"С 2756")</f>
        <v>С 2756</v>
      </c>
      <c r="B707" s="94"/>
      <c r="C707" s="94"/>
      <c r="D707" s="94"/>
      <c r="E707" s="1429">
        <f>IFERROR(__xludf.DUMMYFUNCTION("""COMPUTED_VALUE"""),45857.0)</f>
        <v>45857</v>
      </c>
      <c r="F707" s="1429">
        <f>IFERROR(__xludf.DUMMYFUNCTION("""COMPUTED_VALUE"""),45892.0)</f>
        <v>45892</v>
      </c>
      <c r="G707" s="1430">
        <f>IFERROR(__xludf.DUMMYFUNCTION("""COMPUTED_VALUE"""),35.0)</f>
        <v>35</v>
      </c>
      <c r="H707" s="94">
        <f t="shared" si="1"/>
        <v>7</v>
      </c>
    </row>
    <row r="708" ht="15.75" customHeight="1">
      <c r="A708" s="94" t="str">
        <f>IFERROR(__xludf.DUMMYFUNCTION("""COMPUTED_VALUE"""),"TGA7")</f>
        <v>TGA7</v>
      </c>
      <c r="B708" s="94"/>
      <c r="C708" s="94"/>
      <c r="D708" s="94"/>
      <c r="E708" s="1429">
        <f>IFERROR(__xludf.DUMMYFUNCTION("""COMPUTED_VALUE"""),45857.0)</f>
        <v>45857</v>
      </c>
      <c r="F708" s="1429">
        <f>IFERROR(__xludf.DUMMYFUNCTION("""COMPUTED_VALUE"""),45860.0)</f>
        <v>45860</v>
      </c>
      <c r="G708" s="1430">
        <f>IFERROR(__xludf.DUMMYFUNCTION("""COMPUTED_VALUE"""),3.0)</f>
        <v>3</v>
      </c>
      <c r="H708" s="94">
        <f t="shared" si="1"/>
        <v>7</v>
      </c>
    </row>
    <row r="709" ht="15.75" customHeight="1">
      <c r="A709" s="94" t="str">
        <f>IFERROR(__xludf.DUMMYFUNCTION("""COMPUTED_VALUE"""),"TGA5")</f>
        <v>TGA5</v>
      </c>
      <c r="B709" s="94"/>
      <c r="C709" s="94"/>
      <c r="D709" s="94"/>
      <c r="E709" s="1429">
        <f>IFERROR(__xludf.DUMMYFUNCTION("""COMPUTED_VALUE"""),45857.0)</f>
        <v>45857</v>
      </c>
      <c r="F709" s="1429">
        <f>IFERROR(__xludf.DUMMYFUNCTION("""COMPUTED_VALUE"""),45860.0)</f>
        <v>45860</v>
      </c>
      <c r="G709" s="1430">
        <f>IFERROR(__xludf.DUMMYFUNCTION("""COMPUTED_VALUE"""),3.0)</f>
        <v>3</v>
      </c>
      <c r="H709" s="94">
        <f t="shared" si="1"/>
        <v>7</v>
      </c>
    </row>
    <row r="710" ht="15.75" customHeight="1">
      <c r="A710" s="94" t="str">
        <f>IFERROR(__xludf.DUMMYFUNCTION("""COMPUTED_VALUE"""),"TGA1")</f>
        <v>TGA1</v>
      </c>
      <c r="B710" s="94"/>
      <c r="C710" s="94"/>
      <c r="D710" s="94"/>
      <c r="E710" s="1429">
        <f>IFERROR(__xludf.DUMMYFUNCTION("""COMPUTED_VALUE"""),45857.0)</f>
        <v>45857</v>
      </c>
      <c r="F710" s="1429">
        <f>IFERROR(__xludf.DUMMYFUNCTION("""COMPUTED_VALUE"""),45861.0)</f>
        <v>45861</v>
      </c>
      <c r="G710" s="1430">
        <f>IFERROR(__xludf.DUMMYFUNCTION("""COMPUTED_VALUE"""),4.0)</f>
        <v>4</v>
      </c>
      <c r="H710" s="94">
        <f t="shared" si="1"/>
        <v>7</v>
      </c>
    </row>
    <row r="711" ht="15.75" customHeight="1">
      <c r="A711" s="94" t="str">
        <f>IFERROR(__xludf.DUMMYFUNCTION("""COMPUTED_VALUE"""),"TGA1")</f>
        <v>TGA1</v>
      </c>
      <c r="B711" s="94"/>
      <c r="C711" s="94"/>
      <c r="D711" s="94"/>
      <c r="E711" s="1429">
        <f>IFERROR(__xludf.DUMMYFUNCTION("""COMPUTED_VALUE"""),45856.0)</f>
        <v>45856</v>
      </c>
      <c r="F711" s="1429">
        <f>IFERROR(__xludf.DUMMYFUNCTION("""COMPUTED_VALUE"""),45857.0)</f>
        <v>45857</v>
      </c>
      <c r="G711" s="1430">
        <f>IFERROR(__xludf.DUMMYFUNCTION("""COMPUTED_VALUE"""),1.0)</f>
        <v>1</v>
      </c>
      <c r="H711" s="94">
        <f t="shared" si="1"/>
        <v>7</v>
      </c>
    </row>
    <row r="712" ht="15.75" customHeight="1">
      <c r="A712" s="94" t="str">
        <f>IFERROR(__xludf.DUMMYFUNCTION("""COMPUTED_VALUE"""),"TGA8")</f>
        <v>TGA8</v>
      </c>
      <c r="B712" s="94"/>
      <c r="C712" s="94"/>
      <c r="D712" s="94"/>
      <c r="E712" s="1429">
        <f>IFERROR(__xludf.DUMMYFUNCTION("""COMPUTED_VALUE"""),45857.0)</f>
        <v>45857</v>
      </c>
      <c r="F712" s="1429">
        <f>IFERROR(__xludf.DUMMYFUNCTION("""COMPUTED_VALUE"""),45862.0)</f>
        <v>45862</v>
      </c>
      <c r="G712" s="1430">
        <f>IFERROR(__xludf.DUMMYFUNCTION("""COMPUTED_VALUE"""),5.0)</f>
        <v>5</v>
      </c>
      <c r="H712" s="94">
        <f t="shared" si="1"/>
        <v>7</v>
      </c>
    </row>
    <row r="713" ht="15.75" customHeight="1">
      <c r="A713" s="94" t="str">
        <f>IFERROR(__xludf.DUMMYFUNCTION("""COMPUTED_VALUE"""),"TGA9")</f>
        <v>TGA9</v>
      </c>
      <c r="B713" s="94"/>
      <c r="C713" s="94"/>
      <c r="D713" s="94"/>
      <c r="E713" s="1429">
        <f>IFERROR(__xludf.DUMMYFUNCTION("""COMPUTED_VALUE"""),45857.0)</f>
        <v>45857</v>
      </c>
      <c r="F713" s="1429">
        <f>IFERROR(__xludf.DUMMYFUNCTION("""COMPUTED_VALUE"""),45863.0)</f>
        <v>45863</v>
      </c>
      <c r="G713" s="1430">
        <f>IFERROR(__xludf.DUMMYFUNCTION("""COMPUTED_VALUE"""),6.0)</f>
        <v>6</v>
      </c>
      <c r="H713" s="94">
        <f t="shared" si="1"/>
        <v>7</v>
      </c>
    </row>
    <row r="714" ht="15.75" customHeight="1">
      <c r="A714" s="94" t="str">
        <f>IFERROR(__xludf.DUMMYFUNCTION("""COMPUTED_VALUE"""),"C 4245")</f>
        <v>C 4245</v>
      </c>
      <c r="B714" s="94"/>
      <c r="C714" s="94"/>
      <c r="D714" s="94"/>
      <c r="E714" s="1429">
        <f>IFERROR(__xludf.DUMMYFUNCTION("""COMPUTED_VALUE"""),45858.0)</f>
        <v>45858</v>
      </c>
      <c r="F714" s="1429">
        <f>IFERROR(__xludf.DUMMYFUNCTION("""COMPUTED_VALUE"""),45861.0)</f>
        <v>45861</v>
      </c>
      <c r="G714" s="1430">
        <f>IFERROR(__xludf.DUMMYFUNCTION("""COMPUTED_VALUE"""),3.0)</f>
        <v>3</v>
      </c>
      <c r="H714" s="94">
        <f t="shared" si="1"/>
        <v>7</v>
      </c>
    </row>
    <row r="715" ht="15.75" customHeight="1">
      <c r="A715" s="94" t="str">
        <f>IFERROR(__xludf.DUMMYFUNCTION("""COMPUTED_VALUE"""),"D2 1625")</f>
        <v>D2 1625</v>
      </c>
      <c r="B715" s="94"/>
      <c r="C715" s="94"/>
      <c r="D715" s="94"/>
      <c r="E715" s="1429">
        <f>IFERROR(__xludf.DUMMYFUNCTION("""COMPUTED_VALUE"""),45858.0)</f>
        <v>45858</v>
      </c>
      <c r="F715" s="1429">
        <f>IFERROR(__xludf.DUMMYFUNCTION("""COMPUTED_VALUE"""),45865.0)</f>
        <v>45865</v>
      </c>
      <c r="G715" s="1430">
        <f>IFERROR(__xludf.DUMMYFUNCTION("""COMPUTED_VALUE"""),7.0)</f>
        <v>7</v>
      </c>
      <c r="H715" s="94">
        <f t="shared" si="1"/>
        <v>7</v>
      </c>
    </row>
    <row r="716" ht="15.75" customHeight="1">
      <c r="A716" s="94" t="str">
        <f>IFERROR(__xludf.DUMMYFUNCTION("""COMPUTED_VALUE"""),"WS В 1510")</f>
        <v>WS В 1510</v>
      </c>
      <c r="B716" s="94"/>
      <c r="C716" s="94"/>
      <c r="D716" s="94"/>
      <c r="E716" s="1429">
        <f>IFERROR(__xludf.DUMMYFUNCTION("""COMPUTED_VALUE"""),45858.0)</f>
        <v>45858</v>
      </c>
      <c r="F716" s="1429">
        <f>IFERROR(__xludf.DUMMYFUNCTION("""COMPUTED_VALUE"""),45864.0)</f>
        <v>45864</v>
      </c>
      <c r="G716" s="1430">
        <f>IFERROR(__xludf.DUMMYFUNCTION("""COMPUTED_VALUE"""),6.0)</f>
        <v>6</v>
      </c>
      <c r="H716" s="94">
        <f t="shared" si="1"/>
        <v>7</v>
      </c>
    </row>
    <row r="717" ht="15.75" customHeight="1">
      <c r="A717" s="94" t="str">
        <f>IFERROR(__xludf.DUMMYFUNCTION("""COMPUTED_VALUE"""),"DL 4-09")</f>
        <v>DL 4-09</v>
      </c>
      <c r="B717" s="94"/>
      <c r="C717" s="94"/>
      <c r="D717" s="94"/>
      <c r="E717" s="1429">
        <f>IFERROR(__xludf.DUMMYFUNCTION("""COMPUTED_VALUE"""),45858.0)</f>
        <v>45858</v>
      </c>
      <c r="F717" s="1429">
        <f>IFERROR(__xludf.DUMMYFUNCTION("""COMPUTED_VALUE"""),45864.0)</f>
        <v>45864</v>
      </c>
      <c r="G717" s="1430">
        <f>IFERROR(__xludf.DUMMYFUNCTION("""COMPUTED_VALUE"""),6.0)</f>
        <v>6</v>
      </c>
      <c r="H717" s="94">
        <f t="shared" si="1"/>
        <v>7</v>
      </c>
    </row>
    <row r="718" ht="15.75" customHeight="1">
      <c r="A718" s="94" t="str">
        <f>IFERROR(__xludf.DUMMYFUNCTION("""COMPUTED_VALUE"""),"DL 14-702")</f>
        <v>DL 14-702</v>
      </c>
      <c r="B718" s="94"/>
      <c r="C718" s="94"/>
      <c r="D718" s="94"/>
      <c r="E718" s="1429">
        <f>IFERROR(__xludf.DUMMYFUNCTION("""COMPUTED_VALUE"""),45858.0)</f>
        <v>45858</v>
      </c>
      <c r="F718" s="1429">
        <f>IFERROR(__xludf.DUMMYFUNCTION("""COMPUTED_VALUE"""),45864.0)</f>
        <v>45864</v>
      </c>
      <c r="G718" s="1430">
        <f>IFERROR(__xludf.DUMMYFUNCTION("""COMPUTED_VALUE"""),6.0)</f>
        <v>6</v>
      </c>
      <c r="H718" s="94">
        <f t="shared" si="1"/>
        <v>7</v>
      </c>
    </row>
    <row r="719" ht="15.75" customHeight="1">
      <c r="A719" s="94" t="str">
        <f>IFERROR(__xludf.DUMMYFUNCTION("""COMPUTED_VALUE"""),"DL 14-505")</f>
        <v>DL 14-505</v>
      </c>
      <c r="B719" s="94"/>
      <c r="C719" s="94"/>
      <c r="D719" s="94"/>
      <c r="E719" s="1429">
        <f>IFERROR(__xludf.DUMMYFUNCTION("""COMPUTED_VALUE"""),45858.0)</f>
        <v>45858</v>
      </c>
      <c r="F719" s="1429">
        <f>IFERROR(__xludf.DUMMYFUNCTION("""COMPUTED_VALUE"""),45868.0)</f>
        <v>45868</v>
      </c>
      <c r="G719" s="1430">
        <f>IFERROR(__xludf.DUMMYFUNCTION("""COMPUTED_VALUE"""),12.0)</f>
        <v>12</v>
      </c>
      <c r="H719" s="94">
        <f t="shared" si="1"/>
        <v>7</v>
      </c>
    </row>
    <row r="720" ht="15.75" customHeight="1">
      <c r="A720" s="94" t="str">
        <f>IFERROR(__xludf.DUMMYFUNCTION("""COMPUTED_VALUE"""),"MZ 718")</f>
        <v>MZ 718</v>
      </c>
      <c r="B720" s="94"/>
      <c r="C720" s="94"/>
      <c r="D720" s="94"/>
      <c r="E720" s="1429">
        <f>IFERROR(__xludf.DUMMYFUNCTION("""COMPUTED_VALUE"""),45858.0)</f>
        <v>45858</v>
      </c>
      <c r="F720" s="1434">
        <f>IFERROR(__xludf.DUMMYFUNCTION("""COMPUTED_VALUE"""),45864.0)</f>
        <v>45864</v>
      </c>
      <c r="G720" s="1430">
        <f>IFERROR(__xludf.DUMMYFUNCTION("""COMPUTED_VALUE"""),6.0)</f>
        <v>6</v>
      </c>
      <c r="H720" s="94">
        <f t="shared" si="1"/>
        <v>7</v>
      </c>
    </row>
    <row r="721" ht="15.75" customHeight="1">
      <c r="A721" s="94" t="str">
        <f>IFERROR(__xludf.DUMMYFUNCTION("""COMPUTED_VALUE"""),"MZ 1416")</f>
        <v>MZ 1416</v>
      </c>
      <c r="B721" s="94"/>
      <c r="C721" s="94"/>
      <c r="D721" s="94"/>
      <c r="E721" s="1429">
        <f>IFERROR(__xludf.DUMMYFUNCTION("""COMPUTED_VALUE"""),45858.0)</f>
        <v>45858</v>
      </c>
      <c r="F721" s="1434">
        <f>IFERROR(__xludf.DUMMYFUNCTION("""COMPUTED_VALUE"""),45864.0)</f>
        <v>45864</v>
      </c>
      <c r="G721" s="1430">
        <f>IFERROR(__xludf.DUMMYFUNCTION("""COMPUTED_VALUE"""),6.0)</f>
        <v>6</v>
      </c>
      <c r="H721" s="94">
        <f t="shared" si="1"/>
        <v>7</v>
      </c>
    </row>
    <row r="722" ht="15.75" customHeight="1">
      <c r="A722" s="94" t="str">
        <f>IFERROR(__xludf.DUMMYFUNCTION("""COMPUTED_VALUE"""),"TGA2")</f>
        <v>TGA2</v>
      </c>
      <c r="B722" s="94"/>
      <c r="C722" s="94"/>
      <c r="D722" s="94"/>
      <c r="E722" s="1429">
        <f>IFERROR(__xludf.DUMMYFUNCTION("""COMPUTED_VALUE"""),45858.0)</f>
        <v>45858</v>
      </c>
      <c r="F722" s="1434">
        <f>IFERROR(__xludf.DUMMYFUNCTION("""COMPUTED_VALUE"""),45861.0)</f>
        <v>45861</v>
      </c>
      <c r="G722" s="1430">
        <f>IFERROR(__xludf.DUMMYFUNCTION("""COMPUTED_VALUE"""),3.0)</f>
        <v>3</v>
      </c>
      <c r="H722" s="94">
        <f t="shared" si="1"/>
        <v>7</v>
      </c>
    </row>
    <row r="723" ht="15.75" customHeight="1">
      <c r="A723" s="94" t="str">
        <f>IFERROR(__xludf.DUMMYFUNCTION("""COMPUTED_VALUE"""),"TGA6")</f>
        <v>TGA6</v>
      </c>
      <c r="B723" s="94"/>
      <c r="C723" s="94"/>
      <c r="D723" s="94"/>
      <c r="E723" s="1429">
        <f>IFERROR(__xludf.DUMMYFUNCTION("""COMPUTED_VALUE"""),45858.0)</f>
        <v>45858</v>
      </c>
      <c r="F723" s="1434">
        <f>IFERROR(__xludf.DUMMYFUNCTION("""COMPUTED_VALUE"""),45861.0)</f>
        <v>45861</v>
      </c>
      <c r="G723" s="1430">
        <f>IFERROR(__xludf.DUMMYFUNCTION("""COMPUTED_VALUE"""),3.0)</f>
        <v>3</v>
      </c>
      <c r="H723" s="94">
        <f t="shared" si="1"/>
        <v>7</v>
      </c>
    </row>
    <row r="724" ht="15.75" customHeight="1">
      <c r="A724" s="94" t="str">
        <f>IFERROR(__xludf.DUMMYFUNCTION("""COMPUTED_VALUE"""),"TGA10")</f>
        <v>TGA10</v>
      </c>
      <c r="B724" s="94"/>
      <c r="C724" s="94"/>
      <c r="D724" s="94"/>
      <c r="E724" s="1429">
        <f>IFERROR(__xludf.DUMMYFUNCTION("""COMPUTED_VALUE"""),45858.0)</f>
        <v>45858</v>
      </c>
      <c r="F724" s="1434">
        <f>IFERROR(__xludf.DUMMYFUNCTION("""COMPUTED_VALUE"""),45863.0)</f>
        <v>45863</v>
      </c>
      <c r="G724" s="1430">
        <f>IFERROR(__xludf.DUMMYFUNCTION("""COMPUTED_VALUE"""),5.0)</f>
        <v>5</v>
      </c>
      <c r="H724" s="94">
        <f t="shared" si="1"/>
        <v>7</v>
      </c>
    </row>
    <row r="725" ht="15.75" customHeight="1">
      <c r="A725" s="94" t="str">
        <f>IFERROR(__xludf.DUMMYFUNCTION("""COMPUTED_VALUE"""),"TGB11")</f>
        <v>TGB11</v>
      </c>
      <c r="B725" s="94"/>
      <c r="C725" s="94"/>
      <c r="D725" s="94"/>
      <c r="E725" s="1429">
        <f>IFERROR(__xludf.DUMMYFUNCTION("""COMPUTED_VALUE"""),45859.0)</f>
        <v>45859</v>
      </c>
      <c r="F725" s="1429">
        <f>IFERROR(__xludf.DUMMYFUNCTION("""COMPUTED_VALUE"""),45862.0)</f>
        <v>45862</v>
      </c>
      <c r="G725" s="1430">
        <f>IFERROR(__xludf.DUMMYFUNCTION("""COMPUTED_VALUE"""),3.0)</f>
        <v>3</v>
      </c>
      <c r="H725" s="94">
        <f t="shared" si="1"/>
        <v>7</v>
      </c>
    </row>
    <row r="726" ht="15.75" customHeight="1">
      <c r="A726" s="94" t="str">
        <f>IFERROR(__xludf.DUMMYFUNCTION("""COMPUTED_VALUE"""),"TGB1")</f>
        <v>TGB1</v>
      </c>
      <c r="B726" s="94"/>
      <c r="C726" s="94"/>
      <c r="D726" s="94"/>
      <c r="E726" s="1429">
        <f>IFERROR(__xludf.DUMMYFUNCTION("""COMPUTED_VALUE"""),45859.0)</f>
        <v>45859</v>
      </c>
      <c r="F726" s="1429">
        <f>IFERROR(__xludf.DUMMYFUNCTION("""COMPUTED_VALUE"""),45862.0)</f>
        <v>45862</v>
      </c>
      <c r="G726" s="1430">
        <f>IFERROR(__xludf.DUMMYFUNCTION("""COMPUTED_VALUE"""),3.0)</f>
        <v>3</v>
      </c>
      <c r="H726" s="94">
        <f t="shared" si="1"/>
        <v>7</v>
      </c>
    </row>
    <row r="727" ht="15.75" customHeight="1">
      <c r="A727" s="94" t="str">
        <f>IFERROR(__xludf.DUMMYFUNCTION("""COMPUTED_VALUE"""),"TGB2")</f>
        <v>TGB2</v>
      </c>
      <c r="B727" s="94"/>
      <c r="C727" s="94"/>
      <c r="D727" s="94"/>
      <c r="E727" s="1429">
        <f>IFERROR(__xludf.DUMMYFUNCTION("""COMPUTED_VALUE"""),45859.0)</f>
        <v>45859</v>
      </c>
      <c r="F727" s="1429">
        <f>IFERROR(__xludf.DUMMYFUNCTION("""COMPUTED_VALUE"""),45863.0)</f>
        <v>45863</v>
      </c>
      <c r="G727" s="1430">
        <f>IFERROR(__xludf.DUMMYFUNCTION("""COMPUTED_VALUE"""),4.0)</f>
        <v>4</v>
      </c>
      <c r="H727" s="94">
        <f t="shared" si="1"/>
        <v>7</v>
      </c>
    </row>
    <row r="728" ht="15.75" customHeight="1">
      <c r="A728" s="94" t="str">
        <f>IFERROR(__xludf.DUMMYFUNCTION("""COMPUTED_VALUE"""),"TGB6")</f>
        <v>TGB6</v>
      </c>
      <c r="B728" s="94"/>
      <c r="C728" s="94"/>
      <c r="D728" s="94"/>
      <c r="E728" s="1429">
        <f>IFERROR(__xludf.DUMMYFUNCTION("""COMPUTED_VALUE"""),45859.0)</f>
        <v>45859</v>
      </c>
      <c r="F728" s="1429">
        <f>IFERROR(__xludf.DUMMYFUNCTION("""COMPUTED_VALUE"""),45862.0)</f>
        <v>45862</v>
      </c>
      <c r="G728" s="1430">
        <f>IFERROR(__xludf.DUMMYFUNCTION("""COMPUTED_VALUE"""),3.0)</f>
        <v>3</v>
      </c>
      <c r="H728" s="94">
        <f t="shared" si="1"/>
        <v>7</v>
      </c>
    </row>
    <row r="729" ht="15.75" customHeight="1">
      <c r="A729" s="94" t="str">
        <f>IFERROR(__xludf.DUMMYFUNCTION("""COMPUTED_VALUE"""),"TGB3")</f>
        <v>TGB3</v>
      </c>
      <c r="B729" s="94"/>
      <c r="C729" s="94"/>
      <c r="D729" s="94"/>
      <c r="E729" s="1429">
        <f>IFERROR(__xludf.DUMMYFUNCTION("""COMPUTED_VALUE"""),45859.0)</f>
        <v>45859</v>
      </c>
      <c r="F729" s="1429">
        <f>IFERROR(__xludf.DUMMYFUNCTION("""COMPUTED_VALUE"""),45863.0)</f>
        <v>45863</v>
      </c>
      <c r="G729" s="1430">
        <f>IFERROR(__xludf.DUMMYFUNCTION("""COMPUTED_VALUE"""),4.0)</f>
        <v>4</v>
      </c>
      <c r="H729" s="94">
        <f t="shared" si="1"/>
        <v>7</v>
      </c>
    </row>
    <row r="730" ht="15.75" customHeight="1">
      <c r="A730" s="94" t="str">
        <f>IFERROR(__xludf.DUMMYFUNCTION("""COMPUTED_VALUE"""),"TGB9")</f>
        <v>TGB9</v>
      </c>
      <c r="B730" s="94"/>
      <c r="C730" s="94"/>
      <c r="D730" s="94"/>
      <c r="E730" s="1429">
        <f>IFERROR(__xludf.DUMMYFUNCTION("""COMPUTED_VALUE"""),45859.0)</f>
        <v>45859</v>
      </c>
      <c r="F730" s="1429">
        <f>IFERROR(__xludf.DUMMYFUNCTION("""COMPUTED_VALUE"""),45863.0)</f>
        <v>45863</v>
      </c>
      <c r="G730" s="1430">
        <f>IFERROR(__xludf.DUMMYFUNCTION("""COMPUTED_VALUE"""),4.0)</f>
        <v>4</v>
      </c>
      <c r="H730" s="94">
        <f t="shared" si="1"/>
        <v>7</v>
      </c>
    </row>
    <row r="731" ht="15.75" customHeight="1">
      <c r="A731" s="94" t="str">
        <f>IFERROR(__xludf.DUMMYFUNCTION("""COMPUTED_VALUE"""),"Шар 2505")</f>
        <v>Шар 2505</v>
      </c>
      <c r="B731" s="94"/>
      <c r="C731" s="94"/>
      <c r="D731" s="94"/>
      <c r="E731" s="1429">
        <f>IFERROR(__xludf.DUMMYFUNCTION("""COMPUTED_VALUE"""),45859.0)</f>
        <v>45859</v>
      </c>
      <c r="F731" s="1429">
        <f>IFERROR(__xludf.DUMMYFUNCTION("""COMPUTED_VALUE"""),45864.0)</f>
        <v>45864</v>
      </c>
      <c r="G731" s="1430">
        <f>IFERROR(__xludf.DUMMYFUNCTION("""COMPUTED_VALUE"""),5.0)</f>
        <v>5</v>
      </c>
      <c r="H731" s="94">
        <f t="shared" si="1"/>
        <v>7</v>
      </c>
    </row>
    <row r="732" ht="15.75" customHeight="1">
      <c r="A732" s="94" t="str">
        <f>IFERROR(__xludf.DUMMYFUNCTION("""COMPUTED_VALUE"""),"CM 1604")</f>
        <v>CM 1604</v>
      </c>
      <c r="B732" s="94"/>
      <c r="C732" s="94"/>
      <c r="D732" s="94"/>
      <c r="E732" s="1429">
        <f>IFERROR(__xludf.DUMMYFUNCTION("""COMPUTED_VALUE"""),45859.0)</f>
        <v>45859</v>
      </c>
      <c r="F732" s="1429">
        <f>IFERROR(__xludf.DUMMYFUNCTION("""COMPUTED_VALUE"""),45869.0)</f>
        <v>45869</v>
      </c>
      <c r="G732" s="1430">
        <f>IFERROR(__xludf.DUMMYFUNCTION("""COMPUTED_VALUE"""),10.0)</f>
        <v>10</v>
      </c>
      <c r="H732" s="94">
        <f t="shared" si="1"/>
        <v>7</v>
      </c>
    </row>
    <row r="733" ht="15.75" customHeight="1">
      <c r="A733" s="94" t="str">
        <f>IFERROR(__xludf.DUMMYFUNCTION("""COMPUTED_VALUE"""),"DL 13-709")</f>
        <v>DL 13-709</v>
      </c>
      <c r="B733" s="94"/>
      <c r="C733" s="94"/>
      <c r="D733" s="94"/>
      <c r="E733" s="1429">
        <f>IFERROR(__xludf.DUMMYFUNCTION("""COMPUTED_VALUE"""),45859.0)</f>
        <v>45859</v>
      </c>
      <c r="F733" s="1429">
        <f>IFERROR(__xludf.DUMMYFUNCTION("""COMPUTED_VALUE"""),45864.0)</f>
        <v>45864</v>
      </c>
      <c r="G733" s="1430">
        <f>IFERROR(__xludf.DUMMYFUNCTION("""COMPUTED_VALUE"""),5.0)</f>
        <v>5</v>
      </c>
      <c r="H733" s="94">
        <f t="shared" si="1"/>
        <v>7</v>
      </c>
    </row>
    <row r="734" ht="15.75" customHeight="1">
      <c r="A734" s="94" t="str">
        <f>IFERROR(__xludf.DUMMYFUNCTION("""COMPUTED_VALUE"""),"DL14-518")</f>
        <v>DL14-518</v>
      </c>
      <c r="B734" s="94"/>
      <c r="C734" s="94"/>
      <c r="D734" s="94"/>
      <c r="E734" s="1429">
        <f>IFERROR(__xludf.DUMMYFUNCTION("""COMPUTED_VALUE"""),45859.0)</f>
        <v>45859</v>
      </c>
      <c r="F734" s="1429">
        <f>IFERROR(__xludf.DUMMYFUNCTION("""COMPUTED_VALUE"""),45862.0)</f>
        <v>45862</v>
      </c>
      <c r="G734" s="1430">
        <f>IFERROR(__xludf.DUMMYFUNCTION("""COMPUTED_VALUE"""),3.0)</f>
        <v>3</v>
      </c>
      <c r="H734" s="94">
        <f t="shared" si="1"/>
        <v>7</v>
      </c>
    </row>
    <row r="735" ht="15.75" customHeight="1">
      <c r="A735" s="94" t="str">
        <f>IFERROR(__xludf.DUMMYFUNCTION("""COMPUTED_VALUE"""),"PT2704")</f>
        <v>PT2704</v>
      </c>
      <c r="B735" s="94"/>
      <c r="C735" s="94"/>
      <c r="D735" s="94"/>
      <c r="E735" s="1429">
        <f>IFERROR(__xludf.DUMMYFUNCTION("""COMPUTED_VALUE"""),45859.0)</f>
        <v>45859</v>
      </c>
      <c r="F735" s="1429">
        <f>IFERROR(__xludf.DUMMYFUNCTION("""COMPUTED_VALUE"""),45862.0)</f>
        <v>45862</v>
      </c>
      <c r="G735" s="1430">
        <f>IFERROR(__xludf.DUMMYFUNCTION("""COMPUTED_VALUE"""),3.0)</f>
        <v>3</v>
      </c>
      <c r="H735" s="94">
        <f t="shared" si="1"/>
        <v>7</v>
      </c>
    </row>
    <row r="736" ht="15.75" customHeight="1">
      <c r="A736" s="94" t="str">
        <f>IFERROR(__xludf.DUMMYFUNCTION("""COMPUTED_VALUE"""),"Pollo 3-5")</f>
        <v>Pollo 3-5</v>
      </c>
      <c r="B736" s="94"/>
      <c r="C736" s="94"/>
      <c r="D736" s="94"/>
      <c r="E736" s="1429">
        <f>IFERROR(__xludf.DUMMYFUNCTION("""COMPUTED_VALUE"""),45860.0)</f>
        <v>45860</v>
      </c>
      <c r="F736" s="1436">
        <f>IFERROR(__xludf.DUMMYFUNCTION("""COMPUTED_VALUE"""),45890.0)</f>
        <v>45890</v>
      </c>
      <c r="G736" s="1430">
        <f>IFERROR(__xludf.DUMMYFUNCTION("""COMPUTED_VALUE"""),30.0)</f>
        <v>30</v>
      </c>
      <c r="H736" s="94">
        <f t="shared" si="1"/>
        <v>7</v>
      </c>
    </row>
    <row r="737" ht="15.75" customHeight="1">
      <c r="A737" s="94" t="str">
        <f>IFERROR(__xludf.DUMMYFUNCTION("""COMPUTED_VALUE"""),"TGB5")</f>
        <v>TGB5</v>
      </c>
      <c r="B737" s="94"/>
      <c r="C737" s="94"/>
      <c r="D737" s="94"/>
      <c r="E737" s="1434">
        <f>IFERROR(__xludf.DUMMYFUNCTION("""COMPUTED_VALUE"""),45860.0)</f>
        <v>45860</v>
      </c>
      <c r="F737" s="1429">
        <f>IFERROR(__xludf.DUMMYFUNCTION("""COMPUTED_VALUE"""),45864.0)</f>
        <v>45864</v>
      </c>
      <c r="G737" s="1430">
        <f>IFERROR(__xludf.DUMMYFUNCTION("""COMPUTED_VALUE"""),4.0)</f>
        <v>4</v>
      </c>
      <c r="H737" s="94">
        <f t="shared" si="1"/>
        <v>7</v>
      </c>
    </row>
    <row r="738" ht="15.75" customHeight="1">
      <c r="A738" s="94" t="str">
        <f>IFERROR(__xludf.DUMMYFUNCTION("""COMPUTED_VALUE"""),"TGB4")</f>
        <v>TGB4</v>
      </c>
      <c r="B738" s="94"/>
      <c r="C738" s="94"/>
      <c r="D738" s="94"/>
      <c r="E738" s="1434">
        <f>IFERROR(__xludf.DUMMYFUNCTION("""COMPUTED_VALUE"""),45860.0)</f>
        <v>45860</v>
      </c>
      <c r="F738" s="1429">
        <f>IFERROR(__xludf.DUMMYFUNCTION("""COMPUTED_VALUE"""),45867.0)</f>
        <v>45867</v>
      </c>
      <c r="G738" s="1430">
        <f>IFERROR(__xludf.DUMMYFUNCTION("""COMPUTED_VALUE"""),7.0)</f>
        <v>7</v>
      </c>
      <c r="H738" s="94">
        <f t="shared" si="1"/>
        <v>7</v>
      </c>
    </row>
    <row r="739" ht="15.75" customHeight="1">
      <c r="A739" s="94" t="str">
        <f>IFERROR(__xludf.DUMMYFUNCTION("""COMPUTED_VALUE"""),"TGA7")</f>
        <v>TGA7</v>
      </c>
      <c r="B739" s="94"/>
      <c r="C739" s="94"/>
      <c r="D739" s="94"/>
      <c r="E739" s="1434">
        <f>IFERROR(__xludf.DUMMYFUNCTION("""COMPUTED_VALUE"""),45860.0)</f>
        <v>45860</v>
      </c>
      <c r="F739" s="94"/>
      <c r="G739" s="94"/>
      <c r="H739" s="94">
        <f t="shared" si="1"/>
        <v>7</v>
      </c>
    </row>
    <row r="740" ht="15.75" customHeight="1">
      <c r="A740" s="94" t="str">
        <f>IFERROR(__xludf.DUMMYFUNCTION("""COMPUTED_VALUE"""),"TGA2")</f>
        <v>TGA2</v>
      </c>
      <c r="B740" s="94"/>
      <c r="C740" s="94"/>
      <c r="D740" s="94"/>
      <c r="E740" s="1434">
        <f>IFERROR(__xludf.DUMMYFUNCTION("""COMPUTED_VALUE"""),45860.0)</f>
        <v>45860</v>
      </c>
      <c r="F740" s="1429">
        <f>IFERROR(__xludf.DUMMYFUNCTION("""COMPUTED_VALUE"""),45863.0)</f>
        <v>45863</v>
      </c>
      <c r="G740" s="1430">
        <f>IFERROR(__xludf.DUMMYFUNCTION("""COMPUTED_VALUE"""),3.0)</f>
        <v>3</v>
      </c>
      <c r="H740" s="94">
        <f t="shared" si="1"/>
        <v>7</v>
      </c>
    </row>
    <row r="741" ht="15.75" customHeight="1">
      <c r="A741" s="94" t="str">
        <f>IFERROR(__xludf.DUMMYFUNCTION("""COMPUTED_VALUE"""),"NW 3-7")</f>
        <v>NW 3-7</v>
      </c>
      <c r="B741" s="94"/>
      <c r="C741" s="94"/>
      <c r="D741" s="94"/>
      <c r="E741" s="1434">
        <f>IFERROR(__xludf.DUMMYFUNCTION("""COMPUTED_VALUE"""),45860.0)</f>
        <v>45860</v>
      </c>
      <c r="F741" s="1429">
        <f>IFERROR(__xludf.DUMMYFUNCTION("""COMPUTED_VALUE"""),45864.0)</f>
        <v>45864</v>
      </c>
      <c r="G741" s="1430">
        <f>IFERROR(__xludf.DUMMYFUNCTION("""COMPUTED_VALUE"""),4.0)</f>
        <v>4</v>
      </c>
      <c r="H741" s="94">
        <f t="shared" si="1"/>
        <v>7</v>
      </c>
    </row>
    <row r="742" ht="15.75" customHeight="1">
      <c r="A742" s="94" t="str">
        <f>IFERROR(__xludf.DUMMYFUNCTION("""COMPUTED_VALUE"""),"WS F1103")</f>
        <v>WS F1103</v>
      </c>
      <c r="B742" s="94"/>
      <c r="C742" s="94"/>
      <c r="D742" s="94"/>
      <c r="E742" s="1434">
        <f>IFERROR(__xludf.DUMMYFUNCTION("""COMPUTED_VALUE"""),45860.0)</f>
        <v>45860</v>
      </c>
      <c r="F742" s="1429">
        <f>IFERROR(__xludf.DUMMYFUNCTION("""COMPUTED_VALUE"""),45865.0)</f>
        <v>45865</v>
      </c>
      <c r="G742" s="1430">
        <f>IFERROR(__xludf.DUMMYFUNCTION("""COMPUTED_VALUE"""),5.0)</f>
        <v>5</v>
      </c>
      <c r="H742" s="94">
        <f t="shared" si="1"/>
        <v>7</v>
      </c>
    </row>
    <row r="743" ht="15.75" customHeight="1">
      <c r="A743" s="94" t="str">
        <f>IFERROR(__xludf.DUMMYFUNCTION("""COMPUTED_VALUE"""),"WS В 503")</f>
        <v>WS В 503</v>
      </c>
      <c r="B743" s="94"/>
      <c r="C743" s="94"/>
      <c r="D743" s="94"/>
      <c r="E743" s="1434">
        <f>IFERROR(__xludf.DUMMYFUNCTION("""COMPUTED_VALUE"""),45860.0)</f>
        <v>45860</v>
      </c>
      <c r="F743" s="1429">
        <f>IFERROR(__xludf.DUMMYFUNCTION("""COMPUTED_VALUE"""),45865.0)</f>
        <v>45865</v>
      </c>
      <c r="G743" s="1430">
        <f>IFERROR(__xludf.DUMMYFUNCTION("""COMPUTED_VALUE"""),5.0)</f>
        <v>5</v>
      </c>
      <c r="H743" s="94">
        <f t="shared" si="1"/>
        <v>7</v>
      </c>
    </row>
    <row r="744" ht="15.75" customHeight="1">
      <c r="A744" s="94" t="str">
        <f>IFERROR(__xludf.DUMMYFUNCTION("""COMPUTED_VALUE"""),"WS E 1202")</f>
        <v>WS E 1202</v>
      </c>
      <c r="B744" s="94"/>
      <c r="C744" s="94"/>
      <c r="D744" s="94"/>
      <c r="E744" s="1434">
        <f>IFERROR(__xludf.DUMMYFUNCTION("""COMPUTED_VALUE"""),45860.0)</f>
        <v>45860</v>
      </c>
      <c r="F744" s="1429">
        <f>IFERROR(__xludf.DUMMYFUNCTION("""COMPUTED_VALUE"""),45866.0)</f>
        <v>45866</v>
      </c>
      <c r="G744" s="1430">
        <f>IFERROR(__xludf.DUMMYFUNCTION("""COMPUTED_VALUE"""),6.0)</f>
        <v>6</v>
      </c>
      <c r="H744" s="94">
        <f t="shared" si="1"/>
        <v>7</v>
      </c>
    </row>
    <row r="745" ht="15.75" customHeight="1">
      <c r="A745" s="94" t="str">
        <f>IFERROR(__xludf.DUMMYFUNCTION("""COMPUTED_VALUE"""),"Вилла Ева")</f>
        <v>Вилла Ева</v>
      </c>
      <c r="B745" s="94"/>
      <c r="C745" s="94"/>
      <c r="D745" s="94"/>
      <c r="E745" s="1429">
        <f>IFERROR(__xludf.DUMMYFUNCTION("""COMPUTED_VALUE"""),45862.0)</f>
        <v>45862</v>
      </c>
      <c r="F745" s="1429">
        <f>IFERROR(__xludf.DUMMYFUNCTION("""COMPUTED_VALUE"""),45865.0)</f>
        <v>45865</v>
      </c>
      <c r="G745" s="1430">
        <f>IFERROR(__xludf.DUMMYFUNCTION("""COMPUTED_VALUE"""),3.0)</f>
        <v>3</v>
      </c>
      <c r="H745" s="94">
        <f t="shared" si="1"/>
        <v>7</v>
      </c>
    </row>
    <row r="746" ht="15.75" customHeight="1">
      <c r="A746" s="94" t="str">
        <f>IFERROR(__xludf.DUMMYFUNCTION("""COMPUTED_VALUE"""),"А 4049")</f>
        <v>А 4049</v>
      </c>
      <c r="B746" s="94"/>
      <c r="C746" s="94"/>
      <c r="D746" s="94"/>
      <c r="E746" s="1429">
        <f>IFERROR(__xludf.DUMMYFUNCTION("""COMPUTED_VALUE"""),45861.0)</f>
        <v>45861</v>
      </c>
      <c r="F746" s="1429">
        <f>IFERROR(__xludf.DUMMYFUNCTION("""COMPUTED_VALUE"""),45864.0)</f>
        <v>45864</v>
      </c>
      <c r="G746" s="1430">
        <f>IFERROR(__xludf.DUMMYFUNCTION("""COMPUTED_VALUE"""),3.0)</f>
        <v>3</v>
      </c>
      <c r="H746" s="94">
        <f t="shared" si="1"/>
        <v>7</v>
      </c>
    </row>
    <row r="747" ht="15.75" customHeight="1">
      <c r="A747" s="94" t="str">
        <f>IFERROR(__xludf.DUMMYFUNCTION("""COMPUTED_VALUE"""),"C 4245")</f>
        <v>C 4245</v>
      </c>
      <c r="B747" s="94"/>
      <c r="C747" s="94"/>
      <c r="D747" s="94"/>
      <c r="E747" s="1429">
        <f>IFERROR(__xludf.DUMMYFUNCTION("""COMPUTED_VALUE"""),45861.0)</f>
        <v>45861</v>
      </c>
      <c r="F747" s="1429">
        <f>IFERROR(__xludf.DUMMYFUNCTION("""COMPUTED_VALUE"""),45869.0)</f>
        <v>45869</v>
      </c>
      <c r="G747" s="1430">
        <f>IFERROR(__xludf.DUMMYFUNCTION("""COMPUTED_VALUE"""),8.0)</f>
        <v>8</v>
      </c>
      <c r="H747" s="94">
        <f t="shared" si="1"/>
        <v>7</v>
      </c>
    </row>
    <row r="748" ht="15.75" customHeight="1">
      <c r="A748" s="94" t="str">
        <f>IFERROR(__xludf.DUMMYFUNCTION("""COMPUTED_VALUE"""),"DL 13-703")</f>
        <v>DL 13-703</v>
      </c>
      <c r="B748" s="94"/>
      <c r="C748" s="94"/>
      <c r="D748" s="94"/>
      <c r="E748" s="1429">
        <f>IFERROR(__xludf.DUMMYFUNCTION("""COMPUTED_VALUE"""),45861.0)</f>
        <v>45861</v>
      </c>
      <c r="F748" s="1429">
        <f>IFERROR(__xludf.DUMMYFUNCTION("""COMPUTED_VALUE"""),45864.0)</f>
        <v>45864</v>
      </c>
      <c r="G748" s="1430">
        <f>IFERROR(__xludf.DUMMYFUNCTION("""COMPUTED_VALUE"""),3.0)</f>
        <v>3</v>
      </c>
      <c r="H748" s="94">
        <f t="shared" si="1"/>
        <v>7</v>
      </c>
    </row>
    <row r="749" ht="15.75" customHeight="1">
      <c r="A749" s="94" t="str">
        <f>IFERROR(__xludf.DUMMYFUNCTION("""COMPUTED_VALUE"""),"CM 1931")</f>
        <v>CM 1931</v>
      </c>
      <c r="B749" s="94"/>
      <c r="C749" s="94"/>
      <c r="D749" s="94"/>
      <c r="E749" s="1429">
        <f>IFERROR(__xludf.DUMMYFUNCTION("""COMPUTED_VALUE"""),45861.0)</f>
        <v>45861</v>
      </c>
      <c r="F749" s="1429">
        <f>IFERROR(__xludf.DUMMYFUNCTION("""COMPUTED_VALUE"""),45866.0)</f>
        <v>45866</v>
      </c>
      <c r="G749" s="1430">
        <f>IFERROR(__xludf.DUMMYFUNCTION("""COMPUTED_VALUE"""),5.0)</f>
        <v>5</v>
      </c>
      <c r="H749" s="94">
        <f t="shared" si="1"/>
        <v>7</v>
      </c>
    </row>
    <row r="750" ht="15.75" customHeight="1">
      <c r="A750" s="94" t="str">
        <f>IFERROR(__xludf.DUMMYFUNCTION("""COMPUTED_VALUE"""),"TGA2")</f>
        <v>TGA2</v>
      </c>
      <c r="B750" s="94"/>
      <c r="C750" s="94"/>
      <c r="D750" s="94"/>
      <c r="E750" s="1429">
        <f>IFERROR(__xludf.DUMMYFUNCTION("""COMPUTED_VALUE"""),45861.0)</f>
        <v>45861</v>
      </c>
      <c r="F750" s="1429">
        <f>IFERROR(__xludf.DUMMYFUNCTION("""COMPUTED_VALUE"""),45862.0)</f>
        <v>45862</v>
      </c>
      <c r="G750" s="1430">
        <f>IFERROR(__xludf.DUMMYFUNCTION("""COMPUTED_VALUE"""),1.0)</f>
        <v>1</v>
      </c>
      <c r="H750" s="94">
        <f t="shared" si="1"/>
        <v>7</v>
      </c>
    </row>
    <row r="751" ht="15.75" customHeight="1">
      <c r="A751" s="94" t="str">
        <f>IFERROR(__xludf.DUMMYFUNCTION("""COMPUTED_VALUE"""),"TGA5")</f>
        <v>TGA5</v>
      </c>
      <c r="B751" s="94"/>
      <c r="C751" s="94"/>
      <c r="D751" s="94"/>
      <c r="E751" s="1429">
        <f>IFERROR(__xludf.DUMMYFUNCTION("""COMPUTED_VALUE"""),45861.0)</f>
        <v>45861</v>
      </c>
      <c r="F751" s="1429">
        <f>IFERROR(__xludf.DUMMYFUNCTION("""COMPUTED_VALUE"""),45876.0)</f>
        <v>45876</v>
      </c>
      <c r="G751" s="1430">
        <f>IFERROR(__xludf.DUMMYFUNCTION("""COMPUTED_VALUE"""),15.0)</f>
        <v>15</v>
      </c>
      <c r="H751" s="94">
        <f t="shared" si="1"/>
        <v>7</v>
      </c>
    </row>
    <row r="752" ht="15.75" customHeight="1">
      <c r="A752" s="94" t="str">
        <f>IFERROR(__xludf.DUMMYFUNCTION("""COMPUTED_VALUE"""),"TGA6")</f>
        <v>TGA6</v>
      </c>
      <c r="B752" s="94"/>
      <c r="C752" s="94"/>
      <c r="D752" s="94"/>
      <c r="E752" s="1429">
        <f>IFERROR(__xludf.DUMMYFUNCTION("""COMPUTED_VALUE"""),45861.0)</f>
        <v>45861</v>
      </c>
      <c r="F752" s="1429">
        <f>IFERROR(__xludf.DUMMYFUNCTION("""COMPUTED_VALUE"""),45876.0)</f>
        <v>45876</v>
      </c>
      <c r="G752" s="1430">
        <f>IFERROR(__xludf.DUMMYFUNCTION("""COMPUTED_VALUE"""),15.0)</f>
        <v>15</v>
      </c>
      <c r="H752" s="94">
        <f t="shared" si="1"/>
        <v>7</v>
      </c>
    </row>
    <row r="753" ht="15.75" customHeight="1">
      <c r="A753" s="94" t="str">
        <f>IFERROR(__xludf.DUMMYFUNCTION("""COMPUTED_VALUE"""),"TGA9")</f>
        <v>TGA9</v>
      </c>
      <c r="B753" s="94"/>
      <c r="C753" s="94"/>
      <c r="D753" s="94"/>
      <c r="E753" s="1429">
        <f>IFERROR(__xludf.DUMMYFUNCTION("""COMPUTED_VALUE"""),45861.0)</f>
        <v>45861</v>
      </c>
      <c r="F753" s="1429">
        <f>IFERROR(__xludf.DUMMYFUNCTION("""COMPUTED_VALUE"""),45868.0)</f>
        <v>45868</v>
      </c>
      <c r="G753" s="1430">
        <f>IFERROR(__xludf.DUMMYFUNCTION("""COMPUTED_VALUE"""),7.0)</f>
        <v>7</v>
      </c>
      <c r="H753" s="94">
        <f t="shared" si="1"/>
        <v>7</v>
      </c>
    </row>
    <row r="754" ht="15.75" customHeight="1">
      <c r="A754" s="94" t="str">
        <f>IFERROR(__xludf.DUMMYFUNCTION("""COMPUTED_VALUE"""),"WS А 908")</f>
        <v>WS А 908</v>
      </c>
      <c r="B754" s="94"/>
      <c r="C754" s="94"/>
      <c r="D754" s="94"/>
      <c r="E754" s="1429">
        <f>IFERROR(__xludf.DUMMYFUNCTION("""COMPUTED_VALUE"""),45861.0)</f>
        <v>45861</v>
      </c>
      <c r="F754" s="1429">
        <f>IFERROR(__xludf.DUMMYFUNCTION("""COMPUTED_VALUE"""),45869.0)</f>
        <v>45869</v>
      </c>
      <c r="G754" s="1430">
        <f>IFERROR(__xludf.DUMMYFUNCTION("""COMPUTED_VALUE"""),8.0)</f>
        <v>8</v>
      </c>
      <c r="H754" s="94">
        <f t="shared" si="1"/>
        <v>7</v>
      </c>
    </row>
    <row r="755" ht="15.75" customHeight="1">
      <c r="A755" s="94" t="str">
        <f>IFERROR(__xludf.DUMMYFUNCTION("""COMPUTED_VALUE"""),"Int 2612")</f>
        <v>Int 2612</v>
      </c>
      <c r="B755" s="94"/>
      <c r="C755" s="94"/>
      <c r="D755" s="94"/>
      <c r="E755" s="1429">
        <f>IFERROR(__xludf.DUMMYFUNCTION("""COMPUTED_VALUE"""),45861.0)</f>
        <v>45861</v>
      </c>
      <c r="F755" s="1429">
        <f>IFERROR(__xludf.DUMMYFUNCTION("""COMPUTED_VALUE"""),45864.0)</f>
        <v>45864</v>
      </c>
      <c r="G755" s="1430">
        <f>IFERROR(__xludf.DUMMYFUNCTION("""COMPUTED_VALUE"""),3.0)</f>
        <v>3</v>
      </c>
      <c r="H755" s="94">
        <f t="shared" si="1"/>
        <v>7</v>
      </c>
    </row>
    <row r="756" ht="15.75" customHeight="1">
      <c r="A756" s="94" t="str">
        <f>IFERROR(__xludf.DUMMYFUNCTION("""COMPUTED_VALUE"""),"WS В 212")</f>
        <v>WS В 212</v>
      </c>
      <c r="B756" s="94"/>
      <c r="C756" s="94"/>
      <c r="D756" s="94"/>
      <c r="E756" s="1429">
        <f>IFERROR(__xludf.DUMMYFUNCTION("""COMPUTED_VALUE"""),45862.0)</f>
        <v>45862</v>
      </c>
      <c r="F756" s="1429">
        <f>IFERROR(__xludf.DUMMYFUNCTION("""COMPUTED_VALUE"""),45865.0)</f>
        <v>45865</v>
      </c>
      <c r="G756" s="1430">
        <f>IFERROR(__xludf.DUMMYFUNCTION("""COMPUTED_VALUE"""),3.0)</f>
        <v>3</v>
      </c>
      <c r="H756" s="94">
        <f t="shared" si="1"/>
        <v>7</v>
      </c>
    </row>
    <row r="757" ht="15.75" customHeight="1">
      <c r="A757" s="94" t="str">
        <f>IFERROR(__xludf.DUMMYFUNCTION("""COMPUTED_VALUE"""),"PT2604")</f>
        <v>PT2604</v>
      </c>
      <c r="B757" s="94"/>
      <c r="C757" s="94"/>
      <c r="D757" s="94"/>
      <c r="E757" s="1429">
        <f>IFERROR(__xludf.DUMMYFUNCTION("""COMPUTED_VALUE"""),45862.0)</f>
        <v>45862</v>
      </c>
      <c r="F757" s="1429">
        <f>IFERROR(__xludf.DUMMYFUNCTION("""COMPUTED_VALUE"""),45865.0)</f>
        <v>45865</v>
      </c>
      <c r="G757" s="1430">
        <f>IFERROR(__xludf.DUMMYFUNCTION("""COMPUTED_VALUE"""),3.0)</f>
        <v>3</v>
      </c>
      <c r="H757" s="94">
        <f t="shared" si="1"/>
        <v>7</v>
      </c>
    </row>
    <row r="758" ht="15.75" customHeight="1">
      <c r="A758" s="94" t="str">
        <f>IFERROR(__xludf.DUMMYFUNCTION("""COMPUTED_VALUE"""),"NW 4-9")</f>
        <v>NW 4-9</v>
      </c>
      <c r="B758" s="94"/>
      <c r="C758" s="94"/>
      <c r="D758" s="94"/>
      <c r="E758" s="1429">
        <f>IFERROR(__xludf.DUMMYFUNCTION("""COMPUTED_VALUE"""),45862.0)</f>
        <v>45862</v>
      </c>
      <c r="F758" s="1429">
        <f>IFERROR(__xludf.DUMMYFUNCTION("""COMPUTED_VALUE"""),45865.0)</f>
        <v>45865</v>
      </c>
      <c r="G758" s="1430">
        <f>IFERROR(__xludf.DUMMYFUNCTION("""COMPUTED_VALUE"""),3.0)</f>
        <v>3</v>
      </c>
      <c r="H758" s="94">
        <f t="shared" si="1"/>
        <v>7</v>
      </c>
    </row>
    <row r="759" ht="15.75" customHeight="1">
      <c r="A759" s="94" t="str">
        <f>IFERROR(__xludf.DUMMYFUNCTION("""COMPUTED_VALUE"""),"NW 10-6")</f>
        <v>NW 10-6</v>
      </c>
      <c r="B759" s="94"/>
      <c r="C759" s="94"/>
      <c r="D759" s="94"/>
      <c r="E759" s="1429">
        <f>IFERROR(__xludf.DUMMYFUNCTION("""COMPUTED_VALUE"""),45862.0)</f>
        <v>45862</v>
      </c>
      <c r="F759" s="1429">
        <f>IFERROR(__xludf.DUMMYFUNCTION("""COMPUTED_VALUE"""),45867.0)</f>
        <v>45867</v>
      </c>
      <c r="G759" s="1430">
        <f>IFERROR(__xludf.DUMMYFUNCTION("""COMPUTED_VALUE"""),5.0)</f>
        <v>5</v>
      </c>
      <c r="H759" s="94">
        <f t="shared" si="1"/>
        <v>7</v>
      </c>
    </row>
    <row r="760" ht="15.75" customHeight="1">
      <c r="A760" s="94" t="str">
        <f>IFERROR(__xludf.DUMMYFUNCTION("""COMPUTED_VALUE"""),"MZ 913")</f>
        <v>MZ 913</v>
      </c>
      <c r="B760" s="94"/>
      <c r="C760" s="94"/>
      <c r="D760" s="94"/>
      <c r="E760" s="1429">
        <f>IFERROR(__xludf.DUMMYFUNCTION("""COMPUTED_VALUE"""),45862.0)</f>
        <v>45862</v>
      </c>
      <c r="F760" s="1429">
        <f>IFERROR(__xludf.DUMMYFUNCTION("""COMPUTED_VALUE"""),45867.0)</f>
        <v>45867</v>
      </c>
      <c r="G760" s="1430">
        <f>IFERROR(__xludf.DUMMYFUNCTION("""COMPUTED_VALUE"""),5.0)</f>
        <v>5</v>
      </c>
      <c r="H760" s="94">
        <f t="shared" si="1"/>
        <v>7</v>
      </c>
    </row>
    <row r="761" ht="15.75" customHeight="1">
      <c r="A761" s="94" t="str">
        <f>IFERROR(__xludf.DUMMYFUNCTION("""COMPUTED_VALUE"""),"MZ 1408")</f>
        <v>MZ 1408</v>
      </c>
      <c r="B761" s="94"/>
      <c r="C761" s="94"/>
      <c r="D761" s="94"/>
      <c r="E761" s="1429">
        <f>IFERROR(__xludf.DUMMYFUNCTION("""COMPUTED_VALUE"""),45862.0)</f>
        <v>45862</v>
      </c>
      <c r="F761" s="1429">
        <f>IFERROR(__xludf.DUMMYFUNCTION("""COMPUTED_VALUE"""),45866.0)</f>
        <v>45866</v>
      </c>
      <c r="G761" s="1430">
        <f>IFERROR(__xludf.DUMMYFUNCTION("""COMPUTED_VALUE"""),4.0)</f>
        <v>4</v>
      </c>
      <c r="H761" s="94">
        <f t="shared" si="1"/>
        <v>7</v>
      </c>
    </row>
    <row r="762" ht="15.75" customHeight="1">
      <c r="A762" s="94" t="str">
        <f>IFERROR(__xludf.DUMMYFUNCTION("""COMPUTED_VALUE"""),"DL14-501-502")</f>
        <v>DL14-501-502</v>
      </c>
      <c r="B762" s="94"/>
      <c r="C762" s="94"/>
      <c r="D762" s="94"/>
      <c r="E762" s="1429">
        <f>IFERROR(__xludf.DUMMYFUNCTION("""COMPUTED_VALUE"""),45862.0)</f>
        <v>45862</v>
      </c>
      <c r="F762" s="1429">
        <f>IFERROR(__xludf.DUMMYFUNCTION("""COMPUTED_VALUE"""),45865.0)</f>
        <v>45865</v>
      </c>
      <c r="G762" s="1430">
        <f>IFERROR(__xludf.DUMMYFUNCTION("""COMPUTED_VALUE"""),3.0)</f>
        <v>3</v>
      </c>
      <c r="H762" s="94">
        <f t="shared" si="1"/>
        <v>7</v>
      </c>
    </row>
    <row r="763" ht="15.75" customHeight="1">
      <c r="A763" s="94" t="str">
        <f>IFERROR(__xludf.DUMMYFUNCTION("""COMPUTED_VALUE"""),"DL7-16")</f>
        <v>DL7-16</v>
      </c>
      <c r="B763" s="94"/>
      <c r="C763" s="94"/>
      <c r="D763" s="94"/>
      <c r="E763" s="1429">
        <f>IFERROR(__xludf.DUMMYFUNCTION("""COMPUTED_VALUE"""),45862.0)</f>
        <v>45862</v>
      </c>
      <c r="F763" s="1429">
        <f>IFERROR(__xludf.DUMMYFUNCTION("""COMPUTED_VALUE"""),45867.0)</f>
        <v>45867</v>
      </c>
      <c r="G763" s="1430">
        <f>IFERROR(__xludf.DUMMYFUNCTION("""COMPUTED_VALUE"""),5.0)</f>
        <v>5</v>
      </c>
      <c r="H763" s="94">
        <f t="shared" si="1"/>
        <v>7</v>
      </c>
    </row>
    <row r="764" ht="15.75" customHeight="1">
      <c r="A764" s="94" t="str">
        <f>IFERROR(__xludf.DUMMYFUNCTION("""COMPUTED_VALUE"""),"WS A 409")</f>
        <v>WS A 409</v>
      </c>
      <c r="B764" s="94"/>
      <c r="C764" s="94"/>
      <c r="D764" s="94"/>
      <c r="E764" s="1429">
        <f>IFERROR(__xludf.DUMMYFUNCTION("""COMPUTED_VALUE"""),45862.0)</f>
        <v>45862</v>
      </c>
      <c r="F764" s="1429">
        <f>IFERROR(__xludf.DUMMYFUNCTION("""COMPUTED_VALUE"""),45864.0)</f>
        <v>45864</v>
      </c>
      <c r="G764" s="1430">
        <f>IFERROR(__xludf.DUMMYFUNCTION("""COMPUTED_VALUE"""),2.0)</f>
        <v>2</v>
      </c>
      <c r="H764" s="94">
        <f t="shared" si="1"/>
        <v>7</v>
      </c>
    </row>
    <row r="765" ht="15.75" customHeight="1">
      <c r="A765" s="94" t="str">
        <f>IFERROR(__xludf.DUMMYFUNCTION("""COMPUTED_VALUE"""),"TGB6")</f>
        <v>TGB6</v>
      </c>
      <c r="B765" s="94"/>
      <c r="C765" s="94"/>
      <c r="D765" s="94"/>
      <c r="E765" s="1429">
        <f>IFERROR(__xludf.DUMMYFUNCTION("""COMPUTED_VALUE"""),45862.0)</f>
        <v>45862</v>
      </c>
      <c r="F765" s="1429">
        <f>IFERROR(__xludf.DUMMYFUNCTION("""COMPUTED_VALUE"""),45864.0)</f>
        <v>45864</v>
      </c>
      <c r="G765" s="1430">
        <f>IFERROR(__xludf.DUMMYFUNCTION("""COMPUTED_VALUE"""),2.0)</f>
        <v>2</v>
      </c>
      <c r="H765" s="94">
        <f t="shared" si="1"/>
        <v>7</v>
      </c>
    </row>
    <row r="766" ht="15.75" customHeight="1">
      <c r="A766" s="94" t="str">
        <f>IFERROR(__xludf.DUMMYFUNCTION("""COMPUTED_VALUE"""),"TGB1")</f>
        <v>TGB1</v>
      </c>
      <c r="B766" s="94"/>
      <c r="C766" s="94"/>
      <c r="D766" s="94"/>
      <c r="E766" s="1429">
        <f>IFERROR(__xludf.DUMMYFUNCTION("""COMPUTED_VALUE"""),45862.0)</f>
        <v>45862</v>
      </c>
      <c r="F766" s="1429">
        <f>IFERROR(__xludf.DUMMYFUNCTION("""COMPUTED_VALUE"""),45865.0)</f>
        <v>45865</v>
      </c>
      <c r="G766" s="1430">
        <f>IFERROR(__xludf.DUMMYFUNCTION("""COMPUTED_VALUE"""),3.0)</f>
        <v>3</v>
      </c>
      <c r="H766" s="94">
        <f t="shared" si="1"/>
        <v>7</v>
      </c>
    </row>
    <row r="767" ht="15.75" customHeight="1">
      <c r="A767" s="94" t="str">
        <f>IFERROR(__xludf.DUMMYFUNCTION("""COMPUTED_VALUE"""),"TGA8")</f>
        <v>TGA8</v>
      </c>
      <c r="B767" s="94"/>
      <c r="C767" s="94"/>
      <c r="D767" s="94"/>
      <c r="E767" s="1429">
        <f>IFERROR(__xludf.DUMMYFUNCTION("""COMPUTED_VALUE"""),45862.0)</f>
        <v>45862</v>
      </c>
      <c r="F767" s="1429">
        <f>IFERROR(__xludf.DUMMYFUNCTION("""COMPUTED_VALUE"""),45865.0)</f>
        <v>45865</v>
      </c>
      <c r="G767" s="1430">
        <f>IFERROR(__xludf.DUMMYFUNCTION("""COMPUTED_VALUE"""),3.0)</f>
        <v>3</v>
      </c>
      <c r="H767" s="94">
        <f t="shared" si="1"/>
        <v>7</v>
      </c>
    </row>
    <row r="768" ht="15.75" customHeight="1">
      <c r="A768" s="94" t="str">
        <f>IFERROR(__xludf.DUMMYFUNCTION("""COMPUTED_VALUE"""),"TGA3")</f>
        <v>TGA3</v>
      </c>
      <c r="B768" s="94"/>
      <c r="C768" s="94"/>
      <c r="D768" s="94"/>
      <c r="E768" s="1429">
        <f>IFERROR(__xludf.DUMMYFUNCTION("""COMPUTED_VALUE"""),45862.0)</f>
        <v>45862</v>
      </c>
      <c r="F768" s="1429">
        <f>IFERROR(__xludf.DUMMYFUNCTION("""COMPUTED_VALUE"""),45865.0)</f>
        <v>45865</v>
      </c>
      <c r="G768" s="1430">
        <f>IFERROR(__xludf.DUMMYFUNCTION("""COMPUTED_VALUE"""),3.0)</f>
        <v>3</v>
      </c>
      <c r="H768" s="94">
        <f t="shared" si="1"/>
        <v>7</v>
      </c>
    </row>
    <row r="769" ht="15.75" customHeight="1">
      <c r="A769" s="94" t="str">
        <f>IFERROR(__xludf.DUMMYFUNCTION("""COMPUTED_VALUE"""),"TG A1")</f>
        <v>TG A1</v>
      </c>
      <c r="B769" s="94"/>
      <c r="C769" s="94"/>
      <c r="D769" s="94"/>
      <c r="E769" s="1429">
        <f>IFERROR(__xludf.DUMMYFUNCTION("""COMPUTED_VALUE"""),45862.0)</f>
        <v>45862</v>
      </c>
      <c r="F769" s="1429">
        <f>IFERROR(__xludf.DUMMYFUNCTION("""COMPUTED_VALUE"""),45867.0)</f>
        <v>45867</v>
      </c>
      <c r="G769" s="1430">
        <f>IFERROR(__xludf.DUMMYFUNCTION("""COMPUTED_VALUE"""),5.0)</f>
        <v>5</v>
      </c>
      <c r="H769" s="94">
        <f t="shared" si="1"/>
        <v>7</v>
      </c>
    </row>
    <row r="770" ht="15.75" customHeight="1">
      <c r="A770" s="94" t="str">
        <f>IFERROR(__xludf.DUMMYFUNCTION("""COMPUTED_VALUE"""),"TGA4")</f>
        <v>TGA4</v>
      </c>
      <c r="B770" s="94"/>
      <c r="C770" s="94"/>
      <c r="D770" s="94"/>
      <c r="E770" s="1429">
        <f>IFERROR(__xludf.DUMMYFUNCTION("""COMPUTED_VALUE"""),45863.0)</f>
        <v>45863</v>
      </c>
      <c r="F770" s="1429">
        <f>IFERROR(__xludf.DUMMYFUNCTION("""COMPUTED_VALUE"""),45868.0)</f>
        <v>45868</v>
      </c>
      <c r="G770" s="1430">
        <f>IFERROR(__xludf.DUMMYFUNCTION("""COMPUTED_VALUE"""),5.0)</f>
        <v>5</v>
      </c>
      <c r="H770" s="94">
        <f t="shared" si="1"/>
        <v>7</v>
      </c>
    </row>
    <row r="771" ht="15.75" customHeight="1">
      <c r="A771" s="94" t="str">
        <f>IFERROR(__xludf.DUMMYFUNCTION("""COMPUTED_VALUE"""),"TGB6")</f>
        <v>TGB6</v>
      </c>
      <c r="B771" s="94"/>
      <c r="C771" s="94"/>
      <c r="D771" s="94"/>
      <c r="E771" s="1429">
        <f>IFERROR(__xludf.DUMMYFUNCTION("""COMPUTED_VALUE"""),45863.0)</f>
        <v>45863</v>
      </c>
      <c r="F771" s="1429">
        <f>IFERROR(__xludf.DUMMYFUNCTION("""COMPUTED_VALUE"""),45866.0)</f>
        <v>45866</v>
      </c>
      <c r="G771" s="1430">
        <f>IFERROR(__xludf.DUMMYFUNCTION("""COMPUTED_VALUE"""),3.0)</f>
        <v>3</v>
      </c>
      <c r="H771" s="94">
        <f t="shared" si="1"/>
        <v>7</v>
      </c>
    </row>
    <row r="772" ht="15.75" customHeight="1">
      <c r="A772" s="94" t="str">
        <f>IFERROR(__xludf.DUMMYFUNCTION("""COMPUTED_VALUE"""),"Steps 1108")</f>
        <v>Steps 1108</v>
      </c>
      <c r="B772" s="94"/>
      <c r="C772" s="94"/>
      <c r="D772" s="94"/>
      <c r="E772" s="1435">
        <f>IFERROR(__xludf.DUMMYFUNCTION("""COMPUTED_VALUE"""),45863.0)</f>
        <v>45863</v>
      </c>
      <c r="F772" s="1429">
        <f>IFERROR(__xludf.DUMMYFUNCTION("""COMPUTED_VALUE"""),45867.0)</f>
        <v>45867</v>
      </c>
      <c r="G772" s="1430">
        <f>IFERROR(__xludf.DUMMYFUNCTION("""COMPUTED_VALUE"""),4.0)</f>
        <v>4</v>
      </c>
      <c r="H772" s="94">
        <f t="shared" si="1"/>
        <v>7</v>
      </c>
    </row>
    <row r="773" ht="15.75" customHeight="1">
      <c r="A773" s="94" t="str">
        <f>IFERROR(__xludf.DUMMYFUNCTION("""COMPUTED_VALUE"""),"NW 4-10")</f>
        <v>NW 4-10</v>
      </c>
      <c r="B773" s="94"/>
      <c r="C773" s="94"/>
      <c r="D773" s="94"/>
      <c r="E773" s="1434">
        <f>IFERROR(__xludf.DUMMYFUNCTION("""COMPUTED_VALUE"""),45863.0)</f>
        <v>45863</v>
      </c>
      <c r="F773" s="1429">
        <f>IFERROR(__xludf.DUMMYFUNCTION("""COMPUTED_VALUE"""),45864.0)</f>
        <v>45864</v>
      </c>
      <c r="G773" s="1430">
        <f>IFERROR(__xludf.DUMMYFUNCTION("""COMPUTED_VALUE"""),1.0)</f>
        <v>1</v>
      </c>
      <c r="H773" s="94">
        <f t="shared" si="1"/>
        <v>7</v>
      </c>
    </row>
    <row r="774" ht="15.75" customHeight="1">
      <c r="A774" s="94" t="str">
        <f>IFERROR(__xludf.DUMMYFUNCTION("""COMPUTED_VALUE"""),"С 1125")</f>
        <v>С 1125</v>
      </c>
      <c r="B774" s="94"/>
      <c r="C774" s="94"/>
      <c r="D774" s="94"/>
      <c r="E774" s="1435">
        <f>IFERROR(__xludf.DUMMYFUNCTION("""COMPUTED_VALUE"""),45863.0)</f>
        <v>45863</v>
      </c>
      <c r="F774" s="1429">
        <f>IFERROR(__xludf.DUMMYFUNCTION("""COMPUTED_VALUE"""),45866.0)</f>
        <v>45866</v>
      </c>
      <c r="G774" s="1430">
        <f>IFERROR(__xludf.DUMMYFUNCTION("""COMPUTED_VALUE"""),3.0)</f>
        <v>3</v>
      </c>
      <c r="H774" s="94">
        <f t="shared" si="1"/>
        <v>7</v>
      </c>
    </row>
    <row r="775" ht="15.75" customHeight="1">
      <c r="A775" s="94" t="str">
        <f>IFERROR(__xludf.DUMMYFUNCTION("""COMPUTED_VALUE"""),"WS Е804")</f>
        <v>WS Е804</v>
      </c>
      <c r="B775" s="94"/>
      <c r="C775" s="94"/>
      <c r="D775" s="94"/>
      <c r="E775" s="1435">
        <f>IFERROR(__xludf.DUMMYFUNCTION("""COMPUTED_VALUE"""),45863.0)</f>
        <v>45863</v>
      </c>
      <c r="F775" s="1429">
        <f>IFERROR(__xludf.DUMMYFUNCTION("""COMPUTED_VALUE"""),45870.0)</f>
        <v>45870</v>
      </c>
      <c r="G775" s="1430">
        <f>IFERROR(__xludf.DUMMYFUNCTION("""COMPUTED_VALUE"""),7.0)</f>
        <v>7</v>
      </c>
      <c r="H775" s="94">
        <f t="shared" si="1"/>
        <v>7</v>
      </c>
    </row>
    <row r="776" ht="15.75" customHeight="1">
      <c r="A776" s="94" t="str">
        <f>IFERROR(__xludf.DUMMYFUNCTION("""COMPUTED_VALUE"""),"DL 11-1305")</f>
        <v>DL 11-1305</v>
      </c>
      <c r="B776" s="94"/>
      <c r="C776" s="94"/>
      <c r="D776" s="94"/>
      <c r="E776" s="1435">
        <f>IFERROR(__xludf.DUMMYFUNCTION("""COMPUTED_VALUE"""),45863.0)</f>
        <v>45863</v>
      </c>
      <c r="F776" s="1429">
        <f>IFERROR(__xludf.DUMMYFUNCTION("""COMPUTED_VALUE"""),45869.0)</f>
        <v>45869</v>
      </c>
      <c r="G776" s="1430">
        <f>IFERROR(__xludf.DUMMYFUNCTION("""COMPUTED_VALUE"""),6.0)</f>
        <v>6</v>
      </c>
      <c r="H776" s="94">
        <f t="shared" si="1"/>
        <v>7</v>
      </c>
    </row>
    <row r="777" ht="15.75" customHeight="1">
      <c r="A777" s="94" t="str">
        <f>IFERROR(__xludf.DUMMYFUNCTION("""COMPUTED_VALUE"""),"DL14-305")</f>
        <v>DL14-305</v>
      </c>
      <c r="B777" s="94"/>
      <c r="C777" s="94"/>
      <c r="D777" s="94"/>
      <c r="E777" s="1435">
        <f>IFERROR(__xludf.DUMMYFUNCTION("""COMPUTED_VALUE"""),45863.0)</f>
        <v>45863</v>
      </c>
      <c r="F777" s="1429">
        <f>IFERROR(__xludf.DUMMYFUNCTION("""COMPUTED_VALUE"""),45866.0)</f>
        <v>45866</v>
      </c>
      <c r="G777" s="1430">
        <f>IFERROR(__xludf.DUMMYFUNCTION("""COMPUTED_VALUE"""),3.0)</f>
        <v>3</v>
      </c>
      <c r="H777" s="94">
        <f t="shared" si="1"/>
        <v>7</v>
      </c>
    </row>
    <row r="778" ht="15.75" customHeight="1">
      <c r="A778" s="94" t="str">
        <f>IFERROR(__xludf.DUMMYFUNCTION("""COMPUTED_VALUE"""),"DL14-518")</f>
        <v>DL14-518</v>
      </c>
      <c r="B778" s="94"/>
      <c r="C778" s="94"/>
      <c r="D778" s="94"/>
      <c r="E778" s="1429">
        <f>IFERROR(__xludf.DUMMYFUNCTION("""COMPUTED_VALUE"""),45862.0)</f>
        <v>45862</v>
      </c>
      <c r="F778" s="1429">
        <f>IFERROR(__xludf.DUMMYFUNCTION("""COMPUTED_VALUE"""),45867.0)</f>
        <v>45867</v>
      </c>
      <c r="G778" s="1430">
        <f>IFERROR(__xludf.DUMMYFUNCTION("""COMPUTED_VALUE"""),5.0)</f>
        <v>5</v>
      </c>
      <c r="H778" s="94">
        <f t="shared" si="1"/>
        <v>7</v>
      </c>
    </row>
    <row r="779" ht="15.75" customHeight="1">
      <c r="A779" s="94" t="str">
        <f>IFERROR(__xludf.DUMMYFUNCTION("""COMPUTED_VALUE"""),"BV1318")</f>
        <v>BV1318</v>
      </c>
      <c r="B779" s="94"/>
      <c r="C779" s="94"/>
      <c r="D779" s="94"/>
      <c r="E779" s="1429">
        <f>IFERROR(__xludf.DUMMYFUNCTION("""COMPUTED_VALUE"""),45863.0)</f>
        <v>45863</v>
      </c>
      <c r="F779" s="1429">
        <f>IFERROR(__xludf.DUMMYFUNCTION("""COMPUTED_VALUE"""),45868.0)</f>
        <v>45868</v>
      </c>
      <c r="G779" s="1430">
        <f>IFERROR(__xludf.DUMMYFUNCTION("""COMPUTED_VALUE"""),5.0)</f>
        <v>5</v>
      </c>
      <c r="H779" s="94">
        <f t="shared" si="1"/>
        <v>7</v>
      </c>
    </row>
    <row r="780" ht="15.75" customHeight="1">
      <c r="A780" s="94" t="str">
        <f>IFERROR(__xludf.DUMMYFUNCTION("""COMPUTED_VALUE"""),"DL14-1405")</f>
        <v>DL14-1405</v>
      </c>
      <c r="B780" s="94"/>
      <c r="C780" s="94"/>
      <c r="D780" s="94"/>
      <c r="E780" s="1429">
        <f>IFERROR(__xludf.DUMMYFUNCTION("""COMPUTED_VALUE"""),45863.0)</f>
        <v>45863</v>
      </c>
      <c r="F780" s="1429">
        <f>IFERROR(__xludf.DUMMYFUNCTION("""COMPUTED_VALUE"""),45868.0)</f>
        <v>45868</v>
      </c>
      <c r="G780" s="1430">
        <f>IFERROR(__xludf.DUMMYFUNCTION("""COMPUTED_VALUE"""),5.0)</f>
        <v>5</v>
      </c>
      <c r="H780" s="94">
        <f t="shared" si="1"/>
        <v>7</v>
      </c>
    </row>
    <row r="781" ht="15.75" customHeight="1">
      <c r="A781" s="94" t="str">
        <f>IFERROR(__xludf.DUMMYFUNCTION("""COMPUTED_VALUE"""),"NW 4-10")</f>
        <v>NW 4-10</v>
      </c>
      <c r="B781" s="94"/>
      <c r="C781" s="94"/>
      <c r="D781" s="94"/>
      <c r="E781" s="1429">
        <f>IFERROR(__xludf.DUMMYFUNCTION("""COMPUTED_VALUE"""),45864.0)</f>
        <v>45864</v>
      </c>
      <c r="F781" s="1429">
        <f>IFERROR(__xludf.DUMMYFUNCTION("""COMPUTED_VALUE"""),45870.0)</f>
        <v>45870</v>
      </c>
      <c r="G781" s="1430">
        <f>IFERROR(__xludf.DUMMYFUNCTION("""COMPUTED_VALUE"""),6.0)</f>
        <v>6</v>
      </c>
      <c r="H781" s="94">
        <f t="shared" si="1"/>
        <v>7</v>
      </c>
    </row>
    <row r="782" ht="15.75" customHeight="1">
      <c r="A782" s="94" t="str">
        <f>IFERROR(__xludf.DUMMYFUNCTION("""COMPUTED_VALUE"""),"DL 14-1710")</f>
        <v>DL 14-1710</v>
      </c>
      <c r="B782" s="94"/>
      <c r="C782" s="94"/>
      <c r="D782" s="94"/>
      <c r="E782" s="1429">
        <f>IFERROR(__xludf.DUMMYFUNCTION("""COMPUTED_VALUE"""),45864.0)</f>
        <v>45864</v>
      </c>
      <c r="F782" s="1429">
        <f>IFERROR(__xludf.DUMMYFUNCTION("""COMPUTED_VALUE"""),45869.0)</f>
        <v>45869</v>
      </c>
      <c r="G782" s="1430">
        <f>IFERROR(__xludf.DUMMYFUNCTION("""COMPUTED_VALUE"""),5.0)</f>
        <v>5</v>
      </c>
      <c r="H782" s="94">
        <f t="shared" si="1"/>
        <v>7</v>
      </c>
    </row>
    <row r="783" ht="15.75" customHeight="1">
      <c r="A783" s="94" t="str">
        <f>IFERROR(__xludf.DUMMYFUNCTION("""COMPUTED_VALUE"""),"DL14-1907")</f>
        <v>DL14-1907</v>
      </c>
      <c r="B783" s="94"/>
      <c r="C783" s="94"/>
      <c r="D783" s="94"/>
      <c r="E783" s="1429">
        <f>IFERROR(__xludf.DUMMYFUNCTION("""COMPUTED_VALUE"""),45864.0)</f>
        <v>45864</v>
      </c>
      <c r="F783" s="1429">
        <f>IFERROR(__xludf.DUMMYFUNCTION("""COMPUTED_VALUE"""),45865.0)</f>
        <v>45865</v>
      </c>
      <c r="G783" s="1430">
        <f>IFERROR(__xludf.DUMMYFUNCTION("""COMPUTED_VALUE"""),1.0)</f>
        <v>1</v>
      </c>
      <c r="H783" s="94">
        <f t="shared" si="1"/>
        <v>7</v>
      </c>
    </row>
    <row r="784" ht="15.75" customHeight="1">
      <c r="A784" s="94" t="str">
        <f>IFERROR(__xludf.DUMMYFUNCTION("""COMPUTED_VALUE"""),"Int 2612")</f>
        <v>Int 2612</v>
      </c>
      <c r="B784" s="94"/>
      <c r="C784" s="94"/>
      <c r="D784" s="94"/>
      <c r="E784" s="1429">
        <f>IFERROR(__xludf.DUMMYFUNCTION("""COMPUTED_VALUE"""),45864.0)</f>
        <v>45864</v>
      </c>
      <c r="F784" s="1429">
        <f>IFERROR(__xludf.DUMMYFUNCTION("""COMPUTED_VALUE"""),45867.0)</f>
        <v>45867</v>
      </c>
      <c r="G784" s="1430">
        <f>IFERROR(__xludf.DUMMYFUNCTION("""COMPUTED_VALUE"""),3.0)</f>
        <v>3</v>
      </c>
      <c r="H784" s="94">
        <f t="shared" si="1"/>
        <v>7</v>
      </c>
    </row>
    <row r="785" ht="15.75" customHeight="1">
      <c r="A785" s="94" t="str">
        <f>IFERROR(__xludf.DUMMYFUNCTION("""COMPUTED_VALUE"""),"CM 1606")</f>
        <v>CM 1606</v>
      </c>
      <c r="B785" s="94"/>
      <c r="C785" s="94"/>
      <c r="D785" s="94"/>
      <c r="E785" s="1429">
        <f>IFERROR(__xludf.DUMMYFUNCTION("""COMPUTED_VALUE"""),45864.0)</f>
        <v>45864</v>
      </c>
      <c r="F785" s="1429">
        <f>IFERROR(__xludf.DUMMYFUNCTION("""COMPUTED_VALUE"""),45870.0)</f>
        <v>45870</v>
      </c>
      <c r="G785" s="1430">
        <f>IFERROR(__xludf.DUMMYFUNCTION("""COMPUTED_VALUE"""),6.0)</f>
        <v>6</v>
      </c>
      <c r="H785" s="94">
        <f t="shared" si="1"/>
        <v>7</v>
      </c>
    </row>
    <row r="786" ht="15.75" customHeight="1">
      <c r="A786" s="94" t="str">
        <f>IFERROR(__xludf.DUMMYFUNCTION("""COMPUTED_VALUE"""),"PT2704")</f>
        <v>PT2704</v>
      </c>
      <c r="B786" s="94"/>
      <c r="C786" s="94"/>
      <c r="D786" s="94"/>
      <c r="E786" s="1429">
        <f>IFERROR(__xludf.DUMMYFUNCTION("""COMPUTED_VALUE"""),45864.0)</f>
        <v>45864</v>
      </c>
      <c r="F786" s="1429">
        <f>IFERROR(__xludf.DUMMYFUNCTION("""COMPUTED_VALUE"""),45867.0)</f>
        <v>45867</v>
      </c>
      <c r="G786" s="1430">
        <f>IFERROR(__xludf.DUMMYFUNCTION("""COMPUTED_VALUE"""),3.0)</f>
        <v>3</v>
      </c>
      <c r="H786" s="94">
        <f t="shared" si="1"/>
        <v>7</v>
      </c>
    </row>
    <row r="787" ht="15.75" customHeight="1">
      <c r="A787" s="94" t="str">
        <f>IFERROR(__xludf.DUMMYFUNCTION("""COMPUTED_VALUE"""),"DL 13-703")</f>
        <v>DL 13-703</v>
      </c>
      <c r="B787" s="94"/>
      <c r="C787" s="94"/>
      <c r="D787" s="94"/>
      <c r="E787" s="1429">
        <f>IFERROR(__xludf.DUMMYFUNCTION("""COMPUTED_VALUE"""),45864.0)</f>
        <v>45864</v>
      </c>
      <c r="F787" s="1429">
        <f>IFERROR(__xludf.DUMMYFUNCTION("""COMPUTED_VALUE"""),45868.0)</f>
        <v>45868</v>
      </c>
      <c r="G787" s="1430">
        <f>IFERROR(__xludf.DUMMYFUNCTION("""COMPUTED_VALUE"""),4.0)</f>
        <v>4</v>
      </c>
      <c r="H787" s="94">
        <f t="shared" si="1"/>
        <v>7</v>
      </c>
    </row>
    <row r="788" ht="15.75" customHeight="1">
      <c r="A788" s="94" t="str">
        <f>IFERROR(__xludf.DUMMYFUNCTION("""COMPUTED_VALUE"""),"TGB11")</f>
        <v>TGB11</v>
      </c>
      <c r="B788" s="94"/>
      <c r="C788" s="94"/>
      <c r="D788" s="94"/>
      <c r="E788" s="1429">
        <f>IFERROR(__xludf.DUMMYFUNCTION("""COMPUTED_VALUE"""),45864.0)</f>
        <v>45864</v>
      </c>
      <c r="F788" s="1429">
        <f>IFERROR(__xludf.DUMMYFUNCTION("""COMPUTED_VALUE"""),45867.0)</f>
        <v>45867</v>
      </c>
      <c r="G788" s="1430">
        <f>IFERROR(__xludf.DUMMYFUNCTION("""COMPUTED_VALUE"""),3.0)</f>
        <v>3</v>
      </c>
      <c r="H788" s="94">
        <f t="shared" si="1"/>
        <v>7</v>
      </c>
    </row>
    <row r="789" ht="15.75" customHeight="1">
      <c r="A789" s="94" t="str">
        <f>IFERROR(__xludf.DUMMYFUNCTION("""COMPUTED_VALUE"""),"TGA1")</f>
        <v>TGA1</v>
      </c>
      <c r="B789" s="94"/>
      <c r="C789" s="94"/>
      <c r="D789" s="94"/>
      <c r="E789" s="1429">
        <f>IFERROR(__xludf.DUMMYFUNCTION("""COMPUTED_VALUE"""),45864.0)</f>
        <v>45864</v>
      </c>
      <c r="F789" s="1429">
        <f>IFERROR(__xludf.DUMMYFUNCTION("""COMPUTED_VALUE"""),45870.0)</f>
        <v>45870</v>
      </c>
      <c r="G789" s="1430">
        <f>IFERROR(__xludf.DUMMYFUNCTION("""COMPUTED_VALUE"""),6.0)</f>
        <v>6</v>
      </c>
      <c r="H789" s="94">
        <f t="shared" si="1"/>
        <v>7</v>
      </c>
    </row>
    <row r="790" ht="15.75" customHeight="1">
      <c r="A790" s="94" t="str">
        <f>IFERROR(__xludf.DUMMYFUNCTION("""COMPUTED_VALUE"""),"TGA9")</f>
        <v>TGA9</v>
      </c>
      <c r="B790" s="94"/>
      <c r="C790" s="94"/>
      <c r="D790" s="94"/>
      <c r="E790" s="1429">
        <f>IFERROR(__xludf.DUMMYFUNCTION("""COMPUTED_VALUE"""),45864.0)</f>
        <v>45864</v>
      </c>
      <c r="F790" s="1429">
        <f>IFERROR(__xludf.DUMMYFUNCTION("""COMPUTED_VALUE"""),45886.0)</f>
        <v>45886</v>
      </c>
      <c r="G790" s="1430">
        <f>IFERROR(__xludf.DUMMYFUNCTION("""COMPUTED_VALUE"""),22.0)</f>
        <v>22</v>
      </c>
      <c r="H790" s="94">
        <f t="shared" si="1"/>
        <v>7</v>
      </c>
    </row>
    <row r="791" ht="15.75" customHeight="1">
      <c r="A791" s="94" t="str">
        <f>IFERROR(__xludf.DUMMYFUNCTION("""COMPUTED_VALUE"""),"TGB2")</f>
        <v>TGB2</v>
      </c>
      <c r="B791" s="94"/>
      <c r="C791" s="94"/>
      <c r="D791" s="94"/>
      <c r="E791" s="1429">
        <f>IFERROR(__xludf.DUMMYFUNCTION("""COMPUTED_VALUE"""),45864.0)</f>
        <v>45864</v>
      </c>
      <c r="F791" s="1429">
        <f>IFERROR(__xludf.DUMMYFUNCTION("""COMPUTED_VALUE"""),45866.0)</f>
        <v>45866</v>
      </c>
      <c r="G791" s="1430">
        <f>IFERROR(__xludf.DUMMYFUNCTION("""COMPUTED_VALUE"""),2.0)</f>
        <v>2</v>
      </c>
      <c r="H791" s="94">
        <f t="shared" si="1"/>
        <v>7</v>
      </c>
    </row>
    <row r="792" ht="15.75" customHeight="1">
      <c r="A792" s="94" t="str">
        <f>IFERROR(__xludf.DUMMYFUNCTION("""COMPUTED_VALUE"""),"TGB3")</f>
        <v>TGB3</v>
      </c>
      <c r="B792" s="94"/>
      <c r="C792" s="94"/>
      <c r="D792" s="94"/>
      <c r="E792" s="1429">
        <f>IFERROR(__xludf.DUMMYFUNCTION("""COMPUTED_VALUE"""),45864.0)</f>
        <v>45864</v>
      </c>
      <c r="F792" s="1429">
        <f>IFERROR(__xludf.DUMMYFUNCTION("""COMPUTED_VALUE"""),45866.0)</f>
        <v>45866</v>
      </c>
      <c r="G792" s="1430">
        <f>IFERROR(__xludf.DUMMYFUNCTION("""COMPUTED_VALUE"""),2.0)</f>
        <v>2</v>
      </c>
      <c r="H792" s="94">
        <f t="shared" si="1"/>
        <v>7</v>
      </c>
    </row>
    <row r="793" ht="15.75" customHeight="1">
      <c r="A793" s="94" t="str">
        <f>IFERROR(__xludf.DUMMYFUNCTION("""COMPUTED_VALUE"""),"TGA2")</f>
        <v>TGA2</v>
      </c>
      <c r="B793" s="94"/>
      <c r="C793" s="94"/>
      <c r="D793" s="94"/>
      <c r="E793" s="1429">
        <f>IFERROR(__xludf.DUMMYFUNCTION("""COMPUTED_VALUE"""),45864.0)</f>
        <v>45864</v>
      </c>
      <c r="F793" s="1429">
        <f>IFERROR(__xludf.DUMMYFUNCTION("""COMPUTED_VALUE"""),45867.0)</f>
        <v>45867</v>
      </c>
      <c r="G793" s="1430">
        <f>IFERROR(__xludf.DUMMYFUNCTION("""COMPUTED_VALUE"""),3.0)</f>
        <v>3</v>
      </c>
      <c r="H793" s="94">
        <f t="shared" si="1"/>
        <v>7</v>
      </c>
    </row>
    <row r="794" ht="15.75" customHeight="1">
      <c r="A794" s="94" t="str">
        <f>IFERROR(__xludf.DUMMYFUNCTION("""COMPUTED_VALUE"""),"А 4049")</f>
        <v>А 4049</v>
      </c>
      <c r="B794" s="94"/>
      <c r="C794" s="94"/>
      <c r="D794" s="94"/>
      <c r="E794" s="1429">
        <f>IFERROR(__xludf.DUMMYFUNCTION("""COMPUTED_VALUE"""),45864.0)</f>
        <v>45864</v>
      </c>
      <c r="F794" s="1429">
        <f>IFERROR(__xludf.DUMMYFUNCTION("""COMPUTED_VALUE"""),45871.0)</f>
        <v>45871</v>
      </c>
      <c r="G794" s="1430">
        <f>IFERROR(__xludf.DUMMYFUNCTION("""COMPUTED_VALUE"""),7.0)</f>
        <v>7</v>
      </c>
      <c r="H794" s="94">
        <f t="shared" si="1"/>
        <v>7</v>
      </c>
    </row>
    <row r="795" ht="15.75" customHeight="1">
      <c r="A795" s="94" t="str">
        <f>IFERROR(__xludf.DUMMYFUNCTION("""COMPUTED_VALUE"""),"WS A 409")</f>
        <v>WS A 409</v>
      </c>
      <c r="B795" s="94"/>
      <c r="C795" s="94"/>
      <c r="D795" s="94"/>
      <c r="E795" s="1429">
        <f>IFERROR(__xludf.DUMMYFUNCTION("""COMPUTED_VALUE"""),45864.0)</f>
        <v>45864</v>
      </c>
      <c r="F795" s="1429">
        <f>IFERROR(__xludf.DUMMYFUNCTION("""COMPUTED_VALUE"""),45869.0)</f>
        <v>45869</v>
      </c>
      <c r="G795" s="1430">
        <f>IFERROR(__xludf.DUMMYFUNCTION("""COMPUTED_VALUE"""),5.0)</f>
        <v>5</v>
      </c>
      <c r="H795" s="94">
        <f t="shared" si="1"/>
        <v>7</v>
      </c>
    </row>
    <row r="796" ht="15.75" customHeight="1">
      <c r="A796" s="94" t="str">
        <f>IFERROR(__xludf.DUMMYFUNCTION("""COMPUTED_VALUE"""),"MZ 1416")</f>
        <v>MZ 1416</v>
      </c>
      <c r="B796" s="94"/>
      <c r="C796" s="94"/>
      <c r="D796" s="94"/>
      <c r="E796" s="1429">
        <f>IFERROR(__xludf.DUMMYFUNCTION("""COMPUTED_VALUE"""),45864.0)</f>
        <v>45864</v>
      </c>
      <c r="F796" s="1429">
        <f>IFERROR(__xludf.DUMMYFUNCTION("""COMPUTED_VALUE"""),45870.0)</f>
        <v>45870</v>
      </c>
      <c r="G796" s="1430">
        <f>IFERROR(__xludf.DUMMYFUNCTION("""COMPUTED_VALUE"""),6.0)</f>
        <v>6</v>
      </c>
      <c r="H796" s="94">
        <f t="shared" si="1"/>
        <v>7</v>
      </c>
    </row>
    <row r="797" ht="15.75" customHeight="1">
      <c r="A797" s="94" t="str">
        <f>IFERROR(__xludf.DUMMYFUNCTION("""COMPUTED_VALUE"""),"NW 4-9")</f>
        <v>NW 4-9</v>
      </c>
      <c r="B797" s="94"/>
      <c r="C797" s="94"/>
      <c r="D797" s="94"/>
      <c r="E797" s="1429">
        <f>IFERROR(__xludf.DUMMYFUNCTION("""COMPUTED_VALUE"""),45865.0)</f>
        <v>45865</v>
      </c>
      <c r="F797" s="1429">
        <f>IFERROR(__xludf.DUMMYFUNCTION("""COMPUTED_VALUE"""),45869.0)</f>
        <v>45869</v>
      </c>
      <c r="G797" s="1430">
        <f>IFERROR(__xludf.DUMMYFUNCTION("""COMPUTED_VALUE"""),4.0)</f>
        <v>4</v>
      </c>
      <c r="H797" s="94">
        <f t="shared" si="1"/>
        <v>7</v>
      </c>
    </row>
    <row r="798" ht="15.75" customHeight="1">
      <c r="A798" s="94" t="str">
        <f>IFERROR(__xludf.DUMMYFUNCTION("""COMPUTED_VALUE"""),"Шар 2505")</f>
        <v>Шар 2505</v>
      </c>
      <c r="B798" s="94"/>
      <c r="C798" s="94"/>
      <c r="D798" s="94"/>
      <c r="E798" s="1429">
        <f>IFERROR(__xludf.DUMMYFUNCTION("""COMPUTED_VALUE"""),45865.0)</f>
        <v>45865</v>
      </c>
      <c r="F798" s="1429">
        <f>IFERROR(__xludf.DUMMYFUNCTION("""COMPUTED_VALUE"""),45869.0)</f>
        <v>45869</v>
      </c>
      <c r="G798" s="1430">
        <f>IFERROR(__xludf.DUMMYFUNCTION("""COMPUTED_VALUE"""),4.0)</f>
        <v>4</v>
      </c>
      <c r="H798" s="94">
        <f t="shared" si="1"/>
        <v>7</v>
      </c>
    </row>
    <row r="799" ht="15.75" customHeight="1">
      <c r="A799" s="94" t="str">
        <f>IFERROR(__xludf.DUMMYFUNCTION("""COMPUTED_VALUE"""),"WS A 608")</f>
        <v>WS A 608</v>
      </c>
      <c r="B799" s="94"/>
      <c r="C799" s="94"/>
      <c r="D799" s="94"/>
      <c r="E799" s="1429">
        <f>IFERROR(__xludf.DUMMYFUNCTION("""COMPUTED_VALUE"""),45865.0)</f>
        <v>45865</v>
      </c>
      <c r="F799" s="1429">
        <f>IFERROR(__xludf.DUMMYFUNCTION("""COMPUTED_VALUE"""),45873.0)</f>
        <v>45873</v>
      </c>
      <c r="G799" s="1430">
        <f>IFERROR(__xludf.DUMMYFUNCTION("""COMPUTED_VALUE"""),8.0)</f>
        <v>8</v>
      </c>
      <c r="H799" s="94">
        <f t="shared" si="1"/>
        <v>7</v>
      </c>
    </row>
    <row r="800" ht="15.75" customHeight="1">
      <c r="A800" s="94" t="str">
        <f>IFERROR(__xludf.DUMMYFUNCTION("""COMPUTED_VALUE"""),"WS A907")</f>
        <v>WS A907</v>
      </c>
      <c r="B800" s="94"/>
      <c r="C800" s="94"/>
      <c r="D800" s="94"/>
      <c r="E800" s="1429">
        <f>IFERROR(__xludf.DUMMYFUNCTION("""COMPUTED_VALUE"""),45865.0)</f>
        <v>45865</v>
      </c>
      <c r="F800" s="1429">
        <f>IFERROR(__xludf.DUMMYFUNCTION("""COMPUTED_VALUE"""),45873.0)</f>
        <v>45873</v>
      </c>
      <c r="G800" s="1430">
        <f>IFERROR(__xludf.DUMMYFUNCTION("""COMPUTED_VALUE"""),8.0)</f>
        <v>8</v>
      </c>
      <c r="H800" s="94">
        <f t="shared" si="1"/>
        <v>7</v>
      </c>
    </row>
    <row r="801" ht="15.75" customHeight="1">
      <c r="A801" s="94" t="str">
        <f>IFERROR(__xludf.DUMMYFUNCTION("""COMPUTED_VALUE"""),"WS E704")</f>
        <v>WS E704</v>
      </c>
      <c r="B801" s="94"/>
      <c r="C801" s="94"/>
      <c r="D801" s="94"/>
      <c r="E801" s="1429">
        <f>IFERROR(__xludf.DUMMYFUNCTION("""COMPUTED_VALUE"""),45865.0)</f>
        <v>45865</v>
      </c>
      <c r="F801" s="1429">
        <f>IFERROR(__xludf.DUMMYFUNCTION("""COMPUTED_VALUE"""),45877.0)</f>
        <v>45877</v>
      </c>
      <c r="G801" s="1430">
        <f>IFERROR(__xludf.DUMMYFUNCTION("""COMPUTED_VALUE"""),12.0)</f>
        <v>12</v>
      </c>
      <c r="H801" s="94">
        <f t="shared" si="1"/>
        <v>7</v>
      </c>
    </row>
    <row r="802" ht="15.75" customHeight="1">
      <c r="A802" s="94" t="str">
        <f>IFERROR(__xludf.DUMMYFUNCTION("""COMPUTED_VALUE"""),"WS В 503")</f>
        <v>WS В 503</v>
      </c>
      <c r="B802" s="94"/>
      <c r="C802" s="94"/>
      <c r="D802" s="94"/>
      <c r="E802" s="1429">
        <f>IFERROR(__xludf.DUMMYFUNCTION("""COMPUTED_VALUE"""),45865.0)</f>
        <v>45865</v>
      </c>
      <c r="F802" s="1429">
        <f>IFERROR(__xludf.DUMMYFUNCTION("""COMPUTED_VALUE"""),45870.0)</f>
        <v>45870</v>
      </c>
      <c r="G802" s="1430">
        <f>IFERROR(__xludf.DUMMYFUNCTION("""COMPUTED_VALUE"""),5.0)</f>
        <v>5</v>
      </c>
      <c r="H802" s="94">
        <f t="shared" si="1"/>
        <v>7</v>
      </c>
    </row>
    <row r="803" ht="15.75" customHeight="1">
      <c r="A803" s="94" t="str">
        <f>IFERROR(__xludf.DUMMYFUNCTION("""COMPUTED_VALUE"""),"TGB1")</f>
        <v>TGB1</v>
      </c>
      <c r="B803" s="94"/>
      <c r="C803" s="94"/>
      <c r="D803" s="94"/>
      <c r="E803" s="1429">
        <f>IFERROR(__xludf.DUMMYFUNCTION("""COMPUTED_VALUE"""),45865.0)</f>
        <v>45865</v>
      </c>
      <c r="F803" s="1429">
        <f>IFERROR(__xludf.DUMMYFUNCTION("""COMPUTED_VALUE"""),45872.0)</f>
        <v>45872</v>
      </c>
      <c r="G803" s="1430">
        <f>IFERROR(__xludf.DUMMYFUNCTION("""COMPUTED_VALUE"""),7.0)</f>
        <v>7</v>
      </c>
      <c r="H803" s="94">
        <f t="shared" si="1"/>
        <v>7</v>
      </c>
    </row>
    <row r="804" ht="15.75" customHeight="1">
      <c r="A804" s="94" t="str">
        <f>IFERROR(__xludf.DUMMYFUNCTION("""COMPUTED_VALUE"""),"шартава 16/18")</f>
        <v>шартава 16/18</v>
      </c>
      <c r="B804" s="94"/>
      <c r="C804" s="94"/>
      <c r="D804" s="94"/>
      <c r="E804" s="1429">
        <f>IFERROR(__xludf.DUMMYFUNCTION("""COMPUTED_VALUE"""),45863.0)</f>
        <v>45863</v>
      </c>
      <c r="F804" s="1436">
        <f>IFERROR(__xludf.DUMMYFUNCTION("""COMPUTED_VALUE"""),45893.0)</f>
        <v>45893</v>
      </c>
      <c r="G804" s="1430">
        <f>IFERROR(__xludf.DUMMYFUNCTION("""COMPUTED_VALUE"""),30.0)</f>
        <v>30</v>
      </c>
      <c r="H804" s="94">
        <f t="shared" si="1"/>
        <v>7</v>
      </c>
    </row>
    <row r="805" ht="15.75" customHeight="1">
      <c r="A805" s="94" t="str">
        <f>IFERROR(__xludf.DUMMYFUNCTION("""COMPUTED_VALUE"""),"14-411")</f>
        <v>14-411</v>
      </c>
      <c r="B805" s="94"/>
      <c r="C805" s="94"/>
      <c r="D805" s="94"/>
      <c r="E805" s="1429">
        <f>IFERROR(__xludf.DUMMYFUNCTION("""COMPUTED_VALUE"""),45864.0)</f>
        <v>45864</v>
      </c>
      <c r="F805" s="1429">
        <f>IFERROR(__xludf.DUMMYFUNCTION("""COMPUTED_VALUE"""),45879.0)</f>
        <v>45879</v>
      </c>
      <c r="G805" s="1430">
        <f>IFERROR(__xludf.DUMMYFUNCTION("""COMPUTED_VALUE"""),15.0)</f>
        <v>15</v>
      </c>
      <c r="H805" s="94">
        <f t="shared" si="1"/>
        <v>7</v>
      </c>
    </row>
    <row r="806" ht="15.75" customHeight="1">
      <c r="A806" s="94" t="str">
        <f>IFERROR(__xludf.DUMMYFUNCTION("""COMPUTED_VALUE"""),"DL 4-09")</f>
        <v>DL 4-09</v>
      </c>
      <c r="B806" s="94"/>
      <c r="C806" s="94"/>
      <c r="D806" s="94"/>
      <c r="E806" s="1429">
        <f>IFERROR(__xludf.DUMMYFUNCTION("""COMPUTED_VALUE"""),45864.0)</f>
        <v>45864</v>
      </c>
      <c r="F806" s="1429">
        <f>IFERROR(__xludf.DUMMYFUNCTION("""COMPUTED_VALUE"""),45878.0)</f>
        <v>45878</v>
      </c>
      <c r="G806" s="1430">
        <f>IFERROR(__xludf.DUMMYFUNCTION("""COMPUTED_VALUE"""),14.0)</f>
        <v>14</v>
      </c>
      <c r="H806" s="94">
        <f t="shared" si="1"/>
        <v>7</v>
      </c>
    </row>
    <row r="807" ht="15.75" customHeight="1">
      <c r="A807" s="94" t="str">
        <f>IFERROR(__xludf.DUMMYFUNCTION("""COMPUTED_VALUE"""),"NW 3-7")</f>
        <v>NW 3-7</v>
      </c>
      <c r="B807" s="94"/>
      <c r="C807" s="94"/>
      <c r="D807" s="94"/>
      <c r="E807" s="1429">
        <f>IFERROR(__xludf.DUMMYFUNCTION("""COMPUTED_VALUE"""),45864.0)</f>
        <v>45864</v>
      </c>
      <c r="F807" s="1429">
        <f>IFERROR(__xludf.DUMMYFUNCTION("""COMPUTED_VALUE"""),45872.0)</f>
        <v>45872</v>
      </c>
      <c r="G807" s="1430">
        <f>IFERROR(__xludf.DUMMYFUNCTION("""COMPUTED_VALUE"""),8.0)</f>
        <v>8</v>
      </c>
      <c r="H807" s="94">
        <f t="shared" si="1"/>
        <v>7</v>
      </c>
    </row>
    <row r="808" ht="15.75" customHeight="1">
      <c r="A808" s="94" t="str">
        <f>IFERROR(__xludf.DUMMYFUNCTION("""COMPUTED_VALUE"""),"TGB9")</f>
        <v>TGB9</v>
      </c>
      <c r="B808" s="94"/>
      <c r="C808" s="94"/>
      <c r="D808" s="94"/>
      <c r="E808" s="1429">
        <f>IFERROR(__xludf.DUMMYFUNCTION("""COMPUTED_VALUE"""),45864.0)</f>
        <v>45864</v>
      </c>
      <c r="F808" s="1429">
        <f>IFERROR(__xludf.DUMMYFUNCTION("""COMPUTED_VALUE"""),45869.0)</f>
        <v>45869</v>
      </c>
      <c r="G808" s="1430">
        <f>IFERROR(__xludf.DUMMYFUNCTION("""COMPUTED_VALUE"""),5.0)</f>
        <v>5</v>
      </c>
      <c r="H808" s="94">
        <f t="shared" si="1"/>
        <v>7</v>
      </c>
    </row>
    <row r="809" ht="15.75" customHeight="1">
      <c r="A809" s="94" t="str">
        <f>IFERROR(__xludf.DUMMYFUNCTION("""COMPUTED_VALUE"""),"TGB6")</f>
        <v>TGB6</v>
      </c>
      <c r="B809" s="94"/>
      <c r="C809" s="94"/>
      <c r="D809" s="94"/>
      <c r="E809" s="1429">
        <f>IFERROR(__xludf.DUMMYFUNCTION("""COMPUTED_VALUE"""),45864.0)</f>
        <v>45864</v>
      </c>
      <c r="F809" s="1429">
        <f>IFERROR(__xludf.DUMMYFUNCTION("""COMPUTED_VALUE"""),45867.0)</f>
        <v>45867</v>
      </c>
      <c r="G809" s="1430">
        <f>IFERROR(__xludf.DUMMYFUNCTION("""COMPUTED_VALUE"""),3.0)</f>
        <v>3</v>
      </c>
      <c r="H809" s="94">
        <f t="shared" si="1"/>
        <v>7</v>
      </c>
    </row>
    <row r="810" ht="15.75" customHeight="1">
      <c r="A810" s="94" t="str">
        <f>IFERROR(__xludf.DUMMYFUNCTION("""COMPUTED_VALUE"""),"Пиросмани 181")</f>
        <v>Пиросмани 181</v>
      </c>
      <c r="B810" s="94"/>
      <c r="C810" s="94"/>
      <c r="D810" s="94"/>
      <c r="E810" s="1429">
        <f>IFERROR(__xludf.DUMMYFUNCTION("""COMPUTED_VALUE"""),45865.0)</f>
        <v>45865</v>
      </c>
      <c r="F810" s="1429">
        <f>IFERROR(__xludf.DUMMYFUNCTION("""COMPUTED_VALUE"""),45901.0)</f>
        <v>45901</v>
      </c>
      <c r="G810" s="1430">
        <f>IFERROR(__xludf.DUMMYFUNCTION("""COMPUTED_VALUE"""),36.0)</f>
        <v>36</v>
      </c>
      <c r="H810" s="94">
        <f t="shared" si="1"/>
        <v>7</v>
      </c>
    </row>
    <row r="811" ht="15.75" customHeight="1">
      <c r="A811" s="94" t="str">
        <f>IFERROR(__xludf.DUMMYFUNCTION("""COMPUTED_VALUE"""),"MZ 718")</f>
        <v>MZ 718</v>
      </c>
      <c r="B811" s="94"/>
      <c r="C811" s="94"/>
      <c r="D811" s="94"/>
      <c r="E811" s="1429">
        <f>IFERROR(__xludf.DUMMYFUNCTION("""COMPUTED_VALUE"""),45865.0)</f>
        <v>45865</v>
      </c>
      <c r="F811" s="1429">
        <f>IFERROR(__xludf.DUMMYFUNCTION("""COMPUTED_VALUE"""),45871.0)</f>
        <v>45871</v>
      </c>
      <c r="G811" s="1430">
        <f>IFERROR(__xludf.DUMMYFUNCTION("""COMPUTED_VALUE"""),6.0)</f>
        <v>6</v>
      </c>
      <c r="H811" s="94">
        <f t="shared" si="1"/>
        <v>7</v>
      </c>
    </row>
    <row r="812" ht="15.75" customHeight="1">
      <c r="A812" s="94" t="str">
        <f>IFERROR(__xludf.DUMMYFUNCTION("""COMPUTED_VALUE"""),"DL14-501-502")</f>
        <v>DL14-501-502</v>
      </c>
      <c r="B812" s="94"/>
      <c r="C812" s="94"/>
      <c r="D812" s="94"/>
      <c r="E812" s="1429">
        <f>IFERROR(__xludf.DUMMYFUNCTION("""COMPUTED_VALUE"""),45865.0)</f>
        <v>45865</v>
      </c>
      <c r="F812" s="1429">
        <f>IFERROR(__xludf.DUMMYFUNCTION("""COMPUTED_VALUE"""),45871.0)</f>
        <v>45871</v>
      </c>
      <c r="G812" s="1430">
        <f>IFERROR(__xludf.DUMMYFUNCTION("""COMPUTED_VALUE"""),6.0)</f>
        <v>6</v>
      </c>
      <c r="H812" s="94">
        <f t="shared" si="1"/>
        <v>7</v>
      </c>
    </row>
    <row r="813" ht="15.75" customHeight="1">
      <c r="A813" s="94" t="str">
        <f>IFERROR(__xludf.DUMMYFUNCTION("""COMPUTED_VALUE"""),"DL 13-206")</f>
        <v>DL 13-206</v>
      </c>
      <c r="B813" s="94"/>
      <c r="C813" s="94"/>
      <c r="D813" s="94"/>
      <c r="E813" s="1429">
        <f>IFERROR(__xludf.DUMMYFUNCTION("""COMPUTED_VALUE"""),45865.0)</f>
        <v>45865</v>
      </c>
      <c r="F813" s="1429">
        <f>IFERROR(__xludf.DUMMYFUNCTION("""COMPUTED_VALUE"""),45872.0)</f>
        <v>45872</v>
      </c>
      <c r="G813" s="1430">
        <f>IFERROR(__xludf.DUMMYFUNCTION("""COMPUTED_VALUE"""),7.0)</f>
        <v>7</v>
      </c>
      <c r="H813" s="94">
        <f t="shared" si="1"/>
        <v>7</v>
      </c>
    </row>
    <row r="814" ht="15.75" customHeight="1">
      <c r="A814" s="94" t="str">
        <f>IFERROR(__xludf.DUMMYFUNCTION("""COMPUTED_VALUE"""),"DL 14-702")</f>
        <v>DL 14-702</v>
      </c>
      <c r="B814" s="94"/>
      <c r="C814" s="94"/>
      <c r="D814" s="94"/>
      <c r="E814" s="1429">
        <f>IFERROR(__xludf.DUMMYFUNCTION("""COMPUTED_VALUE"""),45865.0)</f>
        <v>45865</v>
      </c>
      <c r="F814" s="1429">
        <f>IFERROR(__xludf.DUMMYFUNCTION("""COMPUTED_VALUE"""),45869.0)</f>
        <v>45869</v>
      </c>
      <c r="G814" s="1430">
        <f>IFERROR(__xludf.DUMMYFUNCTION("""COMPUTED_VALUE"""),4.0)</f>
        <v>4</v>
      </c>
      <c r="H814" s="94">
        <f t="shared" si="1"/>
        <v>7</v>
      </c>
    </row>
    <row r="815" ht="15.75" customHeight="1">
      <c r="A815" s="94" t="str">
        <f>IFERROR(__xludf.DUMMYFUNCTION("""COMPUTED_VALUE"""),"TGA3")</f>
        <v>TGA3</v>
      </c>
      <c r="B815" s="94"/>
      <c r="C815" s="94"/>
      <c r="D815" s="94"/>
      <c r="E815" s="1429">
        <f>IFERROR(__xludf.DUMMYFUNCTION("""COMPUTED_VALUE"""),45865.0)</f>
        <v>45865</v>
      </c>
      <c r="F815" s="1429">
        <f>IFERROR(__xludf.DUMMYFUNCTION("""COMPUTED_VALUE"""),45866.0)</f>
        <v>45866</v>
      </c>
      <c r="G815" s="1430">
        <f>IFERROR(__xludf.DUMMYFUNCTION("""COMPUTED_VALUE"""),1.0)</f>
        <v>1</v>
      </c>
      <c r="H815" s="94">
        <f t="shared" si="1"/>
        <v>7</v>
      </c>
    </row>
    <row r="816" ht="15.75" customHeight="1">
      <c r="A816" s="94" t="str">
        <f>IFERROR(__xludf.DUMMYFUNCTION("""COMPUTED_VALUE"""),"D 1321")</f>
        <v>D 1321</v>
      </c>
      <c r="B816" s="94"/>
      <c r="C816" s="94"/>
      <c r="D816" s="94"/>
      <c r="E816" s="1429">
        <f>IFERROR(__xludf.DUMMYFUNCTION("""COMPUTED_VALUE"""),45865.0)</f>
        <v>45865</v>
      </c>
      <c r="F816" s="1429">
        <f>IFERROR(__xludf.DUMMYFUNCTION("""COMPUTED_VALUE"""),45883.0)</f>
        <v>45883</v>
      </c>
      <c r="G816" s="1430">
        <f>IFERROR(__xludf.DUMMYFUNCTION("""COMPUTED_VALUE"""),18.0)</f>
        <v>18</v>
      </c>
      <c r="H816" s="94">
        <f t="shared" si="1"/>
        <v>7</v>
      </c>
    </row>
    <row r="817" ht="15.75" customHeight="1">
      <c r="A817" s="94" t="str">
        <f>IFERROR(__xludf.DUMMYFUNCTION("""COMPUTED_VALUE"""),"Вилла Ева")</f>
        <v>Вилла Ева</v>
      </c>
      <c r="B817" s="94"/>
      <c r="C817" s="94"/>
      <c r="D817" s="94"/>
      <c r="E817" s="1429">
        <f>IFERROR(__xludf.DUMMYFUNCTION("""COMPUTED_VALUE"""),45865.0)</f>
        <v>45865</v>
      </c>
      <c r="F817" s="1429">
        <f>IFERROR(__xludf.DUMMYFUNCTION("""COMPUTED_VALUE"""),45870.0)</f>
        <v>45870</v>
      </c>
      <c r="G817" s="1430">
        <f>IFERROR(__xludf.DUMMYFUNCTION("""COMPUTED_VALUE"""),5.0)</f>
        <v>5</v>
      </c>
      <c r="H817" s="94">
        <f t="shared" si="1"/>
        <v>7</v>
      </c>
    </row>
    <row r="818" ht="15.75" customHeight="1">
      <c r="A818" s="94" t="str">
        <f>IFERROR(__xludf.DUMMYFUNCTION("""COMPUTED_VALUE"""),"BV206")</f>
        <v>BV206</v>
      </c>
      <c r="B818" s="94"/>
      <c r="C818" s="94"/>
      <c r="D818" s="94"/>
      <c r="E818" s="1429">
        <f>IFERROR(__xludf.DUMMYFUNCTION("""COMPUTED_VALUE"""),45865.0)</f>
        <v>45865</v>
      </c>
      <c r="F818" s="1429">
        <f>IFERROR(__xludf.DUMMYFUNCTION("""COMPUTED_VALUE"""),45866.0)</f>
        <v>45866</v>
      </c>
      <c r="G818" s="1430">
        <f>IFERROR(__xludf.DUMMYFUNCTION("""COMPUTED_VALUE"""),1.0)</f>
        <v>1</v>
      </c>
      <c r="H818" s="94">
        <f t="shared" si="1"/>
        <v>7</v>
      </c>
    </row>
    <row r="819" ht="15.75" customHeight="1">
      <c r="A819" s="94" t="str">
        <f>IFERROR(__xludf.DUMMYFUNCTION("""COMPUTED_VALUE"""),"D2 3216")</f>
        <v>D2 3216</v>
      </c>
      <c r="B819" s="94"/>
      <c r="C819" s="94"/>
      <c r="D819" s="94"/>
      <c r="E819" s="1429">
        <f>IFERROR(__xludf.DUMMYFUNCTION("""COMPUTED_VALUE"""),45865.0)</f>
        <v>45865</v>
      </c>
      <c r="F819" s="1429">
        <f>IFERROR(__xludf.DUMMYFUNCTION("""COMPUTED_VALUE"""),45872.0)</f>
        <v>45872</v>
      </c>
      <c r="G819" s="1430">
        <f>IFERROR(__xludf.DUMMYFUNCTION("""COMPUTED_VALUE"""),7.0)</f>
        <v>7</v>
      </c>
      <c r="H819" s="94">
        <f t="shared" si="1"/>
        <v>7</v>
      </c>
    </row>
    <row r="820" ht="15.75" customHeight="1">
      <c r="A820" s="94" t="str">
        <f>IFERROR(__xludf.DUMMYFUNCTION("""COMPUTED_VALUE"""),"DL14-1907")</f>
        <v>DL14-1907</v>
      </c>
      <c r="B820" s="94"/>
      <c r="C820" s="94"/>
      <c r="D820" s="94"/>
      <c r="E820" s="1429">
        <f>IFERROR(__xludf.DUMMYFUNCTION("""COMPUTED_VALUE"""),45865.0)</f>
        <v>45865</v>
      </c>
      <c r="F820" s="1429">
        <f>IFERROR(__xludf.DUMMYFUNCTION("""COMPUTED_VALUE"""),45868.0)</f>
        <v>45868</v>
      </c>
      <c r="G820" s="1430">
        <f>IFERROR(__xludf.DUMMYFUNCTION("""COMPUTED_VALUE"""),3.0)</f>
        <v>3</v>
      </c>
      <c r="H820" s="94">
        <f t="shared" si="1"/>
        <v>7</v>
      </c>
    </row>
    <row r="821" ht="15.75" customHeight="1">
      <c r="A821" s="94" t="str">
        <f>IFERROR(__xludf.DUMMYFUNCTION("""COMPUTED_VALUE"""),"TGA8")</f>
        <v>TGA8</v>
      </c>
      <c r="B821" s="94"/>
      <c r="C821" s="94"/>
      <c r="D821" s="94"/>
      <c r="E821" s="1429">
        <f>IFERROR(__xludf.DUMMYFUNCTION("""COMPUTED_VALUE"""),45866.0)</f>
        <v>45866</v>
      </c>
      <c r="F821" s="1429">
        <f>IFERROR(__xludf.DUMMYFUNCTION("""COMPUTED_VALUE"""),45877.0)</f>
        <v>45877</v>
      </c>
      <c r="G821" s="1430">
        <f>IFERROR(__xludf.DUMMYFUNCTION("""COMPUTED_VALUE"""),11.0)</f>
        <v>11</v>
      </c>
      <c r="H821" s="94">
        <f t="shared" si="1"/>
        <v>7</v>
      </c>
    </row>
    <row r="822" ht="15.75" customHeight="1">
      <c r="A822" s="94" t="str">
        <f>IFERROR(__xludf.DUMMYFUNCTION("""COMPUTED_VALUE"""),"NW 3-7")</f>
        <v>NW 3-7</v>
      </c>
      <c r="B822" s="94"/>
      <c r="C822" s="94"/>
      <c r="D822" s="94"/>
      <c r="E822" s="1429">
        <f>IFERROR(__xludf.DUMMYFUNCTION("""COMPUTED_VALUE"""),45866.0)</f>
        <v>45866</v>
      </c>
      <c r="F822" s="94"/>
      <c r="G822" s="94"/>
      <c r="H822" s="94">
        <f t="shared" si="1"/>
        <v>7</v>
      </c>
    </row>
    <row r="823" ht="15.75" customHeight="1">
      <c r="A823" s="94" t="str">
        <f>IFERROR(__xludf.DUMMYFUNCTION("""COMPUTED_VALUE"""),"DL 4-09")</f>
        <v>DL 4-09</v>
      </c>
      <c r="B823" s="94"/>
      <c r="C823" s="94"/>
      <c r="D823" s="94"/>
      <c r="E823" s="1429">
        <f>IFERROR(__xludf.DUMMYFUNCTION("""COMPUTED_VALUE"""),45866.0)</f>
        <v>45866</v>
      </c>
      <c r="F823" s="94"/>
      <c r="G823" s="94"/>
      <c r="H823" s="94">
        <f t="shared" si="1"/>
        <v>7</v>
      </c>
    </row>
    <row r="824" ht="15.75" customHeight="1">
      <c r="A824" s="94" t="str">
        <f>IFERROR(__xludf.DUMMYFUNCTION("""COMPUTED_VALUE"""),"TGB5")</f>
        <v>TGB5</v>
      </c>
      <c r="B824" s="94"/>
      <c r="C824" s="94"/>
      <c r="D824" s="94"/>
      <c r="E824" s="1429">
        <f>IFERROR(__xludf.DUMMYFUNCTION("""COMPUTED_VALUE"""),45866.0)</f>
        <v>45866</v>
      </c>
      <c r="F824" s="1429">
        <f>IFERROR(__xludf.DUMMYFUNCTION("""COMPUTED_VALUE"""),45869.0)</f>
        <v>45869</v>
      </c>
      <c r="G824" s="1430">
        <f>IFERROR(__xludf.DUMMYFUNCTION("""COMPUTED_VALUE"""),3.0)</f>
        <v>3</v>
      </c>
      <c r="H824" s="94">
        <f t="shared" si="1"/>
        <v>7</v>
      </c>
    </row>
    <row r="825" ht="15.75" customHeight="1">
      <c r="A825" s="94" t="str">
        <f>IFERROR(__xludf.DUMMYFUNCTION("""COMPUTED_VALUE"""),"WS F1103")</f>
        <v>WS F1103</v>
      </c>
      <c r="B825" s="94"/>
      <c r="C825" s="94"/>
      <c r="D825" s="94"/>
      <c r="E825" s="1429">
        <f>IFERROR(__xludf.DUMMYFUNCTION("""COMPUTED_VALUE"""),45867.0)</f>
        <v>45867</v>
      </c>
      <c r="F825" s="1429">
        <f>IFERROR(__xludf.DUMMYFUNCTION("""COMPUTED_VALUE"""),45877.0)</f>
        <v>45877</v>
      </c>
      <c r="G825" s="1430">
        <f>IFERROR(__xludf.DUMMYFUNCTION("""COMPUTED_VALUE"""),10.0)</f>
        <v>10</v>
      </c>
      <c r="H825" s="94">
        <f t="shared" si="1"/>
        <v>7</v>
      </c>
    </row>
    <row r="826" ht="15.75" customHeight="1">
      <c r="A826" s="94" t="str">
        <f>IFERROR(__xludf.DUMMYFUNCTION("""COMPUTED_VALUE"""),"WS В 1510")</f>
        <v>WS В 1510</v>
      </c>
      <c r="B826" s="94"/>
      <c r="C826" s="94"/>
      <c r="D826" s="94"/>
      <c r="E826" s="1435">
        <f>IFERROR(__xludf.DUMMYFUNCTION("""COMPUTED_VALUE"""),45866.0)</f>
        <v>45866</v>
      </c>
      <c r="F826" s="1429">
        <f>IFERROR(__xludf.DUMMYFUNCTION("""COMPUTED_VALUE"""),45869.0)</f>
        <v>45869</v>
      </c>
      <c r="G826" s="1430">
        <f>IFERROR(__xludf.DUMMYFUNCTION("""COMPUTED_VALUE"""),3.0)</f>
        <v>3</v>
      </c>
      <c r="H826" s="94">
        <f t="shared" si="1"/>
        <v>7</v>
      </c>
    </row>
    <row r="827" ht="15.75" customHeight="1">
      <c r="A827" s="94" t="str">
        <f>IFERROR(__xludf.DUMMYFUNCTION("""COMPUTED_VALUE"""),"DL 14-516")</f>
        <v>DL 14-516</v>
      </c>
      <c r="B827" s="94"/>
      <c r="C827" s="94"/>
      <c r="D827" s="94"/>
      <c r="E827" s="1435">
        <f>IFERROR(__xludf.DUMMYFUNCTION("""COMPUTED_VALUE"""),45866.0)</f>
        <v>45866</v>
      </c>
      <c r="F827" s="1429">
        <f>IFERROR(__xludf.DUMMYFUNCTION("""COMPUTED_VALUE"""),45873.0)</f>
        <v>45873</v>
      </c>
      <c r="G827" s="1430">
        <f>IFERROR(__xludf.DUMMYFUNCTION("""COMPUTED_VALUE"""),7.0)</f>
        <v>7</v>
      </c>
      <c r="H827" s="94">
        <f t="shared" si="1"/>
        <v>7</v>
      </c>
    </row>
    <row r="828" ht="15.75" customHeight="1">
      <c r="A828" s="94" t="str">
        <f>IFERROR(__xludf.DUMMYFUNCTION("""COMPUTED_VALUE"""),"PT2604")</f>
        <v>PT2604</v>
      </c>
      <c r="B828" s="94"/>
      <c r="C828" s="94"/>
      <c r="D828" s="94"/>
      <c r="E828" s="1435">
        <f>IFERROR(__xludf.DUMMYFUNCTION("""COMPUTED_VALUE"""),45866.0)</f>
        <v>45866</v>
      </c>
      <c r="F828" s="1429">
        <f>IFERROR(__xludf.DUMMYFUNCTION("""COMPUTED_VALUE"""),45871.0)</f>
        <v>45871</v>
      </c>
      <c r="G828" s="1430">
        <f>IFERROR(__xludf.DUMMYFUNCTION("""COMPUTED_VALUE"""),5.0)</f>
        <v>5</v>
      </c>
      <c r="H828" s="94">
        <f t="shared" si="1"/>
        <v>7</v>
      </c>
    </row>
    <row r="829" ht="15.75" customHeight="1">
      <c r="A829" s="94" t="str">
        <f>IFERROR(__xludf.DUMMYFUNCTION("""COMPUTED_VALUE"""),"CM 1931")</f>
        <v>CM 1931</v>
      </c>
      <c r="B829" s="94"/>
      <c r="C829" s="94"/>
      <c r="D829" s="94"/>
      <c r="E829" s="1435">
        <f>IFERROR(__xludf.DUMMYFUNCTION("""COMPUTED_VALUE"""),45866.0)</f>
        <v>45866</v>
      </c>
      <c r="F829" s="1429">
        <f>IFERROR(__xludf.DUMMYFUNCTION("""COMPUTED_VALUE"""),45873.0)</f>
        <v>45873</v>
      </c>
      <c r="G829" s="1430">
        <f>IFERROR(__xludf.DUMMYFUNCTION("""COMPUTED_VALUE"""),7.0)</f>
        <v>7</v>
      </c>
      <c r="H829" s="94">
        <f t="shared" si="1"/>
        <v>7</v>
      </c>
    </row>
    <row r="830" ht="15.75" customHeight="1">
      <c r="A830" s="94" t="str">
        <f>IFERROR(__xludf.DUMMYFUNCTION("""COMPUTED_VALUE"""),"С 1443")</f>
        <v>С 1443</v>
      </c>
      <c r="B830" s="94"/>
      <c r="C830" s="94"/>
      <c r="D830" s="94"/>
      <c r="E830" s="1435">
        <f>IFERROR(__xludf.DUMMYFUNCTION("""COMPUTED_VALUE"""),45866.0)</f>
        <v>45866</v>
      </c>
      <c r="F830" s="1429">
        <f>IFERROR(__xludf.DUMMYFUNCTION("""COMPUTED_VALUE"""),45869.0)</f>
        <v>45869</v>
      </c>
      <c r="G830" s="1430">
        <f>IFERROR(__xludf.DUMMYFUNCTION("""COMPUTED_VALUE"""),3.0)</f>
        <v>3</v>
      </c>
      <c r="H830" s="94">
        <f t="shared" si="1"/>
        <v>7</v>
      </c>
    </row>
    <row r="831" ht="15.75" customHeight="1">
      <c r="A831" s="94" t="str">
        <f>IFERROR(__xludf.DUMMYFUNCTION("""COMPUTED_VALUE"""),"С 1125")</f>
        <v>С 1125</v>
      </c>
      <c r="B831" s="94"/>
      <c r="C831" s="94"/>
      <c r="D831" s="94"/>
      <c r="E831" s="1429">
        <f>IFERROR(__xludf.DUMMYFUNCTION("""COMPUTED_VALUE"""),45867.0)</f>
        <v>45867</v>
      </c>
      <c r="F831" s="1429">
        <f>IFERROR(__xludf.DUMMYFUNCTION("""COMPUTED_VALUE"""),45875.0)</f>
        <v>45875</v>
      </c>
      <c r="G831" s="1430">
        <f>IFERROR(__xludf.DUMMYFUNCTION("""COMPUTED_VALUE"""),8.0)</f>
        <v>8</v>
      </c>
      <c r="H831" s="94">
        <f t="shared" si="1"/>
        <v>7</v>
      </c>
    </row>
    <row r="832" ht="15.75" customHeight="1">
      <c r="A832" s="94" t="str">
        <f>IFERROR(__xludf.DUMMYFUNCTION("""COMPUTED_VALUE"""),"WS E 1202")</f>
        <v>WS E 1202</v>
      </c>
      <c r="B832" s="94"/>
      <c r="C832" s="94"/>
      <c r="D832" s="94"/>
      <c r="E832" s="1429">
        <f>IFERROR(__xludf.DUMMYFUNCTION("""COMPUTED_VALUE"""),45867.0)</f>
        <v>45867</v>
      </c>
      <c r="F832" s="1429">
        <f>IFERROR(__xludf.DUMMYFUNCTION("""COMPUTED_VALUE"""),45877.0)</f>
        <v>45877</v>
      </c>
      <c r="G832" s="1430">
        <f>IFERROR(__xludf.DUMMYFUNCTION("""COMPUTED_VALUE"""),10.0)</f>
        <v>10</v>
      </c>
      <c r="H832" s="94">
        <f t="shared" si="1"/>
        <v>7</v>
      </c>
    </row>
    <row r="833" ht="15.75" customHeight="1">
      <c r="A833" s="94" t="str">
        <f>IFERROR(__xludf.DUMMYFUNCTION("""COMPUTED_VALUE"""),"MZ 913")</f>
        <v>MZ 913</v>
      </c>
      <c r="B833" s="94"/>
      <c r="C833" s="94"/>
      <c r="D833" s="94"/>
      <c r="E833" s="1429">
        <f>IFERROR(__xludf.DUMMYFUNCTION("""COMPUTED_VALUE"""),45867.0)</f>
        <v>45867</v>
      </c>
      <c r="F833" s="1429">
        <f>IFERROR(__xludf.DUMMYFUNCTION("""COMPUTED_VALUE"""),45881.0)</f>
        <v>45881</v>
      </c>
      <c r="G833" s="1430">
        <f>IFERROR(__xludf.DUMMYFUNCTION("""COMPUTED_VALUE"""),14.0)</f>
        <v>14</v>
      </c>
      <c r="H833" s="94">
        <f t="shared" si="1"/>
        <v>7</v>
      </c>
    </row>
    <row r="834" ht="15.75" customHeight="1">
      <c r="A834" s="94" t="str">
        <f>IFERROR(__xludf.DUMMYFUNCTION("""COMPUTED_VALUE"""),"MZ 1408")</f>
        <v>MZ 1408</v>
      </c>
      <c r="B834" s="94"/>
      <c r="C834" s="94"/>
      <c r="D834" s="94"/>
      <c r="E834" s="1429">
        <f>IFERROR(__xludf.DUMMYFUNCTION("""COMPUTED_VALUE"""),45867.0)</f>
        <v>45867</v>
      </c>
      <c r="F834" s="1429">
        <f>IFERROR(__xludf.DUMMYFUNCTION("""COMPUTED_VALUE"""),45881.0)</f>
        <v>45881</v>
      </c>
      <c r="G834" s="1430">
        <f>IFERROR(__xludf.DUMMYFUNCTION("""COMPUTED_VALUE"""),14.0)</f>
        <v>14</v>
      </c>
      <c r="H834" s="94">
        <f t="shared" si="1"/>
        <v>7</v>
      </c>
    </row>
    <row r="835" ht="15.75" customHeight="1">
      <c r="A835" s="94" t="str">
        <f>IFERROR(__xludf.DUMMYFUNCTION("""COMPUTED_VALUE"""),"TGB4")</f>
        <v>TGB4</v>
      </c>
      <c r="B835" s="94"/>
      <c r="C835" s="94"/>
      <c r="D835" s="94"/>
      <c r="E835" s="1429">
        <f>IFERROR(__xludf.DUMMYFUNCTION("""COMPUTED_VALUE"""),45867.0)</f>
        <v>45867</v>
      </c>
      <c r="F835" s="1429">
        <f>IFERROR(__xludf.DUMMYFUNCTION("""COMPUTED_VALUE"""),45871.0)</f>
        <v>45871</v>
      </c>
      <c r="G835" s="1430">
        <f>IFERROR(__xludf.DUMMYFUNCTION("""COMPUTED_VALUE"""),4.0)</f>
        <v>4</v>
      </c>
      <c r="H835" s="94">
        <f t="shared" si="1"/>
        <v>7</v>
      </c>
    </row>
    <row r="836" ht="15.75" customHeight="1">
      <c r="A836" s="94" t="str">
        <f>IFERROR(__xludf.DUMMYFUNCTION("""COMPUTED_VALUE"""),"TGB11")</f>
        <v>TGB11</v>
      </c>
      <c r="B836" s="94"/>
      <c r="C836" s="94"/>
      <c r="D836" s="94"/>
      <c r="E836" s="1429">
        <f>IFERROR(__xludf.DUMMYFUNCTION("""COMPUTED_VALUE"""),45867.0)</f>
        <v>45867</v>
      </c>
      <c r="F836" s="1429">
        <f>IFERROR(__xludf.DUMMYFUNCTION("""COMPUTED_VALUE"""),45870.0)</f>
        <v>45870</v>
      </c>
      <c r="G836" s="1430">
        <f>IFERROR(__xludf.DUMMYFUNCTION("""COMPUTED_VALUE"""),3.0)</f>
        <v>3</v>
      </c>
      <c r="H836" s="94">
        <f t="shared" si="1"/>
        <v>7</v>
      </c>
    </row>
    <row r="837" ht="15.75" customHeight="1">
      <c r="A837" s="94" t="str">
        <f>IFERROR(__xludf.DUMMYFUNCTION("""COMPUTED_VALUE"""),"TGA2")</f>
        <v>TGA2</v>
      </c>
      <c r="B837" s="94"/>
      <c r="C837" s="94"/>
      <c r="D837" s="94"/>
      <c r="E837" s="1429">
        <f>IFERROR(__xludf.DUMMYFUNCTION("""COMPUTED_VALUE"""),45867.0)</f>
        <v>45867</v>
      </c>
      <c r="F837" s="1429">
        <f>IFERROR(__xludf.DUMMYFUNCTION("""COMPUTED_VALUE"""),45873.0)</f>
        <v>45873</v>
      </c>
      <c r="G837" s="1430">
        <f>IFERROR(__xludf.DUMMYFUNCTION("""COMPUTED_VALUE"""),6.0)</f>
        <v>6</v>
      </c>
      <c r="H837" s="94">
        <f t="shared" si="1"/>
        <v>7</v>
      </c>
    </row>
    <row r="838" ht="15.75" customHeight="1">
      <c r="A838" s="94" t="str">
        <f>IFERROR(__xludf.DUMMYFUNCTION("""COMPUTED_VALUE"""),"TGA3")</f>
        <v>TGA3</v>
      </c>
      <c r="B838" s="94"/>
      <c r="C838" s="94"/>
      <c r="D838" s="94"/>
      <c r="E838" s="1429">
        <f>IFERROR(__xludf.DUMMYFUNCTION("""COMPUTED_VALUE"""),45867.0)</f>
        <v>45867</v>
      </c>
      <c r="F838" s="1429">
        <f>IFERROR(__xludf.DUMMYFUNCTION("""COMPUTED_VALUE"""),45877.0)</f>
        <v>45877</v>
      </c>
      <c r="G838" s="1430">
        <f>IFERROR(__xludf.DUMMYFUNCTION("""COMPUTED_VALUE"""),10.0)</f>
        <v>10</v>
      </c>
      <c r="H838" s="94">
        <f t="shared" si="1"/>
        <v>7</v>
      </c>
    </row>
    <row r="839" ht="15.75" customHeight="1">
      <c r="A839" s="94" t="str">
        <f>IFERROR(__xludf.DUMMYFUNCTION("""COMPUTED_VALUE"""),"DL 13-709")</f>
        <v>DL 13-709</v>
      </c>
      <c r="B839" s="94"/>
      <c r="C839" s="94"/>
      <c r="D839" s="94"/>
      <c r="E839" s="1429">
        <f>IFERROR(__xludf.DUMMYFUNCTION("""COMPUTED_VALUE"""),45867.0)</f>
        <v>45867</v>
      </c>
      <c r="F839" s="1429">
        <f>IFERROR(__xludf.DUMMYFUNCTION("""COMPUTED_VALUE"""),45869.0)</f>
        <v>45869</v>
      </c>
      <c r="G839" s="1430">
        <f>IFERROR(__xludf.DUMMYFUNCTION("""COMPUTED_VALUE"""),2.0)</f>
        <v>2</v>
      </c>
      <c r="H839" s="94">
        <f t="shared" si="1"/>
        <v>7</v>
      </c>
    </row>
    <row r="840" ht="15.75" customHeight="1">
      <c r="A840" s="94" t="str">
        <f>IFERROR(__xludf.DUMMYFUNCTION("""COMPUTED_VALUE"""),"DL14-518")</f>
        <v>DL14-518</v>
      </c>
      <c r="B840" s="94"/>
      <c r="C840" s="94"/>
      <c r="D840" s="94"/>
      <c r="E840" s="1429">
        <f>IFERROR(__xludf.DUMMYFUNCTION("""COMPUTED_VALUE"""),45867.0)</f>
        <v>45867</v>
      </c>
      <c r="F840" s="1429">
        <f>IFERROR(__xludf.DUMMYFUNCTION("""COMPUTED_VALUE"""),45870.0)</f>
        <v>45870</v>
      </c>
      <c r="G840" s="1430">
        <f>IFERROR(__xludf.DUMMYFUNCTION("""COMPUTED_VALUE"""),3.0)</f>
        <v>3</v>
      </c>
      <c r="H840" s="94">
        <f t="shared" si="1"/>
        <v>7</v>
      </c>
    </row>
    <row r="841" ht="15.75" customHeight="1">
      <c r="A841" s="94" t="str">
        <f>IFERROR(__xludf.DUMMYFUNCTION("""COMPUTED_VALUE"""),"DL14-305")</f>
        <v>DL14-305</v>
      </c>
      <c r="B841" s="94"/>
      <c r="C841" s="94"/>
      <c r="D841" s="94"/>
      <c r="E841" s="1429">
        <f>IFERROR(__xludf.DUMMYFUNCTION("""COMPUTED_VALUE"""),45867.0)</f>
        <v>45867</v>
      </c>
      <c r="F841" s="1429">
        <f>IFERROR(__xludf.DUMMYFUNCTION("""COMPUTED_VALUE"""),45869.0)</f>
        <v>45869</v>
      </c>
      <c r="G841" s="1430">
        <f>IFERROR(__xludf.DUMMYFUNCTION("""COMPUTED_VALUE"""),2.0)</f>
        <v>2</v>
      </c>
      <c r="H841" s="94">
        <f t="shared" si="1"/>
        <v>7</v>
      </c>
    </row>
    <row r="842" ht="15.75" customHeight="1">
      <c r="A842" s="94" t="str">
        <f>IFERROR(__xludf.DUMMYFUNCTION("""COMPUTED_VALUE"""),"DL 13-703")</f>
        <v>DL 13-703</v>
      </c>
      <c r="B842" s="94"/>
      <c r="C842" s="94"/>
      <c r="D842" s="94"/>
      <c r="E842" s="1429">
        <f>IFERROR(__xludf.DUMMYFUNCTION("""COMPUTED_VALUE"""),45868.0)</f>
        <v>45868</v>
      </c>
      <c r="F842" s="1429">
        <f>IFERROR(__xludf.DUMMYFUNCTION("""COMPUTED_VALUE"""),45871.0)</f>
        <v>45871</v>
      </c>
      <c r="G842" s="1430">
        <f>IFERROR(__xludf.DUMMYFUNCTION("""COMPUTED_VALUE"""),3.0)</f>
        <v>3</v>
      </c>
      <c r="H842" s="94">
        <f t="shared" si="1"/>
        <v>7</v>
      </c>
    </row>
    <row r="843" ht="15.75" customHeight="1">
      <c r="A843" s="94" t="str">
        <f>IFERROR(__xludf.DUMMYFUNCTION("""COMPUTED_VALUE"""),"BV1318")</f>
        <v>BV1318</v>
      </c>
      <c r="B843" s="94"/>
      <c r="C843" s="94"/>
      <c r="D843" s="94"/>
      <c r="E843" s="1429">
        <f>IFERROR(__xludf.DUMMYFUNCTION("""COMPUTED_VALUE"""),45868.0)</f>
        <v>45868</v>
      </c>
      <c r="F843" s="1429">
        <f>IFERROR(__xludf.DUMMYFUNCTION("""COMPUTED_VALUE"""),45871.0)</f>
        <v>45871</v>
      </c>
      <c r="G843" s="1430">
        <f>IFERROR(__xludf.DUMMYFUNCTION("""COMPUTED_VALUE"""),3.0)</f>
        <v>3</v>
      </c>
      <c r="H843" s="94">
        <f t="shared" si="1"/>
        <v>7</v>
      </c>
    </row>
    <row r="844" ht="15.75" customHeight="1">
      <c r="A844" s="94" t="str">
        <f>IFERROR(__xludf.DUMMYFUNCTION("""COMPUTED_VALUE"""),"Int 2612")</f>
        <v>Int 2612</v>
      </c>
      <c r="B844" s="94"/>
      <c r="C844" s="94"/>
      <c r="D844" s="94"/>
      <c r="E844" s="1429">
        <f>IFERROR(__xludf.DUMMYFUNCTION("""COMPUTED_VALUE"""),45868.0)</f>
        <v>45868</v>
      </c>
      <c r="F844" s="1429">
        <f>IFERROR(__xludf.DUMMYFUNCTION("""COMPUTED_VALUE"""),45871.0)</f>
        <v>45871</v>
      </c>
      <c r="G844" s="1430">
        <f>IFERROR(__xludf.DUMMYFUNCTION("""COMPUTED_VALUE"""),3.0)</f>
        <v>3</v>
      </c>
      <c r="H844" s="94">
        <f t="shared" si="1"/>
        <v>7</v>
      </c>
    </row>
    <row r="845" ht="15.75" customHeight="1">
      <c r="A845" s="94" t="str">
        <f>IFERROR(__xludf.DUMMYFUNCTION("""COMPUTED_VALUE"""),"PT2704")</f>
        <v>PT2704</v>
      </c>
      <c r="B845" s="94"/>
      <c r="C845" s="94"/>
      <c r="D845" s="94"/>
      <c r="E845" s="1429">
        <f>IFERROR(__xludf.DUMMYFUNCTION("""COMPUTED_VALUE"""),45868.0)</f>
        <v>45868</v>
      </c>
      <c r="F845" s="1429">
        <f>IFERROR(__xludf.DUMMYFUNCTION("""COMPUTED_VALUE"""),45871.0)</f>
        <v>45871</v>
      </c>
      <c r="G845" s="1430">
        <f>IFERROR(__xludf.DUMMYFUNCTION("""COMPUTED_VALUE"""),3.0)</f>
        <v>3</v>
      </c>
      <c r="H845" s="94">
        <f t="shared" si="1"/>
        <v>7</v>
      </c>
    </row>
    <row r="846" ht="15.75" customHeight="1">
      <c r="A846" s="94" t="str">
        <f>IFERROR(__xludf.DUMMYFUNCTION("""COMPUTED_VALUE"""),"D1 3902")</f>
        <v>D1 3902</v>
      </c>
      <c r="B846" s="94"/>
      <c r="C846" s="94"/>
      <c r="D846" s="94"/>
      <c r="E846" s="1429">
        <f>IFERROR(__xludf.DUMMYFUNCTION("""COMPUTED_VALUE"""),45868.0)</f>
        <v>45868</v>
      </c>
      <c r="F846" s="1429">
        <f>IFERROR(__xludf.DUMMYFUNCTION("""COMPUTED_VALUE"""),45869.0)</f>
        <v>45869</v>
      </c>
      <c r="G846" s="1430">
        <f>IFERROR(__xludf.DUMMYFUNCTION("""COMPUTED_VALUE"""),1.0)</f>
        <v>1</v>
      </c>
      <c r="H846" s="94">
        <f t="shared" si="1"/>
        <v>7</v>
      </c>
    </row>
    <row r="847" ht="15.75" customHeight="1">
      <c r="A847" s="94" t="str">
        <f>IFERROR(__xludf.DUMMYFUNCTION("""COMPUTED_VALUE"""),"Steps 1108")</f>
        <v>Steps 1108</v>
      </c>
      <c r="B847" s="94"/>
      <c r="C847" s="94"/>
      <c r="D847" s="94"/>
      <c r="E847" s="1429">
        <f>IFERROR(__xludf.DUMMYFUNCTION("""COMPUTED_VALUE"""),45868.0)</f>
        <v>45868</v>
      </c>
      <c r="F847" s="1429">
        <f>IFERROR(__xludf.DUMMYFUNCTION("""COMPUTED_VALUE"""),45871.0)</f>
        <v>45871</v>
      </c>
      <c r="G847" s="1430">
        <f>IFERROR(__xludf.DUMMYFUNCTION("""COMPUTED_VALUE"""),3.0)</f>
        <v>3</v>
      </c>
      <c r="H847" s="94">
        <f t="shared" si="1"/>
        <v>7</v>
      </c>
    </row>
    <row r="848" ht="15.75" customHeight="1">
      <c r="A848" s="94" t="str">
        <f>IFERROR(__xludf.DUMMYFUNCTION("""COMPUTED_VALUE"""),"Steps1123")</f>
        <v>Steps1123</v>
      </c>
      <c r="B848" s="94"/>
      <c r="C848" s="94"/>
      <c r="D848" s="94"/>
      <c r="E848" s="1429">
        <f>IFERROR(__xludf.DUMMYFUNCTION("""COMPUTED_VALUE"""),45868.0)</f>
        <v>45868</v>
      </c>
      <c r="F848" s="1429">
        <f>IFERROR(__xludf.DUMMYFUNCTION("""COMPUTED_VALUE"""),45871.0)</f>
        <v>45871</v>
      </c>
      <c r="G848" s="1430">
        <f>IFERROR(__xludf.DUMMYFUNCTION("""COMPUTED_VALUE"""),3.0)</f>
        <v>3</v>
      </c>
      <c r="H848" s="94">
        <f t="shared" si="1"/>
        <v>7</v>
      </c>
    </row>
    <row r="849" ht="15.75" customHeight="1">
      <c r="A849" s="94" t="str">
        <f>IFERROR(__xludf.DUMMYFUNCTION("""COMPUTED_VALUE"""),"WS A805")</f>
        <v>WS A805</v>
      </c>
      <c r="B849" s="94"/>
      <c r="C849" s="94"/>
      <c r="D849" s="94"/>
      <c r="E849" s="1429">
        <f>IFERROR(__xludf.DUMMYFUNCTION("""COMPUTED_VALUE"""),45868.0)</f>
        <v>45868</v>
      </c>
      <c r="F849" s="1429">
        <f>IFERROR(__xludf.DUMMYFUNCTION("""COMPUTED_VALUE"""),45875.0)</f>
        <v>45875</v>
      </c>
      <c r="G849" s="1430">
        <f>IFERROR(__xludf.DUMMYFUNCTION("""COMPUTED_VALUE"""),7.0)</f>
        <v>7</v>
      </c>
      <c r="H849" s="94">
        <f t="shared" si="1"/>
        <v>7</v>
      </c>
    </row>
    <row r="850" ht="15.75" customHeight="1">
      <c r="A850" s="94" t="str">
        <f>IFERROR(__xludf.DUMMYFUNCTION("""COMPUTED_VALUE"""),"TGA4")</f>
        <v>TGA4</v>
      </c>
      <c r="B850" s="94"/>
      <c r="C850" s="94"/>
      <c r="D850" s="94"/>
      <c r="E850" s="1429">
        <f>IFERROR(__xludf.DUMMYFUNCTION("""COMPUTED_VALUE"""),45868.0)</f>
        <v>45868</v>
      </c>
      <c r="F850" s="1429">
        <f>IFERROR(__xludf.DUMMYFUNCTION("""COMPUTED_VALUE"""),45869.0)</f>
        <v>45869</v>
      </c>
      <c r="G850" s="1430">
        <f>IFERROR(__xludf.DUMMYFUNCTION("""COMPUTED_VALUE"""),1.0)</f>
        <v>1</v>
      </c>
      <c r="H850" s="94">
        <f t="shared" si="1"/>
        <v>7</v>
      </c>
    </row>
    <row r="851" ht="15.75" customHeight="1">
      <c r="A851" s="94" t="str">
        <f>IFERROR(__xludf.DUMMYFUNCTION("""COMPUTED_VALUE"""),"NW 205")</f>
        <v>NW 205</v>
      </c>
      <c r="B851" s="94"/>
      <c r="C851" s="94"/>
      <c r="D851" s="94"/>
      <c r="E851" s="1429">
        <f>IFERROR(__xludf.DUMMYFUNCTION("""COMPUTED_VALUE"""),45868.0)</f>
        <v>45868</v>
      </c>
      <c r="F851" s="1429">
        <f>IFERROR(__xludf.DUMMYFUNCTION("""COMPUTED_VALUE"""),45875.0)</f>
        <v>45875</v>
      </c>
      <c r="G851" s="1430">
        <f>IFERROR(__xludf.DUMMYFUNCTION("""COMPUTED_VALUE"""),7.0)</f>
        <v>7</v>
      </c>
      <c r="H851" s="94">
        <f t="shared" si="1"/>
        <v>7</v>
      </c>
    </row>
    <row r="852" ht="15.75" customHeight="1">
      <c r="A852" s="94" t="str">
        <f>IFERROR(__xludf.DUMMYFUNCTION("""COMPUTED_VALUE"""),"TGB5")</f>
        <v>TGB5</v>
      </c>
      <c r="B852" s="94"/>
      <c r="C852" s="94"/>
      <c r="D852" s="94"/>
      <c r="E852" s="1429">
        <f>IFERROR(__xludf.DUMMYFUNCTION("""COMPUTED_VALUE"""),45869.0)</f>
        <v>45869</v>
      </c>
      <c r="F852" s="1429">
        <f>IFERROR(__xludf.DUMMYFUNCTION("""COMPUTED_VALUE"""),45873.0)</f>
        <v>45873</v>
      </c>
      <c r="G852" s="1430">
        <f>IFERROR(__xludf.DUMMYFUNCTION("""COMPUTED_VALUE"""),4.0)</f>
        <v>4</v>
      </c>
      <c r="H852" s="94">
        <f t="shared" si="1"/>
        <v>7</v>
      </c>
    </row>
    <row r="853" ht="15.75" customHeight="1">
      <c r="A853" s="94" t="str">
        <f>IFERROR(__xludf.DUMMYFUNCTION("""COMPUTED_VALUE"""),"TGB7")</f>
        <v>TGB7</v>
      </c>
      <c r="B853" s="94"/>
      <c r="C853" s="94"/>
      <c r="D853" s="94"/>
      <c r="E853" s="1429">
        <f>IFERROR(__xludf.DUMMYFUNCTION("""COMPUTED_VALUE"""),45869.0)</f>
        <v>45869</v>
      </c>
      <c r="F853" s="1429">
        <f>IFERROR(__xludf.DUMMYFUNCTION("""COMPUTED_VALUE"""),45872.0)</f>
        <v>45872</v>
      </c>
      <c r="G853" s="1430">
        <f>IFERROR(__xludf.DUMMYFUNCTION("""COMPUTED_VALUE"""),3.0)</f>
        <v>3</v>
      </c>
      <c r="H853" s="94">
        <f t="shared" si="1"/>
        <v>7</v>
      </c>
    </row>
    <row r="854" ht="15.75" customHeight="1">
      <c r="A854" s="94" t="str">
        <f>IFERROR(__xludf.DUMMYFUNCTION("""COMPUTED_VALUE"""),"TGB9")</f>
        <v>TGB9</v>
      </c>
      <c r="B854" s="94"/>
      <c r="C854" s="94"/>
      <c r="D854" s="94"/>
      <c r="E854" s="1429">
        <f>IFERROR(__xludf.DUMMYFUNCTION("""COMPUTED_VALUE"""),45869.0)</f>
        <v>45869</v>
      </c>
      <c r="F854" s="1429">
        <f>IFERROR(__xludf.DUMMYFUNCTION("""COMPUTED_VALUE"""),45872.0)</f>
        <v>45872</v>
      </c>
      <c r="G854" s="1430">
        <f>IFERROR(__xludf.DUMMYFUNCTION("""COMPUTED_VALUE"""),3.0)</f>
        <v>3</v>
      </c>
      <c r="H854" s="94">
        <f t="shared" si="1"/>
        <v>7</v>
      </c>
    </row>
    <row r="855" ht="15.75" customHeight="1">
      <c r="A855" s="94" t="str">
        <f>IFERROR(__xludf.DUMMYFUNCTION("""COMPUTED_VALUE"""),"TGA9")</f>
        <v>TGA9</v>
      </c>
      <c r="B855" s="94"/>
      <c r="C855" s="94"/>
      <c r="D855" s="94"/>
      <c r="E855" s="1429">
        <f>IFERROR(__xludf.DUMMYFUNCTION("""COMPUTED_VALUE"""),45869.0)</f>
        <v>45869</v>
      </c>
      <c r="F855" s="1429">
        <f>IFERROR(__xludf.DUMMYFUNCTION("""COMPUTED_VALUE"""),45872.0)</f>
        <v>45872</v>
      </c>
      <c r="G855" s="1430">
        <f>IFERROR(__xludf.DUMMYFUNCTION("""COMPUTED_VALUE"""),3.0)</f>
        <v>3</v>
      </c>
      <c r="H855" s="94">
        <f t="shared" si="1"/>
        <v>7</v>
      </c>
    </row>
    <row r="856" ht="15.75" customHeight="1">
      <c r="A856" s="94" t="str">
        <f>IFERROR(__xludf.DUMMYFUNCTION("""COMPUTED_VALUE"""),"WS A 409")</f>
        <v>WS A 409</v>
      </c>
      <c r="B856" s="94"/>
      <c r="C856" s="94"/>
      <c r="D856" s="94"/>
      <c r="E856" s="1429">
        <f>IFERROR(__xludf.DUMMYFUNCTION("""COMPUTED_VALUE"""),45869.0)</f>
        <v>45869</v>
      </c>
      <c r="F856" s="1429">
        <f>IFERROR(__xludf.DUMMYFUNCTION("""COMPUTED_VALUE"""),45876.0)</f>
        <v>45876</v>
      </c>
      <c r="G856" s="1430">
        <f>IFERROR(__xludf.DUMMYFUNCTION("""COMPUTED_VALUE"""),7.0)</f>
        <v>7</v>
      </c>
      <c r="H856" s="94">
        <f t="shared" si="1"/>
        <v>7</v>
      </c>
    </row>
    <row r="857" ht="15.75" customHeight="1">
      <c r="A857" s="94" t="str">
        <f>IFERROR(__xludf.DUMMYFUNCTION("""COMPUTED_VALUE"""),"WS В 1510")</f>
        <v>WS В 1510</v>
      </c>
      <c r="B857" s="94"/>
      <c r="C857" s="94"/>
      <c r="D857" s="94"/>
      <c r="E857" s="1429">
        <f>IFERROR(__xludf.DUMMYFUNCTION("""COMPUTED_VALUE"""),45869.0)</f>
        <v>45869</v>
      </c>
      <c r="F857" s="1429">
        <f>IFERROR(__xludf.DUMMYFUNCTION("""COMPUTED_VALUE"""),45875.0)</f>
        <v>45875</v>
      </c>
      <c r="G857" s="1430">
        <f>IFERROR(__xludf.DUMMYFUNCTION("""COMPUTED_VALUE"""),6.0)</f>
        <v>6</v>
      </c>
      <c r="H857" s="94">
        <f t="shared" si="1"/>
        <v>7</v>
      </c>
    </row>
    <row r="858" ht="15.75" customHeight="1">
      <c r="A858" s="94" t="str">
        <f>IFERROR(__xludf.DUMMYFUNCTION("""COMPUTED_VALUE"""),"WS А 908")</f>
        <v>WS А 908</v>
      </c>
      <c r="B858" s="94"/>
      <c r="C858" s="94"/>
      <c r="D858" s="94"/>
      <c r="E858" s="1429">
        <f>IFERROR(__xludf.DUMMYFUNCTION("""COMPUTED_VALUE"""),45869.0)</f>
        <v>45869</v>
      </c>
      <c r="F858" s="1429">
        <f>IFERROR(__xludf.DUMMYFUNCTION("""COMPUTED_VALUE"""),45876.0)</f>
        <v>45876</v>
      </c>
      <c r="G858" s="1430">
        <f>IFERROR(__xludf.DUMMYFUNCTION("""COMPUTED_VALUE"""),7.0)</f>
        <v>7</v>
      </c>
      <c r="H858" s="94">
        <f t="shared" si="1"/>
        <v>7</v>
      </c>
    </row>
    <row r="859" ht="15.75" customHeight="1">
      <c r="A859" s="94" t="str">
        <f>IFERROR(__xludf.DUMMYFUNCTION("""COMPUTED_VALUE"""),"WS В 212")</f>
        <v>WS В 212</v>
      </c>
      <c r="B859" s="94"/>
      <c r="C859" s="94"/>
      <c r="D859" s="94"/>
      <c r="E859" s="1429">
        <f>IFERROR(__xludf.DUMMYFUNCTION("""COMPUTED_VALUE"""),45868.0)</f>
        <v>45868</v>
      </c>
      <c r="F859" s="1429">
        <f>IFERROR(__xludf.DUMMYFUNCTION("""COMPUTED_VALUE"""),45871.0)</f>
        <v>45871</v>
      </c>
      <c r="G859" s="1430">
        <f>IFERROR(__xludf.DUMMYFUNCTION("""COMPUTED_VALUE"""),3.0)</f>
        <v>3</v>
      </c>
      <c r="H859" s="94">
        <f t="shared" si="1"/>
        <v>7</v>
      </c>
    </row>
    <row r="860" ht="15.75" customHeight="1">
      <c r="A860" s="94" t="str">
        <f>IFERROR(__xludf.DUMMYFUNCTION("""COMPUTED_VALUE"""),"WS F 907")</f>
        <v>WS F 907</v>
      </c>
      <c r="B860" s="94"/>
      <c r="C860" s="94"/>
      <c r="D860" s="94"/>
      <c r="E860" s="1429">
        <f>IFERROR(__xludf.DUMMYFUNCTION("""COMPUTED_VALUE"""),45869.0)</f>
        <v>45869</v>
      </c>
      <c r="F860" s="1429">
        <f>IFERROR(__xludf.DUMMYFUNCTION("""COMPUTED_VALUE"""),45872.0)</f>
        <v>45872</v>
      </c>
      <c r="G860" s="1430">
        <f>IFERROR(__xludf.DUMMYFUNCTION("""COMPUTED_VALUE"""),3.0)</f>
        <v>3</v>
      </c>
      <c r="H860" s="94">
        <f t="shared" si="1"/>
        <v>7</v>
      </c>
    </row>
    <row r="861" ht="15.75" customHeight="1">
      <c r="A861" s="94" t="str">
        <f>IFERROR(__xludf.DUMMYFUNCTION("""COMPUTED_VALUE"""),"C 4245")</f>
        <v>C 4245</v>
      </c>
      <c r="B861" s="94"/>
      <c r="C861" s="94"/>
      <c r="D861" s="94"/>
      <c r="E861" s="1429">
        <f>IFERROR(__xludf.DUMMYFUNCTION("""COMPUTED_VALUE"""),45869.0)</f>
        <v>45869</v>
      </c>
      <c r="F861" s="1429">
        <f>IFERROR(__xludf.DUMMYFUNCTION("""COMPUTED_VALUE"""),45872.0)</f>
        <v>45872</v>
      </c>
      <c r="G861" s="1430">
        <f>IFERROR(__xludf.DUMMYFUNCTION("""COMPUTED_VALUE"""),3.0)</f>
        <v>3</v>
      </c>
      <c r="H861" s="94">
        <f t="shared" si="1"/>
        <v>7</v>
      </c>
    </row>
    <row r="862" ht="15.75" customHeight="1">
      <c r="A862" s="94" t="str">
        <f>IFERROR(__xludf.DUMMYFUNCTION("""COMPUTED_VALUE"""),"D1 3902")</f>
        <v>D1 3902</v>
      </c>
      <c r="B862" s="94"/>
      <c r="C862" s="94"/>
      <c r="D862" s="94"/>
      <c r="E862" s="1429">
        <f>IFERROR(__xludf.DUMMYFUNCTION("""COMPUTED_VALUE"""),45869.0)</f>
        <v>45869</v>
      </c>
      <c r="F862" s="1429">
        <f>IFERROR(__xludf.DUMMYFUNCTION("""COMPUTED_VALUE"""),45876.0)</f>
        <v>45876</v>
      </c>
      <c r="G862" s="1430">
        <f>IFERROR(__xludf.DUMMYFUNCTION("""COMPUTED_VALUE"""),7.0)</f>
        <v>7</v>
      </c>
      <c r="H862" s="94">
        <f t="shared" si="1"/>
        <v>7</v>
      </c>
    </row>
    <row r="863" ht="15.75" customHeight="1">
      <c r="A863" s="94" t="str">
        <f>IFERROR(__xludf.DUMMYFUNCTION("""COMPUTED_VALUE"""),"TGB2")</f>
        <v>TGB2</v>
      </c>
      <c r="B863" s="94"/>
      <c r="C863" s="94"/>
      <c r="D863" s="94"/>
      <c r="E863" s="1429">
        <f>IFERROR(__xludf.DUMMYFUNCTION("""COMPUTED_VALUE"""),45869.0)</f>
        <v>45869</v>
      </c>
      <c r="F863" s="1429">
        <f>IFERROR(__xludf.DUMMYFUNCTION("""COMPUTED_VALUE"""),45872.0)</f>
        <v>45872</v>
      </c>
      <c r="G863" s="1430">
        <f>IFERROR(__xludf.DUMMYFUNCTION("""COMPUTED_VALUE"""),3.0)</f>
        <v>3</v>
      </c>
      <c r="H863" s="94">
        <f t="shared" si="1"/>
        <v>7</v>
      </c>
    </row>
    <row r="864" ht="15.75" customHeight="1">
      <c r="A864" s="94" t="str">
        <f>IFERROR(__xludf.DUMMYFUNCTION("""COMPUTED_VALUE"""),"NW 4-9")</f>
        <v>NW 4-9</v>
      </c>
      <c r="B864" s="94"/>
      <c r="C864" s="94"/>
      <c r="D864" s="94"/>
      <c r="E864" s="1429">
        <f>IFERROR(__xludf.DUMMYFUNCTION("""COMPUTED_VALUE"""),45869.0)</f>
        <v>45869</v>
      </c>
      <c r="F864" s="1429">
        <f>IFERROR(__xludf.DUMMYFUNCTION("""COMPUTED_VALUE"""),45874.0)</f>
        <v>45874</v>
      </c>
      <c r="G864" s="1430">
        <f>IFERROR(__xludf.DUMMYFUNCTION("""COMPUTED_VALUE"""),5.0)</f>
        <v>5</v>
      </c>
      <c r="H864" s="94">
        <f t="shared" si="1"/>
        <v>7</v>
      </c>
    </row>
    <row r="865" ht="15.75" customHeight="1">
      <c r="A865" s="94" t="str">
        <f>IFERROR(__xludf.DUMMYFUNCTION("""COMPUTED_VALUE"""),"NW 10-6")</f>
        <v>NW 10-6</v>
      </c>
      <c r="B865" s="94"/>
      <c r="C865" s="94"/>
      <c r="D865" s="94"/>
      <c r="E865" s="1429">
        <f>IFERROR(__xludf.DUMMYFUNCTION("""COMPUTED_VALUE"""),45869.0)</f>
        <v>45869</v>
      </c>
      <c r="F865" s="1429">
        <f>IFERROR(__xludf.DUMMYFUNCTION("""COMPUTED_VALUE"""),45874.0)</f>
        <v>45874</v>
      </c>
      <c r="G865" s="1430">
        <f>IFERROR(__xludf.DUMMYFUNCTION("""COMPUTED_VALUE"""),5.0)</f>
        <v>5</v>
      </c>
      <c r="H865" s="94">
        <f t="shared" si="1"/>
        <v>7</v>
      </c>
    </row>
    <row r="866" ht="15.75" customHeight="1">
      <c r="A866" s="94" t="str">
        <f>IFERROR(__xludf.DUMMYFUNCTION("""COMPUTED_VALUE"""),"CM 1604")</f>
        <v>CM 1604</v>
      </c>
      <c r="B866" s="94"/>
      <c r="C866" s="94"/>
      <c r="D866" s="94"/>
      <c r="E866" s="1429">
        <f>IFERROR(__xludf.DUMMYFUNCTION("""COMPUTED_VALUE"""),45869.0)</f>
        <v>45869</v>
      </c>
      <c r="F866" s="1429">
        <f>IFERROR(__xludf.DUMMYFUNCTION("""COMPUTED_VALUE"""),45872.0)</f>
        <v>45872</v>
      </c>
      <c r="G866" s="1430">
        <f>IFERROR(__xludf.DUMMYFUNCTION("""COMPUTED_VALUE"""),3.0)</f>
        <v>3</v>
      </c>
      <c r="H866" s="94">
        <f t="shared" si="1"/>
        <v>7</v>
      </c>
    </row>
    <row r="867" ht="15.75" customHeight="1">
      <c r="A867" s="94" t="str">
        <f>IFERROR(__xludf.DUMMYFUNCTION("""COMPUTED_VALUE"""),"DL 11-1305")</f>
        <v>DL 11-1305</v>
      </c>
      <c r="B867" s="94"/>
      <c r="C867" s="94"/>
      <c r="D867" s="94"/>
      <c r="E867" s="1429">
        <f>IFERROR(__xludf.DUMMYFUNCTION("""COMPUTED_VALUE"""),45869.0)</f>
        <v>45869</v>
      </c>
      <c r="F867" s="1429">
        <f>IFERROR(__xludf.DUMMYFUNCTION("""COMPUTED_VALUE"""),45872.0)</f>
        <v>45872</v>
      </c>
      <c r="G867" s="1430">
        <f>IFERROR(__xludf.DUMMYFUNCTION("""COMPUTED_VALUE"""),3.0)</f>
        <v>3</v>
      </c>
      <c r="H867" s="94">
        <f t="shared" si="1"/>
        <v>7</v>
      </c>
    </row>
    <row r="868" ht="15.75" customHeight="1">
      <c r="A868" s="94" t="str">
        <f>IFERROR(__xludf.DUMMYFUNCTION("""COMPUTED_VALUE"""),"DL 14-1710")</f>
        <v>DL 14-1710</v>
      </c>
      <c r="B868" s="94"/>
      <c r="C868" s="94"/>
      <c r="D868" s="94"/>
      <c r="E868" s="1429">
        <f>IFERROR(__xludf.DUMMYFUNCTION("""COMPUTED_VALUE"""),45869.0)</f>
        <v>45869</v>
      </c>
      <c r="F868" s="1429">
        <f>IFERROR(__xludf.DUMMYFUNCTION("""COMPUTED_VALUE"""),45874.0)</f>
        <v>45874</v>
      </c>
      <c r="G868" s="1430">
        <f>IFERROR(__xludf.DUMMYFUNCTION("""COMPUTED_VALUE"""),5.0)</f>
        <v>5</v>
      </c>
      <c r="H868" s="94">
        <f t="shared" si="1"/>
        <v>7</v>
      </c>
    </row>
    <row r="869" ht="15.75" customHeight="1">
      <c r="A869" s="94" t="str">
        <f>IFERROR(__xludf.DUMMYFUNCTION("""COMPUTED_VALUE"""),"DL 11-1112")</f>
        <v>DL 11-1112</v>
      </c>
      <c r="B869" s="94"/>
      <c r="C869" s="94"/>
      <c r="D869" s="94"/>
      <c r="E869" s="1429">
        <f>IFERROR(__xludf.DUMMYFUNCTION("""COMPUTED_VALUE"""),45869.0)</f>
        <v>45869</v>
      </c>
      <c r="F869" s="1429">
        <f>IFERROR(__xludf.DUMMYFUNCTION("""COMPUTED_VALUE"""),45872.0)</f>
        <v>45872</v>
      </c>
      <c r="G869" s="1430">
        <f>IFERROR(__xludf.DUMMYFUNCTION("""COMPUTED_VALUE"""),3.0)</f>
        <v>3</v>
      </c>
      <c r="H869" s="94">
        <f t="shared" si="1"/>
        <v>7</v>
      </c>
    </row>
    <row r="870" ht="15.75" customHeight="1">
      <c r="A870" s="94" t="str">
        <f>IFERROR(__xludf.DUMMYFUNCTION("""COMPUTED_VALUE"""),"DL 13-709")</f>
        <v>DL 13-709</v>
      </c>
      <c r="B870" s="94"/>
      <c r="C870" s="94"/>
      <c r="D870" s="94"/>
      <c r="E870" s="1429">
        <f>IFERROR(__xludf.DUMMYFUNCTION("""COMPUTED_VALUE"""),45869.0)</f>
        <v>45869</v>
      </c>
      <c r="F870" s="1429">
        <f>IFERROR(__xludf.DUMMYFUNCTION("""COMPUTED_VALUE"""),45872.0)</f>
        <v>45872</v>
      </c>
      <c r="G870" s="1430">
        <f>IFERROR(__xludf.DUMMYFUNCTION("""COMPUTED_VALUE"""),3.0)</f>
        <v>3</v>
      </c>
      <c r="H870" s="94">
        <f t="shared" si="1"/>
        <v>7</v>
      </c>
    </row>
    <row r="871" ht="15.75" customHeight="1">
      <c r="A871" s="94" t="str">
        <f>IFERROR(__xludf.DUMMYFUNCTION("""COMPUTED_VALUE"""),"DL 14-702")</f>
        <v>DL 14-702</v>
      </c>
      <c r="B871" s="94"/>
      <c r="C871" s="94"/>
      <c r="D871" s="94"/>
      <c r="E871" s="1429">
        <f>IFERROR(__xludf.DUMMYFUNCTION("""COMPUTED_VALUE"""),45869.0)</f>
        <v>45869</v>
      </c>
      <c r="F871" s="1429">
        <f>IFERROR(__xludf.DUMMYFUNCTION("""COMPUTED_VALUE"""),45877.0)</f>
        <v>45877</v>
      </c>
      <c r="G871" s="1430">
        <f>IFERROR(__xludf.DUMMYFUNCTION("""COMPUTED_VALUE"""),8.0)</f>
        <v>8</v>
      </c>
      <c r="H871" s="94">
        <f t="shared" si="1"/>
        <v>7</v>
      </c>
    </row>
    <row r="872" ht="15.75" customHeight="1">
      <c r="A872" s="94" t="str">
        <f>IFERROR(__xludf.DUMMYFUNCTION("""COMPUTED_VALUE"""),"Pollo 2-2")</f>
        <v>Pollo 2-2</v>
      </c>
      <c r="B872" s="94"/>
      <c r="C872" s="94"/>
      <c r="D872" s="94"/>
      <c r="E872" s="1429">
        <f>IFERROR(__xludf.DUMMYFUNCTION("""COMPUTED_VALUE"""),45866.0)</f>
        <v>45866</v>
      </c>
      <c r="F872" s="1429">
        <f>IFERROR(__xludf.DUMMYFUNCTION("""COMPUTED_VALUE"""),45896.0)</f>
        <v>45896</v>
      </c>
      <c r="G872" s="1430">
        <f>IFERROR(__xludf.DUMMYFUNCTION("""COMPUTED_VALUE"""),30.0)</f>
        <v>30</v>
      </c>
      <c r="H872" s="94">
        <f t="shared" si="1"/>
        <v>7</v>
      </c>
    </row>
    <row r="873" ht="15.75" customHeight="1">
      <c r="A873" s="94" t="str">
        <f>IFERROR(__xludf.DUMMYFUNCTION("""COMPUTED_VALUE"""),"CM 1606")</f>
        <v>CM 1606</v>
      </c>
      <c r="B873" s="94"/>
      <c r="C873" s="94"/>
      <c r="D873" s="94"/>
      <c r="E873" s="1429">
        <f>IFERROR(__xludf.DUMMYFUNCTION("""COMPUTED_VALUE"""),45870.0)</f>
        <v>45870</v>
      </c>
      <c r="F873" s="1429">
        <f>IFERROR(__xludf.DUMMYFUNCTION("""COMPUTED_VALUE"""),45874.0)</f>
        <v>45874</v>
      </c>
      <c r="G873" s="1430">
        <f>IFERROR(__xludf.DUMMYFUNCTION("""COMPUTED_VALUE"""),4.0)</f>
        <v>4</v>
      </c>
      <c r="H873" s="94">
        <f t="shared" si="1"/>
        <v>8</v>
      </c>
    </row>
    <row r="874" ht="15.75" customHeight="1">
      <c r="A874" s="94" t="str">
        <f>IFERROR(__xludf.DUMMYFUNCTION("""COMPUTED_VALUE"""),"Шар 2505")</f>
        <v>Шар 2505</v>
      </c>
      <c r="B874" s="94"/>
      <c r="C874" s="94"/>
      <c r="D874" s="94"/>
      <c r="E874" s="1429">
        <f>IFERROR(__xludf.DUMMYFUNCTION("""COMPUTED_VALUE"""),45870.0)</f>
        <v>45870</v>
      </c>
      <c r="F874" s="1429">
        <f>IFERROR(__xludf.DUMMYFUNCTION("""COMPUTED_VALUE"""),45888.0)</f>
        <v>45888</v>
      </c>
      <c r="G874" s="1430">
        <f>IFERROR(__xludf.DUMMYFUNCTION("""COMPUTED_VALUE"""),18.0)</f>
        <v>18</v>
      </c>
      <c r="H874" s="94">
        <f t="shared" si="1"/>
        <v>8</v>
      </c>
    </row>
    <row r="875" ht="15.75" customHeight="1">
      <c r="A875" s="94" t="str">
        <f>IFERROR(__xludf.DUMMYFUNCTION("""COMPUTED_VALUE"""),"WS В 503")</f>
        <v>WS В 503</v>
      </c>
      <c r="B875" s="94"/>
      <c r="C875" s="94"/>
      <c r="D875" s="94"/>
      <c r="E875" s="1429">
        <f>IFERROR(__xludf.DUMMYFUNCTION("""COMPUTED_VALUE"""),45870.0)</f>
        <v>45870</v>
      </c>
      <c r="F875" s="1429">
        <f>IFERROR(__xludf.DUMMYFUNCTION("""COMPUTED_VALUE"""),45884.0)</f>
        <v>45884</v>
      </c>
      <c r="G875" s="1430">
        <f>IFERROR(__xludf.DUMMYFUNCTION("""COMPUTED_VALUE"""),14.0)</f>
        <v>14</v>
      </c>
      <c r="H875" s="94">
        <f t="shared" si="1"/>
        <v>8</v>
      </c>
    </row>
    <row r="876" ht="15.75" customHeight="1">
      <c r="A876" s="94" t="str">
        <f>IFERROR(__xludf.DUMMYFUNCTION("""COMPUTED_VALUE"""),"WS Е804")</f>
        <v>WS Е804</v>
      </c>
      <c r="B876" s="94"/>
      <c r="C876" s="94"/>
      <c r="D876" s="94"/>
      <c r="E876" s="1429">
        <f>IFERROR(__xludf.DUMMYFUNCTION("""COMPUTED_VALUE"""),45870.0)</f>
        <v>45870</v>
      </c>
      <c r="F876" s="1429">
        <f>IFERROR(__xludf.DUMMYFUNCTION("""COMPUTED_VALUE"""),45877.0)</f>
        <v>45877</v>
      </c>
      <c r="G876" s="1430">
        <f>IFERROR(__xludf.DUMMYFUNCTION("""COMPUTED_VALUE"""),7.0)</f>
        <v>7</v>
      </c>
      <c r="H876" s="94">
        <f t="shared" si="1"/>
        <v>8</v>
      </c>
    </row>
    <row r="877" ht="15.75" customHeight="1">
      <c r="A877" s="94" t="str">
        <f>IFERROR(__xludf.DUMMYFUNCTION("""COMPUTED_VALUE"""),"D2 503")</f>
        <v>D2 503</v>
      </c>
      <c r="B877" s="94"/>
      <c r="C877" s="94"/>
      <c r="D877" s="94"/>
      <c r="E877" s="1429">
        <f>IFERROR(__xludf.DUMMYFUNCTION("""COMPUTED_VALUE"""),45870.0)</f>
        <v>45870</v>
      </c>
      <c r="F877" s="1429">
        <f>IFERROR(__xludf.DUMMYFUNCTION("""COMPUTED_VALUE"""),45872.0)</f>
        <v>45872</v>
      </c>
      <c r="G877" s="1430">
        <f>IFERROR(__xludf.DUMMYFUNCTION("""COMPUTED_VALUE"""),2.0)</f>
        <v>2</v>
      </c>
      <c r="H877" s="94">
        <f t="shared" si="1"/>
        <v>8</v>
      </c>
    </row>
    <row r="878" ht="15.75" customHeight="1">
      <c r="A878" s="94" t="str">
        <f>IFERROR(__xludf.DUMMYFUNCTION("""COMPUTED_VALUE"""),"D2 1625")</f>
        <v>D2 1625</v>
      </c>
      <c r="B878" s="94"/>
      <c r="C878" s="94"/>
      <c r="D878" s="94"/>
      <c r="E878" s="1429">
        <f>IFERROR(__xludf.DUMMYFUNCTION("""COMPUTED_VALUE"""),45870.0)</f>
        <v>45870</v>
      </c>
      <c r="F878" s="1429">
        <f>IFERROR(__xludf.DUMMYFUNCTION("""COMPUTED_VALUE"""),45874.0)</f>
        <v>45874</v>
      </c>
      <c r="G878" s="1430">
        <f>IFERROR(__xludf.DUMMYFUNCTION("""COMPUTED_VALUE"""),4.0)</f>
        <v>4</v>
      </c>
      <c r="H878" s="94">
        <f t="shared" si="1"/>
        <v>8</v>
      </c>
    </row>
    <row r="879" ht="15.75" customHeight="1">
      <c r="A879" s="94" t="str">
        <f>IFERROR(__xludf.DUMMYFUNCTION("""COMPUTED_VALUE"""),"TGB11")</f>
        <v>TGB11</v>
      </c>
      <c r="B879" s="94"/>
      <c r="C879" s="94"/>
      <c r="D879" s="94"/>
      <c r="E879" s="1429">
        <f>IFERROR(__xludf.DUMMYFUNCTION("""COMPUTED_VALUE"""),45870.0)</f>
        <v>45870</v>
      </c>
      <c r="F879" s="1429">
        <f>IFERROR(__xludf.DUMMYFUNCTION("""COMPUTED_VALUE"""),45872.0)</f>
        <v>45872</v>
      </c>
      <c r="G879" s="1430">
        <f>IFERROR(__xludf.DUMMYFUNCTION("""COMPUTED_VALUE"""),2.0)</f>
        <v>2</v>
      </c>
      <c r="H879" s="94">
        <f t="shared" si="1"/>
        <v>8</v>
      </c>
    </row>
    <row r="880" ht="15.75" customHeight="1">
      <c r="A880" s="94" t="str">
        <f>IFERROR(__xludf.DUMMYFUNCTION("""COMPUTED_VALUE"""),"TGB3")</f>
        <v>TGB3</v>
      </c>
      <c r="B880" s="94"/>
      <c r="C880" s="94"/>
      <c r="D880" s="94"/>
      <c r="E880" s="1429">
        <f>IFERROR(__xludf.DUMMYFUNCTION("""COMPUTED_VALUE"""),45870.0)</f>
        <v>45870</v>
      </c>
      <c r="F880" s="1429">
        <f>IFERROR(__xludf.DUMMYFUNCTION("""COMPUTED_VALUE"""),45877.0)</f>
        <v>45877</v>
      </c>
      <c r="G880" s="1430">
        <f>IFERROR(__xludf.DUMMYFUNCTION("""COMPUTED_VALUE"""),7.0)</f>
        <v>7</v>
      </c>
      <c r="H880" s="94">
        <f t="shared" si="1"/>
        <v>8</v>
      </c>
    </row>
    <row r="881" ht="15.75" customHeight="1">
      <c r="A881" s="94" t="str">
        <f>IFERROR(__xludf.DUMMYFUNCTION("""COMPUTED_VALUE"""),"TGB6")</f>
        <v>TGB6</v>
      </c>
      <c r="B881" s="94"/>
      <c r="C881" s="94"/>
      <c r="D881" s="94"/>
      <c r="E881" s="1429">
        <f>IFERROR(__xludf.DUMMYFUNCTION("""COMPUTED_VALUE"""),45870.0)</f>
        <v>45870</v>
      </c>
      <c r="F881" s="1429">
        <f>IFERROR(__xludf.DUMMYFUNCTION("""COMPUTED_VALUE"""),45873.0)</f>
        <v>45873</v>
      </c>
      <c r="G881" s="1430">
        <f>IFERROR(__xludf.DUMMYFUNCTION("""COMPUTED_VALUE"""),3.0)</f>
        <v>3</v>
      </c>
      <c r="H881" s="94">
        <f t="shared" si="1"/>
        <v>8</v>
      </c>
    </row>
    <row r="882" ht="15.75" customHeight="1">
      <c r="A882" s="94" t="str">
        <f>IFERROR(__xludf.DUMMYFUNCTION("""COMPUTED_VALUE"""),"TGA4")</f>
        <v>TGA4</v>
      </c>
      <c r="B882" s="94"/>
      <c r="C882" s="94"/>
      <c r="D882" s="94"/>
      <c r="E882" s="1429">
        <f>IFERROR(__xludf.DUMMYFUNCTION("""COMPUTED_VALUE"""),45870.0)</f>
        <v>45870</v>
      </c>
      <c r="F882" s="1429">
        <f>IFERROR(__xludf.DUMMYFUNCTION("""COMPUTED_VALUE"""),45872.0)</f>
        <v>45872</v>
      </c>
      <c r="G882" s="1430">
        <f>IFERROR(__xludf.DUMMYFUNCTION("""COMPUTED_VALUE"""),2.0)</f>
        <v>2</v>
      </c>
      <c r="H882" s="94">
        <f t="shared" si="1"/>
        <v>8</v>
      </c>
    </row>
    <row r="883" ht="15.75" customHeight="1">
      <c r="A883" s="94" t="str">
        <f>IFERROR(__xludf.DUMMYFUNCTION("""COMPUTED_VALUE"""),"TGA1")</f>
        <v>TGA1</v>
      </c>
      <c r="B883" s="94"/>
      <c r="C883" s="94"/>
      <c r="D883" s="94"/>
      <c r="E883" s="1429">
        <f>IFERROR(__xludf.DUMMYFUNCTION("""COMPUTED_VALUE"""),45870.0)</f>
        <v>45870</v>
      </c>
      <c r="F883" s="1429">
        <f>IFERROR(__xludf.DUMMYFUNCTION("""COMPUTED_VALUE"""),45884.0)</f>
        <v>45884</v>
      </c>
      <c r="G883" s="1430">
        <f>IFERROR(__xludf.DUMMYFUNCTION("""COMPUTED_VALUE"""),14.0)</f>
        <v>14</v>
      </c>
      <c r="H883" s="94">
        <f t="shared" si="1"/>
        <v>8</v>
      </c>
    </row>
    <row r="884" ht="15.75" customHeight="1">
      <c r="A884" s="94" t="str">
        <f>IFERROR(__xludf.DUMMYFUNCTION("""COMPUTED_VALUE"""),"NW 4-10")</f>
        <v>NW 4-10</v>
      </c>
      <c r="B884" s="94"/>
      <c r="C884" s="94"/>
      <c r="D884" s="94"/>
      <c r="E884" s="1429">
        <f>IFERROR(__xludf.DUMMYFUNCTION("""COMPUTED_VALUE"""),45870.0)</f>
        <v>45870</v>
      </c>
      <c r="F884" s="1429">
        <f>IFERROR(__xludf.DUMMYFUNCTION("""COMPUTED_VALUE"""),45872.0)</f>
        <v>45872</v>
      </c>
      <c r="G884" s="1430">
        <f>IFERROR(__xludf.DUMMYFUNCTION("""COMPUTED_VALUE"""),2.0)</f>
        <v>2</v>
      </c>
      <c r="H884" s="94">
        <f t="shared" si="1"/>
        <v>8</v>
      </c>
    </row>
    <row r="885" ht="15.75" customHeight="1">
      <c r="A885" s="94" t="str">
        <f>IFERROR(__xludf.DUMMYFUNCTION("""COMPUTED_VALUE"""),"Вилла Ева")</f>
        <v>Вилла Ева</v>
      </c>
      <c r="B885" s="94"/>
      <c r="C885" s="94"/>
      <c r="D885" s="94"/>
      <c r="E885" s="1429">
        <f>IFERROR(__xludf.DUMMYFUNCTION("""COMPUTED_VALUE"""),45870.0)</f>
        <v>45870</v>
      </c>
      <c r="F885" s="1429">
        <f>IFERROR(__xludf.DUMMYFUNCTION("""COMPUTED_VALUE"""),45873.0)</f>
        <v>45873</v>
      </c>
      <c r="G885" s="1430">
        <f>IFERROR(__xludf.DUMMYFUNCTION("""COMPUTED_VALUE"""),3.0)</f>
        <v>3</v>
      </c>
      <c r="H885" s="94">
        <f t="shared" si="1"/>
        <v>8</v>
      </c>
    </row>
    <row r="886" ht="15.75" customHeight="1">
      <c r="A886" s="94" t="str">
        <f>IFERROR(__xludf.DUMMYFUNCTION("""COMPUTED_VALUE"""),"DL 14-505")</f>
        <v>DL 14-505</v>
      </c>
      <c r="B886" s="94"/>
      <c r="C886" s="94"/>
      <c r="D886" s="94"/>
      <c r="E886" s="1429">
        <f>IFERROR(__xludf.DUMMYFUNCTION("""COMPUTED_VALUE"""),45870.0)</f>
        <v>45870</v>
      </c>
      <c r="F886" s="1429">
        <f>IFERROR(__xludf.DUMMYFUNCTION("""COMPUTED_VALUE"""),45872.0)</f>
        <v>45872</v>
      </c>
      <c r="G886" s="1430">
        <f>IFERROR(__xludf.DUMMYFUNCTION("""COMPUTED_VALUE"""),2.0)</f>
        <v>2</v>
      </c>
      <c r="H886" s="94">
        <f t="shared" si="1"/>
        <v>8</v>
      </c>
    </row>
    <row r="887" ht="15.75" customHeight="1">
      <c r="A887" s="94" t="str">
        <f>IFERROR(__xludf.DUMMYFUNCTION("""COMPUTED_VALUE"""),"DL14-1907")</f>
        <v>DL14-1907</v>
      </c>
      <c r="B887" s="94"/>
      <c r="C887" s="94"/>
      <c r="D887" s="94"/>
      <c r="E887" s="1429">
        <f>IFERROR(__xludf.DUMMYFUNCTION("""COMPUTED_VALUE"""),45870.0)</f>
        <v>45870</v>
      </c>
      <c r="F887" s="1429">
        <f>IFERROR(__xludf.DUMMYFUNCTION("""COMPUTED_VALUE"""),45872.0)</f>
        <v>45872</v>
      </c>
      <c r="G887" s="1430">
        <f>IFERROR(__xludf.DUMMYFUNCTION("""COMPUTED_VALUE"""),2.0)</f>
        <v>2</v>
      </c>
      <c r="H887" s="94">
        <f t="shared" si="1"/>
        <v>8</v>
      </c>
    </row>
    <row r="888" ht="15.75" customHeight="1">
      <c r="A888" s="94" t="str">
        <f>IFERROR(__xludf.DUMMYFUNCTION("""COMPUTED_VALUE"""),"DL14-305")</f>
        <v>DL14-305</v>
      </c>
      <c r="B888" s="94"/>
      <c r="C888" s="94"/>
      <c r="D888" s="94"/>
      <c r="E888" s="1429">
        <f>IFERROR(__xludf.DUMMYFUNCTION("""COMPUTED_VALUE"""),45870.0)</f>
        <v>45870</v>
      </c>
      <c r="F888" s="1429">
        <f>IFERROR(__xludf.DUMMYFUNCTION("""COMPUTED_VALUE"""),45874.0)</f>
        <v>45874</v>
      </c>
      <c r="G888" s="1430">
        <f>IFERROR(__xludf.DUMMYFUNCTION("""COMPUTED_VALUE"""),4.0)</f>
        <v>4</v>
      </c>
      <c r="H888" s="94">
        <f t="shared" si="1"/>
        <v>8</v>
      </c>
    </row>
    <row r="889" ht="15.75" customHeight="1">
      <c r="A889" s="94" t="str">
        <f>IFERROR(__xludf.DUMMYFUNCTION("""COMPUTED_VALUE"""),"DL14-518")</f>
        <v>DL14-518</v>
      </c>
      <c r="B889" s="94"/>
      <c r="C889" s="94"/>
      <c r="D889" s="94"/>
      <c r="E889" s="1429">
        <f>IFERROR(__xludf.DUMMYFUNCTION("""COMPUTED_VALUE"""),45870.0)</f>
        <v>45870</v>
      </c>
      <c r="F889" s="1429">
        <f>IFERROR(__xludf.DUMMYFUNCTION("""COMPUTED_VALUE"""),45872.0)</f>
        <v>45872</v>
      </c>
      <c r="G889" s="1430">
        <f>IFERROR(__xludf.DUMMYFUNCTION("""COMPUTED_VALUE"""),2.0)</f>
        <v>2</v>
      </c>
      <c r="H889" s="94">
        <f t="shared" si="1"/>
        <v>8</v>
      </c>
    </row>
    <row r="890" ht="15.75" customHeight="1">
      <c r="A890" s="94" t="str">
        <f>IFERROR(__xludf.DUMMYFUNCTION("""COMPUTED_VALUE"""),"А 4049")</f>
        <v>А 4049</v>
      </c>
      <c r="B890" s="94"/>
      <c r="C890" s="94"/>
      <c r="D890" s="94"/>
      <c r="E890" s="1429">
        <f>IFERROR(__xludf.DUMMYFUNCTION("""COMPUTED_VALUE"""),45871.0)</f>
        <v>45871</v>
      </c>
      <c r="F890" s="1429">
        <f>IFERROR(__xludf.DUMMYFUNCTION("""COMPUTED_VALUE"""),45872.0)</f>
        <v>45872</v>
      </c>
      <c r="G890" s="1430">
        <f>IFERROR(__xludf.DUMMYFUNCTION("""COMPUTED_VALUE"""),1.0)</f>
        <v>1</v>
      </c>
      <c r="H890" s="94">
        <f t="shared" si="1"/>
        <v>8</v>
      </c>
    </row>
    <row r="891" ht="15.75" customHeight="1">
      <c r="A891" s="94" t="str">
        <f>IFERROR(__xludf.DUMMYFUNCTION("""COMPUTED_VALUE"""),"DL 13-703")</f>
        <v>DL 13-703</v>
      </c>
      <c r="B891" s="94"/>
      <c r="C891" s="94"/>
      <c r="D891" s="94"/>
      <c r="E891" s="1429">
        <f>IFERROR(__xludf.DUMMYFUNCTION("""COMPUTED_VALUE"""),45871.0)</f>
        <v>45871</v>
      </c>
      <c r="F891" s="1429">
        <f>IFERROR(__xludf.DUMMYFUNCTION("""COMPUTED_VALUE"""),45879.0)</f>
        <v>45879</v>
      </c>
      <c r="G891" s="1430">
        <f>IFERROR(__xludf.DUMMYFUNCTION("""COMPUTED_VALUE"""),8.0)</f>
        <v>8</v>
      </c>
      <c r="H891" s="94">
        <f t="shared" si="1"/>
        <v>8</v>
      </c>
    </row>
    <row r="892" ht="15.75" customHeight="1">
      <c r="A892" s="94" t="str">
        <f>IFERROR(__xludf.DUMMYFUNCTION("""COMPUTED_VALUE"""),"BV206")</f>
        <v>BV206</v>
      </c>
      <c r="B892" s="94"/>
      <c r="C892" s="94"/>
      <c r="D892" s="94"/>
      <c r="E892" s="1429">
        <f>IFERROR(__xludf.DUMMYFUNCTION("""COMPUTED_VALUE"""),45871.0)</f>
        <v>45871</v>
      </c>
      <c r="F892" s="1429">
        <f>IFERROR(__xludf.DUMMYFUNCTION("""COMPUTED_VALUE"""),45878.0)</f>
        <v>45878</v>
      </c>
      <c r="G892" s="1430">
        <f>IFERROR(__xludf.DUMMYFUNCTION("""COMPUTED_VALUE"""),7.0)</f>
        <v>7</v>
      </c>
      <c r="H892" s="94">
        <f t="shared" si="1"/>
        <v>8</v>
      </c>
    </row>
    <row r="893" ht="15.75" customHeight="1">
      <c r="A893" s="94" t="str">
        <f>IFERROR(__xludf.DUMMYFUNCTION("""COMPUTED_VALUE"""),"BV1318")</f>
        <v>BV1318</v>
      </c>
      <c r="B893" s="94"/>
      <c r="C893" s="94"/>
      <c r="D893" s="94"/>
      <c r="E893" s="1429">
        <f>IFERROR(__xludf.DUMMYFUNCTION("""COMPUTED_VALUE"""),45871.0)</f>
        <v>45871</v>
      </c>
      <c r="F893" s="1429">
        <f>IFERROR(__xludf.DUMMYFUNCTION("""COMPUTED_VALUE"""),45875.0)</f>
        <v>45875</v>
      </c>
      <c r="G893" s="1430">
        <f>IFERROR(__xludf.DUMMYFUNCTION("""COMPUTED_VALUE"""),4.0)</f>
        <v>4</v>
      </c>
      <c r="H893" s="94">
        <f t="shared" si="1"/>
        <v>8</v>
      </c>
    </row>
    <row r="894" ht="15.75" customHeight="1">
      <c r="A894" s="94" t="str">
        <f>IFERROR(__xludf.DUMMYFUNCTION("""COMPUTED_VALUE"""),"TGA4")</f>
        <v>TGA4</v>
      </c>
      <c r="B894" s="94"/>
      <c r="C894" s="94"/>
      <c r="D894" s="94"/>
      <c r="E894" s="1429">
        <f>IFERROR(__xludf.DUMMYFUNCTION("""COMPUTED_VALUE"""),45871.0)</f>
        <v>45871</v>
      </c>
      <c r="F894" s="1429">
        <f>IFERROR(__xludf.DUMMYFUNCTION("""COMPUTED_VALUE"""),45876.0)</f>
        <v>45876</v>
      </c>
      <c r="G894" s="1430">
        <f>IFERROR(__xludf.DUMMYFUNCTION("""COMPUTED_VALUE"""),5.0)</f>
        <v>5</v>
      </c>
      <c r="H894" s="94">
        <f t="shared" si="1"/>
        <v>8</v>
      </c>
    </row>
    <row r="895" ht="15.75" customHeight="1">
      <c r="A895" s="94" t="str">
        <f>IFERROR(__xludf.DUMMYFUNCTION("""COMPUTED_VALUE"""),"TGB8")</f>
        <v>TGB8</v>
      </c>
      <c r="B895" s="94"/>
      <c r="C895" s="94"/>
      <c r="D895" s="94"/>
      <c r="E895" s="1429">
        <f>IFERROR(__xludf.DUMMYFUNCTION("""COMPUTED_VALUE"""),45871.0)</f>
        <v>45871</v>
      </c>
      <c r="F895" s="1429">
        <f>IFERROR(__xludf.DUMMYFUNCTION("""COMPUTED_VALUE"""),45885.0)</f>
        <v>45885</v>
      </c>
      <c r="G895" s="1430">
        <f>IFERROR(__xludf.DUMMYFUNCTION("""COMPUTED_VALUE"""),14.0)</f>
        <v>14</v>
      </c>
      <c r="H895" s="94">
        <f t="shared" si="1"/>
        <v>8</v>
      </c>
    </row>
    <row r="896" ht="15.75" customHeight="1">
      <c r="A896" s="94" t="str">
        <f>IFERROR(__xludf.DUMMYFUNCTION("""COMPUTED_VALUE"""),"TGB4")</f>
        <v>TGB4</v>
      </c>
      <c r="B896" s="94"/>
      <c r="C896" s="94"/>
      <c r="D896" s="94"/>
      <c r="E896" s="1429">
        <f>IFERROR(__xludf.DUMMYFUNCTION("""COMPUTED_VALUE"""),45871.0)</f>
        <v>45871</v>
      </c>
      <c r="F896" s="1429">
        <f>IFERROR(__xludf.DUMMYFUNCTION("""COMPUTED_VALUE"""),45877.0)</f>
        <v>45877</v>
      </c>
      <c r="G896" s="1430">
        <f>IFERROR(__xludf.DUMMYFUNCTION("""COMPUTED_VALUE"""),6.0)</f>
        <v>6</v>
      </c>
      <c r="H896" s="94">
        <f t="shared" si="1"/>
        <v>8</v>
      </c>
    </row>
    <row r="897" ht="15.75" customHeight="1">
      <c r="A897" s="94" t="str">
        <f>IFERROR(__xludf.DUMMYFUNCTION("""COMPUTED_VALUE"""),"WS В 212")</f>
        <v>WS В 212</v>
      </c>
      <c r="B897" s="94"/>
      <c r="C897" s="94"/>
      <c r="D897" s="94"/>
      <c r="E897" s="1429">
        <f>IFERROR(__xludf.DUMMYFUNCTION("""COMPUTED_VALUE"""),45871.0)</f>
        <v>45871</v>
      </c>
      <c r="F897" s="1429">
        <f>IFERROR(__xludf.DUMMYFUNCTION("""COMPUTED_VALUE"""),45873.0)</f>
        <v>45873</v>
      </c>
      <c r="G897" s="1430">
        <f>IFERROR(__xludf.DUMMYFUNCTION("""COMPUTED_VALUE"""),2.0)</f>
        <v>2</v>
      </c>
      <c r="H897" s="94">
        <f t="shared" si="1"/>
        <v>8</v>
      </c>
    </row>
    <row r="898" ht="15.75" customHeight="1">
      <c r="A898" s="94" t="str">
        <f>IFERROR(__xludf.DUMMYFUNCTION("""COMPUTED_VALUE"""),"WS A907")</f>
        <v>WS A907</v>
      </c>
      <c r="B898" s="94"/>
      <c r="C898" s="94"/>
      <c r="D898" s="94"/>
      <c r="E898" s="1429">
        <f>IFERROR(__xludf.DUMMYFUNCTION("""COMPUTED_VALUE"""),45871.0)</f>
        <v>45871</v>
      </c>
      <c r="F898" s="1429">
        <f>IFERROR(__xludf.DUMMYFUNCTION("""COMPUTED_VALUE"""),45873.0)</f>
        <v>45873</v>
      </c>
      <c r="G898" s="1430">
        <f>IFERROR(__xludf.DUMMYFUNCTION("""COMPUTED_VALUE"""),2.0)</f>
        <v>2</v>
      </c>
      <c r="H898" s="94">
        <f t="shared" si="1"/>
        <v>8</v>
      </c>
    </row>
    <row r="899" ht="15.75" customHeight="1">
      <c r="A899" s="94" t="str">
        <f>IFERROR(__xludf.DUMMYFUNCTION("""COMPUTED_VALUE"""),"MZ 718")</f>
        <v>MZ 718</v>
      </c>
      <c r="B899" s="94"/>
      <c r="C899" s="94"/>
      <c r="D899" s="94"/>
      <c r="E899" s="1429">
        <f>IFERROR(__xludf.DUMMYFUNCTION("""COMPUTED_VALUE"""),45871.0)</f>
        <v>45871</v>
      </c>
      <c r="F899" s="1429">
        <f>IFERROR(__xludf.DUMMYFUNCTION("""COMPUTED_VALUE"""),45875.0)</f>
        <v>45875</v>
      </c>
      <c r="G899" s="1430">
        <f>IFERROR(__xludf.DUMMYFUNCTION("""COMPUTED_VALUE"""),4.0)</f>
        <v>4</v>
      </c>
      <c r="H899" s="94">
        <f t="shared" si="1"/>
        <v>8</v>
      </c>
    </row>
    <row r="900" ht="15.75" customHeight="1">
      <c r="A900" s="94" t="str">
        <f>IFERROR(__xludf.DUMMYFUNCTION("""COMPUTED_VALUE"""),"Int 2612")</f>
        <v>Int 2612</v>
      </c>
      <c r="B900" s="94"/>
      <c r="C900" s="94"/>
      <c r="D900" s="94"/>
      <c r="E900" s="1429">
        <f>IFERROR(__xludf.DUMMYFUNCTION("""COMPUTED_VALUE"""),45872.0)</f>
        <v>45872</v>
      </c>
      <c r="F900" s="1429">
        <f>IFERROR(__xludf.DUMMYFUNCTION("""COMPUTED_VALUE"""),45878.0)</f>
        <v>45878</v>
      </c>
      <c r="G900" s="1430">
        <f>IFERROR(__xludf.DUMMYFUNCTION("""COMPUTED_VALUE"""),6.0)</f>
        <v>6</v>
      </c>
      <c r="H900" s="94">
        <f t="shared" si="1"/>
        <v>8</v>
      </c>
    </row>
    <row r="901" ht="15.75" customHeight="1">
      <c r="A901" s="94" t="str">
        <f>IFERROR(__xludf.DUMMYFUNCTION("""COMPUTED_VALUE"""),"MZ 1416")</f>
        <v>MZ 1416</v>
      </c>
      <c r="B901" s="94"/>
      <c r="C901" s="94"/>
      <c r="D901" s="94"/>
      <c r="E901" s="1429">
        <f>IFERROR(__xludf.DUMMYFUNCTION("""COMPUTED_VALUE"""),45872.0)</f>
        <v>45872</v>
      </c>
      <c r="F901" s="1429">
        <f>IFERROR(__xludf.DUMMYFUNCTION("""COMPUTED_VALUE"""),45882.0)</f>
        <v>45882</v>
      </c>
      <c r="G901" s="1430">
        <f>IFERROR(__xludf.DUMMYFUNCTION("""COMPUTED_VALUE"""),10.0)</f>
        <v>10</v>
      </c>
      <c r="H901" s="94">
        <f t="shared" si="1"/>
        <v>8</v>
      </c>
    </row>
    <row r="902" ht="15.75" customHeight="1">
      <c r="A902" s="94" t="str">
        <f>IFERROR(__xludf.DUMMYFUNCTION("""COMPUTED_VALUE"""),"CM 1604")</f>
        <v>CM 1604</v>
      </c>
      <c r="B902" s="94"/>
      <c r="C902" s="94"/>
      <c r="D902" s="94"/>
      <c r="E902" s="1429">
        <f>IFERROR(__xludf.DUMMYFUNCTION("""COMPUTED_VALUE"""),45872.0)</f>
        <v>45872</v>
      </c>
      <c r="F902" s="1429">
        <f>IFERROR(__xludf.DUMMYFUNCTION("""COMPUTED_VALUE"""),45877.0)</f>
        <v>45877</v>
      </c>
      <c r="G902" s="1430">
        <f>IFERROR(__xludf.DUMMYFUNCTION("""COMPUTED_VALUE"""),5.0)</f>
        <v>5</v>
      </c>
      <c r="H902" s="94">
        <f t="shared" si="1"/>
        <v>8</v>
      </c>
    </row>
    <row r="903" ht="15.75" customHeight="1">
      <c r="A903" s="94" t="str">
        <f>IFERROR(__xludf.DUMMYFUNCTION("""COMPUTED_VALUE"""),"TGA4")</f>
        <v>TGA4</v>
      </c>
      <c r="B903" s="94"/>
      <c r="C903" s="94"/>
      <c r="D903" s="94"/>
      <c r="E903" s="1429">
        <f>IFERROR(__xludf.DUMMYFUNCTION("""COMPUTED_VALUE"""),45872.0)</f>
        <v>45872</v>
      </c>
      <c r="F903" s="1434">
        <f>IFERROR(__xludf.DUMMYFUNCTION("""COMPUTED_VALUE"""),45875.0)</f>
        <v>45875</v>
      </c>
      <c r="G903" s="1430">
        <f>IFERROR(__xludf.DUMMYFUNCTION("""COMPUTED_VALUE"""),3.0)</f>
        <v>3</v>
      </c>
      <c r="H903" s="94">
        <f t="shared" si="1"/>
        <v>8</v>
      </c>
    </row>
    <row r="904" ht="15.75" customHeight="1">
      <c r="A904" s="94" t="str">
        <f>IFERROR(__xludf.DUMMYFUNCTION("""COMPUTED_VALUE"""),"TGB1")</f>
        <v>TGB1</v>
      </c>
      <c r="B904" s="94"/>
      <c r="C904" s="94"/>
      <c r="D904" s="94"/>
      <c r="E904" s="1429">
        <f>IFERROR(__xludf.DUMMYFUNCTION("""COMPUTED_VALUE"""),45872.0)</f>
        <v>45872</v>
      </c>
      <c r="F904" s="1434">
        <f>IFERROR(__xludf.DUMMYFUNCTION("""COMPUTED_VALUE"""),45873.0)</f>
        <v>45873</v>
      </c>
      <c r="G904" s="1430">
        <f>IFERROR(__xludf.DUMMYFUNCTION("""COMPUTED_VALUE"""),1.0)</f>
        <v>1</v>
      </c>
      <c r="H904" s="94">
        <f t="shared" si="1"/>
        <v>8</v>
      </c>
    </row>
    <row r="905" ht="15.75" customHeight="1">
      <c r="A905" s="94" t="str">
        <f>IFERROR(__xludf.DUMMYFUNCTION("""COMPUTED_VALUE"""),"TGB11")</f>
        <v>TGB11</v>
      </c>
      <c r="B905" s="94"/>
      <c r="C905" s="94"/>
      <c r="D905" s="94"/>
      <c r="E905" s="1429">
        <f>IFERROR(__xludf.DUMMYFUNCTION("""COMPUTED_VALUE"""),45872.0)</f>
        <v>45872</v>
      </c>
      <c r="F905" s="1429">
        <f>IFERROR(__xludf.DUMMYFUNCTION("""COMPUTED_VALUE"""),45876.0)</f>
        <v>45876</v>
      </c>
      <c r="G905" s="1430">
        <f>IFERROR(__xludf.DUMMYFUNCTION("""COMPUTED_VALUE"""),4.0)</f>
        <v>4</v>
      </c>
      <c r="H905" s="94">
        <f t="shared" si="1"/>
        <v>8</v>
      </c>
    </row>
    <row r="906" ht="15.75" customHeight="1">
      <c r="A906" s="94" t="str">
        <f>IFERROR(__xludf.DUMMYFUNCTION("""COMPUTED_VALUE"""),"TGB9")</f>
        <v>TGB9</v>
      </c>
      <c r="B906" s="94"/>
      <c r="C906" s="94"/>
      <c r="D906" s="94"/>
      <c r="E906" s="1429">
        <f>IFERROR(__xludf.DUMMYFUNCTION("""COMPUTED_VALUE"""),45872.0)</f>
        <v>45872</v>
      </c>
      <c r="F906" s="1429">
        <f>IFERROR(__xludf.DUMMYFUNCTION("""COMPUTED_VALUE"""),45879.0)</f>
        <v>45879</v>
      </c>
      <c r="G906" s="1430">
        <f>IFERROR(__xludf.DUMMYFUNCTION("""COMPUTED_VALUE"""),7.0)</f>
        <v>7</v>
      </c>
      <c r="H906" s="94">
        <f t="shared" si="1"/>
        <v>8</v>
      </c>
    </row>
    <row r="907" ht="15.75" customHeight="1">
      <c r="A907" s="94" t="str">
        <f>IFERROR(__xludf.DUMMYFUNCTION("""COMPUTED_VALUE"""),"WS F 907")</f>
        <v>WS F 907</v>
      </c>
      <c r="B907" s="94"/>
      <c r="C907" s="94"/>
      <c r="D907" s="94"/>
      <c r="E907" s="1429">
        <f>IFERROR(__xludf.DUMMYFUNCTION("""COMPUTED_VALUE"""),45872.0)</f>
        <v>45872</v>
      </c>
      <c r="F907" s="1429">
        <f>IFERROR(__xludf.DUMMYFUNCTION("""COMPUTED_VALUE"""),45875.0)</f>
        <v>45875</v>
      </c>
      <c r="G907" s="1430">
        <f>IFERROR(__xludf.DUMMYFUNCTION("""COMPUTED_VALUE"""),3.0)</f>
        <v>3</v>
      </c>
      <c r="H907" s="94">
        <f t="shared" si="1"/>
        <v>8</v>
      </c>
    </row>
    <row r="908" ht="15.75" customHeight="1">
      <c r="A908" s="94" t="str">
        <f>IFERROR(__xludf.DUMMYFUNCTION("""COMPUTED_VALUE"""),"Steps 1108")</f>
        <v>Steps 1108</v>
      </c>
      <c r="B908" s="94"/>
      <c r="C908" s="94"/>
      <c r="D908" s="94"/>
      <c r="E908" s="1429">
        <f>IFERROR(__xludf.DUMMYFUNCTION("""COMPUTED_VALUE"""),45872.0)</f>
        <v>45872</v>
      </c>
      <c r="F908" s="1429">
        <f>IFERROR(__xludf.DUMMYFUNCTION("""COMPUTED_VALUE"""),45875.0)</f>
        <v>45875</v>
      </c>
      <c r="G908" s="1430">
        <f>IFERROR(__xludf.DUMMYFUNCTION("""COMPUTED_VALUE"""),3.0)</f>
        <v>3</v>
      </c>
      <c r="H908" s="94">
        <f t="shared" si="1"/>
        <v>8</v>
      </c>
    </row>
    <row r="909" ht="15.75" customHeight="1">
      <c r="A909" s="94" t="str">
        <f>IFERROR(__xludf.DUMMYFUNCTION("""COMPUTED_VALUE"""),"А 4049")</f>
        <v>А 4049</v>
      </c>
      <c r="B909" s="94"/>
      <c r="C909" s="94"/>
      <c r="D909" s="94"/>
      <c r="E909" s="1429">
        <f>IFERROR(__xludf.DUMMYFUNCTION("""COMPUTED_VALUE"""),45872.0)</f>
        <v>45872</v>
      </c>
      <c r="F909" s="1429">
        <f>IFERROR(__xludf.DUMMYFUNCTION("""COMPUTED_VALUE"""),45881.0)</f>
        <v>45881</v>
      </c>
      <c r="G909" s="1430">
        <f>IFERROR(__xludf.DUMMYFUNCTION("""COMPUTED_VALUE"""),9.0)</f>
        <v>9</v>
      </c>
      <c r="H909" s="94">
        <f t="shared" si="1"/>
        <v>8</v>
      </c>
    </row>
    <row r="910" ht="15.75" customHeight="1">
      <c r="A910" s="94" t="str">
        <f>IFERROR(__xludf.DUMMYFUNCTION("""COMPUTED_VALUE"""),"TGA10")</f>
        <v>TGA10</v>
      </c>
      <c r="B910" s="94"/>
      <c r="C910" s="94"/>
      <c r="D910" s="94"/>
      <c r="E910" s="1429">
        <f>IFERROR(__xludf.DUMMYFUNCTION("""COMPUTED_VALUE"""),45872.0)</f>
        <v>45872</v>
      </c>
      <c r="F910" s="1429">
        <f>IFERROR(__xludf.DUMMYFUNCTION("""COMPUTED_VALUE"""),45875.0)</f>
        <v>45875</v>
      </c>
      <c r="G910" s="1430">
        <f>IFERROR(__xludf.DUMMYFUNCTION("""COMPUTED_VALUE"""),3.0)</f>
        <v>3</v>
      </c>
      <c r="H910" s="94">
        <f t="shared" si="1"/>
        <v>8</v>
      </c>
    </row>
    <row r="911" ht="15.75" customHeight="1">
      <c r="A911" s="94" t="str">
        <f>IFERROR(__xludf.DUMMYFUNCTION("""COMPUTED_VALUE"""),"C 4245")</f>
        <v>C 4245</v>
      </c>
      <c r="B911" s="94"/>
      <c r="C911" s="94"/>
      <c r="D911" s="94"/>
      <c r="E911" s="1429">
        <f>IFERROR(__xludf.DUMMYFUNCTION("""COMPUTED_VALUE"""),45872.0)</f>
        <v>45872</v>
      </c>
      <c r="F911" s="1429">
        <f>IFERROR(__xludf.DUMMYFUNCTION("""COMPUTED_VALUE"""),45877.0)</f>
        <v>45877</v>
      </c>
      <c r="G911" s="1430">
        <f>IFERROR(__xludf.DUMMYFUNCTION("""COMPUTED_VALUE"""),5.0)</f>
        <v>5</v>
      </c>
      <c r="H911" s="94">
        <f t="shared" si="1"/>
        <v>8</v>
      </c>
    </row>
    <row r="912" ht="15.75" customHeight="1">
      <c r="A912" s="94" t="str">
        <f>IFERROR(__xludf.DUMMYFUNCTION("""COMPUTED_VALUE"""),"DL14-501-502")</f>
        <v>DL14-501-502</v>
      </c>
      <c r="B912" s="94"/>
      <c r="C912" s="94"/>
      <c r="D912" s="94"/>
      <c r="E912" s="1429">
        <f>IFERROR(__xludf.DUMMYFUNCTION("""COMPUTED_VALUE"""),45872.0)</f>
        <v>45872</v>
      </c>
      <c r="F912" s="1429">
        <f>IFERROR(__xludf.DUMMYFUNCTION("""COMPUTED_VALUE"""),45878.0)</f>
        <v>45878</v>
      </c>
      <c r="G912" s="1430">
        <f>IFERROR(__xludf.DUMMYFUNCTION("""COMPUTED_VALUE"""),6.0)</f>
        <v>6</v>
      </c>
      <c r="H912" s="94">
        <f t="shared" si="1"/>
        <v>8</v>
      </c>
    </row>
    <row r="913" ht="15.75" customHeight="1">
      <c r="A913" s="94" t="str">
        <f>IFERROR(__xludf.DUMMYFUNCTION("""COMPUTED_VALUE"""),"DL 13-206")</f>
        <v>DL 13-206</v>
      </c>
      <c r="B913" s="94"/>
      <c r="C913" s="94"/>
      <c r="D913" s="94"/>
      <c r="E913" s="1429">
        <f>IFERROR(__xludf.DUMMYFUNCTION("""COMPUTED_VALUE"""),45872.0)</f>
        <v>45872</v>
      </c>
      <c r="F913" s="1429">
        <f>IFERROR(__xludf.DUMMYFUNCTION("""COMPUTED_VALUE"""),45875.0)</f>
        <v>45875</v>
      </c>
      <c r="G913" s="1430">
        <f>IFERROR(__xludf.DUMMYFUNCTION("""COMPUTED_VALUE"""),3.0)</f>
        <v>3</v>
      </c>
      <c r="H913" s="94">
        <f t="shared" si="1"/>
        <v>8</v>
      </c>
    </row>
    <row r="914" ht="15.75" customHeight="1">
      <c r="A914" s="94" t="str">
        <f>IFERROR(__xludf.DUMMYFUNCTION("""COMPUTED_VALUE"""),"DL 13-709")</f>
        <v>DL 13-709</v>
      </c>
      <c r="B914" s="94"/>
      <c r="C914" s="94"/>
      <c r="D914" s="94"/>
      <c r="E914" s="1429">
        <f>IFERROR(__xludf.DUMMYFUNCTION("""COMPUTED_VALUE"""),45872.0)</f>
        <v>45872</v>
      </c>
      <c r="F914" s="1429">
        <f>IFERROR(__xludf.DUMMYFUNCTION("""COMPUTED_VALUE"""),45877.0)</f>
        <v>45877</v>
      </c>
      <c r="G914" s="1430">
        <f>IFERROR(__xludf.DUMMYFUNCTION("""COMPUTED_VALUE"""),5.0)</f>
        <v>5</v>
      </c>
      <c r="H914" s="94">
        <f t="shared" si="1"/>
        <v>8</v>
      </c>
    </row>
    <row r="915" ht="15.75" customHeight="1">
      <c r="A915" s="94" t="str">
        <f>IFERROR(__xludf.DUMMYFUNCTION("""COMPUTED_VALUE"""),"DL 14-505")</f>
        <v>DL 14-505</v>
      </c>
      <c r="B915" s="94"/>
      <c r="C915" s="94"/>
      <c r="D915" s="94"/>
      <c r="E915" s="1429">
        <f>IFERROR(__xludf.DUMMYFUNCTION("""COMPUTED_VALUE"""),45872.0)</f>
        <v>45872</v>
      </c>
      <c r="F915" s="1429">
        <f>IFERROR(__xludf.DUMMYFUNCTION("""COMPUTED_VALUE"""),45880.0)</f>
        <v>45880</v>
      </c>
      <c r="G915" s="1430">
        <f>IFERROR(__xludf.DUMMYFUNCTION("""COMPUTED_VALUE"""),8.0)</f>
        <v>8</v>
      </c>
      <c r="H915" s="94">
        <f t="shared" si="1"/>
        <v>8</v>
      </c>
    </row>
    <row r="916" ht="15.75" customHeight="1">
      <c r="A916" s="94" t="str">
        <f>IFERROR(__xludf.DUMMYFUNCTION("""COMPUTED_VALUE"""),"DL 11-1112")</f>
        <v>DL 11-1112</v>
      </c>
      <c r="B916" s="94"/>
      <c r="C916" s="94"/>
      <c r="D916" s="94"/>
      <c r="E916" s="1429">
        <f>IFERROR(__xludf.DUMMYFUNCTION("""COMPUTED_VALUE"""),45872.0)</f>
        <v>45872</v>
      </c>
      <c r="F916" s="1429">
        <f>IFERROR(__xludf.DUMMYFUNCTION("""COMPUTED_VALUE"""),45880.0)</f>
        <v>45880</v>
      </c>
      <c r="G916" s="1430">
        <f>IFERROR(__xludf.DUMMYFUNCTION("""COMPUTED_VALUE"""),8.0)</f>
        <v>8</v>
      </c>
      <c r="H916" s="94">
        <f t="shared" si="1"/>
        <v>8</v>
      </c>
    </row>
    <row r="917" ht="15.75" customHeight="1">
      <c r="A917" s="94" t="str">
        <f>IFERROR(__xludf.DUMMYFUNCTION("""COMPUTED_VALUE"""),"DL 14-1214")</f>
        <v>DL 14-1214</v>
      </c>
      <c r="B917" s="94"/>
      <c r="C917" s="94"/>
      <c r="D917" s="94"/>
      <c r="E917" s="1429">
        <f>IFERROR(__xludf.DUMMYFUNCTION("""COMPUTED_VALUE"""),45872.0)</f>
        <v>45872</v>
      </c>
      <c r="F917" s="1429">
        <f>IFERROR(__xludf.DUMMYFUNCTION("""COMPUTED_VALUE"""),45876.0)</f>
        <v>45876</v>
      </c>
      <c r="G917" s="1430">
        <f>IFERROR(__xludf.DUMMYFUNCTION("""COMPUTED_VALUE"""),4.0)</f>
        <v>4</v>
      </c>
      <c r="H917" s="94">
        <f t="shared" si="1"/>
        <v>8</v>
      </c>
    </row>
    <row r="918" ht="15.75" customHeight="1">
      <c r="A918" s="94" t="str">
        <f>IFERROR(__xludf.DUMMYFUNCTION("""COMPUTED_VALUE"""),"DL14-1907")</f>
        <v>DL14-1907</v>
      </c>
      <c r="B918" s="94"/>
      <c r="C918" s="94"/>
      <c r="D918" s="94"/>
      <c r="E918" s="1429">
        <f>IFERROR(__xludf.DUMMYFUNCTION("""COMPUTED_VALUE"""),45872.0)</f>
        <v>45872</v>
      </c>
      <c r="F918" s="1429">
        <f>IFERROR(__xludf.DUMMYFUNCTION("""COMPUTED_VALUE"""),45876.0)</f>
        <v>45876</v>
      </c>
      <c r="G918" s="1430">
        <f>IFERROR(__xludf.DUMMYFUNCTION("""COMPUTED_VALUE"""),4.0)</f>
        <v>4</v>
      </c>
      <c r="H918" s="94">
        <f t="shared" si="1"/>
        <v>8</v>
      </c>
    </row>
    <row r="919" ht="15.75" customHeight="1">
      <c r="A919" s="94" t="str">
        <f>IFERROR(__xludf.DUMMYFUNCTION("""COMPUTED_VALUE"""),"D2 503")</f>
        <v>D2 503</v>
      </c>
      <c r="B919" s="94"/>
      <c r="C919" s="94"/>
      <c r="D919" s="94"/>
      <c r="E919" s="1429">
        <f>IFERROR(__xludf.DUMMYFUNCTION("""COMPUTED_VALUE"""),45873.0)</f>
        <v>45873</v>
      </c>
      <c r="F919" s="1429">
        <f>IFERROR(__xludf.DUMMYFUNCTION("""COMPUTED_VALUE"""),45887.0)</f>
        <v>45887</v>
      </c>
      <c r="G919" s="1430">
        <f>IFERROR(__xludf.DUMMYFUNCTION("""COMPUTED_VALUE"""),14.0)</f>
        <v>14</v>
      </c>
      <c r="H919" s="94">
        <f t="shared" si="1"/>
        <v>8</v>
      </c>
    </row>
    <row r="920" ht="15.75" customHeight="1">
      <c r="A920" s="94" t="str">
        <f>IFERROR(__xludf.DUMMYFUNCTION("""COMPUTED_VALUE"""),"WS В 212")</f>
        <v>WS В 212</v>
      </c>
      <c r="B920" s="94"/>
      <c r="C920" s="94"/>
      <c r="D920" s="94"/>
      <c r="E920" s="1429">
        <f>IFERROR(__xludf.DUMMYFUNCTION("""COMPUTED_VALUE"""),45873.0)</f>
        <v>45873</v>
      </c>
      <c r="F920" s="94"/>
      <c r="G920" s="94"/>
      <c r="H920" s="94">
        <f t="shared" si="1"/>
        <v>8</v>
      </c>
    </row>
    <row r="921" ht="15.75" customHeight="1">
      <c r="A921" s="94" t="str">
        <f>IFERROR(__xludf.DUMMYFUNCTION("""COMPUTED_VALUE"""),"Steps1123")</f>
        <v>Steps1123</v>
      </c>
      <c r="B921" s="94"/>
      <c r="C921" s="94"/>
      <c r="D921" s="94"/>
      <c r="E921" s="1429">
        <f>IFERROR(__xludf.DUMMYFUNCTION("""COMPUTED_VALUE"""),45873.0)</f>
        <v>45873</v>
      </c>
      <c r="F921" s="1429">
        <f>IFERROR(__xludf.DUMMYFUNCTION("""COMPUTED_VALUE"""),45904.0)</f>
        <v>45904</v>
      </c>
      <c r="G921" s="1430">
        <f>IFERROR(__xludf.DUMMYFUNCTION("""COMPUTED_VALUE"""),31.0)</f>
        <v>31</v>
      </c>
      <c r="H921" s="94">
        <f t="shared" si="1"/>
        <v>8</v>
      </c>
    </row>
    <row r="922" ht="15.75" customHeight="1">
      <c r="A922" s="94" t="str">
        <f>IFERROR(__xludf.DUMMYFUNCTION("""COMPUTED_VALUE"""),"D2 3216")</f>
        <v>D2 3216</v>
      </c>
      <c r="B922" s="94"/>
      <c r="C922" s="94"/>
      <c r="D922" s="94"/>
      <c r="E922" s="1429">
        <f>IFERROR(__xludf.DUMMYFUNCTION("""COMPUTED_VALUE"""),45873.0)</f>
        <v>45873</v>
      </c>
      <c r="F922" s="1429">
        <f>IFERROR(__xludf.DUMMYFUNCTION("""COMPUTED_VALUE"""),45879.0)</f>
        <v>45879</v>
      </c>
      <c r="G922" s="1430">
        <f>IFERROR(__xludf.DUMMYFUNCTION("""COMPUTED_VALUE"""),6.0)</f>
        <v>6</v>
      </c>
      <c r="H922" s="94">
        <f t="shared" si="1"/>
        <v>8</v>
      </c>
    </row>
    <row r="923" ht="15.75" customHeight="1">
      <c r="A923" s="94" t="str">
        <f>IFERROR(__xludf.DUMMYFUNCTION("""COMPUTED_VALUE"""),"Int 2905")</f>
        <v>Int 2905</v>
      </c>
      <c r="B923" s="94"/>
      <c r="C923" s="94"/>
      <c r="D923" s="94"/>
      <c r="E923" s="1429">
        <f>IFERROR(__xludf.DUMMYFUNCTION("""COMPUTED_VALUE"""),45873.0)</f>
        <v>45873</v>
      </c>
      <c r="F923" s="1429">
        <f>IFERROR(__xludf.DUMMYFUNCTION("""COMPUTED_VALUE"""),45876.0)</f>
        <v>45876</v>
      </c>
      <c r="G923" s="1430">
        <f>IFERROR(__xludf.DUMMYFUNCTION("""COMPUTED_VALUE"""),3.0)</f>
        <v>3</v>
      </c>
      <c r="H923" s="94">
        <f t="shared" si="1"/>
        <v>8</v>
      </c>
    </row>
    <row r="924" ht="15.75" customHeight="1">
      <c r="A924" s="94" t="str">
        <f>IFERROR(__xludf.DUMMYFUNCTION("""COMPUTED_VALUE"""),"WS В 212")</f>
        <v>WS В 212</v>
      </c>
      <c r="B924" s="94"/>
      <c r="C924" s="94"/>
      <c r="D924" s="94"/>
      <c r="E924" s="1429">
        <f>IFERROR(__xludf.DUMMYFUNCTION("""COMPUTED_VALUE"""),45873.0)</f>
        <v>45873</v>
      </c>
      <c r="F924" s="1429">
        <f>IFERROR(__xludf.DUMMYFUNCTION("""COMPUTED_VALUE"""),45881.0)</f>
        <v>45881</v>
      </c>
      <c r="G924" s="1430">
        <f>IFERROR(__xludf.DUMMYFUNCTION("""COMPUTED_VALUE"""),8.0)</f>
        <v>8</v>
      </c>
      <c r="H924" s="94">
        <f t="shared" si="1"/>
        <v>8</v>
      </c>
    </row>
    <row r="925" ht="15.75" customHeight="1">
      <c r="A925" s="94" t="str">
        <f>IFERROR(__xludf.DUMMYFUNCTION("""COMPUTED_VALUE"""),"TGA2")</f>
        <v>TGA2</v>
      </c>
      <c r="B925" s="94"/>
      <c r="C925" s="94"/>
      <c r="D925" s="94"/>
      <c r="E925" s="1429">
        <f>IFERROR(__xludf.DUMMYFUNCTION("""COMPUTED_VALUE"""),45873.0)</f>
        <v>45873</v>
      </c>
      <c r="F925" s="1429">
        <f>IFERROR(__xludf.DUMMYFUNCTION("""COMPUTED_VALUE"""),45878.0)</f>
        <v>45878</v>
      </c>
      <c r="G925" s="1430">
        <f>IFERROR(__xludf.DUMMYFUNCTION("""COMPUTED_VALUE"""),5.0)</f>
        <v>5</v>
      </c>
      <c r="H925" s="94">
        <f t="shared" si="1"/>
        <v>8</v>
      </c>
    </row>
    <row r="926" ht="15.75" customHeight="1">
      <c r="A926" s="94" t="str">
        <f>IFERROR(__xludf.DUMMYFUNCTION("""COMPUTED_VALUE"""),"TGB6")</f>
        <v>TGB6</v>
      </c>
      <c r="B926" s="94"/>
      <c r="C926" s="94"/>
      <c r="D926" s="94"/>
      <c r="E926" s="1429">
        <f>IFERROR(__xludf.DUMMYFUNCTION("""COMPUTED_VALUE"""),45873.0)</f>
        <v>45873</v>
      </c>
      <c r="F926" s="1429">
        <f>IFERROR(__xludf.DUMMYFUNCTION("""COMPUTED_VALUE"""),45878.0)</f>
        <v>45878</v>
      </c>
      <c r="G926" s="1430">
        <f>IFERROR(__xludf.DUMMYFUNCTION("""COMPUTED_VALUE"""),5.0)</f>
        <v>5</v>
      </c>
      <c r="H926" s="94">
        <f t="shared" si="1"/>
        <v>8</v>
      </c>
    </row>
    <row r="927" ht="15.75" customHeight="1">
      <c r="A927" s="94" t="str">
        <f>IFERROR(__xludf.DUMMYFUNCTION("""COMPUTED_VALUE"""),"TGB1")</f>
        <v>TGB1</v>
      </c>
      <c r="B927" s="94"/>
      <c r="C927" s="94"/>
      <c r="D927" s="94"/>
      <c r="E927" s="1429">
        <f>IFERROR(__xludf.DUMMYFUNCTION("""COMPUTED_VALUE"""),45873.0)</f>
        <v>45873</v>
      </c>
      <c r="F927" s="1429">
        <f>IFERROR(__xludf.DUMMYFUNCTION("""COMPUTED_VALUE"""),45877.0)</f>
        <v>45877</v>
      </c>
      <c r="G927" s="1430">
        <f>IFERROR(__xludf.DUMMYFUNCTION("""COMPUTED_VALUE"""),4.0)</f>
        <v>4</v>
      </c>
      <c r="H927" s="94">
        <f t="shared" si="1"/>
        <v>8</v>
      </c>
    </row>
    <row r="928" ht="15.75" customHeight="1">
      <c r="A928" s="94" t="str">
        <f>IFERROR(__xludf.DUMMYFUNCTION("""COMPUTED_VALUE"""),"TGB2")</f>
        <v>TGB2</v>
      </c>
      <c r="B928" s="94"/>
      <c r="C928" s="94"/>
      <c r="D928" s="94"/>
      <c r="E928" s="1429">
        <f>IFERROR(__xludf.DUMMYFUNCTION("""COMPUTED_VALUE"""),45873.0)</f>
        <v>45873</v>
      </c>
      <c r="F928" s="1429">
        <f>IFERROR(__xludf.DUMMYFUNCTION("""COMPUTED_VALUE"""),45882.0)</f>
        <v>45882</v>
      </c>
      <c r="G928" s="1430">
        <f>IFERROR(__xludf.DUMMYFUNCTION("""COMPUTED_VALUE"""),9.0)</f>
        <v>9</v>
      </c>
      <c r="H928" s="94">
        <f t="shared" si="1"/>
        <v>8</v>
      </c>
    </row>
    <row r="929" ht="15.75" customHeight="1">
      <c r="A929" s="94" t="str">
        <f>IFERROR(__xludf.DUMMYFUNCTION("""COMPUTED_VALUE"""),"NW 4-10")</f>
        <v>NW 4-10</v>
      </c>
      <c r="B929" s="94"/>
      <c r="C929" s="94"/>
      <c r="D929" s="94"/>
      <c r="E929" s="1429">
        <f>IFERROR(__xludf.DUMMYFUNCTION("""COMPUTED_VALUE"""),45873.0)</f>
        <v>45873</v>
      </c>
      <c r="F929" s="1429">
        <f>IFERROR(__xludf.DUMMYFUNCTION("""COMPUTED_VALUE"""),45877.0)</f>
        <v>45877</v>
      </c>
      <c r="G929" s="1430">
        <f>IFERROR(__xludf.DUMMYFUNCTION("""COMPUTED_VALUE"""),4.0)</f>
        <v>4</v>
      </c>
      <c r="H929" s="94">
        <f t="shared" si="1"/>
        <v>8</v>
      </c>
    </row>
    <row r="930" ht="15.75" customHeight="1">
      <c r="A930" s="94" t="str">
        <f>IFERROR(__xludf.DUMMYFUNCTION("""COMPUTED_VALUE"""),"Вилла Ева")</f>
        <v>Вилла Ева</v>
      </c>
      <c r="B930" s="94"/>
      <c r="C930" s="94"/>
      <c r="D930" s="94"/>
      <c r="E930" s="1429">
        <f>IFERROR(__xludf.DUMMYFUNCTION("""COMPUTED_VALUE"""),45873.0)</f>
        <v>45873</v>
      </c>
      <c r="F930" s="1429">
        <f>IFERROR(__xludf.DUMMYFUNCTION("""COMPUTED_VALUE"""),45879.0)</f>
        <v>45879</v>
      </c>
      <c r="G930" s="1430">
        <f>IFERROR(__xludf.DUMMYFUNCTION("""COMPUTED_VALUE"""),6.0)</f>
        <v>6</v>
      </c>
      <c r="H930" s="94">
        <f t="shared" si="1"/>
        <v>8</v>
      </c>
    </row>
    <row r="931" ht="15.75" customHeight="1">
      <c r="A931" s="94" t="str">
        <f>IFERROR(__xludf.DUMMYFUNCTION("""COMPUTED_VALUE"""),"DL 14-506")</f>
        <v>DL 14-506</v>
      </c>
      <c r="B931" s="94"/>
      <c r="C931" s="94"/>
      <c r="D931" s="94"/>
      <c r="E931" s="1429">
        <f>IFERROR(__xludf.DUMMYFUNCTION("""COMPUTED_VALUE"""),45873.0)</f>
        <v>45873</v>
      </c>
      <c r="F931" s="94"/>
      <c r="G931" s="94"/>
      <c r="H931" s="94">
        <f t="shared" si="1"/>
        <v>8</v>
      </c>
    </row>
    <row r="932" ht="15.75" customHeight="1">
      <c r="A932" s="94" t="str">
        <f>IFERROR(__xludf.DUMMYFUNCTION("""COMPUTED_VALUE"""),"DL 11-1305")</f>
        <v>DL 11-1305</v>
      </c>
      <c r="B932" s="94"/>
      <c r="C932" s="94"/>
      <c r="D932" s="94"/>
      <c r="E932" s="1429">
        <f>IFERROR(__xludf.DUMMYFUNCTION("""COMPUTED_VALUE"""),45873.0)</f>
        <v>45873</v>
      </c>
      <c r="F932" s="1429">
        <f>IFERROR(__xludf.DUMMYFUNCTION("""COMPUTED_VALUE"""),45879.0)</f>
        <v>45879</v>
      </c>
      <c r="G932" s="1430">
        <f>IFERROR(__xludf.DUMMYFUNCTION("""COMPUTED_VALUE"""),6.0)</f>
        <v>6</v>
      </c>
      <c r="H932" s="94">
        <f t="shared" si="1"/>
        <v>8</v>
      </c>
    </row>
    <row r="933" ht="15.75" customHeight="1">
      <c r="A933" s="94" t="str">
        <f>IFERROR(__xludf.DUMMYFUNCTION("""COMPUTED_VALUE"""),"PT2604")</f>
        <v>PT2604</v>
      </c>
      <c r="B933" s="94"/>
      <c r="C933" s="94"/>
      <c r="D933" s="94"/>
      <c r="E933" s="1429">
        <f>IFERROR(__xludf.DUMMYFUNCTION("""COMPUTED_VALUE"""),45873.0)</f>
        <v>45873</v>
      </c>
      <c r="F933" s="1429">
        <f>IFERROR(__xludf.DUMMYFUNCTION("""COMPUTED_VALUE"""),45876.0)</f>
        <v>45876</v>
      </c>
      <c r="G933" s="1430">
        <f>IFERROR(__xludf.DUMMYFUNCTION("""COMPUTED_VALUE"""),3.0)</f>
        <v>3</v>
      </c>
      <c r="H933" s="94">
        <f t="shared" si="1"/>
        <v>8</v>
      </c>
    </row>
    <row r="934" ht="15.75" customHeight="1">
      <c r="A934" s="94" t="str">
        <f>IFERROR(__xludf.DUMMYFUNCTION("""COMPUTED_VALUE"""),"CM 1931")</f>
        <v>CM 1931</v>
      </c>
      <c r="B934" s="94"/>
      <c r="C934" s="94"/>
      <c r="D934" s="94"/>
      <c r="E934" s="1429">
        <f>IFERROR(__xludf.DUMMYFUNCTION("""COMPUTED_VALUE"""),45874.0)</f>
        <v>45874</v>
      </c>
      <c r="F934" s="1429">
        <f>IFERROR(__xludf.DUMMYFUNCTION("""COMPUTED_VALUE"""),45875.0)</f>
        <v>45875</v>
      </c>
      <c r="G934" s="1430">
        <f>IFERROR(__xludf.DUMMYFUNCTION("""COMPUTED_VALUE"""),1.0)</f>
        <v>1</v>
      </c>
      <c r="H934" s="94">
        <f t="shared" si="1"/>
        <v>8</v>
      </c>
    </row>
    <row r="935" ht="15.75" customHeight="1">
      <c r="A935" s="94" t="str">
        <f>IFERROR(__xludf.DUMMYFUNCTION("""COMPUTED_VALUE"""),"CM 1606")</f>
        <v>CM 1606</v>
      </c>
      <c r="B935" s="94"/>
      <c r="C935" s="94"/>
      <c r="D935" s="94"/>
      <c r="E935" s="1429">
        <f>IFERROR(__xludf.DUMMYFUNCTION("""COMPUTED_VALUE"""),45874.0)</f>
        <v>45874</v>
      </c>
      <c r="F935" s="1429">
        <f>IFERROR(__xludf.DUMMYFUNCTION("""COMPUTED_VALUE"""),45877.0)</f>
        <v>45877</v>
      </c>
      <c r="G935" s="1430">
        <f>IFERROR(__xludf.DUMMYFUNCTION("""COMPUTED_VALUE"""),3.0)</f>
        <v>3</v>
      </c>
      <c r="H935" s="94">
        <f t="shared" si="1"/>
        <v>8</v>
      </c>
    </row>
    <row r="936" ht="15.75" customHeight="1">
      <c r="A936" s="94" t="str">
        <f>IFERROR(__xludf.DUMMYFUNCTION("""COMPUTED_VALUE"""),"WS A907")</f>
        <v>WS A907</v>
      </c>
      <c r="B936" s="94"/>
      <c r="C936" s="94"/>
      <c r="D936" s="94"/>
      <c r="E936" s="1429">
        <f>IFERROR(__xludf.DUMMYFUNCTION("""COMPUTED_VALUE"""),45874.0)</f>
        <v>45874</v>
      </c>
      <c r="F936" s="1429">
        <f>IFERROR(__xludf.DUMMYFUNCTION("""COMPUTED_VALUE"""),45879.0)</f>
        <v>45879</v>
      </c>
      <c r="G936" s="1430">
        <f>IFERROR(__xludf.DUMMYFUNCTION("""COMPUTED_VALUE"""),5.0)</f>
        <v>5</v>
      </c>
      <c r="H936" s="94">
        <f t="shared" si="1"/>
        <v>8</v>
      </c>
    </row>
    <row r="937" ht="15.75" customHeight="1">
      <c r="A937" s="94" t="str">
        <f>IFERROR(__xludf.DUMMYFUNCTION("""COMPUTED_VALUE"""),"NW 4-9")</f>
        <v>NW 4-9</v>
      </c>
      <c r="B937" s="94"/>
      <c r="C937" s="94"/>
      <c r="D937" s="94"/>
      <c r="E937" s="1429">
        <f>IFERROR(__xludf.DUMMYFUNCTION("""COMPUTED_VALUE"""),45874.0)</f>
        <v>45874</v>
      </c>
      <c r="F937" s="1429">
        <f>IFERROR(__xludf.DUMMYFUNCTION("""COMPUTED_VALUE"""),45879.0)</f>
        <v>45879</v>
      </c>
      <c r="G937" s="1430">
        <f>IFERROR(__xludf.DUMMYFUNCTION("""COMPUTED_VALUE"""),5.0)</f>
        <v>5</v>
      </c>
      <c r="H937" s="94">
        <f t="shared" si="1"/>
        <v>8</v>
      </c>
    </row>
    <row r="938" ht="15.75" customHeight="1">
      <c r="A938" s="94" t="str">
        <f>IFERROR(__xludf.DUMMYFUNCTION("""COMPUTED_VALUE"""),"С 1443")</f>
        <v>С 1443</v>
      </c>
      <c r="B938" s="94"/>
      <c r="C938" s="94"/>
      <c r="D938" s="94"/>
      <c r="E938" s="1429">
        <f>IFERROR(__xludf.DUMMYFUNCTION("""COMPUTED_VALUE"""),45874.0)</f>
        <v>45874</v>
      </c>
      <c r="F938" s="1429">
        <f>IFERROR(__xludf.DUMMYFUNCTION("""COMPUTED_VALUE"""),45879.0)</f>
        <v>45879</v>
      </c>
      <c r="G938" s="1430">
        <f>IFERROR(__xludf.DUMMYFUNCTION("""COMPUTED_VALUE"""),5.0)</f>
        <v>5</v>
      </c>
      <c r="H938" s="94">
        <f t="shared" si="1"/>
        <v>8</v>
      </c>
    </row>
    <row r="939" ht="15.75" customHeight="1">
      <c r="A939" s="94" t="str">
        <f>IFERROR(__xludf.DUMMYFUNCTION("""COMPUTED_VALUE"""),"D2 1625")</f>
        <v>D2 1625</v>
      </c>
      <c r="B939" s="94"/>
      <c r="C939" s="94"/>
      <c r="D939" s="94"/>
      <c r="E939" s="1429">
        <f>IFERROR(__xludf.DUMMYFUNCTION("""COMPUTED_VALUE"""),45874.0)</f>
        <v>45874</v>
      </c>
      <c r="F939" s="1429">
        <f>IFERROR(__xludf.DUMMYFUNCTION("""COMPUTED_VALUE"""),45885.0)</f>
        <v>45885</v>
      </c>
      <c r="G939" s="1430">
        <f>IFERROR(__xludf.DUMMYFUNCTION("""COMPUTED_VALUE"""),11.0)</f>
        <v>11</v>
      </c>
      <c r="H939" s="94">
        <f t="shared" si="1"/>
        <v>8</v>
      </c>
    </row>
    <row r="940" ht="15.75" customHeight="1">
      <c r="A940" s="94" t="str">
        <f>IFERROR(__xludf.DUMMYFUNCTION("""COMPUTED_VALUE"""),"DL14-305")</f>
        <v>DL14-305</v>
      </c>
      <c r="B940" s="94"/>
      <c r="C940" s="94"/>
      <c r="D940" s="94"/>
      <c r="E940" s="1429">
        <f>IFERROR(__xludf.DUMMYFUNCTION("""COMPUTED_VALUE"""),45874.0)</f>
        <v>45874</v>
      </c>
      <c r="F940" s="1429">
        <f>IFERROR(__xludf.DUMMYFUNCTION("""COMPUTED_VALUE"""),45877.0)</f>
        <v>45877</v>
      </c>
      <c r="G940" s="1430">
        <f>IFERROR(__xludf.DUMMYFUNCTION("""COMPUTED_VALUE"""),3.0)</f>
        <v>3</v>
      </c>
      <c r="H940" s="94">
        <f t="shared" si="1"/>
        <v>8</v>
      </c>
    </row>
    <row r="941" ht="15.75" customHeight="1">
      <c r="A941" s="94" t="str">
        <f>IFERROR(__xludf.DUMMYFUNCTION("""COMPUTED_VALUE"""),"DL 14-1710")</f>
        <v>DL 14-1710</v>
      </c>
      <c r="B941" s="94"/>
      <c r="C941" s="94"/>
      <c r="D941" s="94"/>
      <c r="E941" s="1429">
        <f>IFERROR(__xludf.DUMMYFUNCTION("""COMPUTED_VALUE"""),45874.0)</f>
        <v>45874</v>
      </c>
      <c r="F941" s="1429">
        <f>IFERROR(__xludf.DUMMYFUNCTION("""COMPUTED_VALUE"""),45878.0)</f>
        <v>45878</v>
      </c>
      <c r="G941" s="1430">
        <f>IFERROR(__xludf.DUMMYFUNCTION("""COMPUTED_VALUE"""),4.0)</f>
        <v>4</v>
      </c>
      <c r="H941" s="94">
        <f t="shared" si="1"/>
        <v>8</v>
      </c>
    </row>
    <row r="942" ht="15.75" customHeight="1">
      <c r="A942" s="94" t="str">
        <f>IFERROR(__xludf.DUMMYFUNCTION("""COMPUTED_VALUE"""),"DL 14-516")</f>
        <v>DL 14-516</v>
      </c>
      <c r="B942" s="94"/>
      <c r="C942" s="94"/>
      <c r="D942" s="94"/>
      <c r="E942" s="1429">
        <f>IFERROR(__xludf.DUMMYFUNCTION("""COMPUTED_VALUE"""),45875.0)</f>
        <v>45875</v>
      </c>
      <c r="F942" s="1429">
        <f>IFERROR(__xludf.DUMMYFUNCTION("""COMPUTED_VALUE"""),45878.0)</f>
        <v>45878</v>
      </c>
      <c r="G942" s="1430">
        <f>IFERROR(__xludf.DUMMYFUNCTION("""COMPUTED_VALUE"""),3.0)</f>
        <v>3</v>
      </c>
      <c r="H942" s="94">
        <f t="shared" si="1"/>
        <v>8</v>
      </c>
    </row>
    <row r="943" ht="15.75" customHeight="1">
      <c r="A943" s="94" t="str">
        <f>IFERROR(__xludf.DUMMYFUNCTION("""COMPUTED_VALUE"""),"DL 13-206")</f>
        <v>DL 13-206</v>
      </c>
      <c r="B943" s="94"/>
      <c r="C943" s="94"/>
      <c r="D943" s="94"/>
      <c r="E943" s="1429">
        <f>IFERROR(__xludf.DUMMYFUNCTION("""COMPUTED_VALUE"""),45875.0)</f>
        <v>45875</v>
      </c>
      <c r="F943" s="1429">
        <f>IFERROR(__xludf.DUMMYFUNCTION("""COMPUTED_VALUE"""),45881.0)</f>
        <v>45881</v>
      </c>
      <c r="G943" s="1430">
        <f>IFERROR(__xludf.DUMMYFUNCTION("""COMPUTED_VALUE"""),6.0)</f>
        <v>6</v>
      </c>
      <c r="H943" s="94">
        <f t="shared" si="1"/>
        <v>8</v>
      </c>
    </row>
    <row r="944" ht="15.75" customHeight="1">
      <c r="A944" s="94" t="str">
        <f>IFERROR(__xludf.DUMMYFUNCTION("""COMPUTED_VALUE"""),"PT2704")</f>
        <v>PT2704</v>
      </c>
      <c r="B944" s="94"/>
      <c r="C944" s="94"/>
      <c r="D944" s="94"/>
      <c r="E944" s="1429">
        <f>IFERROR(__xludf.DUMMYFUNCTION("""COMPUTED_VALUE"""),45875.0)</f>
        <v>45875</v>
      </c>
      <c r="F944" s="1429">
        <f>IFERROR(__xludf.DUMMYFUNCTION("""COMPUTED_VALUE"""),45877.0)</f>
        <v>45877</v>
      </c>
      <c r="G944" s="1430">
        <f>IFERROR(__xludf.DUMMYFUNCTION("""COMPUTED_VALUE"""),2.0)</f>
        <v>2</v>
      </c>
      <c r="H944" s="94">
        <f t="shared" si="1"/>
        <v>8</v>
      </c>
    </row>
    <row r="945" ht="15.75" customHeight="1">
      <c r="A945" s="94" t="str">
        <f>IFERROR(__xludf.DUMMYFUNCTION("""COMPUTED_VALUE"""),"DL 14-506")</f>
        <v>DL 14-506</v>
      </c>
      <c r="B945" s="94"/>
      <c r="C945" s="94"/>
      <c r="D945" s="94"/>
      <c r="E945" s="1429">
        <f>IFERROR(__xludf.DUMMYFUNCTION("""COMPUTED_VALUE"""),45875.0)</f>
        <v>45875</v>
      </c>
      <c r="F945" s="1429">
        <f>IFERROR(__xludf.DUMMYFUNCTION("""COMPUTED_VALUE"""),45878.0)</f>
        <v>45878</v>
      </c>
      <c r="G945" s="1430">
        <f>IFERROR(__xludf.DUMMYFUNCTION("""COMPUTED_VALUE"""),3.0)</f>
        <v>3</v>
      </c>
      <c r="H945" s="94">
        <f t="shared" si="1"/>
        <v>8</v>
      </c>
    </row>
    <row r="946" ht="15.75" customHeight="1">
      <c r="A946" s="94" t="str">
        <f>IFERROR(__xludf.DUMMYFUNCTION("""COMPUTED_VALUE"""),"MZ 718")</f>
        <v>MZ 718</v>
      </c>
      <c r="B946" s="94"/>
      <c r="C946" s="94"/>
      <c r="D946" s="94"/>
      <c r="E946" s="1429">
        <f>IFERROR(__xludf.DUMMYFUNCTION("""COMPUTED_VALUE"""),45875.0)</f>
        <v>45875</v>
      </c>
      <c r="F946" s="1429">
        <f>IFERROR(__xludf.DUMMYFUNCTION("""COMPUTED_VALUE"""),45877.0)</f>
        <v>45877</v>
      </c>
      <c r="G946" s="1430">
        <f>IFERROR(__xludf.DUMMYFUNCTION("""COMPUTED_VALUE"""),2.0)</f>
        <v>2</v>
      </c>
      <c r="H946" s="94">
        <f t="shared" si="1"/>
        <v>8</v>
      </c>
    </row>
    <row r="947" ht="15.75" customHeight="1">
      <c r="A947" s="94" t="str">
        <f>IFERROR(__xludf.DUMMYFUNCTION("""COMPUTED_VALUE"""),"BV1318")</f>
        <v>BV1318</v>
      </c>
      <c r="B947" s="94"/>
      <c r="C947" s="94"/>
      <c r="D947" s="94"/>
      <c r="E947" s="1429">
        <f>IFERROR(__xludf.DUMMYFUNCTION("""COMPUTED_VALUE"""),45875.0)</f>
        <v>45875</v>
      </c>
      <c r="F947" s="1429">
        <f>IFERROR(__xludf.DUMMYFUNCTION("""COMPUTED_VALUE"""),45887.0)</f>
        <v>45887</v>
      </c>
      <c r="G947" s="1430">
        <f>IFERROR(__xludf.DUMMYFUNCTION("""COMPUTED_VALUE"""),12.0)</f>
        <v>12</v>
      </c>
      <c r="H947" s="94">
        <f t="shared" si="1"/>
        <v>8</v>
      </c>
    </row>
    <row r="948" ht="15.75" customHeight="1">
      <c r="A948" s="94" t="str">
        <f>IFERROR(__xludf.DUMMYFUNCTION("""COMPUTED_VALUE"""),"TGA9")</f>
        <v>TGA9</v>
      </c>
      <c r="B948" s="94"/>
      <c r="C948" s="94"/>
      <c r="D948" s="94"/>
      <c r="E948" s="1429">
        <f>IFERROR(__xludf.DUMMYFUNCTION("""COMPUTED_VALUE"""),45875.0)</f>
        <v>45875</v>
      </c>
      <c r="F948" s="1429">
        <f>IFERROR(__xludf.DUMMYFUNCTION("""COMPUTED_VALUE"""),45884.0)</f>
        <v>45884</v>
      </c>
      <c r="G948" s="1430">
        <f>IFERROR(__xludf.DUMMYFUNCTION("""COMPUTED_VALUE"""),9.0)</f>
        <v>9</v>
      </c>
      <c r="H948" s="94">
        <f t="shared" si="1"/>
        <v>8</v>
      </c>
    </row>
    <row r="949" ht="15.75" customHeight="1">
      <c r="A949" s="94" t="str">
        <f>IFERROR(__xludf.DUMMYFUNCTION("""COMPUTED_VALUE"""),"WS В 212")</f>
        <v>WS В 212</v>
      </c>
      <c r="B949" s="94"/>
      <c r="C949" s="94"/>
      <c r="D949" s="94"/>
      <c r="E949" s="1429">
        <f>IFERROR(__xludf.DUMMYFUNCTION("""COMPUTED_VALUE"""),45875.0)</f>
        <v>45875</v>
      </c>
      <c r="F949" s="1429">
        <f>IFERROR(__xludf.DUMMYFUNCTION("""COMPUTED_VALUE"""),45879.0)</f>
        <v>45879</v>
      </c>
      <c r="G949" s="1430">
        <f>IFERROR(__xludf.DUMMYFUNCTION("""COMPUTED_VALUE"""),4.0)</f>
        <v>4</v>
      </c>
      <c r="H949" s="94">
        <f t="shared" si="1"/>
        <v>8</v>
      </c>
    </row>
    <row r="950" ht="15.75" customHeight="1">
      <c r="A950" s="94" t="str">
        <f>IFERROR(__xludf.DUMMYFUNCTION("""COMPUTED_VALUE"""),"С 1125")</f>
        <v>С 1125</v>
      </c>
      <c r="B950" s="94"/>
      <c r="C950" s="94"/>
      <c r="D950" s="94"/>
      <c r="E950" s="1429">
        <f>IFERROR(__xludf.DUMMYFUNCTION("""COMPUTED_VALUE"""),45875.0)</f>
        <v>45875</v>
      </c>
      <c r="F950" s="1429">
        <f>IFERROR(__xludf.DUMMYFUNCTION("""COMPUTED_VALUE"""),45880.0)</f>
        <v>45880</v>
      </c>
      <c r="G950" s="1430">
        <f>IFERROR(__xludf.DUMMYFUNCTION("""COMPUTED_VALUE"""),5.0)</f>
        <v>5</v>
      </c>
      <c r="H950" s="94">
        <f t="shared" si="1"/>
        <v>8</v>
      </c>
    </row>
    <row r="951" ht="15.75" customHeight="1">
      <c r="A951" s="94" t="str">
        <f>IFERROR(__xludf.DUMMYFUNCTION("""COMPUTED_VALUE"""),"Steps 1108")</f>
        <v>Steps 1108</v>
      </c>
      <c r="B951" s="94"/>
      <c r="C951" s="94"/>
      <c r="D951" s="94"/>
      <c r="E951" s="1429">
        <f>IFERROR(__xludf.DUMMYFUNCTION("""COMPUTED_VALUE"""),45875.0)</f>
        <v>45875</v>
      </c>
      <c r="F951" s="1429">
        <f>IFERROR(__xludf.DUMMYFUNCTION("""COMPUTED_VALUE"""),45880.0)</f>
        <v>45880</v>
      </c>
      <c r="G951" s="1430">
        <f>IFERROR(__xludf.DUMMYFUNCTION("""COMPUTED_VALUE"""),5.0)</f>
        <v>5</v>
      </c>
      <c r="H951" s="94">
        <f t="shared" si="1"/>
        <v>8</v>
      </c>
    </row>
    <row r="952" ht="15.75" customHeight="1">
      <c r="A952" s="94" t="str">
        <f>IFERROR(__xludf.DUMMYFUNCTION("""COMPUTED_VALUE"""),"NW 205")</f>
        <v>NW 205</v>
      </c>
      <c r="B952" s="94"/>
      <c r="C952" s="94"/>
      <c r="D952" s="94"/>
      <c r="E952" s="1429">
        <f>IFERROR(__xludf.DUMMYFUNCTION("""COMPUTED_VALUE"""),45875.0)</f>
        <v>45875</v>
      </c>
      <c r="F952" s="1429">
        <f>IFERROR(__xludf.DUMMYFUNCTION("""COMPUTED_VALUE"""),45878.0)</f>
        <v>45878</v>
      </c>
      <c r="G952" s="1430">
        <f>IFERROR(__xludf.DUMMYFUNCTION("""COMPUTED_VALUE"""),3.0)</f>
        <v>3</v>
      </c>
      <c r="H952" s="94">
        <f t="shared" si="1"/>
        <v>8</v>
      </c>
    </row>
    <row r="953" ht="15.75" customHeight="1">
      <c r="A953" s="94" t="str">
        <f>IFERROR(__xludf.DUMMYFUNCTION("""COMPUTED_VALUE"""),"NW 3-7")</f>
        <v>NW 3-7</v>
      </c>
      <c r="B953" s="94"/>
      <c r="C953" s="94"/>
      <c r="D953" s="94"/>
      <c r="E953" s="1429">
        <f>IFERROR(__xludf.DUMMYFUNCTION("""COMPUTED_VALUE"""),45875.0)</f>
        <v>45875</v>
      </c>
      <c r="F953" s="1429">
        <f>IFERROR(__xludf.DUMMYFUNCTION("""COMPUTED_VALUE"""),45878.0)</f>
        <v>45878</v>
      </c>
      <c r="G953" s="1430">
        <f>IFERROR(__xludf.DUMMYFUNCTION("""COMPUTED_VALUE"""),3.0)</f>
        <v>3</v>
      </c>
      <c r="H953" s="94">
        <f t="shared" si="1"/>
        <v>8</v>
      </c>
    </row>
    <row r="954" ht="15.75" customHeight="1">
      <c r="A954" s="94" t="str">
        <f>IFERROR(__xludf.DUMMYFUNCTION("""COMPUTED_VALUE"""),"D1 3902")</f>
        <v>D1 3902</v>
      </c>
      <c r="B954" s="94"/>
      <c r="C954" s="94"/>
      <c r="D954" s="94"/>
      <c r="E954" s="1429">
        <f>IFERROR(__xludf.DUMMYFUNCTION("""COMPUTED_VALUE"""),45876.0)</f>
        <v>45876</v>
      </c>
      <c r="F954" s="1429">
        <f>IFERROR(__xludf.DUMMYFUNCTION("""COMPUTED_VALUE"""),45879.0)</f>
        <v>45879</v>
      </c>
      <c r="G954" s="1430">
        <f>IFERROR(__xludf.DUMMYFUNCTION("""COMPUTED_VALUE"""),3.0)</f>
        <v>3</v>
      </c>
      <c r="H954" s="94">
        <f t="shared" si="1"/>
        <v>8</v>
      </c>
    </row>
    <row r="955" ht="15.75" customHeight="1">
      <c r="A955" s="94" t="str">
        <f>IFERROR(__xludf.DUMMYFUNCTION("""COMPUTED_VALUE"""),"WS А 908")</f>
        <v>WS А 908</v>
      </c>
      <c r="B955" s="94"/>
      <c r="C955" s="94"/>
      <c r="D955" s="94"/>
      <c r="E955" s="1429">
        <f>IFERROR(__xludf.DUMMYFUNCTION("""COMPUTED_VALUE"""),45876.0)</f>
        <v>45876</v>
      </c>
      <c r="F955" s="1429">
        <f>IFERROR(__xludf.DUMMYFUNCTION("""COMPUTED_VALUE"""),45880.0)</f>
        <v>45880</v>
      </c>
      <c r="G955" s="1430">
        <f>IFERROR(__xludf.DUMMYFUNCTION("""COMPUTED_VALUE"""),4.0)</f>
        <v>4</v>
      </c>
      <c r="H955" s="94">
        <f t="shared" si="1"/>
        <v>8</v>
      </c>
    </row>
    <row r="956" ht="15.75" customHeight="1">
      <c r="A956" s="94" t="str">
        <f>IFERROR(__xludf.DUMMYFUNCTION("""COMPUTED_VALUE"""),"WS A805")</f>
        <v>WS A805</v>
      </c>
      <c r="B956" s="94"/>
      <c r="C956" s="94"/>
      <c r="D956" s="94"/>
      <c r="E956" s="1429">
        <f>IFERROR(__xludf.DUMMYFUNCTION("""COMPUTED_VALUE"""),45876.0)</f>
        <v>45876</v>
      </c>
      <c r="F956" s="1429">
        <f>IFERROR(__xludf.DUMMYFUNCTION("""COMPUTED_VALUE"""),45880.0)</f>
        <v>45880</v>
      </c>
      <c r="G956" s="1430">
        <f>IFERROR(__xludf.DUMMYFUNCTION("""COMPUTED_VALUE"""),4.0)</f>
        <v>4</v>
      </c>
      <c r="H956" s="94">
        <f t="shared" si="1"/>
        <v>8</v>
      </c>
    </row>
    <row r="957" ht="15.75" customHeight="1">
      <c r="A957" s="94" t="str">
        <f>IFERROR(__xludf.DUMMYFUNCTION("""COMPUTED_VALUE"""),"WS A 409")</f>
        <v>WS A 409</v>
      </c>
      <c r="B957" s="94"/>
      <c r="C957" s="94"/>
      <c r="D957" s="94"/>
      <c r="E957" s="1429">
        <f>IFERROR(__xludf.DUMMYFUNCTION("""COMPUTED_VALUE"""),45876.0)</f>
        <v>45876</v>
      </c>
      <c r="F957" s="1429">
        <f>IFERROR(__xludf.DUMMYFUNCTION("""COMPUTED_VALUE"""),45880.0)</f>
        <v>45880</v>
      </c>
      <c r="G957" s="1430">
        <f>IFERROR(__xludf.DUMMYFUNCTION("""COMPUTED_VALUE"""),4.0)</f>
        <v>4</v>
      </c>
      <c r="H957" s="94">
        <f t="shared" si="1"/>
        <v>8</v>
      </c>
    </row>
    <row r="958" ht="15.75" customHeight="1">
      <c r="A958" s="94" t="str">
        <f>IFERROR(__xludf.DUMMYFUNCTION("""COMPUTED_VALUE"""),"WS A 608")</f>
        <v>WS A 608</v>
      </c>
      <c r="B958" s="94"/>
      <c r="C958" s="94"/>
      <c r="D958" s="94"/>
      <c r="E958" s="1429">
        <f>IFERROR(__xludf.DUMMYFUNCTION("""COMPUTED_VALUE"""),45876.0)</f>
        <v>45876</v>
      </c>
      <c r="F958" s="1429">
        <f>IFERROR(__xludf.DUMMYFUNCTION("""COMPUTED_VALUE"""),45880.0)</f>
        <v>45880</v>
      </c>
      <c r="G958" s="1430">
        <f>IFERROR(__xludf.DUMMYFUNCTION("""COMPUTED_VALUE"""),4.0)</f>
        <v>4</v>
      </c>
      <c r="H958" s="94">
        <f t="shared" si="1"/>
        <v>8</v>
      </c>
    </row>
    <row r="959" ht="15.75" customHeight="1">
      <c r="A959" s="94" t="str">
        <f>IFERROR(__xludf.DUMMYFUNCTION("""COMPUTED_VALUE"""),"DL 14-1214")</f>
        <v>DL 14-1214</v>
      </c>
      <c r="B959" s="94"/>
      <c r="C959" s="94"/>
      <c r="D959" s="94"/>
      <c r="E959" s="1429">
        <f>IFERROR(__xludf.DUMMYFUNCTION("""COMPUTED_VALUE"""),45876.0)</f>
        <v>45876</v>
      </c>
      <c r="F959" s="1429">
        <f>IFERROR(__xludf.DUMMYFUNCTION("""COMPUTED_VALUE"""),45879.0)</f>
        <v>45879</v>
      </c>
      <c r="G959" s="1430">
        <f>IFERROR(__xludf.DUMMYFUNCTION("""COMPUTED_VALUE"""),3.0)</f>
        <v>3</v>
      </c>
      <c r="H959" s="94">
        <f t="shared" si="1"/>
        <v>8</v>
      </c>
    </row>
    <row r="960" ht="15.75" customHeight="1">
      <c r="A960" s="94" t="str">
        <f>IFERROR(__xludf.DUMMYFUNCTION("""COMPUTED_VALUE"""),"DL14-1907")</f>
        <v>DL14-1907</v>
      </c>
      <c r="B960" s="94"/>
      <c r="C960" s="94"/>
      <c r="D960" s="94"/>
      <c r="E960" s="1429">
        <f>IFERROR(__xludf.DUMMYFUNCTION("""COMPUTED_VALUE"""),45876.0)</f>
        <v>45876</v>
      </c>
      <c r="F960" s="1429">
        <f>IFERROR(__xludf.DUMMYFUNCTION("""COMPUTED_VALUE"""),45877.0)</f>
        <v>45877</v>
      </c>
      <c r="G960" s="1430">
        <f>IFERROR(__xludf.DUMMYFUNCTION("""COMPUTED_VALUE"""),1.0)</f>
        <v>1</v>
      </c>
      <c r="H960" s="94">
        <f t="shared" si="1"/>
        <v>8</v>
      </c>
    </row>
    <row r="961" ht="15.75" customHeight="1">
      <c r="A961" s="94" t="str">
        <f>IFERROR(__xludf.DUMMYFUNCTION("""COMPUTED_VALUE"""),"TGB5")</f>
        <v>TGB5</v>
      </c>
      <c r="B961" s="94"/>
      <c r="C961" s="94"/>
      <c r="D961" s="94"/>
      <c r="E961" s="1429">
        <f>IFERROR(__xludf.DUMMYFUNCTION("""COMPUTED_VALUE"""),45876.0)</f>
        <v>45876</v>
      </c>
      <c r="F961" s="1429">
        <f>IFERROR(__xludf.DUMMYFUNCTION("""COMPUTED_VALUE"""),45880.0)</f>
        <v>45880</v>
      </c>
      <c r="G961" s="1430">
        <f>IFERROR(__xludf.DUMMYFUNCTION("""COMPUTED_VALUE"""),4.0)</f>
        <v>4</v>
      </c>
      <c r="H961" s="94">
        <f t="shared" si="1"/>
        <v>8</v>
      </c>
    </row>
    <row r="962" ht="15.75" customHeight="1">
      <c r="A962" s="94" t="str">
        <f>IFERROR(__xludf.DUMMYFUNCTION("""COMPUTED_VALUE"""),"TGA4")</f>
        <v>TGA4</v>
      </c>
      <c r="B962" s="94"/>
      <c r="C962" s="94"/>
      <c r="D962" s="94"/>
      <c r="E962" s="1429">
        <f>IFERROR(__xludf.DUMMYFUNCTION("""COMPUTED_VALUE"""),45876.0)</f>
        <v>45876</v>
      </c>
      <c r="F962" s="1429">
        <f>IFERROR(__xludf.DUMMYFUNCTION("""COMPUTED_VALUE"""),45879.0)</f>
        <v>45879</v>
      </c>
      <c r="G962" s="1430">
        <f>IFERROR(__xludf.DUMMYFUNCTION("""COMPUTED_VALUE"""),3.0)</f>
        <v>3</v>
      </c>
      <c r="H962" s="94">
        <f t="shared" si="1"/>
        <v>8</v>
      </c>
    </row>
    <row r="963" ht="15.75" customHeight="1">
      <c r="A963" s="94" t="str">
        <f>IFERROR(__xludf.DUMMYFUNCTION("""COMPUTED_VALUE"""),"TGA10")</f>
        <v>TGA10</v>
      </c>
      <c r="B963" s="94"/>
      <c r="C963" s="94"/>
      <c r="D963" s="94"/>
      <c r="E963" s="1429">
        <f>IFERROR(__xludf.DUMMYFUNCTION("""COMPUTED_VALUE"""),45876.0)</f>
        <v>45876</v>
      </c>
      <c r="F963" s="1429">
        <f>IFERROR(__xludf.DUMMYFUNCTION("""COMPUTED_VALUE"""),45879.0)</f>
        <v>45879</v>
      </c>
      <c r="G963" s="1430">
        <f>IFERROR(__xludf.DUMMYFUNCTION("""COMPUTED_VALUE"""),3.0)</f>
        <v>3</v>
      </c>
      <c r="H963" s="94">
        <f t="shared" si="1"/>
        <v>8</v>
      </c>
    </row>
    <row r="964" ht="15.75" customHeight="1">
      <c r="A964" s="94" t="str">
        <f>IFERROR(__xludf.DUMMYFUNCTION("""COMPUTED_VALUE"""),"Int 2905")</f>
        <v>Int 2905</v>
      </c>
      <c r="B964" s="94"/>
      <c r="C964" s="94"/>
      <c r="D964" s="94"/>
      <c r="E964" s="1429">
        <f>IFERROR(__xludf.DUMMYFUNCTION("""COMPUTED_VALUE"""),45876.0)</f>
        <v>45876</v>
      </c>
      <c r="F964" s="1429">
        <f>IFERROR(__xludf.DUMMYFUNCTION("""COMPUTED_VALUE"""),45879.0)</f>
        <v>45879</v>
      </c>
      <c r="G964" s="1430">
        <f>IFERROR(__xludf.DUMMYFUNCTION("""COMPUTED_VALUE"""),3.0)</f>
        <v>3</v>
      </c>
      <c r="H964" s="94">
        <f t="shared" si="1"/>
        <v>8</v>
      </c>
    </row>
    <row r="965" ht="15.75" customHeight="1">
      <c r="A965" s="94" t="str">
        <f>IFERROR(__xludf.DUMMYFUNCTION("""COMPUTED_VALUE"""),"PT2604")</f>
        <v>PT2604</v>
      </c>
      <c r="B965" s="94"/>
      <c r="C965" s="94"/>
      <c r="D965" s="94"/>
      <c r="E965" s="1429">
        <f>IFERROR(__xludf.DUMMYFUNCTION("""COMPUTED_VALUE"""),45876.0)</f>
        <v>45876</v>
      </c>
      <c r="F965" s="1429">
        <f>IFERROR(__xludf.DUMMYFUNCTION("""COMPUTED_VALUE"""),45880.0)</f>
        <v>45880</v>
      </c>
      <c r="G965" s="1430">
        <f>IFERROR(__xludf.DUMMYFUNCTION("""COMPUTED_VALUE"""),4.0)</f>
        <v>4</v>
      </c>
      <c r="H965" s="94">
        <f t="shared" si="1"/>
        <v>8</v>
      </c>
    </row>
    <row r="966" ht="15.75" customHeight="1">
      <c r="A966" s="94" t="str">
        <f>IFERROR(__xludf.DUMMYFUNCTION("""COMPUTED_VALUE"""),"CM 1931")</f>
        <v>CM 1931</v>
      </c>
      <c r="B966" s="94"/>
      <c r="C966" s="94"/>
      <c r="D966" s="94"/>
      <c r="E966" s="1429">
        <f>IFERROR(__xludf.DUMMYFUNCTION("""COMPUTED_VALUE"""),45876.0)</f>
        <v>45876</v>
      </c>
      <c r="F966" s="1429">
        <f>IFERROR(__xludf.DUMMYFUNCTION("""COMPUTED_VALUE"""),45884.0)</f>
        <v>45884</v>
      </c>
      <c r="G966" s="1430">
        <f>IFERROR(__xludf.DUMMYFUNCTION("""COMPUTED_VALUE"""),8.0)</f>
        <v>8</v>
      </c>
      <c r="H966" s="94">
        <f t="shared" si="1"/>
        <v>8</v>
      </c>
    </row>
    <row r="967" ht="15.75" customHeight="1">
      <c r="A967" s="94" t="str">
        <f>IFERROR(__xludf.DUMMYFUNCTION("""COMPUTED_VALUE"""),"CM 1606")</f>
        <v>CM 1606</v>
      </c>
      <c r="B967" s="94"/>
      <c r="C967" s="94"/>
      <c r="D967" s="94"/>
      <c r="E967" s="1429">
        <f>IFERROR(__xludf.DUMMYFUNCTION("""COMPUTED_VALUE"""),45877.0)</f>
        <v>45877</v>
      </c>
      <c r="F967" s="1429">
        <f>IFERROR(__xludf.DUMMYFUNCTION("""COMPUTED_VALUE"""),45881.0)</f>
        <v>45881</v>
      </c>
      <c r="G967" s="1430">
        <f>IFERROR(__xludf.DUMMYFUNCTION("""COMPUTED_VALUE"""),4.0)</f>
        <v>4</v>
      </c>
      <c r="H967" s="94">
        <f t="shared" si="1"/>
        <v>8</v>
      </c>
    </row>
    <row r="968" ht="15.75" customHeight="1">
      <c r="A968" s="94" t="str">
        <f>IFERROR(__xludf.DUMMYFUNCTION("""COMPUTED_VALUE"""),"CM 1604")</f>
        <v>CM 1604</v>
      </c>
      <c r="B968" s="94"/>
      <c r="C968" s="94"/>
      <c r="D968" s="94"/>
      <c r="E968" s="1429">
        <f>IFERROR(__xludf.DUMMYFUNCTION("""COMPUTED_VALUE"""),45877.0)</f>
        <v>45877</v>
      </c>
      <c r="F968" s="1429">
        <f>IFERROR(__xludf.DUMMYFUNCTION("""COMPUTED_VALUE"""),45883.0)</f>
        <v>45883</v>
      </c>
      <c r="G968" s="1430">
        <f>IFERROR(__xludf.DUMMYFUNCTION("""COMPUTED_VALUE"""),6.0)</f>
        <v>6</v>
      </c>
      <c r="H968" s="94">
        <f t="shared" si="1"/>
        <v>8</v>
      </c>
    </row>
    <row r="969" ht="15.75" customHeight="1">
      <c r="A969" s="94" t="str">
        <f>IFERROR(__xludf.DUMMYFUNCTION("""COMPUTED_VALUE"""),"PT2704")</f>
        <v>PT2704</v>
      </c>
      <c r="B969" s="94"/>
      <c r="C969" s="94"/>
      <c r="D969" s="94"/>
      <c r="E969" s="1429">
        <f>IFERROR(__xludf.DUMMYFUNCTION("""COMPUTED_VALUE"""),45877.0)</f>
        <v>45877</v>
      </c>
      <c r="F969" s="1429">
        <f>IFERROR(__xludf.DUMMYFUNCTION("""COMPUTED_VALUE"""),45881.0)</f>
        <v>45881</v>
      </c>
      <c r="G969" s="1430">
        <f>IFERROR(__xludf.DUMMYFUNCTION("""COMPUTED_VALUE"""),4.0)</f>
        <v>4</v>
      </c>
      <c r="H969" s="94">
        <f t="shared" si="1"/>
        <v>8</v>
      </c>
    </row>
    <row r="970" ht="15.75" customHeight="1">
      <c r="A970" s="94" t="str">
        <f>IFERROR(__xludf.DUMMYFUNCTION("""COMPUTED_VALUE"""),"DL14-518")</f>
        <v>DL14-518</v>
      </c>
      <c r="B970" s="94"/>
      <c r="C970" s="94"/>
      <c r="D970" s="94"/>
      <c r="E970" s="1429">
        <f>IFERROR(__xludf.DUMMYFUNCTION("""COMPUTED_VALUE"""),45877.0)</f>
        <v>45877</v>
      </c>
      <c r="F970" s="1429">
        <f>IFERROR(__xludf.DUMMYFUNCTION("""COMPUTED_VALUE"""),45879.0)</f>
        <v>45879</v>
      </c>
      <c r="G970" s="1430">
        <f>IFERROR(__xludf.DUMMYFUNCTION("""COMPUTED_VALUE"""),2.0)</f>
        <v>2</v>
      </c>
      <c r="H970" s="94">
        <f t="shared" si="1"/>
        <v>8</v>
      </c>
    </row>
    <row r="971" ht="15.75" customHeight="1">
      <c r="A971" s="94" t="str">
        <f>IFERROR(__xludf.DUMMYFUNCTION("""COMPUTED_VALUE"""),"NW 4-10")</f>
        <v>NW 4-10</v>
      </c>
      <c r="B971" s="94"/>
      <c r="C971" s="94"/>
      <c r="D971" s="94"/>
      <c r="E971" s="1429">
        <f>IFERROR(__xludf.DUMMYFUNCTION("""COMPUTED_VALUE"""),45877.0)</f>
        <v>45877</v>
      </c>
      <c r="F971" s="1429">
        <f>IFERROR(__xludf.DUMMYFUNCTION("""COMPUTED_VALUE"""),45880.0)</f>
        <v>45880</v>
      </c>
      <c r="G971" s="1430">
        <f>IFERROR(__xludf.DUMMYFUNCTION("""COMPUTED_VALUE"""),3.0)</f>
        <v>3</v>
      </c>
      <c r="H971" s="94">
        <f t="shared" si="1"/>
        <v>8</v>
      </c>
    </row>
    <row r="972" ht="15.75" customHeight="1">
      <c r="A972" s="94" t="str">
        <f>IFERROR(__xludf.DUMMYFUNCTION("""COMPUTED_VALUE"""),"TGB11")</f>
        <v>TGB11</v>
      </c>
      <c r="B972" s="94"/>
      <c r="C972" s="94"/>
      <c r="D972" s="94"/>
      <c r="E972" s="1429">
        <f>IFERROR(__xludf.DUMMYFUNCTION("""COMPUTED_VALUE"""),45877.0)</f>
        <v>45877</v>
      </c>
      <c r="F972" s="1429">
        <f>IFERROR(__xludf.DUMMYFUNCTION("""COMPUTED_VALUE"""),45887.0)</f>
        <v>45887</v>
      </c>
      <c r="G972" s="1430">
        <f>IFERROR(__xludf.DUMMYFUNCTION("""COMPUTED_VALUE"""),10.0)</f>
        <v>10</v>
      </c>
      <c r="H972" s="94">
        <f t="shared" si="1"/>
        <v>8</v>
      </c>
    </row>
    <row r="973" ht="15.75" customHeight="1">
      <c r="A973" s="94" t="str">
        <f>IFERROR(__xludf.DUMMYFUNCTION("""COMPUTED_VALUE"""),"WS F1103")</f>
        <v>WS F1103</v>
      </c>
      <c r="B973" s="94"/>
      <c r="C973" s="94"/>
      <c r="D973" s="94"/>
      <c r="E973" s="1429">
        <f>IFERROR(__xludf.DUMMYFUNCTION("""COMPUTED_VALUE"""),45877.0)</f>
        <v>45877</v>
      </c>
      <c r="F973" s="1429">
        <f>IFERROR(__xludf.DUMMYFUNCTION("""COMPUTED_VALUE"""),45885.0)</f>
        <v>45885</v>
      </c>
      <c r="G973" s="1430">
        <f>IFERROR(__xludf.DUMMYFUNCTION("""COMPUTED_VALUE"""),8.0)</f>
        <v>8</v>
      </c>
      <c r="H973" s="94">
        <f t="shared" si="1"/>
        <v>8</v>
      </c>
    </row>
    <row r="974" ht="15.75" customHeight="1">
      <c r="A974" s="94" t="str">
        <f>IFERROR(__xludf.DUMMYFUNCTION("""COMPUTED_VALUE"""),"WS E 1202")</f>
        <v>WS E 1202</v>
      </c>
      <c r="B974" s="94"/>
      <c r="C974" s="94"/>
      <c r="D974" s="94"/>
      <c r="E974" s="1429">
        <f>IFERROR(__xludf.DUMMYFUNCTION("""COMPUTED_VALUE"""),45877.0)</f>
        <v>45877</v>
      </c>
      <c r="F974" s="1429">
        <f>IFERROR(__xludf.DUMMYFUNCTION("""COMPUTED_VALUE"""),45884.0)</f>
        <v>45884</v>
      </c>
      <c r="G974" s="1430">
        <f>IFERROR(__xludf.DUMMYFUNCTION("""COMPUTED_VALUE"""),7.0)</f>
        <v>7</v>
      </c>
      <c r="H974" s="94">
        <f t="shared" si="1"/>
        <v>8</v>
      </c>
    </row>
    <row r="975" ht="15.75" customHeight="1">
      <c r="A975" s="94" t="str">
        <f>IFERROR(__xludf.DUMMYFUNCTION("""COMPUTED_VALUE"""),"TG195")</f>
        <v>TG195</v>
      </c>
      <c r="B975" s="94"/>
      <c r="C975" s="94"/>
      <c r="D975" s="94"/>
      <c r="E975" s="1434">
        <f>IFERROR(__xludf.DUMMYFUNCTION("""COMPUTED_VALUE"""),45877.0)</f>
        <v>45877</v>
      </c>
      <c r="F975" s="1429">
        <f>IFERROR(__xludf.DUMMYFUNCTION("""COMPUTED_VALUE"""),45905.0)</f>
        <v>45905</v>
      </c>
      <c r="G975" s="1430">
        <f>IFERROR(__xludf.DUMMYFUNCTION("""COMPUTED_VALUE"""),28.0)</f>
        <v>28</v>
      </c>
      <c r="H975" s="94">
        <f t="shared" si="1"/>
        <v>8</v>
      </c>
    </row>
    <row r="976" ht="15.75" customHeight="1">
      <c r="A976" s="94" t="str">
        <f>IFERROR(__xludf.DUMMYFUNCTION("""COMPUTED_VALUE"""),"TGA8")</f>
        <v>TGA8</v>
      </c>
      <c r="B976" s="94"/>
      <c r="C976" s="94"/>
      <c r="D976" s="94"/>
      <c r="E976" s="1434">
        <f>IFERROR(__xludf.DUMMYFUNCTION("""COMPUTED_VALUE"""),45877.0)</f>
        <v>45877</v>
      </c>
      <c r="F976" s="1429">
        <f>IFERROR(__xludf.DUMMYFUNCTION("""COMPUTED_VALUE"""),45879.0)</f>
        <v>45879</v>
      </c>
      <c r="G976" s="1430">
        <f>IFERROR(__xludf.DUMMYFUNCTION("""COMPUTED_VALUE"""),2.0)</f>
        <v>2</v>
      </c>
      <c r="H976" s="94">
        <f t="shared" si="1"/>
        <v>8</v>
      </c>
    </row>
    <row r="977" ht="15.75" customHeight="1">
      <c r="A977" s="94" t="str">
        <f>IFERROR(__xludf.DUMMYFUNCTION("""COMPUTED_VALUE"""),"TGB7")</f>
        <v>TGB7</v>
      </c>
      <c r="B977" s="94"/>
      <c r="C977" s="94"/>
      <c r="D977" s="94"/>
      <c r="E977" s="1434">
        <f>IFERROR(__xludf.DUMMYFUNCTION("""COMPUTED_VALUE"""),45877.0)</f>
        <v>45877</v>
      </c>
      <c r="F977" s="1429">
        <f>IFERROR(__xludf.DUMMYFUNCTION("""COMPUTED_VALUE"""),45883.0)</f>
        <v>45883</v>
      </c>
      <c r="G977" s="1430">
        <f>IFERROR(__xludf.DUMMYFUNCTION("""COMPUTED_VALUE"""),6.0)</f>
        <v>6</v>
      </c>
      <c r="H977" s="94">
        <f t="shared" si="1"/>
        <v>8</v>
      </c>
    </row>
    <row r="978" ht="15.75" customHeight="1">
      <c r="A978" s="94" t="str">
        <f>IFERROR(__xludf.DUMMYFUNCTION("""COMPUTED_VALUE"""),"TGB3")</f>
        <v>TGB3</v>
      </c>
      <c r="B978" s="94"/>
      <c r="C978" s="94"/>
      <c r="D978" s="94"/>
      <c r="E978" s="1434">
        <f>IFERROR(__xludf.DUMMYFUNCTION("""COMPUTED_VALUE"""),45877.0)</f>
        <v>45877</v>
      </c>
      <c r="F978" s="1429">
        <f>IFERROR(__xludf.DUMMYFUNCTION("""COMPUTED_VALUE"""),45879.0)</f>
        <v>45879</v>
      </c>
      <c r="G978" s="1430">
        <f>IFERROR(__xludf.DUMMYFUNCTION("""COMPUTED_VALUE"""),2.0)</f>
        <v>2</v>
      </c>
      <c r="H978" s="94">
        <f t="shared" si="1"/>
        <v>8</v>
      </c>
    </row>
    <row r="979" ht="15.75" customHeight="1">
      <c r="A979" s="94" t="str">
        <f>IFERROR(__xludf.DUMMYFUNCTION("""COMPUTED_VALUE"""),"TGA3")</f>
        <v>TGA3</v>
      </c>
      <c r="B979" s="94"/>
      <c r="C979" s="94"/>
      <c r="D979" s="94"/>
      <c r="E979" s="1434">
        <f>IFERROR(__xludf.DUMMYFUNCTION("""COMPUTED_VALUE"""),45877.0)</f>
        <v>45877</v>
      </c>
      <c r="F979" s="1429">
        <f>IFERROR(__xludf.DUMMYFUNCTION("""COMPUTED_VALUE"""),45879.0)</f>
        <v>45879</v>
      </c>
      <c r="G979" s="1430">
        <f>IFERROR(__xludf.DUMMYFUNCTION("""COMPUTED_VALUE"""),2.0)</f>
        <v>2</v>
      </c>
      <c r="H979" s="94">
        <f t="shared" si="1"/>
        <v>8</v>
      </c>
    </row>
    <row r="980" ht="15.75" customHeight="1">
      <c r="A980" s="94" t="str">
        <f>IFERROR(__xludf.DUMMYFUNCTION("""COMPUTED_VALUE"""),"TGB10")</f>
        <v>TGB10</v>
      </c>
      <c r="B980" s="94"/>
      <c r="C980" s="94"/>
      <c r="D980" s="94"/>
      <c r="E980" s="1434">
        <f>IFERROR(__xludf.DUMMYFUNCTION("""COMPUTED_VALUE"""),45878.0)</f>
        <v>45878</v>
      </c>
      <c r="F980" s="1429">
        <f>IFERROR(__xludf.DUMMYFUNCTION("""COMPUTED_VALUE"""),45884.0)</f>
        <v>45884</v>
      </c>
      <c r="G980" s="1430">
        <f>IFERROR(__xludf.DUMMYFUNCTION("""COMPUTED_VALUE"""),6.0)</f>
        <v>6</v>
      </c>
      <c r="H980" s="94">
        <f t="shared" si="1"/>
        <v>8</v>
      </c>
    </row>
    <row r="981" ht="15.75" customHeight="1">
      <c r="A981" s="94" t="str">
        <f>IFERROR(__xludf.DUMMYFUNCTION("""COMPUTED_VALUE"""),"DL 13-709")</f>
        <v>DL 13-709</v>
      </c>
      <c r="B981" s="94"/>
      <c r="C981" s="94"/>
      <c r="D981" s="94"/>
      <c r="E981" s="1434">
        <f>IFERROR(__xludf.DUMMYFUNCTION("""COMPUTED_VALUE"""),45878.0)</f>
        <v>45878</v>
      </c>
      <c r="F981" s="1429">
        <f>IFERROR(__xludf.DUMMYFUNCTION("""COMPUTED_VALUE"""),45883.0)</f>
        <v>45883</v>
      </c>
      <c r="G981" s="1430">
        <f>IFERROR(__xludf.DUMMYFUNCTION("""COMPUTED_VALUE"""),5.0)</f>
        <v>5</v>
      </c>
      <c r="H981" s="94">
        <f t="shared" si="1"/>
        <v>8</v>
      </c>
    </row>
    <row r="982" ht="15.75" customHeight="1">
      <c r="A982" s="94" t="str">
        <f>IFERROR(__xludf.DUMMYFUNCTION("""COMPUTED_VALUE"""),"DL14-305")</f>
        <v>DL14-305</v>
      </c>
      <c r="B982" s="94"/>
      <c r="C982" s="94"/>
      <c r="D982" s="94"/>
      <c r="E982" s="1434">
        <f>IFERROR(__xludf.DUMMYFUNCTION("""COMPUTED_VALUE"""),45878.0)</f>
        <v>45878</v>
      </c>
      <c r="F982" s="1429">
        <f>IFERROR(__xludf.DUMMYFUNCTION("""COMPUTED_VALUE"""),45883.0)</f>
        <v>45883</v>
      </c>
      <c r="G982" s="1430">
        <f>IFERROR(__xludf.DUMMYFUNCTION("""COMPUTED_VALUE"""),5.0)</f>
        <v>5</v>
      </c>
      <c r="H982" s="94">
        <f t="shared" si="1"/>
        <v>8</v>
      </c>
    </row>
    <row r="983" ht="15.75" customHeight="1">
      <c r="A983" s="94" t="str">
        <f>IFERROR(__xludf.DUMMYFUNCTION("""COMPUTED_VALUE"""),"NW 3-7")</f>
        <v>NW 3-7</v>
      </c>
      <c r="B983" s="94"/>
      <c r="C983" s="94"/>
      <c r="D983" s="94"/>
      <c r="E983" s="1434">
        <f>IFERROR(__xludf.DUMMYFUNCTION("""COMPUTED_VALUE"""),45878.0)</f>
        <v>45878</v>
      </c>
      <c r="F983" s="1429">
        <f>IFERROR(__xludf.DUMMYFUNCTION("""COMPUTED_VALUE"""),45883.0)</f>
        <v>45883</v>
      </c>
      <c r="G983" s="1430">
        <f>IFERROR(__xludf.DUMMYFUNCTION("""COMPUTED_VALUE"""),5.0)</f>
        <v>5</v>
      </c>
      <c r="H983" s="94">
        <f t="shared" si="1"/>
        <v>8</v>
      </c>
    </row>
    <row r="984" ht="15.75" customHeight="1">
      <c r="A984" s="94" t="str">
        <f>IFERROR(__xludf.DUMMYFUNCTION("""COMPUTED_VALUE"""),"NW 205")</f>
        <v>NW 205</v>
      </c>
      <c r="B984" s="94"/>
      <c r="C984" s="94"/>
      <c r="D984" s="94"/>
      <c r="E984" s="1434">
        <f>IFERROR(__xludf.DUMMYFUNCTION("""COMPUTED_VALUE"""),45878.0)</f>
        <v>45878</v>
      </c>
      <c r="F984" s="1429">
        <f>IFERROR(__xludf.DUMMYFUNCTION("""COMPUTED_VALUE"""),45885.0)</f>
        <v>45885</v>
      </c>
      <c r="G984" s="1430">
        <f>IFERROR(__xludf.DUMMYFUNCTION("""COMPUTED_VALUE"""),7.0)</f>
        <v>7</v>
      </c>
      <c r="H984" s="94">
        <f t="shared" si="1"/>
        <v>8</v>
      </c>
    </row>
    <row r="985" ht="15.75" customHeight="1">
      <c r="A985" s="94" t="str">
        <f>IFERROR(__xludf.DUMMYFUNCTION("""COMPUTED_VALUE"""),"TGB4")</f>
        <v>TGB4</v>
      </c>
      <c r="B985" s="94"/>
      <c r="C985" s="94"/>
      <c r="D985" s="94"/>
      <c r="E985" s="1434">
        <f>IFERROR(__xludf.DUMMYFUNCTION("""COMPUTED_VALUE"""),45879.0)</f>
        <v>45879</v>
      </c>
      <c r="F985" s="1429">
        <f>IFERROR(__xludf.DUMMYFUNCTION("""COMPUTED_VALUE"""),45885.0)</f>
        <v>45885</v>
      </c>
      <c r="G985" s="1430">
        <f>IFERROR(__xludf.DUMMYFUNCTION("""COMPUTED_VALUE"""),6.0)</f>
        <v>6</v>
      </c>
      <c r="H985" s="94">
        <f t="shared" si="1"/>
        <v>8</v>
      </c>
    </row>
    <row r="986" ht="15.75" customHeight="1">
      <c r="A986" s="94" t="str">
        <f>IFERROR(__xludf.DUMMYFUNCTION("""COMPUTED_VALUE"""),"TGA5")</f>
        <v>TGA5</v>
      </c>
      <c r="B986" s="94"/>
      <c r="C986" s="94"/>
      <c r="D986" s="94"/>
      <c r="E986" s="1434">
        <f>IFERROR(__xludf.DUMMYFUNCTION("""COMPUTED_VALUE"""),45878.0)</f>
        <v>45878</v>
      </c>
      <c r="F986" s="1429">
        <f>IFERROR(__xludf.DUMMYFUNCTION("""COMPUTED_VALUE"""),45883.0)</f>
        <v>45883</v>
      </c>
      <c r="G986" s="1430">
        <f>IFERROR(__xludf.DUMMYFUNCTION("""COMPUTED_VALUE"""),5.0)</f>
        <v>5</v>
      </c>
      <c r="H986" s="94">
        <f t="shared" si="1"/>
        <v>8</v>
      </c>
    </row>
    <row r="987" ht="15.75" customHeight="1">
      <c r="A987" s="94" t="str">
        <f>IFERROR(__xludf.DUMMYFUNCTION("""COMPUTED_VALUE"""),"DL 14-516")</f>
        <v>DL 14-516</v>
      </c>
      <c r="B987" s="94"/>
      <c r="C987" s="94"/>
      <c r="D987" s="94"/>
      <c r="E987" s="1434">
        <f>IFERROR(__xludf.DUMMYFUNCTION("""COMPUTED_VALUE"""),45878.0)</f>
        <v>45878</v>
      </c>
      <c r="F987" s="1429">
        <f>IFERROR(__xludf.DUMMYFUNCTION("""COMPUTED_VALUE"""),45885.0)</f>
        <v>45885</v>
      </c>
      <c r="G987" s="1430">
        <f>IFERROR(__xludf.DUMMYFUNCTION("""COMPUTED_VALUE"""),7.0)</f>
        <v>7</v>
      </c>
      <c r="H987" s="94">
        <f t="shared" si="1"/>
        <v>8</v>
      </c>
    </row>
    <row r="988" ht="15.75" customHeight="1">
      <c r="A988" s="94" t="str">
        <f>IFERROR(__xludf.DUMMYFUNCTION("""COMPUTED_VALUE"""),"DL14-1710")</f>
        <v>DL14-1710</v>
      </c>
      <c r="B988" s="94"/>
      <c r="C988" s="94"/>
      <c r="D988" s="94"/>
      <c r="E988" s="1434">
        <f>IFERROR(__xludf.DUMMYFUNCTION("""COMPUTED_VALUE"""),45878.0)</f>
        <v>45878</v>
      </c>
      <c r="F988" s="1429">
        <f>IFERROR(__xludf.DUMMYFUNCTION("""COMPUTED_VALUE"""),45882.0)</f>
        <v>45882</v>
      </c>
      <c r="G988" s="1430">
        <f>IFERROR(__xludf.DUMMYFUNCTION("""COMPUTED_VALUE"""),4.0)</f>
        <v>4</v>
      </c>
      <c r="H988" s="94">
        <f t="shared" si="1"/>
        <v>8</v>
      </c>
    </row>
    <row r="989" ht="15.75" customHeight="1">
      <c r="A989" s="94" t="str">
        <f>IFERROR(__xludf.DUMMYFUNCTION("""COMPUTED_VALUE"""),"DL14-501-502")</f>
        <v>DL14-501-502</v>
      </c>
      <c r="B989" s="94"/>
      <c r="C989" s="94"/>
      <c r="D989" s="94"/>
      <c r="E989" s="1434">
        <f>IFERROR(__xludf.DUMMYFUNCTION("""COMPUTED_VALUE"""),45878.0)</f>
        <v>45878</v>
      </c>
      <c r="F989" s="1429">
        <f>IFERROR(__xludf.DUMMYFUNCTION("""COMPUTED_VALUE"""),45885.0)</f>
        <v>45885</v>
      </c>
      <c r="G989" s="1430">
        <f>IFERROR(__xludf.DUMMYFUNCTION("""COMPUTED_VALUE"""),7.0)</f>
        <v>7</v>
      </c>
      <c r="H989" s="94">
        <f t="shared" si="1"/>
        <v>8</v>
      </c>
    </row>
    <row r="990" ht="15.75" customHeight="1">
      <c r="A990" s="94" t="str">
        <f>IFERROR(__xludf.DUMMYFUNCTION("""COMPUTED_VALUE"""),"DL 14-506")</f>
        <v>DL 14-506</v>
      </c>
      <c r="B990" s="94"/>
      <c r="C990" s="94"/>
      <c r="D990" s="94"/>
      <c r="E990" s="1434">
        <f>IFERROR(__xludf.DUMMYFUNCTION("""COMPUTED_VALUE"""),45878.0)</f>
        <v>45878</v>
      </c>
      <c r="F990" s="1429">
        <f>IFERROR(__xludf.DUMMYFUNCTION("""COMPUTED_VALUE"""),45880.0)</f>
        <v>45880</v>
      </c>
      <c r="G990" s="1430">
        <f>IFERROR(__xludf.DUMMYFUNCTION("""COMPUTED_VALUE"""),2.0)</f>
        <v>2</v>
      </c>
      <c r="H990" s="94">
        <f t="shared" si="1"/>
        <v>8</v>
      </c>
    </row>
    <row r="991" ht="15.75" customHeight="1">
      <c r="A991" s="94" t="str">
        <f>IFERROR(__xludf.DUMMYFUNCTION("""COMPUTED_VALUE"""),"WS E704")</f>
        <v>WS E704</v>
      </c>
      <c r="B991" s="94"/>
      <c r="C991" s="94"/>
      <c r="D991" s="94"/>
      <c r="E991" s="1434">
        <f>IFERROR(__xludf.DUMMYFUNCTION("""COMPUTED_VALUE"""),45878.0)</f>
        <v>45878</v>
      </c>
      <c r="F991" s="1429">
        <f>IFERROR(__xludf.DUMMYFUNCTION("""COMPUTED_VALUE"""),45881.0)</f>
        <v>45881</v>
      </c>
      <c r="G991" s="1430">
        <f>IFERROR(__xludf.DUMMYFUNCTION("""COMPUTED_VALUE"""),3.0)</f>
        <v>3</v>
      </c>
      <c r="H991" s="94">
        <f t="shared" si="1"/>
        <v>8</v>
      </c>
    </row>
    <row r="992" ht="15.75" customHeight="1">
      <c r="A992" s="94" t="str">
        <f>IFERROR(__xludf.DUMMYFUNCTION("""COMPUTED_VALUE"""),"C 4245")</f>
        <v>C 4245</v>
      </c>
      <c r="B992" s="94"/>
      <c r="C992" s="94"/>
      <c r="D992" s="94"/>
      <c r="E992" s="1434">
        <f>IFERROR(__xludf.DUMMYFUNCTION("""COMPUTED_VALUE"""),45878.0)</f>
        <v>45878</v>
      </c>
      <c r="F992" s="1429">
        <f>IFERROR(__xludf.DUMMYFUNCTION("""COMPUTED_VALUE"""),45885.0)</f>
        <v>45885</v>
      </c>
      <c r="G992" s="1430">
        <f>IFERROR(__xludf.DUMMYFUNCTION("""COMPUTED_VALUE"""),7.0)</f>
        <v>7</v>
      </c>
      <c r="H992" s="94">
        <f t="shared" si="1"/>
        <v>8</v>
      </c>
    </row>
    <row r="993" ht="15.75" customHeight="1">
      <c r="A993" s="94" t="str">
        <f>IFERROR(__xludf.DUMMYFUNCTION("""COMPUTED_VALUE"""),"Пиросмани 162")</f>
        <v>Пиросмани 162</v>
      </c>
      <c r="B993" s="94"/>
      <c r="C993" s="94"/>
      <c r="D993" s="94"/>
      <c r="E993" s="1429">
        <f>IFERROR(__xludf.DUMMYFUNCTION("""COMPUTED_VALUE"""),45879.0)</f>
        <v>45879</v>
      </c>
      <c r="F993" s="1429">
        <f>IFERROR(__xludf.DUMMYFUNCTION("""COMPUTED_VALUE"""),45909.0)</f>
        <v>45909</v>
      </c>
      <c r="G993" s="1430">
        <f>IFERROR(__xludf.DUMMYFUNCTION("""COMPUTED_VALUE"""),30.0)</f>
        <v>30</v>
      </c>
      <c r="H993" s="94">
        <f t="shared" si="1"/>
        <v>8</v>
      </c>
    </row>
    <row r="994" ht="15.75" customHeight="1">
      <c r="A994" s="94" t="str">
        <f>IFERROR(__xludf.DUMMYFUNCTION("""COMPUTED_VALUE"""),"Int 2905")</f>
        <v>Int 2905</v>
      </c>
      <c r="B994" s="94"/>
      <c r="C994" s="94"/>
      <c r="D994" s="94"/>
      <c r="E994" s="1429">
        <f>IFERROR(__xludf.DUMMYFUNCTION("""COMPUTED_VALUE"""),45879.0)</f>
        <v>45879</v>
      </c>
      <c r="F994" s="1429">
        <f>IFERROR(__xludf.DUMMYFUNCTION("""COMPUTED_VALUE"""),45907.0)</f>
        <v>45907</v>
      </c>
      <c r="G994" s="1430">
        <f>IFERROR(__xludf.DUMMYFUNCTION("""COMPUTED_VALUE"""),28.0)</f>
        <v>28</v>
      </c>
      <c r="H994" s="94">
        <f t="shared" si="1"/>
        <v>8</v>
      </c>
    </row>
    <row r="995" ht="15.75" customHeight="1">
      <c r="A995" s="94" t="str">
        <f>IFERROR(__xludf.DUMMYFUNCTION("""COMPUTED_VALUE"""),"WS В 1510")</f>
        <v>WS В 1510</v>
      </c>
      <c r="B995" s="94"/>
      <c r="C995" s="94"/>
      <c r="D995" s="94"/>
      <c r="E995" s="1429">
        <f>IFERROR(__xludf.DUMMYFUNCTION("""COMPUTED_VALUE"""),45879.0)</f>
        <v>45879</v>
      </c>
      <c r="F995" s="1429">
        <f>IFERROR(__xludf.DUMMYFUNCTION("""COMPUTED_VALUE"""),45888.0)</f>
        <v>45888</v>
      </c>
      <c r="G995" s="1430">
        <f>IFERROR(__xludf.DUMMYFUNCTION("""COMPUTED_VALUE"""),9.0)</f>
        <v>9</v>
      </c>
      <c r="H995" s="94">
        <f t="shared" si="1"/>
        <v>8</v>
      </c>
    </row>
    <row r="996" ht="15.75" customHeight="1">
      <c r="A996" s="94" t="str">
        <f>IFERROR(__xludf.DUMMYFUNCTION("""COMPUTED_VALUE"""),"MZ 718")</f>
        <v>MZ 718</v>
      </c>
      <c r="B996" s="94"/>
      <c r="C996" s="94"/>
      <c r="D996" s="94"/>
      <c r="E996" s="1429">
        <f>IFERROR(__xludf.DUMMYFUNCTION("""COMPUTED_VALUE"""),45879.0)</f>
        <v>45879</v>
      </c>
      <c r="F996" s="1434">
        <f>IFERROR(__xludf.DUMMYFUNCTION("""COMPUTED_VALUE"""),45884.0)</f>
        <v>45884</v>
      </c>
      <c r="G996" s="1430">
        <f>IFERROR(__xludf.DUMMYFUNCTION("""COMPUTED_VALUE"""),5.0)</f>
        <v>5</v>
      </c>
      <c r="H996" s="94">
        <f t="shared" si="1"/>
        <v>8</v>
      </c>
    </row>
    <row r="997" ht="15.75" customHeight="1">
      <c r="A997" s="94" t="str">
        <f>IFERROR(__xludf.DUMMYFUNCTION("""COMPUTED_VALUE"""),"TGB9")</f>
        <v>TGB9</v>
      </c>
      <c r="B997" s="94"/>
      <c r="C997" s="94"/>
      <c r="D997" s="94"/>
      <c r="E997" s="1429">
        <f>IFERROR(__xludf.DUMMYFUNCTION("""COMPUTED_VALUE"""),45879.0)</f>
        <v>45879</v>
      </c>
      <c r="F997" s="1434">
        <f>IFERROR(__xludf.DUMMYFUNCTION("""COMPUTED_VALUE"""),45900.0)</f>
        <v>45900</v>
      </c>
      <c r="G997" s="1430">
        <f>IFERROR(__xludf.DUMMYFUNCTION("""COMPUTED_VALUE"""),21.0)</f>
        <v>21</v>
      </c>
      <c r="H997" s="94">
        <f t="shared" si="1"/>
        <v>8</v>
      </c>
    </row>
    <row r="998" ht="15.75" customHeight="1">
      <c r="A998" s="94" t="str">
        <f>IFERROR(__xludf.DUMMYFUNCTION("""COMPUTED_VALUE"""),"TGA4")</f>
        <v>TGA4</v>
      </c>
      <c r="B998" s="94"/>
      <c r="C998" s="94"/>
      <c r="D998" s="94"/>
      <c r="E998" s="1429">
        <f>IFERROR(__xludf.DUMMYFUNCTION("""COMPUTED_VALUE"""),45879.0)</f>
        <v>45879</v>
      </c>
      <c r="F998" s="1434">
        <f>IFERROR(__xludf.DUMMYFUNCTION("""COMPUTED_VALUE"""),45882.0)</f>
        <v>45882</v>
      </c>
      <c r="G998" s="1430">
        <f>IFERROR(__xludf.DUMMYFUNCTION("""COMPUTED_VALUE"""),3.0)</f>
        <v>3</v>
      </c>
      <c r="H998" s="94">
        <f t="shared" si="1"/>
        <v>8</v>
      </c>
    </row>
    <row r="999" ht="15.75" customHeight="1">
      <c r="A999" s="94" t="str">
        <f>IFERROR(__xludf.DUMMYFUNCTION("""COMPUTED_VALUE"""),"TGB4")</f>
        <v>TGB4</v>
      </c>
      <c r="B999" s="94"/>
      <c r="C999" s="94"/>
      <c r="D999" s="94"/>
      <c r="E999" s="1429">
        <f>IFERROR(__xludf.DUMMYFUNCTION("""COMPUTED_VALUE"""),45879.0)</f>
        <v>45879</v>
      </c>
      <c r="F999" s="1434">
        <f>IFERROR(__xludf.DUMMYFUNCTION("""COMPUTED_VALUE"""),45883.0)</f>
        <v>45883</v>
      </c>
      <c r="G999" s="1430">
        <f>IFERROR(__xludf.DUMMYFUNCTION("""COMPUTED_VALUE"""),4.0)</f>
        <v>4</v>
      </c>
      <c r="H999" s="94">
        <f t="shared" si="1"/>
        <v>8</v>
      </c>
    </row>
    <row r="1000" ht="15.75" customHeight="1">
      <c r="A1000" s="94" t="str">
        <f>IFERROR(__xludf.DUMMYFUNCTION("""COMPUTED_VALUE"""),"TGA3")</f>
        <v>TGA3</v>
      </c>
      <c r="B1000" s="94"/>
      <c r="C1000" s="94"/>
      <c r="D1000" s="94"/>
      <c r="E1000" s="1429">
        <f>IFERROR(__xludf.DUMMYFUNCTION("""COMPUTED_VALUE"""),45879.0)</f>
        <v>45879</v>
      </c>
      <c r="F1000" s="1434">
        <f>IFERROR(__xludf.DUMMYFUNCTION("""COMPUTED_VALUE"""),45883.0)</f>
        <v>45883</v>
      </c>
      <c r="G1000" s="1430">
        <f>IFERROR(__xludf.DUMMYFUNCTION("""COMPUTED_VALUE"""),4.0)</f>
        <v>4</v>
      </c>
      <c r="H1000" s="94">
        <f t="shared" si="1"/>
        <v>8</v>
      </c>
    </row>
    <row r="1001" ht="15.75" customHeight="1">
      <c r="A1001" s="94" t="str">
        <f>IFERROR(__xludf.DUMMYFUNCTION("""COMPUTED_VALUE"""),"TGB3")</f>
        <v>TGB3</v>
      </c>
      <c r="B1001" s="94"/>
      <c r="C1001" s="94"/>
      <c r="D1001" s="94"/>
      <c r="E1001" s="1429">
        <f>IFERROR(__xludf.DUMMYFUNCTION("""COMPUTED_VALUE"""),45879.0)</f>
        <v>45879</v>
      </c>
      <c r="F1001" s="1429">
        <f>IFERROR(__xludf.DUMMYFUNCTION("""COMPUTED_VALUE"""),45886.0)</f>
        <v>45886</v>
      </c>
      <c r="G1001" s="1430">
        <f>IFERROR(__xludf.DUMMYFUNCTION("""COMPUTED_VALUE"""),7.0)</f>
        <v>7</v>
      </c>
      <c r="H1001" s="94">
        <f t="shared" si="1"/>
        <v>8</v>
      </c>
    </row>
    <row r="1002" ht="15.75" customHeight="1">
      <c r="A1002" s="94" t="str">
        <f>IFERROR(__xludf.DUMMYFUNCTION("""COMPUTED_VALUE"""),"TGA2")</f>
        <v>TGA2</v>
      </c>
      <c r="B1002" s="94"/>
      <c r="C1002" s="94"/>
      <c r="D1002" s="94"/>
      <c r="E1002" s="1429">
        <f>IFERROR(__xludf.DUMMYFUNCTION("""COMPUTED_VALUE"""),45879.0)</f>
        <v>45879</v>
      </c>
      <c r="F1002" s="1429">
        <f>IFERROR(__xludf.DUMMYFUNCTION("""COMPUTED_VALUE"""),45882.0)</f>
        <v>45882</v>
      </c>
      <c r="G1002" s="1430">
        <f>IFERROR(__xludf.DUMMYFUNCTION("""COMPUTED_VALUE"""),3.0)</f>
        <v>3</v>
      </c>
      <c r="H1002" s="94">
        <f t="shared" si="1"/>
        <v>8</v>
      </c>
    </row>
    <row r="1003" ht="15.75" customHeight="1">
      <c r="A1003" s="94" t="str">
        <f>IFERROR(__xludf.DUMMYFUNCTION("""COMPUTED_VALUE"""),"D1 3902")</f>
        <v>D1 3902</v>
      </c>
      <c r="B1003" s="94"/>
      <c r="C1003" s="94"/>
      <c r="D1003" s="94"/>
      <c r="E1003" s="1429">
        <f>IFERROR(__xludf.DUMMYFUNCTION("""COMPUTED_VALUE"""),45879.0)</f>
        <v>45879</v>
      </c>
      <c r="F1003" s="1429">
        <f>IFERROR(__xludf.DUMMYFUNCTION("""COMPUTED_VALUE"""),45882.0)</f>
        <v>45882</v>
      </c>
      <c r="G1003" s="1430">
        <f>IFERROR(__xludf.DUMMYFUNCTION("""COMPUTED_VALUE"""),3.0)</f>
        <v>3</v>
      </c>
      <c r="H1003" s="94">
        <f t="shared" si="1"/>
        <v>8</v>
      </c>
    </row>
    <row r="1004" ht="15.75" customHeight="1">
      <c r="A1004" s="94" t="str">
        <f>IFERROR(__xludf.DUMMYFUNCTION("""COMPUTED_VALUE"""),"WS В 212")</f>
        <v>WS В 212</v>
      </c>
      <c r="B1004" s="94"/>
      <c r="C1004" s="94"/>
      <c r="D1004" s="94"/>
      <c r="E1004" s="1429">
        <f>IFERROR(__xludf.DUMMYFUNCTION("""COMPUTED_VALUE"""),45879.0)</f>
        <v>45879</v>
      </c>
      <c r="F1004" s="1429">
        <f>IFERROR(__xludf.DUMMYFUNCTION("""COMPUTED_VALUE"""),45893.0)</f>
        <v>45893</v>
      </c>
      <c r="G1004" s="1430">
        <f>IFERROR(__xludf.DUMMYFUNCTION("""COMPUTED_VALUE"""),14.0)</f>
        <v>14</v>
      </c>
      <c r="H1004" s="94">
        <f t="shared" si="1"/>
        <v>8</v>
      </c>
    </row>
    <row r="1005" ht="15.75" customHeight="1">
      <c r="A1005" s="94" t="str">
        <f>IFERROR(__xludf.DUMMYFUNCTION("""COMPUTED_VALUE"""),"DL 11-1305")</f>
        <v>DL 11-1305</v>
      </c>
      <c r="B1005" s="94"/>
      <c r="C1005" s="94"/>
      <c r="D1005" s="94"/>
      <c r="E1005" s="1429">
        <f>IFERROR(__xludf.DUMMYFUNCTION("""COMPUTED_VALUE"""),45879.0)</f>
        <v>45879</v>
      </c>
      <c r="F1005" s="1429">
        <f>IFERROR(__xludf.DUMMYFUNCTION("""COMPUTED_VALUE"""),45882.0)</f>
        <v>45882</v>
      </c>
      <c r="G1005" s="1430">
        <f>IFERROR(__xludf.DUMMYFUNCTION("""COMPUTED_VALUE"""),3.0)</f>
        <v>3</v>
      </c>
      <c r="H1005" s="94">
        <f t="shared" si="1"/>
        <v>8</v>
      </c>
    </row>
    <row r="1006" ht="15.75" customHeight="1">
      <c r="A1006" s="94" t="str">
        <f>IFERROR(__xludf.DUMMYFUNCTION("""COMPUTED_VALUE"""),"DL 14-1214")</f>
        <v>DL 14-1214</v>
      </c>
      <c r="B1006" s="94"/>
      <c r="C1006" s="94"/>
      <c r="D1006" s="94"/>
      <c r="E1006" s="1429">
        <f>IFERROR(__xludf.DUMMYFUNCTION("""COMPUTED_VALUE"""),45879.0)</f>
        <v>45879</v>
      </c>
      <c r="F1006" s="1429">
        <f>IFERROR(__xludf.DUMMYFUNCTION("""COMPUTED_VALUE"""),45881.0)</f>
        <v>45881</v>
      </c>
      <c r="G1006" s="1430">
        <f>IFERROR(__xludf.DUMMYFUNCTION("""COMPUTED_VALUE"""),2.0)</f>
        <v>2</v>
      </c>
      <c r="H1006" s="94">
        <f t="shared" si="1"/>
        <v>8</v>
      </c>
    </row>
    <row r="1007" ht="15.75" customHeight="1">
      <c r="A1007" s="94" t="str">
        <f>IFERROR(__xludf.DUMMYFUNCTION("""COMPUTED_VALUE"""),"DL14-1405")</f>
        <v>DL14-1405</v>
      </c>
      <c r="B1007" s="94"/>
      <c r="C1007" s="94"/>
      <c r="D1007" s="94"/>
      <c r="E1007" s="1429">
        <f>IFERROR(__xludf.DUMMYFUNCTION("""COMPUTED_VALUE"""),45879.0)</f>
        <v>45879</v>
      </c>
      <c r="F1007" s="1429">
        <f>IFERROR(__xludf.DUMMYFUNCTION("""COMPUTED_VALUE"""),45881.0)</f>
        <v>45881</v>
      </c>
      <c r="G1007" s="1430">
        <f>IFERROR(__xludf.DUMMYFUNCTION("""COMPUTED_VALUE"""),2.0)</f>
        <v>2</v>
      </c>
      <c r="H1007" s="94">
        <f t="shared" si="1"/>
        <v>8</v>
      </c>
    </row>
    <row r="1008" ht="15.75" customHeight="1">
      <c r="A1008" s="94" t="str">
        <f>IFERROR(__xludf.DUMMYFUNCTION("""COMPUTED_VALUE"""),"DL 13-703")</f>
        <v>DL 13-703</v>
      </c>
      <c r="B1008" s="94"/>
      <c r="C1008" s="94"/>
      <c r="D1008" s="94"/>
      <c r="E1008" s="1429">
        <f>IFERROR(__xludf.DUMMYFUNCTION("""COMPUTED_VALUE"""),45879.0)</f>
        <v>45879</v>
      </c>
      <c r="F1008" s="1429">
        <f>IFERROR(__xludf.DUMMYFUNCTION("""COMPUTED_VALUE"""),45880.0)</f>
        <v>45880</v>
      </c>
      <c r="G1008" s="1430">
        <f>IFERROR(__xludf.DUMMYFUNCTION("""COMPUTED_VALUE"""),1.0)</f>
        <v>1</v>
      </c>
      <c r="H1008" s="94">
        <f t="shared" si="1"/>
        <v>8</v>
      </c>
    </row>
    <row r="1009" ht="15.75" customHeight="1">
      <c r="A1009" s="94" t="str">
        <f>IFERROR(__xludf.DUMMYFUNCTION("""COMPUTED_VALUE"""),"DL14-518")</f>
        <v>DL14-518</v>
      </c>
      <c r="B1009" s="94"/>
      <c r="C1009" s="94"/>
      <c r="D1009" s="94"/>
      <c r="E1009" s="1429">
        <f>IFERROR(__xludf.DUMMYFUNCTION("""COMPUTED_VALUE"""),45879.0)</f>
        <v>45879</v>
      </c>
      <c r="F1009" s="1429">
        <f>IFERROR(__xludf.DUMMYFUNCTION("""COMPUTED_VALUE"""),45884.0)</f>
        <v>45884</v>
      </c>
      <c r="G1009" s="1430">
        <f>IFERROR(__xludf.DUMMYFUNCTION("""COMPUTED_VALUE"""),5.0)</f>
        <v>5</v>
      </c>
      <c r="H1009" s="94">
        <f t="shared" si="1"/>
        <v>8</v>
      </c>
    </row>
    <row r="1010" ht="15.75" customHeight="1">
      <c r="A1010" s="94" t="str">
        <f>IFERROR(__xludf.DUMMYFUNCTION("""COMPUTED_VALUE"""),"14-411")</f>
        <v>14-411</v>
      </c>
      <c r="B1010" s="94"/>
      <c r="C1010" s="94"/>
      <c r="D1010" s="94"/>
      <c r="E1010" s="1429">
        <f>IFERROR(__xludf.DUMMYFUNCTION("""COMPUTED_VALUE"""),45879.0)</f>
        <v>45879</v>
      </c>
      <c r="F1010" s="1429">
        <f>IFERROR(__xludf.DUMMYFUNCTION("""COMPUTED_VALUE"""),45882.0)</f>
        <v>45882</v>
      </c>
      <c r="G1010" s="1430">
        <f>IFERROR(__xludf.DUMMYFUNCTION("""COMPUTED_VALUE"""),3.0)</f>
        <v>3</v>
      </c>
      <c r="H1010" s="94">
        <f t="shared" si="1"/>
        <v>8</v>
      </c>
    </row>
    <row r="1011" ht="15.75" customHeight="1">
      <c r="A1011" s="94" t="str">
        <f>IFERROR(__xludf.DUMMYFUNCTION("""COMPUTED_VALUE"""),"DL 4-09")</f>
        <v>DL 4-09</v>
      </c>
      <c r="B1011" s="94"/>
      <c r="C1011" s="94"/>
      <c r="D1011" s="94"/>
      <c r="E1011" s="1429">
        <f>IFERROR(__xludf.DUMMYFUNCTION("""COMPUTED_VALUE"""),45879.0)</f>
        <v>45879</v>
      </c>
      <c r="F1011" s="1429">
        <f>IFERROR(__xludf.DUMMYFUNCTION("""COMPUTED_VALUE"""),45884.0)</f>
        <v>45884</v>
      </c>
      <c r="G1011" s="1430">
        <f>IFERROR(__xludf.DUMMYFUNCTION("""COMPUTED_VALUE"""),5.0)</f>
        <v>5</v>
      </c>
      <c r="H1011" s="94">
        <f t="shared" si="1"/>
        <v>8</v>
      </c>
    </row>
    <row r="1012" ht="15.75" customHeight="1">
      <c r="A1012" s="94" t="str">
        <f>IFERROR(__xludf.DUMMYFUNCTION("""COMPUTED_VALUE"""),"D2 3216")</f>
        <v>D2 3216</v>
      </c>
      <c r="B1012" s="94"/>
      <c r="C1012" s="94"/>
      <c r="D1012" s="94"/>
      <c r="E1012" s="1429">
        <f>IFERROR(__xludf.DUMMYFUNCTION("""COMPUTED_VALUE"""),45879.0)</f>
        <v>45879</v>
      </c>
      <c r="F1012" s="1434">
        <f>IFERROR(__xludf.DUMMYFUNCTION("""COMPUTED_VALUE"""),45881.0)</f>
        <v>45881</v>
      </c>
      <c r="G1012" s="1430">
        <f>IFERROR(__xludf.DUMMYFUNCTION("""COMPUTED_VALUE"""),2.0)</f>
        <v>2</v>
      </c>
      <c r="H1012" s="94">
        <f t="shared" si="1"/>
        <v>8</v>
      </c>
    </row>
    <row r="1013" ht="15.75" customHeight="1">
      <c r="A1013" s="94" t="str">
        <f>IFERROR(__xludf.DUMMYFUNCTION("""COMPUTED_VALUE"""),"TGB3")</f>
        <v>TGB3</v>
      </c>
      <c r="B1013" s="94"/>
      <c r="C1013" s="94"/>
      <c r="D1013" s="94" t="str">
        <f>IFERROR(__xludf.DUMMYFUNCTION("""COMPUTED_VALUE"""),"6 TG Студии эконом блок Б (Б2, Б3, Б4) (Лот 268016)")</f>
        <v>6 TG Студии эконом блок Б (Б2, Б3, Б4) (Лот 268016)</v>
      </c>
      <c r="E1013" s="1436">
        <f>IFERROR(__xludf.DUMMYFUNCTION("""COMPUTED_VALUE"""),45886.0)</f>
        <v>45886</v>
      </c>
      <c r="F1013" s="1436">
        <f>IFERROR(__xludf.DUMMYFUNCTION("""COMPUTED_VALUE"""),45899.0)</f>
        <v>45899</v>
      </c>
      <c r="G1013" s="1430">
        <f>IFERROR(__xludf.DUMMYFUNCTION("""COMPUTED_VALUE"""),13.0)</f>
        <v>13</v>
      </c>
      <c r="H1013" s="94">
        <f t="shared" si="1"/>
        <v>8</v>
      </c>
    </row>
    <row r="1014" ht="15.75" customHeight="1">
      <c r="A1014" s="94" t="str">
        <f>IFERROR(__xludf.DUMMYFUNCTION("""COMPUTED_VALUE"""),"DL 13-703")</f>
        <v>DL 13-703</v>
      </c>
      <c r="B1014" s="94"/>
      <c r="C1014" s="94"/>
      <c r="D1014" s="431" t="str">
        <f>IFERROR(__xludf.DUMMYFUNCTION("""COMPUTED_VALUE"""),"4 DL 13 - 703 (1+1) (Лот 293099)")</f>
        <v>4 DL 13 - 703 (1+1) (Лот 293099)</v>
      </c>
      <c r="E1014" s="1436">
        <f>IFERROR(__xludf.DUMMYFUNCTION("""COMPUTED_VALUE"""),45886.0)</f>
        <v>45886</v>
      </c>
      <c r="F1014" s="1436">
        <f>IFERROR(__xludf.DUMMYFUNCTION("""COMPUTED_VALUE"""),45891.0)</f>
        <v>45891</v>
      </c>
      <c r="G1014" s="1430">
        <f>IFERROR(__xludf.DUMMYFUNCTION("""COMPUTED_VALUE"""),5.0)</f>
        <v>5</v>
      </c>
      <c r="H1014" s="94">
        <f t="shared" si="1"/>
        <v>8</v>
      </c>
    </row>
    <row r="1015" ht="15.75" customHeight="1">
      <c r="A1015" s="94" t="str">
        <f>IFERROR(__xludf.DUMMYFUNCTION("""COMPUTED_VALUE"""),"TGB4")</f>
        <v>TGB4</v>
      </c>
      <c r="B1015" s="94"/>
      <c r="C1015" s="94"/>
      <c r="D1015" s="94" t="str">
        <f>IFERROR(__xludf.DUMMYFUNCTION("""COMPUTED_VALUE"""),"6 TG Студии эконом блок Б (Б2, Б3, Б4) (Лот 268016)")</f>
        <v>6 TG Студии эконом блок Б (Б2, Б3, Б4) (Лот 268016)</v>
      </c>
      <c r="E1015" s="1436">
        <f>IFERROR(__xludf.DUMMYFUNCTION("""COMPUTED_VALUE"""),45886.0)</f>
        <v>45886</v>
      </c>
      <c r="F1015" s="1436">
        <f>IFERROR(__xludf.DUMMYFUNCTION("""COMPUTED_VALUE"""),45892.0)</f>
        <v>45892</v>
      </c>
      <c r="G1015" s="1430">
        <f>IFERROR(__xludf.DUMMYFUNCTION("""COMPUTED_VALUE"""),6.0)</f>
        <v>6</v>
      </c>
      <c r="H1015" s="94">
        <f t="shared" si="1"/>
        <v>8</v>
      </c>
    </row>
    <row r="1016" ht="15.75" customHeight="1">
      <c r="A1016" s="1164" t="str">
        <f>IFERROR(__xludf.DUMMYFUNCTION("""COMPUTED_VALUE"""),"DL 11-1305")</f>
        <v>DL 11-1305</v>
      </c>
      <c r="B1016" s="94"/>
      <c r="C1016" s="94"/>
      <c r="D1016" s="431" t="str">
        <f>IFERROR(__xludf.DUMMYFUNCTION("""COMPUTED_VALUE"""),"4 DL 11 - 1305 (1+1) (Лот 234970)")</f>
        <v>4 DL 11 - 1305 (1+1) (Лот 234970)</v>
      </c>
      <c r="E1016" s="1436">
        <f>IFERROR(__xludf.DUMMYFUNCTION("""COMPUTED_VALUE"""),45886.0)</f>
        <v>45886</v>
      </c>
      <c r="F1016" s="1436">
        <f>IFERROR(__xludf.DUMMYFUNCTION("""COMPUTED_VALUE"""),45888.0)</f>
        <v>45888</v>
      </c>
      <c r="G1016" s="1430">
        <f>IFERROR(__xludf.DUMMYFUNCTION("""COMPUTED_VALUE"""),2.0)</f>
        <v>2</v>
      </c>
      <c r="H1016" s="94">
        <f t="shared" si="1"/>
        <v>8</v>
      </c>
    </row>
    <row r="1017" ht="15.75" customHeight="1">
      <c r="A1017" s="94" t="str">
        <f>IFERROR(__xludf.DUMMYFUNCTION("""COMPUTED_VALUE"""),"PT2704")</f>
        <v>PT2704</v>
      </c>
      <c r="B1017" s="94"/>
      <c r="C1017" s="94"/>
      <c r="D1017" s="94" t="str">
        <f>IFERROR(__xludf.DUMMYFUNCTION("""COMPUTED_VALUE"""),"3 PB 2704 (Лот 265740)")</f>
        <v>3 PB 2704 (Лот 265740)</v>
      </c>
      <c r="E1017" s="1436">
        <f>IFERROR(__xludf.DUMMYFUNCTION("""COMPUTED_VALUE"""),45885.0)</f>
        <v>45885</v>
      </c>
      <c r="F1017" s="1436">
        <f>IFERROR(__xludf.DUMMYFUNCTION("""COMPUTED_VALUE"""),45888.0)</f>
        <v>45888</v>
      </c>
      <c r="G1017" s="1430">
        <f>IFERROR(__xludf.DUMMYFUNCTION("""COMPUTED_VALUE"""),3.0)</f>
        <v>3</v>
      </c>
      <c r="H1017" s="94">
        <f t="shared" si="1"/>
        <v>8</v>
      </c>
    </row>
    <row r="1018" ht="15.75" customHeight="1">
      <c r="A1018" s="1164" t="str">
        <f>IFERROR(__xludf.DUMMYFUNCTION("""COMPUTED_VALUE"""),"D2 1625")</f>
        <v>D2 1625</v>
      </c>
      <c r="B1018" s="94"/>
      <c r="C1018" s="94"/>
      <c r="D1018" s="94" t="str">
        <f>IFERROR(__xludf.DUMMYFUNCTION("""COMPUTED_VALUE"""),"2 Orbi D2 1625 (Лот 233308)")</f>
        <v>2 Orbi D2 1625 (Лот 233308)</v>
      </c>
      <c r="E1018" s="1436">
        <f>IFERROR(__xludf.DUMMYFUNCTION("""COMPUTED_VALUE"""),45885.0)</f>
        <v>45885</v>
      </c>
      <c r="F1018" s="1436">
        <f>IFERROR(__xludf.DUMMYFUNCTION("""COMPUTED_VALUE"""),45893.0)</f>
        <v>45893</v>
      </c>
      <c r="G1018" s="1430">
        <f>IFERROR(__xludf.DUMMYFUNCTION("""COMPUTED_VALUE"""),8.0)</f>
        <v>8</v>
      </c>
      <c r="H1018" s="94">
        <f t="shared" si="1"/>
        <v>8</v>
      </c>
    </row>
    <row r="1019" ht="15.75" customHeight="1">
      <c r="A1019" s="1164" t="str">
        <f>IFERROR(__xludf.DUMMYFUNCTION("""COMPUTED_VALUE"""),"WS E704")</f>
        <v>WS E704</v>
      </c>
      <c r="B1019" s="94"/>
      <c r="C1019" s="94"/>
      <c r="D1019" s="94" t="str">
        <f>IFERROR(__xludf.DUMMYFUNCTION("""COMPUTED_VALUE"""),"1 WS E 704 (Лот 233383)")</f>
        <v>1 WS E 704 (Лот 233383)</v>
      </c>
      <c r="E1019" s="1436">
        <f>IFERROR(__xludf.DUMMYFUNCTION("""COMPUTED_VALUE"""),45885.0)</f>
        <v>45885</v>
      </c>
      <c r="F1019" s="1436">
        <f>IFERROR(__xludf.DUMMYFUNCTION("""COMPUTED_VALUE"""),45898.0)</f>
        <v>45898</v>
      </c>
      <c r="G1019" s="1430">
        <f>IFERROR(__xludf.DUMMYFUNCTION("""COMPUTED_VALUE"""),13.0)</f>
        <v>13</v>
      </c>
      <c r="H1019" s="94">
        <f t="shared" si="1"/>
        <v>8</v>
      </c>
    </row>
    <row r="1020" ht="15.75" customHeight="1">
      <c r="A1020" s="94" t="str">
        <f>IFERROR(__xludf.DUMMYFUNCTION("""COMPUTED_VALUE"""),"MZ 1416")</f>
        <v>MZ 1416</v>
      </c>
      <c r="B1020" s="94"/>
      <c r="C1020" s="94"/>
      <c r="D1020" s="94" t="str">
        <f>IFERROR(__xludf.DUMMYFUNCTION("""COMPUTED_VALUE"""),"3 MZ 1416 (Лот 289819)")</f>
        <v>3 MZ 1416 (Лот 289819)</v>
      </c>
      <c r="E1020" s="1436">
        <f>IFERROR(__xludf.DUMMYFUNCTION("""COMPUTED_VALUE"""),45885.0)</f>
        <v>45885</v>
      </c>
      <c r="F1020" s="1436">
        <f>IFERROR(__xludf.DUMMYFUNCTION("""COMPUTED_VALUE"""),45888.0)</f>
        <v>45888</v>
      </c>
      <c r="G1020" s="1430">
        <f>IFERROR(__xludf.DUMMYFUNCTION("""COMPUTED_VALUE"""),3.0)</f>
        <v>3</v>
      </c>
      <c r="H1020" s="94">
        <f t="shared" si="1"/>
        <v>8</v>
      </c>
    </row>
    <row r="1021" ht="15.75" customHeight="1">
      <c r="A1021" s="94" t="str">
        <f>IFERROR(__xludf.DUMMYFUNCTION("""COMPUTED_VALUE"""),"MZ 1408")</f>
        <v>MZ 1408</v>
      </c>
      <c r="B1021" s="94"/>
      <c r="C1021" s="94"/>
      <c r="D1021" s="94" t="str">
        <f>IFERROR(__xludf.DUMMYFUNCTION("""COMPUTED_VALUE"""),"3 MZ 1408 (Лот 289834)")</f>
        <v>3 MZ 1408 (Лот 289834)</v>
      </c>
      <c r="E1021" s="1436">
        <f>IFERROR(__xludf.DUMMYFUNCTION("""COMPUTED_VALUE"""),45885.0)</f>
        <v>45885</v>
      </c>
      <c r="F1021" s="1436">
        <f>IFERROR(__xludf.DUMMYFUNCTION("""COMPUTED_VALUE"""),45889.0)</f>
        <v>45889</v>
      </c>
      <c r="G1021" s="1430">
        <f>IFERROR(__xludf.DUMMYFUNCTION("""COMPUTED_VALUE"""),4.0)</f>
        <v>4</v>
      </c>
      <c r="H1021" s="94">
        <f t="shared" si="1"/>
        <v>8</v>
      </c>
    </row>
    <row r="1022" ht="15.75" customHeight="1">
      <c r="A1022" s="94" t="str">
        <f>IFERROR(__xludf.DUMMYFUNCTION("""COMPUTED_VALUE"""),"MZ 913")</f>
        <v>MZ 913</v>
      </c>
      <c r="B1022" s="94"/>
      <c r="C1022" s="94"/>
      <c r="D1022" s="94" t="str">
        <f>IFERROR(__xludf.DUMMYFUNCTION("""COMPUTED_VALUE"""),"3 MZ 718, 913 (Лот 269699)")</f>
        <v>3 MZ 718, 913 (Лот 269699)</v>
      </c>
      <c r="E1022" s="1436">
        <f>IFERROR(__xludf.DUMMYFUNCTION("""COMPUTED_VALUE"""),45885.0)</f>
        <v>45885</v>
      </c>
      <c r="F1022" s="1436">
        <f>IFERROR(__xludf.DUMMYFUNCTION("""COMPUTED_VALUE"""),45889.0)</f>
        <v>45889</v>
      </c>
      <c r="G1022" s="1430">
        <f>IFERROR(__xludf.DUMMYFUNCTION("""COMPUTED_VALUE"""),4.0)</f>
        <v>4</v>
      </c>
      <c r="H1022" s="94">
        <f t="shared" si="1"/>
        <v>8</v>
      </c>
    </row>
    <row r="1023" ht="15.75" customHeight="1">
      <c r="A1023" s="94" t="str">
        <f>IFERROR(__xludf.DUMMYFUNCTION("""COMPUTED_VALUE"""),"NW 2-5")</f>
        <v>NW 2-5</v>
      </c>
      <c r="B1023" s="94"/>
      <c r="C1023" s="94"/>
      <c r="D1023" s="94" t="str">
        <f>IFERROR(__xludf.DUMMYFUNCTION("""COMPUTED_VALUE"""),"3 NW 205 (Лот 295811)")</f>
        <v>3 NW 205 (Лот 295811)</v>
      </c>
      <c r="E1023" s="1436">
        <f>IFERROR(__xludf.DUMMYFUNCTION("""COMPUTED_VALUE"""),45885.0)</f>
        <v>45885</v>
      </c>
      <c r="F1023" s="1436">
        <f>IFERROR(__xludf.DUMMYFUNCTION("""COMPUTED_VALUE"""),45893.0)</f>
        <v>45893</v>
      </c>
      <c r="G1023" s="1430">
        <f>IFERROR(__xludf.DUMMYFUNCTION("""COMPUTED_VALUE"""),8.0)</f>
        <v>8</v>
      </c>
      <c r="H1023" s="94">
        <f t="shared" si="1"/>
        <v>8</v>
      </c>
    </row>
    <row r="1024" ht="15.75" customHeight="1">
      <c r="A1024" s="1164" t="str">
        <f>IFERROR(__xludf.DUMMYFUNCTION("""COMPUTED_VALUE"""),"CM 1606")</f>
        <v>CM 1606</v>
      </c>
      <c r="B1024" s="94"/>
      <c r="C1024" s="94"/>
      <c r="D1024" s="94" t="str">
        <f>IFERROR(__xludf.DUMMYFUNCTION("""COMPUTED_VALUE"""),"3 Mar 1606 (Лот 233302)")</f>
        <v>3 Mar 1606 (Лот 233302)</v>
      </c>
      <c r="E1024" s="1436">
        <f>IFERROR(__xludf.DUMMYFUNCTION("""COMPUTED_VALUE"""),45885.0)</f>
        <v>45885</v>
      </c>
      <c r="F1024" s="1436">
        <f>IFERROR(__xludf.DUMMYFUNCTION("""COMPUTED_VALUE"""),45888.0)</f>
        <v>45888</v>
      </c>
      <c r="G1024" s="1430">
        <f>IFERROR(__xludf.DUMMYFUNCTION("""COMPUTED_VALUE"""),3.0)</f>
        <v>3</v>
      </c>
      <c r="H1024" s="94">
        <f t="shared" si="1"/>
        <v>8</v>
      </c>
    </row>
    <row r="1025" ht="15.75" customHeight="1">
      <c r="A1025" s="94" t="str">
        <f>IFERROR(__xludf.DUMMYFUNCTION("""COMPUTED_VALUE"""),"TGB6")</f>
        <v>TGB6</v>
      </c>
      <c r="B1025" s="94"/>
      <c r="C1025" s="94"/>
      <c r="D1025" s="94" t="str">
        <f>IFERROR(__xludf.DUMMYFUNCTION("""COMPUTED_VALUE"""),"6 TG 1+1 Sunset (Б6, Б7) (Лот 268008)")</f>
        <v>6 TG 1+1 Sunset (Б6, Б7) (Лот 268008)</v>
      </c>
      <c r="E1025" s="1436">
        <f>IFERROR(__xludf.DUMMYFUNCTION("""COMPUTED_VALUE"""),45885.0)</f>
        <v>45885</v>
      </c>
      <c r="F1025" s="1436">
        <f>IFERROR(__xludf.DUMMYFUNCTION("""COMPUTED_VALUE"""),45890.0)</f>
        <v>45890</v>
      </c>
      <c r="G1025" s="1430">
        <f>IFERROR(__xludf.DUMMYFUNCTION("""COMPUTED_VALUE"""),5.0)</f>
        <v>5</v>
      </c>
      <c r="H1025" s="94">
        <f t="shared" si="1"/>
        <v>8</v>
      </c>
    </row>
    <row r="1026" ht="15.75" customHeight="1">
      <c r="A1026" s="1164" t="str">
        <f>IFERROR(__xludf.DUMMYFUNCTION("""COMPUTED_VALUE"""),"CM 1931")</f>
        <v>CM 1931</v>
      </c>
      <c r="B1026" s="94"/>
      <c r="C1026" s="94"/>
      <c r="D1026" s="94" t="str">
        <f>IFERROR(__xludf.DUMMYFUNCTION("""COMPUTED_VALUE"""),"3 Mar 1931 (Лот 233381)")</f>
        <v>3 Mar 1931 (Лот 233381)</v>
      </c>
      <c r="E1026" s="1436">
        <f>IFERROR(__xludf.DUMMYFUNCTION("""COMPUTED_VALUE"""),45885.0)</f>
        <v>45885</v>
      </c>
      <c r="F1026" s="1436">
        <f>IFERROR(__xludf.DUMMYFUNCTION("""COMPUTED_VALUE"""),45890.0)</f>
        <v>45890</v>
      </c>
      <c r="G1026" s="1430">
        <f>IFERROR(__xludf.DUMMYFUNCTION("""COMPUTED_VALUE"""),5.0)</f>
        <v>5</v>
      </c>
      <c r="H1026" s="94">
        <f t="shared" si="1"/>
        <v>8</v>
      </c>
    </row>
    <row r="1027" ht="15.75" customHeight="1">
      <c r="A1027" s="94" t="str">
        <f>IFERROR(__xludf.DUMMYFUNCTION("""COMPUTED_VALUE"""),"TGB8")</f>
        <v>TGB8</v>
      </c>
      <c r="B1027" s="94"/>
      <c r="C1027" s="94"/>
      <c r="D1027" s="94" t="str">
        <f>IFERROR(__xludf.DUMMYFUNCTION("""COMPUTED_VALUE"""),"6 TG c 1 сп. блок А (А2, А4, А7, B8, A9) (Лот 263239)")</f>
        <v>6 TG c 1 сп. блок А (А2, А4, А7, B8, A9) (Лот 263239)</v>
      </c>
      <c r="E1027" s="1436">
        <f>IFERROR(__xludf.DUMMYFUNCTION("""COMPUTED_VALUE"""),45885.0)</f>
        <v>45885</v>
      </c>
      <c r="F1027" s="1436">
        <f>IFERROR(__xludf.DUMMYFUNCTION("""COMPUTED_VALUE"""),45893.0)</f>
        <v>45893</v>
      </c>
      <c r="G1027" s="1430">
        <f>IFERROR(__xludf.DUMMYFUNCTION("""COMPUTED_VALUE"""),8.0)</f>
        <v>8</v>
      </c>
      <c r="H1027" s="94">
        <f t="shared" si="1"/>
        <v>8</v>
      </c>
    </row>
    <row r="1028" ht="15.75" customHeight="1">
      <c r="A1028" s="94" t="str">
        <f>IFERROR(__xludf.DUMMYFUNCTION("""COMPUTED_VALUE"""),"TGA9")</f>
        <v>TGA9</v>
      </c>
      <c r="B1028" s="94"/>
      <c r="C1028" s="94"/>
      <c r="D1028" s="94" t="str">
        <f>IFERROR(__xludf.DUMMYFUNCTION("""COMPUTED_VALUE"""),"6 TG c 1 сп. блок А (А2, А4, А7, B8, A9) (Лот 263239)")</f>
        <v>6 TG c 1 сп. блок А (А2, А4, А7, B8, A9) (Лот 263239)</v>
      </c>
      <c r="E1028" s="1436">
        <f>IFERROR(__xludf.DUMMYFUNCTION("""COMPUTED_VALUE"""),45885.0)</f>
        <v>45885</v>
      </c>
      <c r="F1028" s="1436">
        <f>IFERROR(__xludf.DUMMYFUNCTION("""COMPUTED_VALUE"""),45889.0)</f>
        <v>45889</v>
      </c>
      <c r="G1028" s="1430">
        <f>IFERROR(__xludf.DUMMYFUNCTION("""COMPUTED_VALUE"""),4.0)</f>
        <v>4</v>
      </c>
      <c r="H1028" s="94">
        <f t="shared" si="1"/>
        <v>8</v>
      </c>
    </row>
    <row r="1029" ht="15.75" customHeight="1">
      <c r="A1029" s="94" t="str">
        <f>IFERROR(__xludf.DUMMYFUNCTION("""COMPUTED_VALUE"""),"TGA2")</f>
        <v>TGA2</v>
      </c>
      <c r="B1029" s="94"/>
      <c r="C1029" s="94"/>
      <c r="D1029" s="94" t="str">
        <f>IFERROR(__xludf.DUMMYFUNCTION("""COMPUTED_VALUE"""),"6 TG c 1 сп. блок А (А2, А4, А7, B8, A9) (Лот 263239)")</f>
        <v>6 TG c 1 сп. блок А (А2, А4, А7, B8, A9) (Лот 263239)</v>
      </c>
      <c r="E1029" s="1436">
        <f>IFERROR(__xludf.DUMMYFUNCTION("""COMPUTED_VALUE"""),45885.0)</f>
        <v>45885</v>
      </c>
      <c r="F1029" s="1436">
        <f>IFERROR(__xludf.DUMMYFUNCTION("""COMPUTED_VALUE"""),45889.0)</f>
        <v>45889</v>
      </c>
      <c r="G1029" s="1430">
        <f>IFERROR(__xludf.DUMMYFUNCTION("""COMPUTED_VALUE"""),4.0)</f>
        <v>4</v>
      </c>
      <c r="H1029" s="94">
        <f t="shared" si="1"/>
        <v>8</v>
      </c>
    </row>
    <row r="1030" ht="15.75" customHeight="1">
      <c r="A1030" s="1164" t="str">
        <f>IFERROR(__xludf.DUMMYFUNCTION("""COMPUTED_VALUE"""),"Steps 1108")</f>
        <v>Steps 1108</v>
      </c>
      <c r="B1030" s="94"/>
      <c r="C1030" s="94"/>
      <c r="D1030" s="94" t="str">
        <f>IFERROR(__xludf.DUMMYFUNCTION("""COMPUTED_VALUE"""),"1. Steps 1108 (Лот 233301)")</f>
        <v>1. Steps 1108 (Лот 233301)</v>
      </c>
      <c r="E1030" s="1436">
        <f>IFERROR(__xludf.DUMMYFUNCTION("""COMPUTED_VALUE"""),45885.0)</f>
        <v>45885</v>
      </c>
      <c r="F1030" s="1436">
        <f>IFERROR(__xludf.DUMMYFUNCTION("""COMPUTED_VALUE"""),45894.0)</f>
        <v>45894</v>
      </c>
      <c r="G1030" s="1430">
        <f>IFERROR(__xludf.DUMMYFUNCTION("""COMPUTED_VALUE"""),9.0)</f>
        <v>9</v>
      </c>
      <c r="H1030" s="94">
        <f t="shared" si="1"/>
        <v>8</v>
      </c>
    </row>
    <row r="1031" ht="15.75" customHeight="1">
      <c r="A1031" s="94" t="str">
        <f>IFERROR(__xludf.DUMMYFUNCTION("""COMPUTED_VALUE"""),"WS F1103")</f>
        <v>WS F1103</v>
      </c>
      <c r="B1031" s="94"/>
      <c r="C1031" s="94"/>
      <c r="D1031" s="94" t="str">
        <f>IFERROR(__xludf.DUMMYFUNCTION("""COMPUTED_VALUE"""),"1 WS F 1103 (Лот 286819)")</f>
        <v>1 WS F 1103 (Лот 286819)</v>
      </c>
      <c r="E1031" s="1436">
        <f>IFERROR(__xludf.DUMMYFUNCTION("""COMPUTED_VALUE"""),45885.0)</f>
        <v>45885</v>
      </c>
      <c r="F1031" s="1436">
        <f>IFERROR(__xludf.DUMMYFUNCTION("""COMPUTED_VALUE"""),45894.0)</f>
        <v>45894</v>
      </c>
      <c r="G1031" s="1430">
        <f>IFERROR(__xludf.DUMMYFUNCTION("""COMPUTED_VALUE"""),9.0)</f>
        <v>9</v>
      </c>
      <c r="H1031" s="94">
        <f t="shared" si="1"/>
        <v>8</v>
      </c>
    </row>
    <row r="1032" ht="15.75" customHeight="1">
      <c r="A1032" s="1164" t="str">
        <f>IFERROR(__xludf.DUMMYFUNCTION("""COMPUTED_VALUE"""),"WS В 503")</f>
        <v>WS В 503</v>
      </c>
      <c r="B1032" s="94"/>
      <c r="C1032" s="94"/>
      <c r="D1032" s="94" t="str">
        <f>IFERROR(__xludf.DUMMYFUNCTION("""COMPUTED_VALUE"""),"1 WS B 503 (Лот 233403)")</f>
        <v>1 WS B 503 (Лот 233403)</v>
      </c>
      <c r="E1032" s="1436">
        <f>IFERROR(__xludf.DUMMYFUNCTION("""COMPUTED_VALUE"""),45885.0)</f>
        <v>45885</v>
      </c>
      <c r="F1032" s="1436">
        <f>IFERROR(__xludf.DUMMYFUNCTION("""COMPUTED_VALUE"""),45891.0)</f>
        <v>45891</v>
      </c>
      <c r="G1032" s="1430">
        <f>IFERROR(__xludf.DUMMYFUNCTION("""COMPUTED_VALUE"""),6.0)</f>
        <v>6</v>
      </c>
      <c r="H1032" s="94">
        <f t="shared" si="1"/>
        <v>8</v>
      </c>
    </row>
    <row r="1033" ht="15.75" customHeight="1">
      <c r="A1033" s="1164" t="str">
        <f>IFERROR(__xludf.DUMMYFUNCTION("""COMPUTED_VALUE"""),"DL14-518")</f>
        <v>DL14-518</v>
      </c>
      <c r="B1033" s="94"/>
      <c r="C1033" s="94"/>
      <c r="D1033" s="431" t="str">
        <f>IFERROR(__xludf.DUMMYFUNCTION("""COMPUTED_VALUE"""),"4 DL 14 - 518 (Лот 233360)")</f>
        <v>4 DL 14 - 518 (Лот 233360)</v>
      </c>
      <c r="E1033" s="1436">
        <f>IFERROR(__xludf.DUMMYFUNCTION("""COMPUTED_VALUE"""),45885.0)</f>
        <v>45885</v>
      </c>
      <c r="F1033" s="1436">
        <f>IFERROR(__xludf.DUMMYFUNCTION("""COMPUTED_VALUE"""),45889.0)</f>
        <v>45889</v>
      </c>
      <c r="G1033" s="1430">
        <f>IFERROR(__xludf.DUMMYFUNCTION("""COMPUTED_VALUE"""),4.0)</f>
        <v>4</v>
      </c>
      <c r="H1033" s="94">
        <f t="shared" si="1"/>
        <v>8</v>
      </c>
    </row>
    <row r="1034" ht="15.75" customHeight="1">
      <c r="A1034" s="94" t="str">
        <f>IFERROR(__xludf.DUMMYFUNCTION("""COMPUTED_VALUE"""),"4 DL 14 - 1214 (Лот 233420)")</f>
        <v>4 DL 14 - 1214 (Лот 233420)</v>
      </c>
      <c r="B1034" s="94"/>
      <c r="C1034" s="94"/>
      <c r="D1034" s="94" t="str">
        <f>IFERROR(__xludf.DUMMYFUNCTION("""COMPUTED_VALUE"""),"4.DL 14-1214 (Лот 233420)")</f>
        <v>4.DL 14-1214 (Лот 233420)</v>
      </c>
      <c r="E1034" s="1436">
        <f>IFERROR(__xludf.DUMMYFUNCTION("""COMPUTED_VALUE"""),45885.0)</f>
        <v>45885</v>
      </c>
      <c r="F1034" s="1436">
        <f>IFERROR(__xludf.DUMMYFUNCTION("""COMPUTED_VALUE"""),45887.0)</f>
        <v>45887</v>
      </c>
      <c r="G1034" s="1430">
        <f>IFERROR(__xludf.DUMMYFUNCTION("""COMPUTED_VALUE"""),2.0)</f>
        <v>2</v>
      </c>
      <c r="H1034" s="94">
        <f t="shared" si="1"/>
        <v>8</v>
      </c>
    </row>
    <row r="1035" ht="15.75" customHeight="1">
      <c r="A1035" s="94" t="str">
        <f>IFERROR(__xludf.DUMMYFUNCTION("""COMPUTED_VALUE"""),"D1 3902")</f>
        <v>D1 3902</v>
      </c>
      <c r="B1035" s="94"/>
      <c r="C1035" s="94"/>
      <c r="D1035" s="94" t="str">
        <f>IFERROR(__xludf.DUMMYFUNCTION("""COMPUTED_VALUE"""),"2 Orbi D 3902 (Лот 293635)")</f>
        <v>2 Orbi D 3902 (Лот 293635)</v>
      </c>
      <c r="E1035" s="1436">
        <f>IFERROR(__xludf.DUMMYFUNCTION("""COMPUTED_VALUE"""),45885.0)</f>
        <v>45885</v>
      </c>
      <c r="F1035" s="1436">
        <f>IFERROR(__xludf.DUMMYFUNCTION("""COMPUTED_VALUE"""),45889.0)</f>
        <v>45889</v>
      </c>
      <c r="G1035" s="1430">
        <f>IFERROR(__xludf.DUMMYFUNCTION("""COMPUTED_VALUE"""),4.0)</f>
        <v>4</v>
      </c>
      <c r="H1035" s="94">
        <f t="shared" si="1"/>
        <v>8</v>
      </c>
    </row>
    <row r="1036" ht="15.75" customHeight="1">
      <c r="A1036" s="1164" t="str">
        <f>IFERROR(__xludf.DUMMYFUNCTION("""COMPUTED_VALUE"""),"DL 14-516")</f>
        <v>DL 14-516</v>
      </c>
      <c r="B1036" s="94"/>
      <c r="C1036" s="94"/>
      <c r="D1036" s="431" t="str">
        <f>IFERROR(__xludf.DUMMYFUNCTION("""COMPUTED_VALUE"""),"4 DL 14 - 516 (1+1) (Лот 233401)")</f>
        <v>4 DL 14 - 516 (1+1) (Лот 233401)</v>
      </c>
      <c r="E1036" s="1436">
        <f>IFERROR(__xludf.DUMMYFUNCTION("""COMPUTED_VALUE"""),45885.0)</f>
        <v>45885</v>
      </c>
      <c r="F1036" s="1436">
        <f>IFERROR(__xludf.DUMMYFUNCTION("""COMPUTED_VALUE"""),45889.0)</f>
        <v>45889</v>
      </c>
      <c r="G1036" s="1430">
        <f>IFERROR(__xludf.DUMMYFUNCTION("""COMPUTED_VALUE"""),4.0)</f>
        <v>4</v>
      </c>
      <c r="H1036" s="94">
        <f t="shared" si="1"/>
        <v>8</v>
      </c>
    </row>
    <row r="1037" ht="15.75" customHeight="1">
      <c r="A1037" s="94" t="str">
        <f>IFERROR(__xludf.DUMMYFUNCTION("""COMPUTED_VALUE"""),"TGA8")</f>
        <v>TGA8</v>
      </c>
      <c r="B1037" s="94"/>
      <c r="C1037" s="94"/>
      <c r="D1037" s="94" t="str">
        <f>IFERROR(__xludf.DUMMYFUNCTION("""COMPUTED_VALUE"""),"6 TG Студия с видом на море А3, А5, А6, А8 (Лот 268012)")</f>
        <v>6 TG Студия с видом на море А3, А5, А6, А8 (Лот 268012)</v>
      </c>
      <c r="E1037" s="1436">
        <f>IFERROR(__xludf.DUMMYFUNCTION("""COMPUTED_VALUE"""),45885.0)</f>
        <v>45885</v>
      </c>
      <c r="F1037" s="1436">
        <f>IFERROR(__xludf.DUMMYFUNCTION("""COMPUTED_VALUE"""),45890.0)</f>
        <v>45890</v>
      </c>
      <c r="G1037" s="1430">
        <f>IFERROR(__xludf.DUMMYFUNCTION("""COMPUTED_VALUE"""),5.0)</f>
        <v>5</v>
      </c>
      <c r="H1037" s="94">
        <f t="shared" si="1"/>
        <v>8</v>
      </c>
    </row>
    <row r="1038" ht="15.75" customHeight="1">
      <c r="A1038" s="1164" t="str">
        <f>IFERROR(__xludf.DUMMYFUNCTION("""COMPUTED_VALUE"""),"C 4245")</f>
        <v>C 4245</v>
      </c>
      <c r="B1038" s="94"/>
      <c r="C1038" s="94"/>
      <c r="D1038" s="94" t="str">
        <f>IFERROR(__xludf.DUMMYFUNCTION("""COMPUTED_VALUE"""),"2 Orbi C 4245 (Лот 233298)")</f>
        <v>2 Orbi C 4245 (Лот 233298)</v>
      </c>
      <c r="E1038" s="1436">
        <f>IFERROR(__xludf.DUMMYFUNCTION("""COMPUTED_VALUE"""),45885.0)</f>
        <v>45885</v>
      </c>
      <c r="F1038" s="1436">
        <f>IFERROR(__xludf.DUMMYFUNCTION("""COMPUTED_VALUE"""),45887.0)</f>
        <v>45887</v>
      </c>
      <c r="G1038" s="1430">
        <f>IFERROR(__xludf.DUMMYFUNCTION("""COMPUTED_VALUE"""),2.0)</f>
        <v>2</v>
      </c>
      <c r="H1038" s="94">
        <f t="shared" si="1"/>
        <v>8</v>
      </c>
    </row>
    <row r="1039" ht="15.75" customHeight="1">
      <c r="A1039" s="94" t="str">
        <f>IFERROR(__xludf.DUMMYFUNCTION("""COMPUTED_VALUE"""),"NW 3-7")</f>
        <v>NW 3-7</v>
      </c>
      <c r="B1039" s="94"/>
      <c r="C1039" s="94"/>
      <c r="D1039" s="94" t="str">
        <f>IFERROR(__xludf.DUMMYFUNCTION("""COMPUTED_VALUE"""),"3 NW 307 (Лот 289960)")</f>
        <v>3 NW 307 (Лот 289960)</v>
      </c>
      <c r="E1039" s="1436">
        <f>IFERROR(__xludf.DUMMYFUNCTION("""COMPUTED_VALUE"""),45885.0)</f>
        <v>45885</v>
      </c>
      <c r="F1039" s="1436">
        <f>IFERROR(__xludf.DUMMYFUNCTION("""COMPUTED_VALUE"""),45888.0)</f>
        <v>45888</v>
      </c>
      <c r="G1039" s="1430">
        <f>IFERROR(__xludf.DUMMYFUNCTION("""COMPUTED_VALUE"""),3.0)</f>
        <v>3</v>
      </c>
      <c r="H1039" s="94">
        <f t="shared" si="1"/>
        <v>8</v>
      </c>
    </row>
    <row r="1040" ht="15.75" customHeight="1">
      <c r="A1040" s="94" t="str">
        <f>IFERROR(__xludf.DUMMYFUNCTION("""COMPUTED_VALUE"""),"TGB10")</f>
        <v>TGB10</v>
      </c>
      <c r="B1040" s="94"/>
      <c r="C1040" s="94"/>
      <c r="D1040" s="94" t="str">
        <f>IFERROR(__xludf.DUMMYFUNCTION("""COMPUTED_VALUE"""),"6 TG Студии с террасой (B9, B10) (Лот 268006)")</f>
        <v>6 TG Студии с террасой (B9, B10) (Лот 268006)</v>
      </c>
      <c r="E1040" s="1436">
        <f>IFERROR(__xludf.DUMMYFUNCTION("""COMPUTED_VALUE"""),45885.0)</f>
        <v>45885</v>
      </c>
      <c r="F1040" s="1436">
        <f>IFERROR(__xludf.DUMMYFUNCTION("""COMPUTED_VALUE"""),45888.0)</f>
        <v>45888</v>
      </c>
      <c r="G1040" s="1430">
        <f>IFERROR(__xludf.DUMMYFUNCTION("""COMPUTED_VALUE"""),3.0)</f>
        <v>3</v>
      </c>
      <c r="H1040" s="94">
        <f t="shared" si="1"/>
        <v>8</v>
      </c>
    </row>
    <row r="1041" ht="15.75" customHeight="1">
      <c r="A1041" s="94" t="str">
        <f>IFERROR(__xludf.DUMMYFUNCTION("""COMPUTED_VALUE"""),"DL 13-703")</f>
        <v>DL 13-703</v>
      </c>
      <c r="B1041" s="94"/>
      <c r="C1041" s="94"/>
      <c r="D1041" s="431" t="str">
        <f>IFERROR(__xludf.DUMMYFUNCTION("""COMPUTED_VALUE"""),"4 DL 13 - 703 (1+1) (Лот 293099)")</f>
        <v>4 DL 13 - 703 (1+1) (Лот 293099)</v>
      </c>
      <c r="E1041" s="1436">
        <f>IFERROR(__xludf.DUMMYFUNCTION("""COMPUTED_VALUE"""),45885.0)</f>
        <v>45885</v>
      </c>
      <c r="F1041" s="1436">
        <f>IFERROR(__xludf.DUMMYFUNCTION("""COMPUTED_VALUE"""),45887.0)</f>
        <v>45887</v>
      </c>
      <c r="G1041" s="1430">
        <f>IFERROR(__xludf.DUMMYFUNCTION("""COMPUTED_VALUE"""),2.0)</f>
        <v>2</v>
      </c>
      <c r="H1041" s="94">
        <f t="shared" si="1"/>
        <v>8</v>
      </c>
    </row>
    <row r="1042" ht="15.75" customHeight="1">
      <c r="A1042" s="1164" t="str">
        <f>IFERROR(__xludf.DUMMYFUNCTION("""COMPUTED_VALUE"""),"DL 14-505")</f>
        <v>DL 14-505</v>
      </c>
      <c r="B1042" s="94"/>
      <c r="C1042" s="94"/>
      <c r="D1042" s="431" t="str">
        <f>IFERROR(__xludf.DUMMYFUNCTION("""COMPUTED_VALUE"""),"4 DL 14 - 505 (Лот 233426)")</f>
        <v>4 DL 14 - 505 (Лот 233426)</v>
      </c>
      <c r="E1042" s="1436">
        <f>IFERROR(__xludf.DUMMYFUNCTION("""COMPUTED_VALUE"""),45884.0)</f>
        <v>45884</v>
      </c>
      <c r="F1042" s="1436">
        <f>IFERROR(__xludf.DUMMYFUNCTION("""COMPUTED_VALUE"""),45890.0)</f>
        <v>45890</v>
      </c>
      <c r="G1042" s="1430">
        <f>IFERROR(__xludf.DUMMYFUNCTION("""COMPUTED_VALUE"""),6.0)</f>
        <v>6</v>
      </c>
      <c r="H1042" s="94">
        <f t="shared" si="1"/>
        <v>8</v>
      </c>
    </row>
    <row r="1043" ht="15.75" customHeight="1">
      <c r="A1043" s="94" t="str">
        <f>IFERROR(__xludf.DUMMYFUNCTION("""COMPUTED_VALUE"""),"CM 1604")</f>
        <v>CM 1604</v>
      </c>
      <c r="B1043" s="94"/>
      <c r="C1043" s="94"/>
      <c r="D1043" s="94" t="str">
        <f>IFERROR(__xludf.DUMMYFUNCTION("""COMPUTED_VALUE"""),"3 Mar 1604 (Лот 233303)")</f>
        <v>3 Mar 1604 (Лот 233303)</v>
      </c>
      <c r="E1043" s="1436">
        <f>IFERROR(__xludf.DUMMYFUNCTION("""COMPUTED_VALUE"""),45884.0)</f>
        <v>45884</v>
      </c>
      <c r="F1043" s="1436">
        <f>IFERROR(__xludf.DUMMYFUNCTION("""COMPUTED_VALUE"""),45893.0)</f>
        <v>45893</v>
      </c>
      <c r="G1043" s="1430">
        <f>IFERROR(__xludf.DUMMYFUNCTION("""COMPUTED_VALUE"""),9.0)</f>
        <v>9</v>
      </c>
      <c r="H1043" s="94">
        <f t="shared" si="1"/>
        <v>8</v>
      </c>
    </row>
    <row r="1044" ht="15.75" customHeight="1">
      <c r="A1044" s="94" t="str">
        <f>IFERROR(__xludf.DUMMYFUNCTION("""COMPUTED_VALUE"""),"WS A805")</f>
        <v>WS A805</v>
      </c>
      <c r="B1044" s="94"/>
      <c r="C1044" s="94"/>
      <c r="D1044" s="94" t="str">
        <f>IFERROR(__xludf.DUMMYFUNCTION("""COMPUTED_VALUE"""),"1 WS A 805 (Лот 283869)")</f>
        <v>1 WS A 805 (Лот 283869)</v>
      </c>
      <c r="E1044" s="1436">
        <f>IFERROR(__xludf.DUMMYFUNCTION("""COMPUTED_VALUE"""),45884.0)</f>
        <v>45884</v>
      </c>
      <c r="F1044" s="1436">
        <f>IFERROR(__xludf.DUMMYFUNCTION("""COMPUTED_VALUE"""),45895.0)</f>
        <v>45895</v>
      </c>
      <c r="G1044" s="1430">
        <f>IFERROR(__xludf.DUMMYFUNCTION("""COMPUTED_VALUE"""),11.0)</f>
        <v>11</v>
      </c>
      <c r="H1044" s="94">
        <f t="shared" si="1"/>
        <v>8</v>
      </c>
    </row>
    <row r="1045" ht="15.75" customHeight="1">
      <c r="A1045" s="94" t="str">
        <f>IFERROR(__xludf.DUMMYFUNCTION("""COMPUTED_VALUE"""),"С 1125")</f>
        <v>С 1125</v>
      </c>
      <c r="B1045" s="94"/>
      <c r="C1045" s="94"/>
      <c r="D1045" s="94" t="str">
        <f>IFERROR(__xludf.DUMMYFUNCTION("""COMPUTED_VALUE"""),"2 Orbi C 1125 (Лот 233326)")</f>
        <v>2 Orbi C 1125 (Лот 233326)</v>
      </c>
      <c r="E1045" s="1436">
        <f>IFERROR(__xludf.DUMMYFUNCTION("""COMPUTED_VALUE"""),45884.0)</f>
        <v>45884</v>
      </c>
      <c r="F1045" s="1436">
        <f>IFERROR(__xludf.DUMMYFUNCTION("""COMPUTED_VALUE"""),45891.0)</f>
        <v>45891</v>
      </c>
      <c r="G1045" s="1430">
        <f>IFERROR(__xludf.DUMMYFUNCTION("""COMPUTED_VALUE"""),7.0)</f>
        <v>7</v>
      </c>
      <c r="H1045" s="94">
        <f t="shared" si="1"/>
        <v>8</v>
      </c>
    </row>
    <row r="1046" ht="15.75" customHeight="1">
      <c r="A1046" s="1164" t="str">
        <f>IFERROR(__xludf.DUMMYFUNCTION("""COMPUTED_VALUE"""),"WS E 1202")</f>
        <v>WS E 1202</v>
      </c>
      <c r="B1046" s="94"/>
      <c r="C1046" s="94"/>
      <c r="D1046" s="94" t="str">
        <f>IFERROR(__xludf.DUMMYFUNCTION("""COMPUTED_VALUE"""),"1 WS E 1202 (Лот 233379)")</f>
        <v>1 WS E 1202 (Лот 233379)</v>
      </c>
      <c r="E1046" s="1436">
        <f>IFERROR(__xludf.DUMMYFUNCTION("""COMPUTED_VALUE"""),45884.0)</f>
        <v>45884</v>
      </c>
      <c r="F1046" s="1436">
        <f>IFERROR(__xludf.DUMMYFUNCTION("""COMPUTED_VALUE"""),45887.0)</f>
        <v>45887</v>
      </c>
      <c r="G1046" s="1430">
        <f>IFERROR(__xludf.DUMMYFUNCTION("""COMPUTED_VALUE"""),3.0)</f>
        <v>3</v>
      </c>
      <c r="H1046" s="94">
        <f t="shared" si="1"/>
        <v>8</v>
      </c>
    </row>
    <row r="1047" ht="15.75" customHeight="1">
      <c r="A1047" s="1164" t="str">
        <f>IFERROR(__xludf.DUMMYFUNCTION("""COMPUTED_VALUE"""),"DL14-1710")</f>
        <v>DL14-1710</v>
      </c>
      <c r="B1047" s="94"/>
      <c r="C1047" s="94"/>
      <c r="D1047" s="431" t="str">
        <f>IFERROR(__xludf.DUMMYFUNCTION("""COMPUTED_VALUE"""),"4 DL 14 - 1710 (Лот 284212)")</f>
        <v>4 DL 14 - 1710 (Лот 284212)</v>
      </c>
      <c r="E1047" s="1436">
        <f>IFERROR(__xludf.DUMMYFUNCTION("""COMPUTED_VALUE"""),45884.0)</f>
        <v>45884</v>
      </c>
      <c r="F1047" s="1436">
        <f>IFERROR(__xludf.DUMMYFUNCTION("""COMPUTED_VALUE"""),45890.0)</f>
        <v>45890</v>
      </c>
      <c r="G1047" s="1430">
        <f>IFERROR(__xludf.DUMMYFUNCTION("""COMPUTED_VALUE"""),6.0)</f>
        <v>6</v>
      </c>
      <c r="H1047" s="94">
        <f t="shared" si="1"/>
        <v>8</v>
      </c>
    </row>
    <row r="1048" ht="15.75" customHeight="1">
      <c r="A1048" s="1164" t="str">
        <f>IFERROR(__xludf.DUMMYFUNCTION("""COMPUTED_VALUE"""),"DL14-305")</f>
        <v>DL14-305</v>
      </c>
      <c r="B1048" s="94"/>
      <c r="C1048" s="94"/>
      <c r="D1048" s="431" t="str">
        <f>IFERROR(__xludf.DUMMYFUNCTION("""COMPUTED_VALUE"""),"4 DL 14 - 305 (Лот 284208)")</f>
        <v>4 DL 14 - 305 (Лот 284208)</v>
      </c>
      <c r="E1048" s="1436">
        <f>IFERROR(__xludf.DUMMYFUNCTION("""COMPUTED_VALUE"""),45884.0)</f>
        <v>45884</v>
      </c>
      <c r="F1048" s="1436">
        <f>IFERROR(__xludf.DUMMYFUNCTION("""COMPUTED_VALUE"""),45890.0)</f>
        <v>45890</v>
      </c>
      <c r="G1048" s="1430">
        <f>IFERROR(__xludf.DUMMYFUNCTION("""COMPUTED_VALUE"""),6.0)</f>
        <v>6</v>
      </c>
      <c r="H1048" s="94">
        <f t="shared" si="1"/>
        <v>8</v>
      </c>
    </row>
    <row r="1049" ht="15.75" customHeight="1">
      <c r="A1049" s="94" t="str">
        <f>IFERROR(__xludf.DUMMYFUNCTION("""COMPUTED_VALUE"""),"MZ 718")</f>
        <v>MZ 718</v>
      </c>
      <c r="B1049" s="94"/>
      <c r="C1049" s="94"/>
      <c r="D1049" s="94" t="str">
        <f>IFERROR(__xludf.DUMMYFUNCTION("""COMPUTED_VALUE"""),"3 MZ 718, 913 (Лот 269699)")</f>
        <v>3 MZ 718, 913 (Лот 269699)</v>
      </c>
      <c r="E1049" s="1436">
        <f>IFERROR(__xludf.DUMMYFUNCTION("""COMPUTED_VALUE"""),45884.0)</f>
        <v>45884</v>
      </c>
      <c r="F1049" s="1436">
        <f>IFERROR(__xludf.DUMMYFUNCTION("""COMPUTED_VALUE"""),45887.0)</f>
        <v>45887</v>
      </c>
      <c r="G1049" s="1430">
        <f>IFERROR(__xludf.DUMMYFUNCTION("""COMPUTED_VALUE"""),3.0)</f>
        <v>3</v>
      </c>
      <c r="H1049" s="94">
        <f t="shared" si="1"/>
        <v>8</v>
      </c>
    </row>
    <row r="1050" ht="15.75" customHeight="1">
      <c r="A1050" s="94" t="str">
        <f>IFERROR(__xludf.DUMMYFUNCTION("""COMPUTED_VALUE"""),"DL 13-206")</f>
        <v>DL 13-206</v>
      </c>
      <c r="B1050" s="94"/>
      <c r="C1050" s="94"/>
      <c r="D1050" s="431" t="str">
        <f>IFERROR(__xludf.DUMMYFUNCTION("""COMPUTED_VALUE"""),"4 DL 13 - 206 (Лот 291575)")</f>
        <v>4 DL 13 - 206 (Лот 291575)</v>
      </c>
      <c r="E1050" s="1436">
        <f>IFERROR(__xludf.DUMMYFUNCTION("""COMPUTED_VALUE"""),45884.0)</f>
        <v>45884</v>
      </c>
      <c r="F1050" s="1436">
        <f>IFERROR(__xludf.DUMMYFUNCTION("""COMPUTED_VALUE"""),45887.0)</f>
        <v>45887</v>
      </c>
      <c r="G1050" s="1430">
        <f>IFERROR(__xludf.DUMMYFUNCTION("""COMPUTED_VALUE"""),3.0)</f>
        <v>3</v>
      </c>
      <c r="H1050" s="94">
        <f t="shared" si="1"/>
        <v>8</v>
      </c>
    </row>
    <row r="1051" ht="15.75" customHeight="1">
      <c r="A1051" s="94" t="str">
        <f>IFERROR(__xludf.DUMMYFUNCTION("""COMPUTED_VALUE"""),"NW 4-9")</f>
        <v>NW 4-9</v>
      </c>
      <c r="B1051" s="94"/>
      <c r="C1051" s="94"/>
      <c r="D1051" s="94" t="str">
        <f>IFERROR(__xludf.DUMMYFUNCTION("""COMPUTED_VALUE"""),"3 NW 409 (Лот 289895)")</f>
        <v>3 NW 409 (Лот 289895)</v>
      </c>
      <c r="E1051" s="1436">
        <f>IFERROR(__xludf.DUMMYFUNCTION("""COMPUTED_VALUE"""),45884.0)</f>
        <v>45884</v>
      </c>
      <c r="F1051" s="1436">
        <f>IFERROR(__xludf.DUMMYFUNCTION("""COMPUTED_VALUE"""),45890.0)</f>
        <v>45890</v>
      </c>
      <c r="G1051" s="1430">
        <f>IFERROR(__xludf.DUMMYFUNCTION("""COMPUTED_VALUE"""),6.0)</f>
        <v>6</v>
      </c>
      <c r="H1051" s="94">
        <f t="shared" si="1"/>
        <v>8</v>
      </c>
    </row>
    <row r="1052" ht="15.75" customHeight="1">
      <c r="A1052" s="94" t="str">
        <f>IFERROR(__xludf.DUMMYFUNCTION("""COMPUTED_VALUE"""),"TGA1")</f>
        <v>TGA1</v>
      </c>
      <c r="B1052" s="94"/>
      <c r="C1052" s="94"/>
      <c r="D1052" s="94" t="str">
        <f>IFERROR(__xludf.DUMMYFUNCTION("""COMPUTED_VALUE"""),"6 TG С 2 сп. блок А (А1, А10) (Лот 268000)")</f>
        <v>6 TG С 2 сп. блок А (А1, А10) (Лот 268000)</v>
      </c>
      <c r="E1052" s="1436">
        <f>IFERROR(__xludf.DUMMYFUNCTION("""COMPUTED_VALUE"""),45884.0)</f>
        <v>45884</v>
      </c>
      <c r="F1052" s="1436">
        <f>IFERROR(__xludf.DUMMYFUNCTION("""COMPUTED_VALUE"""),45889.0)</f>
        <v>45889</v>
      </c>
      <c r="G1052" s="1430">
        <f>IFERROR(__xludf.DUMMYFUNCTION("""COMPUTED_VALUE"""),5.0)</f>
        <v>5</v>
      </c>
      <c r="H1052" s="94">
        <f t="shared" si="1"/>
        <v>8</v>
      </c>
    </row>
    <row r="1053" ht="15.75" customHeight="1">
      <c r="A1053" s="1164" t="str">
        <f>IFERROR(__xludf.DUMMYFUNCTION("""COMPUTED_VALUE"""),"DL 14-702")</f>
        <v>DL 14-702</v>
      </c>
      <c r="B1053" s="94"/>
      <c r="C1053" s="94"/>
      <c r="D1053" s="431" t="str">
        <f>IFERROR(__xludf.DUMMYFUNCTION("""COMPUTED_VALUE"""),"4 DL 14 - 702 (1+1) (Лот 233399)")</f>
        <v>4 DL 14 - 702 (1+1) (Лот 233399)</v>
      </c>
      <c r="E1053" s="1436">
        <f>IFERROR(__xludf.DUMMYFUNCTION("""COMPUTED_VALUE"""),45884.0)</f>
        <v>45884</v>
      </c>
      <c r="F1053" s="1436">
        <f>IFERROR(__xludf.DUMMYFUNCTION("""COMPUTED_VALUE"""),45887.0)</f>
        <v>45887</v>
      </c>
      <c r="G1053" s="1430">
        <f>IFERROR(__xludf.DUMMYFUNCTION("""COMPUTED_VALUE"""),3.0)</f>
        <v>3</v>
      </c>
      <c r="H1053" s="94">
        <f t="shared" si="1"/>
        <v>8</v>
      </c>
    </row>
    <row r="1054" ht="15.75" customHeight="1">
      <c r="A1054" s="1164" t="str">
        <f>IFERROR(__xludf.DUMMYFUNCTION("""COMPUTED_VALUE"""),"DL 11-1112")</f>
        <v>DL 11-1112</v>
      </c>
      <c r="B1054" s="94"/>
      <c r="C1054" s="94"/>
      <c r="D1054" s="431" t="str">
        <f>IFERROR(__xludf.DUMMYFUNCTION("""COMPUTED_VALUE"""),"4 DL 11 - 1112 (Лот 233410)")</f>
        <v>4 DL 11 - 1112 (Лот 233410)</v>
      </c>
      <c r="E1054" s="1436">
        <f>IFERROR(__xludf.DUMMYFUNCTION("""COMPUTED_VALUE"""),45884.0)</f>
        <v>45884</v>
      </c>
      <c r="F1054" s="1436">
        <f>IFERROR(__xludf.DUMMYFUNCTION("""COMPUTED_VALUE"""),45888.0)</f>
        <v>45888</v>
      </c>
      <c r="G1054" s="1430">
        <f>IFERROR(__xludf.DUMMYFUNCTION("""COMPUTED_VALUE"""),4.0)</f>
        <v>4</v>
      </c>
      <c r="H1054" s="94">
        <f t="shared" si="1"/>
        <v>8</v>
      </c>
    </row>
    <row r="1055" ht="15.75" customHeight="1">
      <c r="A1055" s="94" t="str">
        <f>IFERROR(__xludf.DUMMYFUNCTION("""COMPUTED_VALUE"""),"4. DL 13 - 1006 (Лот 299723)")</f>
        <v>4. DL 13 - 1006 (Лот 299723)</v>
      </c>
      <c r="B1055" s="94"/>
      <c r="C1055" s="94"/>
      <c r="D1055" s="431" t="str">
        <f>IFERROR(__xludf.DUMMYFUNCTION("""COMPUTED_VALUE"""),"4 DL 13 - 1006 (1+1) (Лот 299723)")</f>
        <v>4 DL 13 - 1006 (1+1) (Лот 299723)</v>
      </c>
      <c r="E1055" s="1436">
        <f>IFERROR(__xludf.DUMMYFUNCTION("""COMPUTED_VALUE"""),45884.0)</f>
        <v>45884</v>
      </c>
      <c r="F1055" s="1436">
        <f>IFERROR(__xludf.DUMMYFUNCTION("""COMPUTED_VALUE"""),45888.0)</f>
        <v>45888</v>
      </c>
      <c r="G1055" s="1430">
        <f>IFERROR(__xludf.DUMMYFUNCTION("""COMPUTED_VALUE"""),4.0)</f>
        <v>4</v>
      </c>
      <c r="H1055" s="94">
        <f t="shared" si="1"/>
        <v>8</v>
      </c>
    </row>
    <row r="1056" ht="15.75" customHeight="1">
      <c r="A1056" s="1164" t="str">
        <f>IFERROR(__xludf.DUMMYFUNCTION("""COMPUTED_VALUE"""),"WS A907")</f>
        <v>WS A907</v>
      </c>
      <c r="B1056" s="94"/>
      <c r="C1056" s="94"/>
      <c r="D1056" s="94" t="str">
        <f>IFERROR(__xludf.DUMMYFUNCTION("""COMPUTED_VALUE"""),"1 WS A 907 (Лот 233365)")</f>
        <v>1 WS A 907 (Лот 233365)</v>
      </c>
      <c r="E1056" s="1436">
        <f>IFERROR(__xludf.DUMMYFUNCTION("""COMPUTED_VALUE"""),45884.0)</f>
        <v>45884</v>
      </c>
      <c r="F1056" s="1436">
        <f>IFERROR(__xludf.DUMMYFUNCTION("""COMPUTED_VALUE"""),45892.0)</f>
        <v>45892</v>
      </c>
      <c r="G1056" s="1430">
        <f>IFERROR(__xludf.DUMMYFUNCTION("""COMPUTED_VALUE"""),8.0)</f>
        <v>8</v>
      </c>
      <c r="H1056" s="94">
        <f t="shared" si="1"/>
        <v>8</v>
      </c>
    </row>
    <row r="1057" ht="15.75" customHeight="1">
      <c r="A1057" s="94" t="str">
        <f>IFERROR(__xludf.DUMMYFUNCTION("""COMPUTED_VALUE"""),"DL 14-506")</f>
        <v>DL 14-506</v>
      </c>
      <c r="B1057" s="94"/>
      <c r="C1057" s="94"/>
      <c r="D1057" s="431" t="str">
        <f>IFERROR(__xludf.DUMMYFUNCTION("""COMPUTED_VALUE"""),"4 DL 14 - 506 (Лот 296803)")</f>
        <v>4 DL 14 - 506 (Лот 296803)</v>
      </c>
      <c r="E1057" s="1436">
        <f>IFERROR(__xludf.DUMMYFUNCTION("""COMPUTED_VALUE"""),45884.0)</f>
        <v>45884</v>
      </c>
      <c r="F1057" s="1436">
        <f>IFERROR(__xludf.DUMMYFUNCTION("""COMPUTED_VALUE"""),45886.0)</f>
        <v>45886</v>
      </c>
      <c r="G1057" s="1430">
        <f>IFERROR(__xludf.DUMMYFUNCTION("""COMPUTED_VALUE"""),2.0)</f>
        <v>2</v>
      </c>
      <c r="H1057" s="94">
        <f t="shared" si="1"/>
        <v>8</v>
      </c>
    </row>
    <row r="1058" ht="15.75" customHeight="1">
      <c r="A1058" s="1164" t="str">
        <f>IFERROR(__xludf.DUMMYFUNCTION("""COMPUTED_VALUE"""),"DL 4-09")</f>
        <v>DL 4-09</v>
      </c>
      <c r="B1058" s="94"/>
      <c r="C1058" s="94"/>
      <c r="D1058" s="431" t="str">
        <f>IFERROR(__xludf.DUMMYFUNCTION("""COMPUTED_VALUE"""),"4 DL 4 - 09 (Лот 233385)")</f>
        <v>4 DL 4 - 09 (Лот 233385)</v>
      </c>
      <c r="E1058" s="1436">
        <f>IFERROR(__xludf.DUMMYFUNCTION("""COMPUTED_VALUE"""),45884.0)</f>
        <v>45884</v>
      </c>
      <c r="F1058" s="1436">
        <f>IFERROR(__xludf.DUMMYFUNCTION("""COMPUTED_VALUE"""),45887.0)</f>
        <v>45887</v>
      </c>
      <c r="G1058" s="1430">
        <f>IFERROR(__xludf.DUMMYFUNCTION("""COMPUTED_VALUE"""),3.0)</f>
        <v>3</v>
      </c>
      <c r="H1058" s="94">
        <f t="shared" si="1"/>
        <v>8</v>
      </c>
    </row>
    <row r="1059" ht="15.75" customHeight="1">
      <c r="A1059" s="1164" t="str">
        <f>IFERROR(__xludf.DUMMYFUNCTION("""COMPUTED_VALUE"""),"DL 11-1305")</f>
        <v>DL 11-1305</v>
      </c>
      <c r="B1059" s="94"/>
      <c r="C1059" s="94"/>
      <c r="D1059" s="431" t="str">
        <f>IFERROR(__xludf.DUMMYFUNCTION("""COMPUTED_VALUE"""),"4 DL 11 - 1305 (1+1) (Лот 234970)")</f>
        <v>4 DL 11 - 1305 (1+1) (Лот 234970)</v>
      </c>
      <c r="E1059" s="1436">
        <f>IFERROR(__xludf.DUMMYFUNCTION("""COMPUTED_VALUE"""),45883.0)</f>
        <v>45883</v>
      </c>
      <c r="F1059" s="1436">
        <f>IFERROR(__xludf.DUMMYFUNCTION("""COMPUTED_VALUE"""),45886.0)</f>
        <v>45886</v>
      </c>
      <c r="G1059" s="1430">
        <f>IFERROR(__xludf.DUMMYFUNCTION("""COMPUTED_VALUE"""),3.0)</f>
        <v>3</v>
      </c>
      <c r="H1059" s="94">
        <f t="shared" si="1"/>
        <v>8</v>
      </c>
    </row>
    <row r="1060" ht="15.75" customHeight="1">
      <c r="A1060" s="1164" t="str">
        <f>IFERROR(__xludf.DUMMYFUNCTION("""COMPUTED_VALUE"""),"14-411")</f>
        <v>14-411</v>
      </c>
      <c r="B1060" s="94"/>
      <c r="C1060" s="94"/>
      <c r="D1060" s="431" t="str">
        <f>IFERROR(__xludf.DUMMYFUNCTION("""COMPUTED_VALUE"""),"4 DL 14 - 411 (Лот 233419)")</f>
        <v>4 DL 14 - 411 (Лот 233419)</v>
      </c>
      <c r="E1060" s="1436">
        <f>IFERROR(__xludf.DUMMYFUNCTION("""COMPUTED_VALUE"""),45883.0)</f>
        <v>45883</v>
      </c>
      <c r="F1060" s="1436">
        <f>IFERROR(__xludf.DUMMYFUNCTION("""COMPUTED_VALUE"""),45893.0)</f>
        <v>45893</v>
      </c>
      <c r="G1060" s="1430">
        <f>IFERROR(__xludf.DUMMYFUNCTION("""COMPUTED_VALUE"""),10.0)</f>
        <v>10</v>
      </c>
      <c r="H1060" s="94">
        <f t="shared" si="1"/>
        <v>8</v>
      </c>
    </row>
    <row r="1061" ht="15.75" customHeight="1">
      <c r="A1061" s="94" t="str">
        <f>IFERROR(__xludf.DUMMYFUNCTION("""COMPUTED_VALUE"""),"TGA5")</f>
        <v>TGA5</v>
      </c>
      <c r="B1061" s="94"/>
      <c r="C1061" s="94"/>
      <c r="D1061" s="94" t="str">
        <f>IFERROR(__xludf.DUMMYFUNCTION("""COMPUTED_VALUE"""),"6 TG Студия с видом на море А3, А5, А6, А8 (Лот 268012)")</f>
        <v>6 TG Студия с видом на море А3, А5, А6, А8 (Лот 268012)</v>
      </c>
      <c r="E1061" s="1436">
        <f>IFERROR(__xludf.DUMMYFUNCTION("""COMPUTED_VALUE"""),45883.0)</f>
        <v>45883</v>
      </c>
      <c r="F1061" s="1436">
        <f>IFERROR(__xludf.DUMMYFUNCTION("""COMPUTED_VALUE"""),45887.0)</f>
        <v>45887</v>
      </c>
      <c r="G1061" s="1430">
        <f>IFERROR(__xludf.DUMMYFUNCTION("""COMPUTED_VALUE"""),4.0)</f>
        <v>4</v>
      </c>
      <c r="H1061" s="94">
        <f t="shared" si="1"/>
        <v>8</v>
      </c>
    </row>
    <row r="1062" ht="15.75" customHeight="1">
      <c r="A1062" s="94" t="str">
        <f>IFERROR(__xludf.DUMMYFUNCTION("""COMPUTED_VALUE"""),"TGA3")</f>
        <v>TGA3</v>
      </c>
      <c r="B1062" s="94"/>
      <c r="C1062" s="94"/>
      <c r="D1062" s="94" t="str">
        <f>IFERROR(__xludf.DUMMYFUNCTION("""COMPUTED_VALUE"""),"6 TG Студия с видом на море А3, А5, А6, А8 (Лот 268012)")</f>
        <v>6 TG Студия с видом на море А3, А5, А6, А8 (Лот 268012)</v>
      </c>
      <c r="E1062" s="1436">
        <f>IFERROR(__xludf.DUMMYFUNCTION("""COMPUTED_VALUE"""),45883.0)</f>
        <v>45883</v>
      </c>
      <c r="F1062" s="1436">
        <f>IFERROR(__xludf.DUMMYFUNCTION("""COMPUTED_VALUE"""),45892.0)</f>
        <v>45892</v>
      </c>
      <c r="G1062" s="1430">
        <f>IFERROR(__xludf.DUMMYFUNCTION("""COMPUTED_VALUE"""),9.0)</f>
        <v>9</v>
      </c>
      <c r="H1062" s="94">
        <f t="shared" si="1"/>
        <v>8</v>
      </c>
    </row>
    <row r="1063" ht="15.75" customHeight="1">
      <c r="A1063" s="1164" t="str">
        <f>IFERROR(__xludf.DUMMYFUNCTION("""COMPUTED_VALUE"""),"DL 13-709")</f>
        <v>DL 13-709</v>
      </c>
      <c r="B1063" s="94"/>
      <c r="C1063" s="94"/>
      <c r="D1063" s="431" t="str">
        <f>IFERROR(__xludf.DUMMYFUNCTION("""COMPUTED_VALUE"""),"4 DL 13 - 709 (Лот 291393)")</f>
        <v>4 DL 13 - 709 (Лот 291393)</v>
      </c>
      <c r="E1063" s="1436">
        <f>IFERROR(__xludf.DUMMYFUNCTION("""COMPUTED_VALUE"""),45883.0)</f>
        <v>45883</v>
      </c>
      <c r="F1063" s="1436">
        <f>IFERROR(__xludf.DUMMYFUNCTION("""COMPUTED_VALUE"""),45890.0)</f>
        <v>45890</v>
      </c>
      <c r="G1063" s="1430">
        <f>IFERROR(__xludf.DUMMYFUNCTION("""COMPUTED_VALUE"""),7.0)</f>
        <v>7</v>
      </c>
      <c r="H1063" s="94">
        <f t="shared" si="1"/>
        <v>8</v>
      </c>
    </row>
    <row r="1064" ht="15.75" customHeight="1">
      <c r="A1064" s="1164" t="str">
        <f>IFERROR(__xludf.DUMMYFUNCTION("""COMPUTED_VALUE"""),"D 1321")</f>
        <v>D 1321</v>
      </c>
      <c r="B1064" s="94"/>
      <c r="C1064" s="94"/>
      <c r="D1064" s="94" t="str">
        <f>IFERROR(__xludf.DUMMYFUNCTION("""COMPUTED_VALUE"""),"2 Orbi D 1321 (Лот 233321)")</f>
        <v>2 Orbi D 1321 (Лот 233321)</v>
      </c>
      <c r="E1064" s="1436">
        <f>IFERROR(__xludf.DUMMYFUNCTION("""COMPUTED_VALUE"""),45883.0)</f>
        <v>45883</v>
      </c>
      <c r="F1064" s="1436">
        <f>IFERROR(__xludf.DUMMYFUNCTION("""COMPUTED_VALUE"""),45888.0)</f>
        <v>45888</v>
      </c>
      <c r="G1064" s="1430">
        <f>IFERROR(__xludf.DUMMYFUNCTION("""COMPUTED_VALUE"""),5.0)</f>
        <v>5</v>
      </c>
      <c r="H1064" s="94">
        <f t="shared" si="1"/>
        <v>8</v>
      </c>
    </row>
    <row r="1065" ht="15.75" customHeight="1">
      <c r="A1065" s="94" t="str">
        <f>IFERROR(__xludf.DUMMYFUNCTION("""COMPUTED_VALUE"""),"TGA6")</f>
        <v>TGA6</v>
      </c>
      <c r="B1065" s="94"/>
      <c r="C1065" s="94"/>
      <c r="D1065" s="94" t="str">
        <f>IFERROR(__xludf.DUMMYFUNCTION("""COMPUTED_VALUE"""),"6 TG Студия с видом на море А3, А5, А6, А8 (Лот 268012)")</f>
        <v>6 TG Студия с видом на море А3, А5, А6, А8 (Лот 268012)</v>
      </c>
      <c r="E1065" s="1436">
        <f>IFERROR(__xludf.DUMMYFUNCTION("""COMPUTED_VALUE"""),45883.0)</f>
        <v>45883</v>
      </c>
      <c r="F1065" s="1436">
        <f>IFERROR(__xludf.DUMMYFUNCTION("""COMPUTED_VALUE"""),45887.0)</f>
        <v>45887</v>
      </c>
      <c r="G1065" s="1430">
        <f>IFERROR(__xludf.DUMMYFUNCTION("""COMPUTED_VALUE"""),4.0)</f>
        <v>4</v>
      </c>
      <c r="H1065" s="94">
        <f t="shared" si="1"/>
        <v>8</v>
      </c>
    </row>
    <row r="1066" ht="15.75" customHeight="1">
      <c r="A1066" s="94" t="str">
        <f>IFERROR(__xludf.DUMMYFUNCTION("""COMPUTED_VALUE"""),"А 4049")</f>
        <v>А 4049</v>
      </c>
      <c r="B1066" s="94"/>
      <c r="C1066" s="94"/>
      <c r="D1066" s="94" t="str">
        <f>IFERROR(__xludf.DUMMYFUNCTION("""COMPUTED_VALUE"""),"2 Orbi A 4049 (Лот 233324)")</f>
        <v>2 Orbi A 4049 (Лот 233324)</v>
      </c>
      <c r="E1066" s="1436">
        <f>IFERROR(__xludf.DUMMYFUNCTION("""COMPUTED_VALUE"""),45883.0)</f>
        <v>45883</v>
      </c>
      <c r="F1066" s="1436">
        <f>IFERROR(__xludf.DUMMYFUNCTION("""COMPUTED_VALUE"""),45886.0)</f>
        <v>45886</v>
      </c>
      <c r="G1066" s="1430">
        <f>IFERROR(__xludf.DUMMYFUNCTION("""COMPUTED_VALUE"""),3.0)</f>
        <v>3</v>
      </c>
      <c r="H1066" s="94">
        <f t="shared" si="1"/>
        <v>8</v>
      </c>
    </row>
    <row r="1067" ht="15.75" customHeight="1">
      <c r="A1067" s="94" t="str">
        <f>IFERROR(__xludf.DUMMYFUNCTION("""COMPUTED_VALUE"""),"DL 13-703")</f>
        <v>DL 13-703</v>
      </c>
      <c r="B1067" s="94"/>
      <c r="C1067" s="94"/>
      <c r="D1067" s="431" t="str">
        <f>IFERROR(__xludf.DUMMYFUNCTION("""COMPUTED_VALUE"""),"4 DL 13 - 703 (1+1) (Лот 293099)")</f>
        <v>4 DL 13 - 703 (1+1) (Лот 293099)</v>
      </c>
      <c r="E1067" s="1436">
        <f>IFERROR(__xludf.DUMMYFUNCTION("""COMPUTED_VALUE"""),45883.0)</f>
        <v>45883</v>
      </c>
      <c r="F1067" s="1436">
        <f>IFERROR(__xludf.DUMMYFUNCTION("""COMPUTED_VALUE"""),45886.0)</f>
        <v>45886</v>
      </c>
      <c r="G1067" s="1430">
        <f>IFERROR(__xludf.DUMMYFUNCTION("""COMPUTED_VALUE"""),3.0)</f>
        <v>3</v>
      </c>
      <c r="H1067" s="94">
        <f t="shared" si="1"/>
        <v>8</v>
      </c>
    </row>
    <row r="1068" ht="15.75" customHeight="1">
      <c r="A1068" s="1164" t="str">
        <f>IFERROR(__xludf.DUMMYFUNCTION("""COMPUTED_VALUE"""),"WS A 409")</f>
        <v>WS A 409</v>
      </c>
      <c r="B1068" s="94"/>
      <c r="C1068" s="94"/>
      <c r="D1068" s="94" t="str">
        <f>IFERROR(__xludf.DUMMYFUNCTION("""COMPUTED_VALUE"""),"1 WS A 409 (Лот 233355)")</f>
        <v>1 WS A 409 (Лот 233355)</v>
      </c>
      <c r="E1068" s="1436">
        <f>IFERROR(__xludf.DUMMYFUNCTION("""COMPUTED_VALUE"""),45883.0)</f>
        <v>45883</v>
      </c>
      <c r="F1068" s="1436">
        <f>IFERROR(__xludf.DUMMYFUNCTION("""COMPUTED_VALUE"""),45887.0)</f>
        <v>45887</v>
      </c>
      <c r="G1068" s="1430">
        <f>IFERROR(__xludf.DUMMYFUNCTION("""COMPUTED_VALUE"""),4.0)</f>
        <v>4</v>
      </c>
      <c r="H1068" s="94">
        <f t="shared" si="1"/>
        <v>8</v>
      </c>
    </row>
    <row r="1069" ht="15.75" customHeight="1">
      <c r="A1069" s="94" t="str">
        <f>IFERROR(__xludf.DUMMYFUNCTION("""COMPUTED_VALUE"""),"TGB5")</f>
        <v>TGB5</v>
      </c>
      <c r="B1069" s="94"/>
      <c r="C1069" s="94"/>
      <c r="D1069" s="94" t="str">
        <f>IFERROR(__xludf.DUMMYFUNCTION("""COMPUTED_VALUE"""),"6 TG С 1 сп с видом на горы В5, В1 (Лот 268015)")</f>
        <v>6 TG С 1 сп с видом на горы В5, В1 (Лот 268015)</v>
      </c>
      <c r="E1069" s="1436">
        <f>IFERROR(__xludf.DUMMYFUNCTION("""COMPUTED_VALUE"""),45883.0)</f>
        <v>45883</v>
      </c>
      <c r="F1069" s="1436">
        <f>IFERROR(__xludf.DUMMYFUNCTION("""COMPUTED_VALUE"""),45887.0)</f>
        <v>45887</v>
      </c>
      <c r="G1069" s="1430">
        <f>IFERROR(__xludf.DUMMYFUNCTION("""COMPUTED_VALUE"""),4.0)</f>
        <v>4</v>
      </c>
      <c r="H1069" s="94">
        <f t="shared" si="1"/>
        <v>8</v>
      </c>
    </row>
    <row r="1070" ht="15.75" customHeight="1">
      <c r="A1070" s="94" t="str">
        <f>IFERROR(__xludf.DUMMYFUNCTION("""COMPUTED_VALUE"""),"TGB2")</f>
        <v>TGB2</v>
      </c>
      <c r="B1070" s="94"/>
      <c r="C1070" s="94"/>
      <c r="D1070" s="94" t="str">
        <f>IFERROR(__xludf.DUMMYFUNCTION("""COMPUTED_VALUE"""),"6 TG Студии эконом блок Б (Б2, Б3, Б4) (Лот 268016)")</f>
        <v>6 TG Студии эконом блок Б (Б2, Б3, Б4) (Лот 268016)</v>
      </c>
      <c r="E1070" s="1436">
        <f>IFERROR(__xludf.DUMMYFUNCTION("""COMPUTED_VALUE"""),45883.0)</f>
        <v>45883</v>
      </c>
      <c r="F1070" s="1436">
        <f>IFERROR(__xludf.DUMMYFUNCTION("""COMPUTED_VALUE"""),45887.0)</f>
        <v>45887</v>
      </c>
      <c r="G1070" s="1430">
        <f>IFERROR(__xludf.DUMMYFUNCTION("""COMPUTED_VALUE"""),4.0)</f>
        <v>4</v>
      </c>
      <c r="H1070" s="94">
        <f t="shared" si="1"/>
        <v>8</v>
      </c>
    </row>
    <row r="1071" ht="15.75" customHeight="1">
      <c r="A1071" s="1164" t="str">
        <f>IFERROR(__xludf.DUMMYFUNCTION("""COMPUTED_VALUE"""),"DL14-1405")</f>
        <v>DL14-1405</v>
      </c>
      <c r="B1071" s="94"/>
      <c r="C1071" s="94"/>
      <c r="D1071" s="431" t="str">
        <f>IFERROR(__xludf.DUMMYFUNCTION("""COMPUTED_VALUE"""),"4 DL 14 - 1405 (1+1) (Лот 233395)")</f>
        <v>4 DL 14 - 1405 (1+1) (Лот 233395)</v>
      </c>
      <c r="E1071" s="1436">
        <f>IFERROR(__xludf.DUMMYFUNCTION("""COMPUTED_VALUE"""),45882.0)</f>
        <v>45882</v>
      </c>
      <c r="F1071" s="1436">
        <f>IFERROR(__xludf.DUMMYFUNCTION("""COMPUTED_VALUE"""),45888.0)</f>
        <v>45888</v>
      </c>
      <c r="G1071" s="1430">
        <f>IFERROR(__xludf.DUMMYFUNCTION("""COMPUTED_VALUE"""),6.0)</f>
        <v>6</v>
      </c>
      <c r="H1071" s="94">
        <f t="shared" si="1"/>
        <v>8</v>
      </c>
    </row>
    <row r="1072" ht="15.75" customHeight="1">
      <c r="A1072" s="94" t="str">
        <f>IFERROR(__xludf.DUMMYFUNCTION("""COMPUTED_VALUE"""),"4 DL 14 - 1214 (Лот 233420)")</f>
        <v>4 DL 14 - 1214 (Лот 233420)</v>
      </c>
      <c r="B1072" s="94"/>
      <c r="C1072" s="94"/>
      <c r="D1072" s="94" t="str">
        <f>IFERROR(__xludf.DUMMYFUNCTION("""COMPUTED_VALUE"""),"4.DL 14-1214 (Лот 233420)")</f>
        <v>4.DL 14-1214 (Лот 233420)</v>
      </c>
      <c r="E1072" s="1436">
        <f>IFERROR(__xludf.DUMMYFUNCTION("""COMPUTED_VALUE"""),45882.0)</f>
        <v>45882</v>
      </c>
      <c r="F1072" s="1436">
        <f>IFERROR(__xludf.DUMMYFUNCTION("""COMPUTED_VALUE"""),45885.0)</f>
        <v>45885</v>
      </c>
      <c r="G1072" s="1430">
        <f>IFERROR(__xludf.DUMMYFUNCTION("""COMPUTED_VALUE"""),3.0)</f>
        <v>3</v>
      </c>
      <c r="H1072" s="94">
        <f t="shared" si="1"/>
        <v>8</v>
      </c>
    </row>
    <row r="1073" ht="15.75" customHeight="1">
      <c r="A1073" s="1164" t="str">
        <f>IFERROR(__xludf.DUMMYFUNCTION("""COMPUTED_VALUE"""),"WS E704")</f>
        <v>WS E704</v>
      </c>
      <c r="B1073" s="94"/>
      <c r="C1073" s="94"/>
      <c r="D1073" s="94" t="str">
        <f>IFERROR(__xludf.DUMMYFUNCTION("""COMPUTED_VALUE"""),"1 WS E 704 (Лот 233383)")</f>
        <v>1 WS E 704 (Лот 233383)</v>
      </c>
      <c r="E1073" s="1436">
        <f>IFERROR(__xludf.DUMMYFUNCTION("""COMPUTED_VALUE"""),45882.0)</f>
        <v>45882</v>
      </c>
      <c r="F1073" s="1436">
        <f>IFERROR(__xludf.DUMMYFUNCTION("""COMPUTED_VALUE"""),45885.0)</f>
        <v>45885</v>
      </c>
      <c r="G1073" s="1430">
        <f>IFERROR(__xludf.DUMMYFUNCTION("""COMPUTED_VALUE"""),3.0)</f>
        <v>3</v>
      </c>
      <c r="H1073" s="94">
        <f t="shared" si="1"/>
        <v>8</v>
      </c>
    </row>
    <row r="1074" ht="15.75" customHeight="1">
      <c r="A1074" s="94" t="str">
        <f>IFERROR(__xludf.DUMMYFUNCTION("""COMPUTED_VALUE"""),"MZ 913")</f>
        <v>MZ 913</v>
      </c>
      <c r="B1074" s="94"/>
      <c r="C1074" s="94"/>
      <c r="D1074" s="94" t="str">
        <f>IFERROR(__xludf.DUMMYFUNCTION("""COMPUTED_VALUE"""),"3 MZ 718, 913 (Лот 269699)")</f>
        <v>3 MZ 718, 913 (Лот 269699)</v>
      </c>
      <c r="E1074" s="1436">
        <f>IFERROR(__xludf.DUMMYFUNCTION("""COMPUTED_VALUE"""),45882.0)</f>
        <v>45882</v>
      </c>
      <c r="F1074" s="1436">
        <f>IFERROR(__xludf.DUMMYFUNCTION("""COMPUTED_VALUE"""),45885.0)</f>
        <v>45885</v>
      </c>
      <c r="G1074" s="1430">
        <f>IFERROR(__xludf.DUMMYFUNCTION("""COMPUTED_VALUE"""),3.0)</f>
        <v>3</v>
      </c>
      <c r="H1074" s="94">
        <f t="shared" si="1"/>
        <v>8</v>
      </c>
    </row>
    <row r="1075" ht="15.75" customHeight="1">
      <c r="A1075" s="94" t="str">
        <f>IFERROR(__xludf.DUMMYFUNCTION("""COMPUTED_VALUE"""),"D1 3902")</f>
        <v>D1 3902</v>
      </c>
      <c r="B1075" s="94"/>
      <c r="C1075" s="94"/>
      <c r="D1075" s="94" t="str">
        <f>IFERROR(__xludf.DUMMYFUNCTION("""COMPUTED_VALUE"""),"2 Orbi D 3902 (Лот 293635)")</f>
        <v>2 Orbi D 3902 (Лот 293635)</v>
      </c>
      <c r="E1075" s="1436">
        <f>IFERROR(__xludf.DUMMYFUNCTION("""COMPUTED_VALUE"""),45882.0)</f>
        <v>45882</v>
      </c>
      <c r="F1075" s="1436">
        <f>IFERROR(__xludf.DUMMYFUNCTION("""COMPUTED_VALUE"""),45885.0)</f>
        <v>45885</v>
      </c>
      <c r="G1075" s="1430">
        <f>IFERROR(__xludf.DUMMYFUNCTION("""COMPUTED_VALUE"""),3.0)</f>
        <v>3</v>
      </c>
      <c r="H1075" s="94">
        <f t="shared" si="1"/>
        <v>8</v>
      </c>
    </row>
    <row r="1076" ht="15.75" customHeight="1">
      <c r="A1076" s="94" t="str">
        <f>IFERROR(__xludf.DUMMYFUNCTION("""COMPUTED_VALUE"""),"TGA2")</f>
        <v>TGA2</v>
      </c>
      <c r="B1076" s="94"/>
      <c r="C1076" s="94"/>
      <c r="D1076" s="94" t="str">
        <f>IFERROR(__xludf.DUMMYFUNCTION("""COMPUTED_VALUE"""),"6 TG c 1 сп. блок А (А2, А4, А7, B8, A9) (Лот 263239)")</f>
        <v>6 TG c 1 сп. блок А (А2, А4, А7, B8, A9) (Лот 263239)</v>
      </c>
      <c r="E1076" s="1436">
        <f>IFERROR(__xludf.DUMMYFUNCTION("""COMPUTED_VALUE"""),45882.0)</f>
        <v>45882</v>
      </c>
      <c r="F1076" s="1436">
        <f>IFERROR(__xludf.DUMMYFUNCTION("""COMPUTED_VALUE"""),45887.0)</f>
        <v>45887</v>
      </c>
      <c r="G1076" s="1430">
        <f>IFERROR(__xludf.DUMMYFUNCTION("""COMPUTED_VALUE"""),5.0)</f>
        <v>5</v>
      </c>
      <c r="H1076" s="94">
        <f t="shared" si="1"/>
        <v>8</v>
      </c>
    </row>
    <row r="1077" ht="15.75" customHeight="1">
      <c r="A1077" s="94" t="str">
        <f>IFERROR(__xludf.DUMMYFUNCTION("""COMPUTED_VALUE"""),"MZ 1416")</f>
        <v>MZ 1416</v>
      </c>
      <c r="B1077" s="94"/>
      <c r="C1077" s="94"/>
      <c r="D1077" s="94" t="str">
        <f>IFERROR(__xludf.DUMMYFUNCTION("""COMPUTED_VALUE"""),"3 MZ 1416 (Лот 289819)")</f>
        <v>3 MZ 1416 (Лот 289819)</v>
      </c>
      <c r="E1077" s="1436">
        <f>IFERROR(__xludf.DUMMYFUNCTION("""COMPUTED_VALUE"""),45882.0)</f>
        <v>45882</v>
      </c>
      <c r="F1077" s="1436">
        <f>IFERROR(__xludf.DUMMYFUNCTION("""COMPUTED_VALUE"""),45885.0)</f>
        <v>45885</v>
      </c>
      <c r="G1077" s="1430">
        <f>IFERROR(__xludf.DUMMYFUNCTION("""COMPUTED_VALUE"""),3.0)</f>
        <v>3</v>
      </c>
      <c r="H1077" s="94">
        <f t="shared" si="1"/>
        <v>8</v>
      </c>
    </row>
    <row r="1078" ht="15.75" customHeight="1">
      <c r="A1078" s="94" t="str">
        <f>IFERROR(__xludf.DUMMYFUNCTION("""COMPUTED_VALUE"""),"DL7-16")</f>
        <v>DL7-16</v>
      </c>
      <c r="B1078" s="94"/>
      <c r="C1078" s="94"/>
      <c r="D1078" s="431" t="str">
        <f>IFERROR(__xludf.DUMMYFUNCTION("""COMPUTED_VALUE"""),"4 DL 7 - 16 (2+1) (Лот 284225)")</f>
        <v>4 DL 7 - 16 (2+1) (Лот 284225)</v>
      </c>
      <c r="E1078" s="1436">
        <f>IFERROR(__xludf.DUMMYFUNCTION("""COMPUTED_VALUE"""),45882.0)</f>
        <v>45882</v>
      </c>
      <c r="F1078" s="1436">
        <f>IFERROR(__xludf.DUMMYFUNCTION("""COMPUTED_VALUE"""),45886.0)</f>
        <v>45886</v>
      </c>
      <c r="G1078" s="1430">
        <f>IFERROR(__xludf.DUMMYFUNCTION("""COMPUTED_VALUE"""),4.0)</f>
        <v>4</v>
      </c>
      <c r="H1078" s="94">
        <f t="shared" si="1"/>
        <v>8</v>
      </c>
    </row>
    <row r="1079" ht="15.75" customHeight="1">
      <c r="A1079" s="94" t="str">
        <f>IFERROR(__xludf.DUMMYFUNCTION("""COMPUTED_VALUE"""),"TGA2")</f>
        <v>TGA2</v>
      </c>
      <c r="B1079" s="94"/>
      <c r="C1079" s="94"/>
      <c r="D1079" s="94" t="str">
        <f>IFERROR(__xludf.DUMMYFUNCTION("""COMPUTED_VALUE"""),"6 TG c 1 сп. блок А (А2, А4, А7, B8, A9) (Лот 263239)")</f>
        <v>6 TG c 1 сп. блок А (А2, А4, А7, B8, A9) (Лот 263239)</v>
      </c>
      <c r="E1079" s="1436">
        <f>IFERROR(__xludf.DUMMYFUNCTION("""COMPUTED_VALUE"""),45882.0)</f>
        <v>45882</v>
      </c>
      <c r="F1079" s="1436">
        <f>IFERROR(__xludf.DUMMYFUNCTION("""COMPUTED_VALUE"""),45886.0)</f>
        <v>45886</v>
      </c>
      <c r="G1079" s="1430">
        <f>IFERROR(__xludf.DUMMYFUNCTION("""COMPUTED_VALUE"""),4.0)</f>
        <v>4</v>
      </c>
      <c r="H1079" s="94">
        <f t="shared" si="1"/>
        <v>8</v>
      </c>
    </row>
    <row r="1080" ht="15.75" customHeight="1">
      <c r="A1080" s="1164" t="str">
        <f>IFERROR(__xludf.DUMMYFUNCTION("""COMPUTED_VALUE"""),"WS F 907")</f>
        <v>WS F 907</v>
      </c>
      <c r="B1080" s="94"/>
      <c r="C1080" s="94"/>
      <c r="D1080" s="94" t="str">
        <f>IFERROR(__xludf.DUMMYFUNCTION("""COMPUTED_VALUE"""),"1 WS F 907 (Лот 233314)")</f>
        <v>1 WS F 907 (Лот 233314)</v>
      </c>
      <c r="E1080" s="1436">
        <f>IFERROR(__xludf.DUMMYFUNCTION("""COMPUTED_VALUE"""),45882.0)</f>
        <v>45882</v>
      </c>
      <c r="F1080" s="1436">
        <f>IFERROR(__xludf.DUMMYFUNCTION("""COMPUTED_VALUE"""),45887.0)</f>
        <v>45887</v>
      </c>
      <c r="G1080" s="1430">
        <f>IFERROR(__xludf.DUMMYFUNCTION("""COMPUTED_VALUE"""),5.0)</f>
        <v>5</v>
      </c>
      <c r="H1080" s="94">
        <f t="shared" si="1"/>
        <v>8</v>
      </c>
    </row>
    <row r="1081" ht="15.75" customHeight="1">
      <c r="A1081" s="94" t="str">
        <f>IFERROR(__xludf.DUMMYFUNCTION("""COMPUTED_VALUE"""),"TGB1")</f>
        <v>TGB1</v>
      </c>
      <c r="B1081" s="94"/>
      <c r="C1081" s="94"/>
      <c r="D1081" s="94" t="str">
        <f>IFERROR(__xludf.DUMMYFUNCTION("""COMPUTED_VALUE"""),"6 TG С 1 сп с видом на горы В5, В1 (Лот 268015)")</f>
        <v>6 TG С 1 сп с видом на горы В5, В1 (Лот 268015)</v>
      </c>
      <c r="E1081" s="1436">
        <f>IFERROR(__xludf.DUMMYFUNCTION("""COMPUTED_VALUE"""),45881.0)</f>
        <v>45881</v>
      </c>
      <c r="F1081" s="1436">
        <f>IFERROR(__xludf.DUMMYFUNCTION("""COMPUTED_VALUE"""),45889.0)</f>
        <v>45889</v>
      </c>
      <c r="G1081" s="1430">
        <f>IFERROR(__xludf.DUMMYFUNCTION("""COMPUTED_VALUE"""),8.0)</f>
        <v>8</v>
      </c>
      <c r="H1081" s="94">
        <f t="shared" si="1"/>
        <v>8</v>
      </c>
    </row>
    <row r="1082" ht="15.75" customHeight="1">
      <c r="A1082" s="1164" t="str">
        <f>IFERROR(__xludf.DUMMYFUNCTION("""COMPUTED_VALUE"""),"Вилла Ева")</f>
        <v>Вилла Ева</v>
      </c>
      <c r="B1082" s="94"/>
      <c r="C1082" s="94"/>
      <c r="D1082" s="94" t="str">
        <f>IFERROR(__xludf.DUMMYFUNCTION("""COMPUTED_VALUE"""),"Villa EVA (Лот 275315)")</f>
        <v>Villa EVA (Лот 275315)</v>
      </c>
      <c r="E1082" s="1436">
        <f>IFERROR(__xludf.DUMMYFUNCTION("""COMPUTED_VALUE"""),45881.0)</f>
        <v>45881</v>
      </c>
      <c r="F1082" s="1436">
        <f>IFERROR(__xludf.DUMMYFUNCTION("""COMPUTED_VALUE"""),45888.0)</f>
        <v>45888</v>
      </c>
      <c r="G1082" s="1430">
        <f>IFERROR(__xludf.DUMMYFUNCTION("""COMPUTED_VALUE"""),7.0)</f>
        <v>7</v>
      </c>
      <c r="H1082" s="94">
        <f t="shared" si="1"/>
        <v>8</v>
      </c>
    </row>
    <row r="1083" ht="15.75" customHeight="1">
      <c r="A1083" s="94" t="str">
        <f>IFERROR(__xludf.DUMMYFUNCTION("""COMPUTED_VALUE"""),"PT2604")</f>
        <v>PT2604</v>
      </c>
      <c r="B1083" s="94"/>
      <c r="C1083" s="94"/>
      <c r="D1083" s="94" t="str">
        <f>IFERROR(__xludf.DUMMYFUNCTION("""COMPUTED_VALUE"""),"3 PB 2604 (Лот 265736)")</f>
        <v>3 PB 2604 (Лот 265736)</v>
      </c>
      <c r="E1083" s="1436">
        <f>IFERROR(__xludf.DUMMYFUNCTION("""COMPUTED_VALUE"""),45881.0)</f>
        <v>45881</v>
      </c>
      <c r="F1083" s="1436">
        <f>IFERROR(__xludf.DUMMYFUNCTION("""COMPUTED_VALUE"""),45888.0)</f>
        <v>45888</v>
      </c>
      <c r="G1083" s="1430">
        <f>IFERROR(__xludf.DUMMYFUNCTION("""COMPUTED_VALUE"""),7.0)</f>
        <v>7</v>
      </c>
      <c r="H1083" s="94">
        <f t="shared" si="1"/>
        <v>8</v>
      </c>
    </row>
    <row r="1084" ht="15.75" customHeight="1">
      <c r="A1084" s="1164" t="str">
        <f>IFERROR(__xludf.DUMMYFUNCTION("""COMPUTED_VALUE"""),"D2 3216")</f>
        <v>D2 3216</v>
      </c>
      <c r="B1084" s="94"/>
      <c r="C1084" s="94"/>
      <c r="D1084" s="94" t="str">
        <f>IFERROR(__xludf.DUMMYFUNCTION("""COMPUTED_VALUE"""),"2 Orbi D2 3216 (Лот 236836)")</f>
        <v>2 Orbi D2 3216 (Лот 236836)</v>
      </c>
      <c r="E1084" s="1436">
        <f>IFERROR(__xludf.DUMMYFUNCTION("""COMPUTED_VALUE"""),45881.0)</f>
        <v>45881</v>
      </c>
      <c r="F1084" s="1436">
        <f>IFERROR(__xludf.DUMMYFUNCTION("""COMPUTED_VALUE"""),45887.0)</f>
        <v>45887</v>
      </c>
      <c r="G1084" s="1430">
        <f>IFERROR(__xludf.DUMMYFUNCTION("""COMPUTED_VALUE"""),6.0)</f>
        <v>6</v>
      </c>
      <c r="H1084" s="94">
        <f t="shared" si="1"/>
        <v>8</v>
      </c>
    </row>
    <row r="1085" ht="15.75" customHeight="1">
      <c r="A1085" s="94" t="str">
        <f>IFERROR(__xludf.DUMMYFUNCTION("""COMPUTED_VALUE"""),"MZ 1408")</f>
        <v>MZ 1408</v>
      </c>
      <c r="B1085" s="94"/>
      <c r="C1085" s="94"/>
      <c r="D1085" s="94" t="str">
        <f>IFERROR(__xludf.DUMMYFUNCTION("""COMPUTED_VALUE"""),"3 MZ 1408 (Лот 289834)")</f>
        <v>3 MZ 1408 (Лот 289834)</v>
      </c>
      <c r="E1085" s="1436">
        <f>IFERROR(__xludf.DUMMYFUNCTION("""COMPUTED_VALUE"""),45881.0)</f>
        <v>45881</v>
      </c>
      <c r="F1085" s="1436">
        <f>IFERROR(__xludf.DUMMYFUNCTION("""COMPUTED_VALUE"""),45884.0)</f>
        <v>45884</v>
      </c>
      <c r="G1085" s="1430">
        <f>IFERROR(__xludf.DUMMYFUNCTION("""COMPUTED_VALUE"""),3.0)</f>
        <v>3</v>
      </c>
      <c r="H1085" s="94">
        <f t="shared" si="1"/>
        <v>8</v>
      </c>
    </row>
    <row r="1086" ht="15.75" customHeight="1">
      <c r="A1086" s="1164" t="str">
        <f>IFERROR(__xludf.DUMMYFUNCTION("""COMPUTED_VALUE"""),"CM 1606")</f>
        <v>CM 1606</v>
      </c>
      <c r="B1086" s="94"/>
      <c r="C1086" s="94"/>
      <c r="D1086" s="94" t="str">
        <f>IFERROR(__xludf.DUMMYFUNCTION("""COMPUTED_VALUE"""),"3 Mar 1606 (Лот 233302)")</f>
        <v>3 Mar 1606 (Лот 233302)</v>
      </c>
      <c r="E1086" s="1436">
        <f>IFERROR(__xludf.DUMMYFUNCTION("""COMPUTED_VALUE"""),45881.0)</f>
        <v>45881</v>
      </c>
      <c r="F1086" s="1436">
        <f>IFERROR(__xludf.DUMMYFUNCTION("""COMPUTED_VALUE"""),45884.0)</f>
        <v>45884</v>
      </c>
      <c r="G1086" s="1430">
        <f>IFERROR(__xludf.DUMMYFUNCTION("""COMPUTED_VALUE"""),3.0)</f>
        <v>3</v>
      </c>
      <c r="H1086" s="94">
        <f t="shared" si="1"/>
        <v>8</v>
      </c>
    </row>
    <row r="1087" ht="15.75" customHeight="1">
      <c r="A1087" s="94" t="str">
        <f>IFERROR(__xludf.DUMMYFUNCTION("""COMPUTED_VALUE"""),"PT2704")</f>
        <v>PT2704</v>
      </c>
      <c r="B1087" s="94"/>
      <c r="C1087" s="94"/>
      <c r="D1087" s="94" t="str">
        <f>IFERROR(__xludf.DUMMYFUNCTION("""COMPUTED_VALUE"""),"3 PB 2704 (Лот 265740)")</f>
        <v>3 PB 2704 (Лот 265740)</v>
      </c>
      <c r="E1087" s="1436">
        <f>IFERROR(__xludf.DUMMYFUNCTION("""COMPUTED_VALUE"""),45881.0)</f>
        <v>45881</v>
      </c>
      <c r="F1087" s="1436">
        <f>IFERROR(__xludf.DUMMYFUNCTION("""COMPUTED_VALUE"""),45885.0)</f>
        <v>45885</v>
      </c>
      <c r="G1087" s="1430">
        <f>IFERROR(__xludf.DUMMYFUNCTION("""COMPUTED_VALUE"""),4.0)</f>
        <v>4</v>
      </c>
      <c r="H1087" s="94">
        <f t="shared" si="1"/>
        <v>8</v>
      </c>
    </row>
    <row r="1088" ht="15.75" customHeight="1">
      <c r="A1088" s="94" t="str">
        <f>IFERROR(__xludf.DUMMYFUNCTION("""COMPUTED_VALUE"""),"NW 4-10")</f>
        <v>NW 4-10</v>
      </c>
      <c r="B1088" s="94"/>
      <c r="C1088" s="94"/>
      <c r="D1088" s="94" t="str">
        <f>IFERROR(__xludf.DUMMYFUNCTION("""COMPUTED_VALUE"""),"3 NW 410 (Лот 289904)")</f>
        <v>3 NW 410 (Лот 289904)</v>
      </c>
      <c r="E1088" s="1436">
        <f>IFERROR(__xludf.DUMMYFUNCTION("""COMPUTED_VALUE"""),45881.0)</f>
        <v>45881</v>
      </c>
      <c r="F1088" s="1436">
        <f>IFERROR(__xludf.DUMMYFUNCTION("""COMPUTED_VALUE"""),45885.0)</f>
        <v>45885</v>
      </c>
      <c r="G1088" s="1430">
        <f>IFERROR(__xludf.DUMMYFUNCTION("""COMPUTED_VALUE"""),4.0)</f>
        <v>4</v>
      </c>
      <c r="H1088" s="94">
        <f t="shared" si="1"/>
        <v>8</v>
      </c>
    </row>
    <row r="1089" ht="15.75" customHeight="1">
      <c r="A1089" s="94" t="str">
        <f>IFERROR(__xludf.DUMMYFUNCTION("""COMPUTED_VALUE"""),"С 1125")</f>
        <v>С 1125</v>
      </c>
      <c r="B1089" s="94"/>
      <c r="C1089" s="94"/>
      <c r="D1089" s="94" t="str">
        <f>IFERROR(__xludf.DUMMYFUNCTION("""COMPUTED_VALUE"""),"2 Orbi C 1125 (Лот 233326)")</f>
        <v>2 Orbi C 1125 (Лот 233326)</v>
      </c>
      <c r="E1089" s="1436">
        <f>IFERROR(__xludf.DUMMYFUNCTION("""COMPUTED_VALUE"""),45881.0)</f>
        <v>45881</v>
      </c>
      <c r="F1089" s="1436">
        <f>IFERROR(__xludf.DUMMYFUNCTION("""COMPUTED_VALUE"""),45884.0)</f>
        <v>45884</v>
      </c>
      <c r="G1089" s="1430">
        <f>IFERROR(__xludf.DUMMYFUNCTION("""COMPUTED_VALUE"""),3.0)</f>
        <v>3</v>
      </c>
      <c r="H1089" s="94">
        <f t="shared" si="1"/>
        <v>8</v>
      </c>
    </row>
    <row r="1090" ht="15.75" customHeight="1">
      <c r="A1090" s="94" t="str">
        <f>IFERROR(__xludf.DUMMYFUNCTION("""COMPUTED_VALUE"""),"DL 13-206")</f>
        <v>DL 13-206</v>
      </c>
      <c r="B1090" s="94"/>
      <c r="C1090" s="94"/>
      <c r="D1090" s="431" t="str">
        <f>IFERROR(__xludf.DUMMYFUNCTION("""COMPUTED_VALUE"""),"4 DL 13 - 206 (Лот 291575)")</f>
        <v>4 DL 13 - 206 (Лот 291575)</v>
      </c>
      <c r="E1090" s="1436">
        <f>IFERROR(__xludf.DUMMYFUNCTION("""COMPUTED_VALUE"""),45881.0)</f>
        <v>45881</v>
      </c>
      <c r="F1090" s="1436">
        <f>IFERROR(__xludf.DUMMYFUNCTION("""COMPUTED_VALUE"""),45884.0)</f>
        <v>45884</v>
      </c>
      <c r="G1090" s="1430">
        <f>IFERROR(__xludf.DUMMYFUNCTION("""COMPUTED_VALUE"""),3.0)</f>
        <v>3</v>
      </c>
      <c r="H1090" s="94">
        <f t="shared" si="1"/>
        <v>8</v>
      </c>
    </row>
    <row r="1091" ht="15.75" customHeight="1">
      <c r="A1091" s="94" t="str">
        <f>IFERROR(__xludf.DUMMYFUNCTION("""COMPUTED_VALUE"""),"NW 10-6")</f>
        <v>NW 10-6</v>
      </c>
      <c r="B1091" s="94"/>
      <c r="C1091" s="94"/>
      <c r="D1091" s="94" t="str">
        <f>IFERROR(__xludf.DUMMYFUNCTION("""COMPUTED_VALUE"""),"3 NW 1006 (Лот 289905)")</f>
        <v>3 NW 1006 (Лот 289905)</v>
      </c>
      <c r="E1091" s="1436">
        <f>IFERROR(__xludf.DUMMYFUNCTION("""COMPUTED_VALUE"""),45881.0)</f>
        <v>45881</v>
      </c>
      <c r="F1091" s="1436">
        <f>IFERROR(__xludf.DUMMYFUNCTION("""COMPUTED_VALUE"""),45885.0)</f>
        <v>45885</v>
      </c>
      <c r="G1091" s="1430">
        <f>IFERROR(__xludf.DUMMYFUNCTION("""COMPUTED_VALUE"""),4.0)</f>
        <v>4</v>
      </c>
      <c r="H1091" s="94">
        <f t="shared" si="1"/>
        <v>8</v>
      </c>
    </row>
    <row r="1092" ht="15.75" customHeight="1">
      <c r="A1092" s="1164" t="str">
        <f>IFERROR(__xludf.DUMMYFUNCTION("""COMPUTED_VALUE"""),"WS A 409")</f>
        <v>WS A 409</v>
      </c>
      <c r="B1092" s="94"/>
      <c r="C1092" s="94"/>
      <c r="D1092" s="94" t="str">
        <f>IFERROR(__xludf.DUMMYFUNCTION("""COMPUTED_VALUE"""),"1 WS A 409 (Лот 233355)")</f>
        <v>1 WS A 409 (Лот 233355)</v>
      </c>
      <c r="E1092" s="1436">
        <f>IFERROR(__xludf.DUMMYFUNCTION("""COMPUTED_VALUE"""),45881.0)</f>
        <v>45881</v>
      </c>
      <c r="F1092" s="1436">
        <f>IFERROR(__xludf.DUMMYFUNCTION("""COMPUTED_VALUE"""),45883.0)</f>
        <v>45883</v>
      </c>
      <c r="G1092" s="1430">
        <f>IFERROR(__xludf.DUMMYFUNCTION("""COMPUTED_VALUE"""),2.0)</f>
        <v>2</v>
      </c>
      <c r="H1092" s="94">
        <f t="shared" si="1"/>
        <v>8</v>
      </c>
    </row>
    <row r="1093" ht="15.75" customHeight="1">
      <c r="A1093" s="1164" t="str">
        <f>IFERROR(__xludf.DUMMYFUNCTION("""COMPUTED_VALUE"""),"WS A907")</f>
        <v>WS A907</v>
      </c>
      <c r="B1093" s="94"/>
      <c r="C1093" s="94"/>
      <c r="D1093" s="94" t="str">
        <f>IFERROR(__xludf.DUMMYFUNCTION("""COMPUTED_VALUE"""),"1 WS A 907 (Лот 233365)")</f>
        <v>1 WS A 907 (Лот 233365)</v>
      </c>
      <c r="E1093" s="1436">
        <f>IFERROR(__xludf.DUMMYFUNCTION("""COMPUTED_VALUE"""),45881.0)</f>
        <v>45881</v>
      </c>
      <c r="F1093" s="1436">
        <f>IFERROR(__xludf.DUMMYFUNCTION("""COMPUTED_VALUE"""),45884.0)</f>
        <v>45884</v>
      </c>
      <c r="G1093" s="1430">
        <f>IFERROR(__xludf.DUMMYFUNCTION("""COMPUTED_VALUE"""),3.0)</f>
        <v>3</v>
      </c>
      <c r="H1093" s="94">
        <f t="shared" si="1"/>
        <v>8</v>
      </c>
    </row>
    <row r="1094" ht="15.75" customHeight="1">
      <c r="A1094" s="1164" t="str">
        <f>IFERROR(__xludf.DUMMYFUNCTION("""COMPUTED_VALUE"""),"С 1443")</f>
        <v>С 1443</v>
      </c>
      <c r="B1094" s="94"/>
      <c r="C1094" s="94"/>
      <c r="D1094" s="94" t="str">
        <f>IFERROR(__xludf.DUMMYFUNCTION("""COMPUTED_VALUE"""),"2 Orbi C 1443 (Лот 233331)")</f>
        <v>2 Orbi C 1443 (Лот 233331)</v>
      </c>
      <c r="E1094" s="1436">
        <f>IFERROR(__xludf.DUMMYFUNCTION("""COMPUTED_VALUE"""),45880.0)</f>
        <v>45880</v>
      </c>
      <c r="F1094" s="1436">
        <f>IFERROR(__xludf.DUMMYFUNCTION("""COMPUTED_VALUE"""),45888.0)</f>
        <v>45888</v>
      </c>
      <c r="G1094" s="1430">
        <f>IFERROR(__xludf.DUMMYFUNCTION("""COMPUTED_VALUE"""),8.0)</f>
        <v>8</v>
      </c>
      <c r="H1094" s="94">
        <f t="shared" si="1"/>
        <v>8</v>
      </c>
    </row>
    <row r="1095" ht="15.75" customHeight="1">
      <c r="A1095" s="1164" t="str">
        <f>IFERROR(__xludf.DUMMYFUNCTION("""COMPUTED_VALUE"""),"WS Е804")</f>
        <v>WS Е804</v>
      </c>
      <c r="B1095" s="94"/>
      <c r="C1095" s="94"/>
      <c r="D1095" s="94" t="str">
        <f>IFERROR(__xludf.DUMMYFUNCTION("""COMPUTED_VALUE"""),"1 WS E 804 (Лот 233350)")</f>
        <v>1 WS E 804 (Лот 233350)</v>
      </c>
      <c r="E1095" s="1436">
        <f>IFERROR(__xludf.DUMMYFUNCTION("""COMPUTED_VALUE"""),45880.0)</f>
        <v>45880</v>
      </c>
      <c r="F1095" s="1436">
        <f>IFERROR(__xludf.DUMMYFUNCTION("""COMPUTED_VALUE"""),45886.0)</f>
        <v>45886</v>
      </c>
      <c r="G1095" s="1430">
        <f>IFERROR(__xludf.DUMMYFUNCTION("""COMPUTED_VALUE"""),6.0)</f>
        <v>6</v>
      </c>
      <c r="H1095" s="94">
        <f t="shared" si="1"/>
        <v>8</v>
      </c>
    </row>
    <row r="1096" ht="15.75" customHeight="1">
      <c r="A1096" s="94" t="str">
        <f>IFERROR(__xludf.DUMMYFUNCTION("""COMPUTED_VALUE"""),"TGA10")</f>
        <v>TGA10</v>
      </c>
      <c r="B1096" s="94"/>
      <c r="C1096" s="94"/>
      <c r="D1096" s="94" t="str">
        <f>IFERROR(__xludf.DUMMYFUNCTION("""COMPUTED_VALUE"""),"6 TG С 2 сп. блок А (А1, А10) (Лот 268000)")</f>
        <v>6 TG С 2 сп. блок А (А1, А10) (Лот 268000)</v>
      </c>
      <c r="E1096" s="1436">
        <f>IFERROR(__xludf.DUMMYFUNCTION("""COMPUTED_VALUE"""),45880.0)</f>
        <v>45880</v>
      </c>
      <c r="F1096" s="1436">
        <f>IFERROR(__xludf.DUMMYFUNCTION("""COMPUTED_VALUE"""),45894.0)</f>
        <v>45894</v>
      </c>
      <c r="G1096" s="1430">
        <f>IFERROR(__xludf.DUMMYFUNCTION("""COMPUTED_VALUE"""),14.0)</f>
        <v>14</v>
      </c>
      <c r="H1096" s="94">
        <f t="shared" si="1"/>
        <v>8</v>
      </c>
    </row>
    <row r="1097" ht="15.75" customHeight="1">
      <c r="A1097" s="94" t="str">
        <f>IFERROR(__xludf.DUMMYFUNCTION("""COMPUTED_VALUE"""),"Int 2612")</f>
        <v>Int 2612</v>
      </c>
      <c r="B1097" s="94"/>
      <c r="C1097" s="94"/>
      <c r="D1097" s="94" t="str">
        <f>IFERROR(__xludf.DUMMYFUNCTION("""COMPUTED_VALUE"""),"3 Int B 2612 (Лот 285149)")</f>
        <v>3 Int B 2612 (Лот 285149)</v>
      </c>
      <c r="E1097" s="1436">
        <f>IFERROR(__xludf.DUMMYFUNCTION("""COMPUTED_VALUE"""),45880.0)</f>
        <v>45880</v>
      </c>
      <c r="F1097" s="1436">
        <f>IFERROR(__xludf.DUMMYFUNCTION("""COMPUTED_VALUE"""),45890.0)</f>
        <v>45890</v>
      </c>
      <c r="G1097" s="1430">
        <f>IFERROR(__xludf.DUMMYFUNCTION("""COMPUTED_VALUE"""),10.0)</f>
        <v>10</v>
      </c>
      <c r="H1097" s="94">
        <f t="shared" si="1"/>
        <v>8</v>
      </c>
    </row>
    <row r="1098" ht="15.75" customHeight="1">
      <c r="A1098" s="94" t="str">
        <f>IFERROR(__xludf.DUMMYFUNCTION("""COMPUTED_VALUE"""),"BV206")</f>
        <v>BV206</v>
      </c>
      <c r="B1098" s="94"/>
      <c r="C1098" s="94"/>
      <c r="D1098" s="94" t="str">
        <f>IFERROR(__xludf.DUMMYFUNCTION("""COMPUTED_VALUE"""),"1 BV 1006 (Лот 233390)")</f>
        <v>1 BV 1006 (Лот 233390)</v>
      </c>
      <c r="E1098" s="1436">
        <f>IFERROR(__xludf.DUMMYFUNCTION("""COMPUTED_VALUE"""),45880.0)</f>
        <v>45880</v>
      </c>
      <c r="F1098" s="1436">
        <f>IFERROR(__xludf.DUMMYFUNCTION("""COMPUTED_VALUE"""),45890.0)</f>
        <v>45890</v>
      </c>
      <c r="G1098" s="1430">
        <f>IFERROR(__xludf.DUMMYFUNCTION("""COMPUTED_VALUE"""),10.0)</f>
        <v>10</v>
      </c>
      <c r="H1098" s="94">
        <f t="shared" si="1"/>
        <v>8</v>
      </c>
    </row>
    <row r="1099" ht="15.75" customHeight="1">
      <c r="A1099" s="94" t="str">
        <f>IFERROR(__xludf.DUMMYFUNCTION("""COMPUTED_VALUE"""),"NW 4-9")</f>
        <v>NW 4-9</v>
      </c>
      <c r="B1099" s="94"/>
      <c r="C1099" s="94"/>
      <c r="D1099" s="94" t="str">
        <f>IFERROR(__xludf.DUMMYFUNCTION("""COMPUTED_VALUE"""),"3 NW 409 (Лот 289895)")</f>
        <v>3 NW 409 (Лот 289895)</v>
      </c>
      <c r="E1099" s="1436">
        <f>IFERROR(__xludf.DUMMYFUNCTION("""COMPUTED_VALUE"""),45880.0)</f>
        <v>45880</v>
      </c>
      <c r="F1099" s="1436">
        <f>IFERROR(__xludf.DUMMYFUNCTION("""COMPUTED_VALUE"""),45884.0)</f>
        <v>45884</v>
      </c>
      <c r="G1099" s="1430">
        <f>IFERROR(__xludf.DUMMYFUNCTION("""COMPUTED_VALUE"""),4.0)</f>
        <v>4</v>
      </c>
      <c r="H1099" s="94">
        <f t="shared" si="1"/>
        <v>8</v>
      </c>
    </row>
    <row r="1100" ht="15.75" customHeight="1">
      <c r="A1100" s="1164" t="str">
        <f>IFERROR(__xludf.DUMMYFUNCTION("""COMPUTED_VALUE"""),"WS A 608")</f>
        <v>WS A 608</v>
      </c>
      <c r="B1100" s="94"/>
      <c r="C1100" s="94"/>
      <c r="D1100" s="94" t="str">
        <f>IFERROR(__xludf.DUMMYFUNCTION("""COMPUTED_VALUE"""),"1 WS A 608 (Лот 233370)")</f>
        <v>1 WS A 608 (Лот 233370)</v>
      </c>
      <c r="E1100" s="1436">
        <f>IFERROR(__xludf.DUMMYFUNCTION("""COMPUTED_VALUE"""),45880.0)</f>
        <v>45880</v>
      </c>
      <c r="F1100" s="1436">
        <f>IFERROR(__xludf.DUMMYFUNCTION("""COMPUTED_VALUE"""),45886.0)</f>
        <v>45886</v>
      </c>
      <c r="G1100" s="1430">
        <f>IFERROR(__xludf.DUMMYFUNCTION("""COMPUTED_VALUE"""),6.0)</f>
        <v>6</v>
      </c>
      <c r="H1100" s="94">
        <f t="shared" si="1"/>
        <v>8</v>
      </c>
    </row>
    <row r="1101" ht="15.75" customHeight="1">
      <c r="A1101" s="94" t="str">
        <f>IFERROR(__xludf.DUMMYFUNCTION("""COMPUTED_VALUE"""),"TGB6")</f>
        <v>TGB6</v>
      </c>
      <c r="B1101" s="94"/>
      <c r="C1101" s="94"/>
      <c r="D1101" s="94" t="str">
        <f>IFERROR(__xludf.DUMMYFUNCTION("""COMPUTED_VALUE"""),"6 TG 1+1 Sunset (Б6, Б7) (Лот 268008)")</f>
        <v>6 TG 1+1 Sunset (Б6, Б7) (Лот 268008)</v>
      </c>
      <c r="E1101" s="1436">
        <f>IFERROR(__xludf.DUMMYFUNCTION("""COMPUTED_VALUE"""),45880.0)</f>
        <v>45880</v>
      </c>
      <c r="F1101" s="1436">
        <f>IFERROR(__xludf.DUMMYFUNCTION("""COMPUTED_VALUE"""),45885.0)</f>
        <v>45885</v>
      </c>
      <c r="G1101" s="1430">
        <f>IFERROR(__xludf.DUMMYFUNCTION("""COMPUTED_VALUE"""),5.0)</f>
        <v>5</v>
      </c>
      <c r="H1101" s="94">
        <f t="shared" si="1"/>
        <v>8</v>
      </c>
    </row>
    <row r="1102" ht="15.75" customHeight="1">
      <c r="A1102" s="1164" t="str">
        <f>IFERROR(__xludf.DUMMYFUNCTION("""COMPUTED_VALUE"""),"DL 11-1112")</f>
        <v>DL 11-1112</v>
      </c>
      <c r="B1102" s="94"/>
      <c r="C1102" s="94"/>
      <c r="D1102" s="431" t="str">
        <f>IFERROR(__xludf.DUMMYFUNCTION("""COMPUTED_VALUE"""),"4 DL 11 - 1112 (Лот 233410)")</f>
        <v>4 DL 11 - 1112 (Лот 233410)</v>
      </c>
      <c r="E1102" s="1436">
        <f>IFERROR(__xludf.DUMMYFUNCTION("""COMPUTED_VALUE"""),45880.0)</f>
        <v>45880</v>
      </c>
      <c r="F1102" s="1436">
        <f>IFERROR(__xludf.DUMMYFUNCTION("""COMPUTED_VALUE"""),45884.0)</f>
        <v>45884</v>
      </c>
      <c r="G1102" s="1430">
        <f>IFERROR(__xludf.DUMMYFUNCTION("""COMPUTED_VALUE"""),4.0)</f>
        <v>4</v>
      </c>
      <c r="H1102" s="94">
        <f t="shared" si="1"/>
        <v>8</v>
      </c>
    </row>
    <row r="1103" ht="15.75" customHeight="1">
      <c r="A1103" s="1164" t="str">
        <f>IFERROR(__xludf.DUMMYFUNCTION("""COMPUTED_VALUE"""),"WS А 908")</f>
        <v>WS А 908</v>
      </c>
      <c r="B1103" s="94"/>
      <c r="C1103" s="94"/>
      <c r="D1103" s="94" t="str">
        <f>IFERROR(__xludf.DUMMYFUNCTION("""COMPUTED_VALUE"""),"1 WS A 908 (Лот 233353)")</f>
        <v>1 WS A 908 (Лот 233353)</v>
      </c>
      <c r="E1103" s="1436">
        <f>IFERROR(__xludf.DUMMYFUNCTION("""COMPUTED_VALUE"""),45880.0)</f>
        <v>45880</v>
      </c>
      <c r="F1103" s="1436">
        <f>IFERROR(__xludf.DUMMYFUNCTION("""COMPUTED_VALUE"""),45890.0)</f>
        <v>45890</v>
      </c>
      <c r="G1103" s="1430">
        <f>IFERROR(__xludf.DUMMYFUNCTION("""COMPUTED_VALUE"""),10.0)</f>
        <v>10</v>
      </c>
      <c r="H1103" s="94">
        <f t="shared" si="1"/>
        <v>8</v>
      </c>
    </row>
    <row r="1104" ht="15.75" customHeight="1">
      <c r="A1104" s="1164" t="str">
        <f>IFERROR(__xludf.DUMMYFUNCTION("""COMPUTED_VALUE"""),"DL 14-505")</f>
        <v>DL 14-505</v>
      </c>
      <c r="B1104" s="94"/>
      <c r="C1104" s="94"/>
      <c r="D1104" s="431" t="str">
        <f>IFERROR(__xludf.DUMMYFUNCTION("""COMPUTED_VALUE"""),"4 DL 14 - 505 (Лот 233426)")</f>
        <v>4 DL 14 - 505 (Лот 233426)</v>
      </c>
      <c r="E1104" s="1436">
        <f>IFERROR(__xludf.DUMMYFUNCTION("""COMPUTED_VALUE"""),45880.0)</f>
        <v>45880</v>
      </c>
      <c r="F1104" s="1436">
        <f>IFERROR(__xludf.DUMMYFUNCTION("""COMPUTED_VALUE"""),45884.0)</f>
        <v>45884</v>
      </c>
      <c r="G1104" s="1430">
        <f>IFERROR(__xludf.DUMMYFUNCTION("""COMPUTED_VALUE"""),4.0)</f>
        <v>4</v>
      </c>
      <c r="H1104" s="94">
        <f t="shared" si="1"/>
        <v>8</v>
      </c>
    </row>
    <row r="1105" ht="15.75" customHeight="1">
      <c r="A1105" s="94" t="str">
        <f>IFERROR(__xludf.DUMMYFUNCTION("""COMPUTED_VALUE"""),"TGB5")</f>
        <v>TGB5</v>
      </c>
      <c r="B1105" s="94"/>
      <c r="C1105" s="94"/>
      <c r="D1105" s="94" t="str">
        <f>IFERROR(__xludf.DUMMYFUNCTION("""COMPUTED_VALUE"""),"6 TG С 1 сп с видом на горы В5, В1 (Лот 268015)")</f>
        <v>6 TG С 1 сп с видом на горы В5, В1 (Лот 268015)</v>
      </c>
      <c r="E1105" s="1436">
        <f>IFERROR(__xludf.DUMMYFUNCTION("""COMPUTED_VALUE"""),45880.0)</f>
        <v>45880</v>
      </c>
      <c r="F1105" s="1436">
        <f>IFERROR(__xludf.DUMMYFUNCTION("""COMPUTED_VALUE"""),45883.0)</f>
        <v>45883</v>
      </c>
      <c r="G1105" s="1430">
        <f>IFERROR(__xludf.DUMMYFUNCTION("""COMPUTED_VALUE"""),3.0)</f>
        <v>3</v>
      </c>
      <c r="H1105" s="94">
        <f t="shared" si="1"/>
        <v>8</v>
      </c>
    </row>
    <row r="1106" ht="15.75" customHeight="1">
      <c r="A1106" s="1164" t="str">
        <f>IFERROR(__xludf.DUMMYFUNCTION("""COMPUTED_VALUE"""),"Steps 1108")</f>
        <v>Steps 1108</v>
      </c>
      <c r="B1106" s="94"/>
      <c r="C1106" s="94"/>
      <c r="D1106" s="94" t="str">
        <f>IFERROR(__xludf.DUMMYFUNCTION("""COMPUTED_VALUE"""),"1. Steps 1108 (Лот 233301)")</f>
        <v>1. Steps 1108 (Лот 233301)</v>
      </c>
      <c r="E1106" s="1436">
        <f>IFERROR(__xludf.DUMMYFUNCTION("""COMPUTED_VALUE"""),45880.0)</f>
        <v>45880</v>
      </c>
      <c r="F1106" s="1436">
        <f>IFERROR(__xludf.DUMMYFUNCTION("""COMPUTED_VALUE"""),45885.0)</f>
        <v>45885</v>
      </c>
      <c r="G1106" s="1430">
        <f>IFERROR(__xludf.DUMMYFUNCTION("""COMPUTED_VALUE"""),5.0)</f>
        <v>5</v>
      </c>
      <c r="H1106" s="94">
        <f t="shared" si="1"/>
        <v>8</v>
      </c>
    </row>
    <row r="1107" ht="15.75" customHeight="1">
      <c r="A1107" s="94" t="str">
        <f>IFERROR(__xludf.DUMMYFUNCTION("""COMPUTED_VALUE"""),"DL 13-703")</f>
        <v>DL 13-703</v>
      </c>
      <c r="B1107" s="94"/>
      <c r="C1107" s="94"/>
      <c r="D1107" s="431" t="str">
        <f>IFERROR(__xludf.DUMMYFUNCTION("""COMPUTED_VALUE"""),"4 DL 13 - 703 (1+1) (Лот 293099)")</f>
        <v>4 DL 13 - 703 (1+1) (Лот 293099)</v>
      </c>
      <c r="E1107" s="1436">
        <f>IFERROR(__xludf.DUMMYFUNCTION("""COMPUTED_VALUE"""),45880.0)</f>
        <v>45880</v>
      </c>
      <c r="F1107" s="1436">
        <f>IFERROR(__xludf.DUMMYFUNCTION("""COMPUTED_VALUE"""),45883.0)</f>
        <v>45883</v>
      </c>
      <c r="G1107" s="1430">
        <f>IFERROR(__xludf.DUMMYFUNCTION("""COMPUTED_VALUE"""),3.0)</f>
        <v>3</v>
      </c>
      <c r="H1107" s="94">
        <f t="shared" si="1"/>
        <v>8</v>
      </c>
    </row>
    <row r="1108" ht="15.75" customHeight="1">
      <c r="A1108" s="94" t="str">
        <f>IFERROR(__xludf.DUMMYFUNCTION("""COMPUTED_VALUE"""),"DL7-16")</f>
        <v>DL7-16</v>
      </c>
      <c r="B1108" s="94"/>
      <c r="C1108" s="94"/>
      <c r="D1108" s="431" t="str">
        <f>IFERROR(__xludf.DUMMYFUNCTION("""COMPUTED_VALUE"""),"4 DL 7 - 16 (2+1) (Лот 284225)")</f>
        <v>4 DL 7 - 16 (2+1) (Лот 284225)</v>
      </c>
      <c r="E1108" s="1436">
        <f>IFERROR(__xludf.DUMMYFUNCTION("""COMPUTED_VALUE"""),45880.0)</f>
        <v>45880</v>
      </c>
      <c r="F1108" s="1436">
        <f>IFERROR(__xludf.DUMMYFUNCTION("""COMPUTED_VALUE"""),45882.0)</f>
        <v>45882</v>
      </c>
      <c r="G1108" s="1430">
        <f>IFERROR(__xludf.DUMMYFUNCTION("""COMPUTED_VALUE"""),2.0)</f>
        <v>2</v>
      </c>
      <c r="H1108" s="94">
        <f t="shared" si="1"/>
        <v>8</v>
      </c>
    </row>
    <row r="1109" ht="15.75" customHeight="1">
      <c r="A1109" s="94" t="str">
        <f>IFERROR(__xludf.DUMMYFUNCTION("""COMPUTED_VALUE"""),"WS A805")</f>
        <v>WS A805</v>
      </c>
      <c r="B1109" s="94"/>
      <c r="C1109" s="94"/>
      <c r="D1109" s="94" t="str">
        <f>IFERROR(__xludf.DUMMYFUNCTION("""COMPUTED_VALUE"""),"1 WS A 805 (Лот 283869)")</f>
        <v>1 WS A 805 (Лот 283869)</v>
      </c>
      <c r="E1109" s="1436">
        <f>IFERROR(__xludf.DUMMYFUNCTION("""COMPUTED_VALUE"""),45880.0)</f>
        <v>45880</v>
      </c>
      <c r="F1109" s="1436">
        <f>IFERROR(__xludf.DUMMYFUNCTION("""COMPUTED_VALUE"""),45883.0)</f>
        <v>45883</v>
      </c>
      <c r="G1109" s="1430">
        <f>IFERROR(__xludf.DUMMYFUNCTION("""COMPUTED_VALUE"""),3.0)</f>
        <v>3</v>
      </c>
      <c r="H1109" s="94">
        <f t="shared" si="1"/>
        <v>8</v>
      </c>
    </row>
    <row r="1110" ht="15.75" customHeight="1">
      <c r="A1110" s="94" t="str">
        <f>IFERROR(__xludf.DUMMYFUNCTION("""COMPUTED_VALUE"""),"4.DL 13 - 201 (Лот 299722)")</f>
        <v>4.DL 13 - 201 (Лот 299722)</v>
      </c>
      <c r="B1110" s="94"/>
      <c r="C1110" s="94"/>
      <c r="D1110" s="431" t="str">
        <f>IFERROR(__xludf.DUMMYFUNCTION("""COMPUTED_VALUE"""),"4 DL 13 - 201 (Лот 299722)")</f>
        <v>4 DL 13 - 201 (Лот 299722)</v>
      </c>
      <c r="E1110" s="1436">
        <f>IFERROR(__xludf.DUMMYFUNCTION("""COMPUTED_VALUE"""),45880.0)</f>
        <v>45880</v>
      </c>
      <c r="F1110" s="1436">
        <f>IFERROR(__xludf.DUMMYFUNCTION("""COMPUTED_VALUE"""),45885.0)</f>
        <v>45885</v>
      </c>
      <c r="G1110" s="1430">
        <f>IFERROR(__xludf.DUMMYFUNCTION("""COMPUTED_VALUE"""),5.0)</f>
        <v>5</v>
      </c>
      <c r="H1110" s="94">
        <f t="shared" si="1"/>
        <v>8</v>
      </c>
    </row>
    <row r="1111" ht="15.75" customHeight="1">
      <c r="A1111" s="1164" t="str">
        <f>IFERROR(__xludf.DUMMYFUNCTION("""COMPUTED_VALUE"""),"WS Е804")</f>
        <v>WS Е804</v>
      </c>
      <c r="B1111" s="94"/>
      <c r="C1111" s="94"/>
      <c r="D1111" s="94" t="str">
        <f>IFERROR(__xludf.DUMMYFUNCTION("""COMPUTED_VALUE"""),"1 WS E 804 (Лот 233350)")</f>
        <v>1 WS E 804 (Лот 233350)</v>
      </c>
      <c r="E1111" s="1436">
        <f>IFERROR(__xludf.DUMMYFUNCTION("""COMPUTED_VALUE"""),45887.0)</f>
        <v>45887</v>
      </c>
      <c r="F1111" s="1436">
        <f>IFERROR(__xludf.DUMMYFUNCTION("""COMPUTED_VALUE"""),45893.0)</f>
        <v>45893</v>
      </c>
      <c r="G1111" s="1430">
        <f>IFERROR(__xludf.DUMMYFUNCTION("""COMPUTED_VALUE"""),6.0)</f>
        <v>6</v>
      </c>
      <c r="H1111" s="94">
        <f t="shared" si="1"/>
        <v>8</v>
      </c>
    </row>
    <row r="1112" ht="15.75" customHeight="1">
      <c r="A1112" s="94" t="str">
        <f>IFERROR(__xludf.DUMMYFUNCTION("""COMPUTED_VALUE"""),"NW 10-6")</f>
        <v>NW 10-6</v>
      </c>
      <c r="B1112" s="94"/>
      <c r="C1112" s="94"/>
      <c r="D1112" s="94" t="str">
        <f>IFERROR(__xludf.DUMMYFUNCTION("""COMPUTED_VALUE"""),"3 NW 1006 (Лот 289905)")</f>
        <v>3 NW 1006 (Лот 289905)</v>
      </c>
      <c r="E1112" s="1436">
        <f>IFERROR(__xludf.DUMMYFUNCTION("""COMPUTED_VALUE"""),45887.0)</f>
        <v>45887</v>
      </c>
      <c r="F1112" s="1436">
        <f>IFERROR(__xludf.DUMMYFUNCTION("""COMPUTED_VALUE"""),45890.0)</f>
        <v>45890</v>
      </c>
      <c r="G1112" s="1430">
        <f>IFERROR(__xludf.DUMMYFUNCTION("""COMPUTED_VALUE"""),3.0)</f>
        <v>3</v>
      </c>
      <c r="H1112" s="94">
        <f t="shared" si="1"/>
        <v>8</v>
      </c>
    </row>
    <row r="1113" ht="15.75" customHeight="1">
      <c r="A1113" s="1164" t="str">
        <f>IFERROR(__xludf.DUMMYFUNCTION("""COMPUTED_VALUE"""),"C 4245")</f>
        <v>C 4245</v>
      </c>
      <c r="B1113" s="94"/>
      <c r="C1113" s="94"/>
      <c r="D1113" s="94" t="str">
        <f>IFERROR(__xludf.DUMMYFUNCTION("""COMPUTED_VALUE"""),"2 Orbi C 4245 (Лот 233298)")</f>
        <v>2 Orbi C 4245 (Лот 233298)</v>
      </c>
      <c r="E1113" s="1436">
        <f>IFERROR(__xludf.DUMMYFUNCTION("""COMPUTED_VALUE"""),45887.0)</f>
        <v>45887</v>
      </c>
      <c r="F1113" s="1436">
        <f>IFERROR(__xludf.DUMMYFUNCTION("""COMPUTED_VALUE"""),45893.0)</f>
        <v>45893</v>
      </c>
      <c r="G1113" s="1430">
        <f>IFERROR(__xludf.DUMMYFUNCTION("""COMPUTED_VALUE"""),6.0)</f>
        <v>6</v>
      </c>
      <c r="H1113" s="94">
        <f t="shared" si="1"/>
        <v>8</v>
      </c>
    </row>
    <row r="1114" ht="15.75" customHeight="1">
      <c r="A1114" s="94" t="str">
        <f>IFERROR(__xludf.DUMMYFUNCTION("""COMPUTED_VALUE"""),"TGA4")</f>
        <v>TGA4</v>
      </c>
      <c r="B1114" s="94"/>
      <c r="C1114" s="94"/>
      <c r="D1114" s="94" t="str">
        <f>IFERROR(__xludf.DUMMYFUNCTION("""COMPUTED_VALUE"""),"6 TG c 1 сп. блок А (А2, А4, А7, B8, A9) (Лот 263239)")</f>
        <v>6 TG c 1 сп. блок А (А2, А4, А7, B8, A9) (Лот 263239)</v>
      </c>
      <c r="E1114" s="1436">
        <f>IFERROR(__xludf.DUMMYFUNCTION("""COMPUTED_VALUE"""),45887.0)</f>
        <v>45887</v>
      </c>
      <c r="F1114" s="1436">
        <f>IFERROR(__xludf.DUMMYFUNCTION("""COMPUTED_VALUE"""),45898.0)</f>
        <v>45898</v>
      </c>
      <c r="G1114" s="1430">
        <f>IFERROR(__xludf.DUMMYFUNCTION("""COMPUTED_VALUE"""),11.0)</f>
        <v>11</v>
      </c>
      <c r="H1114" s="94">
        <f t="shared" si="1"/>
        <v>8</v>
      </c>
    </row>
    <row r="1115" ht="15.75" customHeight="1">
      <c r="A1115" s="94" t="str">
        <f>IFERROR(__xludf.DUMMYFUNCTION("""COMPUTED_VALUE"""),"TGB5")</f>
        <v>TGB5</v>
      </c>
      <c r="B1115" s="94"/>
      <c r="C1115" s="94"/>
      <c r="D1115" s="94" t="str">
        <f>IFERROR(__xludf.DUMMYFUNCTION("""COMPUTED_VALUE"""),"6 TG С 1 сп с видом на горы В5, В1 (Лот 268015)")</f>
        <v>6 TG С 1 сп с видом на горы В5, В1 (Лот 268015)</v>
      </c>
      <c r="E1115" s="1436">
        <f>IFERROR(__xludf.DUMMYFUNCTION("""COMPUTED_VALUE"""),45887.0)</f>
        <v>45887</v>
      </c>
      <c r="F1115" s="1436">
        <f>IFERROR(__xludf.DUMMYFUNCTION("""COMPUTED_VALUE"""),45897.0)</f>
        <v>45897</v>
      </c>
      <c r="G1115" s="1430">
        <f>IFERROR(__xludf.DUMMYFUNCTION("""COMPUTED_VALUE"""),10.0)</f>
        <v>10</v>
      </c>
      <c r="H1115" s="94">
        <f t="shared" si="1"/>
        <v>8</v>
      </c>
    </row>
    <row r="1116" ht="15.75" customHeight="1">
      <c r="A1116" s="94" t="str">
        <f>IFERROR(__xludf.DUMMYFUNCTION("""COMPUTED_VALUE"""),"TGA6")</f>
        <v>TGA6</v>
      </c>
      <c r="B1116" s="94"/>
      <c r="C1116" s="94"/>
      <c r="D1116" s="94" t="str">
        <f>IFERROR(__xludf.DUMMYFUNCTION("""COMPUTED_VALUE"""),"6 TG Студия с видом на море А3, А5, А6, А8 (Лот 268012)")</f>
        <v>6 TG Студия с видом на море А3, А5, А6, А8 (Лот 268012)</v>
      </c>
      <c r="E1116" s="1436">
        <f>IFERROR(__xludf.DUMMYFUNCTION("""COMPUTED_VALUE"""),45887.0)</f>
        <v>45887</v>
      </c>
      <c r="F1116" s="1436">
        <f>IFERROR(__xludf.DUMMYFUNCTION("""COMPUTED_VALUE"""),45890.0)</f>
        <v>45890</v>
      </c>
      <c r="G1116" s="1430">
        <f>IFERROR(__xludf.DUMMYFUNCTION("""COMPUTED_VALUE"""),3.0)</f>
        <v>3</v>
      </c>
      <c r="H1116" s="94">
        <f t="shared" si="1"/>
        <v>8</v>
      </c>
    </row>
    <row r="1117" ht="15.75" customHeight="1">
      <c r="A1117" s="94" t="str">
        <f>IFERROR(__xludf.DUMMYFUNCTION("""COMPUTED_VALUE"""),"4 DL 14 - 1214 (Лот 233420)")</f>
        <v>4 DL 14 - 1214 (Лот 233420)</v>
      </c>
      <c r="B1117" s="94"/>
      <c r="C1117" s="94"/>
      <c r="D1117" s="94" t="str">
        <f>IFERROR(__xludf.DUMMYFUNCTION("""COMPUTED_VALUE"""),"4.DL 14-1214 (Лот 233420)")</f>
        <v>4.DL 14-1214 (Лот 233420)</v>
      </c>
      <c r="E1117" s="1436">
        <f>IFERROR(__xludf.DUMMYFUNCTION("""COMPUTED_VALUE"""),45887.0)</f>
        <v>45887</v>
      </c>
      <c r="F1117" s="1436">
        <f>IFERROR(__xludf.DUMMYFUNCTION("""COMPUTED_VALUE"""),45891.0)</f>
        <v>45891</v>
      </c>
      <c r="G1117" s="1430">
        <f>IFERROR(__xludf.DUMMYFUNCTION("""COMPUTED_VALUE"""),4.0)</f>
        <v>4</v>
      </c>
      <c r="H1117" s="94">
        <f t="shared" si="1"/>
        <v>8</v>
      </c>
    </row>
    <row r="1118" ht="15.75" customHeight="1">
      <c r="A1118" s="94" t="str">
        <f>IFERROR(__xludf.DUMMYFUNCTION("""COMPUTED_VALUE"""),"TGA7")</f>
        <v>TGA7</v>
      </c>
      <c r="B1118" s="94"/>
      <c r="C1118" s="94"/>
      <c r="D1118" s="94" t="str">
        <f>IFERROR(__xludf.DUMMYFUNCTION("""COMPUTED_VALUE"""),"6 TG c 1 сп. блок А (А2, А4, А7, B8, A9) (Лот 263239)")</f>
        <v>6 TG c 1 сп. блок А (А2, А4, А7, B8, A9) (Лот 263239)</v>
      </c>
      <c r="E1118" s="1436">
        <f>IFERROR(__xludf.DUMMYFUNCTION("""COMPUTED_VALUE"""),45887.0)</f>
        <v>45887</v>
      </c>
      <c r="F1118" s="1436">
        <f>IFERROR(__xludf.DUMMYFUNCTION("""COMPUTED_VALUE"""),45894.0)</f>
        <v>45894</v>
      </c>
      <c r="G1118" s="1430">
        <f>IFERROR(__xludf.DUMMYFUNCTION("""COMPUTED_VALUE"""),7.0)</f>
        <v>7</v>
      </c>
      <c r="H1118" s="94">
        <f t="shared" si="1"/>
        <v>8</v>
      </c>
    </row>
    <row r="1119" ht="15.75" customHeight="1">
      <c r="A1119" s="94" t="str">
        <f>IFERROR(__xludf.DUMMYFUNCTION("""COMPUTED_VALUE"""),"4.DL 13 - 201 (Лот 299722)")</f>
        <v>4.DL 13 - 201 (Лот 299722)</v>
      </c>
      <c r="B1119" s="94"/>
      <c r="C1119" s="94"/>
      <c r="D1119" s="431" t="str">
        <f>IFERROR(__xludf.DUMMYFUNCTION("""COMPUTED_VALUE"""),"4 DL 13 - 201 (Лот 299722)")</f>
        <v>4 DL 13 - 201 (Лот 299722)</v>
      </c>
      <c r="E1119" s="1436">
        <f>IFERROR(__xludf.DUMMYFUNCTION("""COMPUTED_VALUE"""),45887.0)</f>
        <v>45887</v>
      </c>
      <c r="F1119" s="1436">
        <f>IFERROR(__xludf.DUMMYFUNCTION("""COMPUTED_VALUE"""),45890.0)</f>
        <v>45890</v>
      </c>
      <c r="G1119" s="1430">
        <f>IFERROR(__xludf.DUMMYFUNCTION("""COMPUTED_VALUE"""),3.0)</f>
        <v>3</v>
      </c>
      <c r="H1119" s="94">
        <f t="shared" si="1"/>
        <v>8</v>
      </c>
    </row>
    <row r="1120" ht="15.75" customHeight="1">
      <c r="A1120" s="1164" t="str">
        <f>IFERROR(__xludf.DUMMYFUNCTION("""COMPUTED_VALUE"""),"DL 14-702")</f>
        <v>DL 14-702</v>
      </c>
      <c r="B1120" s="94"/>
      <c r="C1120" s="94"/>
      <c r="D1120" s="431" t="str">
        <f>IFERROR(__xludf.DUMMYFUNCTION("""COMPUTED_VALUE"""),"4 DL 14 - 702 (1+1) (Лот 233399)")</f>
        <v>4 DL 14 - 702 (1+1) (Лот 233399)</v>
      </c>
      <c r="E1120" s="1436">
        <f>IFERROR(__xludf.DUMMYFUNCTION("""COMPUTED_VALUE"""),45887.0)</f>
        <v>45887</v>
      </c>
      <c r="F1120" s="1436">
        <f>IFERROR(__xludf.DUMMYFUNCTION("""COMPUTED_VALUE"""),45889.0)</f>
        <v>45889</v>
      </c>
      <c r="G1120" s="1430">
        <f>IFERROR(__xludf.DUMMYFUNCTION("""COMPUTED_VALUE"""),2.0)</f>
        <v>2</v>
      </c>
      <c r="H1120" s="94">
        <f t="shared" si="1"/>
        <v>8</v>
      </c>
    </row>
    <row r="1121" ht="15.75" customHeight="1">
      <c r="A1121" s="94" t="str">
        <f>IFERROR(__xludf.DUMMYFUNCTION("""COMPUTED_VALUE"""),"MZ 718")</f>
        <v>MZ 718</v>
      </c>
      <c r="B1121" s="94"/>
      <c r="C1121" s="94"/>
      <c r="D1121" s="94" t="str">
        <f>IFERROR(__xludf.DUMMYFUNCTION("""COMPUTED_VALUE"""),"3 MZ 718, 913 (Лот 269699)")</f>
        <v>3 MZ 718, 913 (Лот 269699)</v>
      </c>
      <c r="E1121" s="1436">
        <f>IFERROR(__xludf.DUMMYFUNCTION("""COMPUTED_VALUE"""),45887.0)</f>
        <v>45887</v>
      </c>
      <c r="F1121" s="1436">
        <f>IFERROR(__xludf.DUMMYFUNCTION("""COMPUTED_VALUE"""),45893.0)</f>
        <v>45893</v>
      </c>
      <c r="G1121" s="1430">
        <f>IFERROR(__xludf.DUMMYFUNCTION("""COMPUTED_VALUE"""),6.0)</f>
        <v>6</v>
      </c>
      <c r="H1121" s="94">
        <f t="shared" si="1"/>
        <v>8</v>
      </c>
    </row>
    <row r="1122" ht="15.75" customHeight="1">
      <c r="A1122" s="1164" t="str">
        <f>IFERROR(__xludf.DUMMYFUNCTION("""COMPUTED_VALUE"""),"WS A 409")</f>
        <v>WS A 409</v>
      </c>
      <c r="B1122" s="94"/>
      <c r="C1122" s="94"/>
      <c r="D1122" s="94" t="str">
        <f>IFERROR(__xludf.DUMMYFUNCTION("""COMPUTED_VALUE"""),"1 WS A 409 (Лот 233355)")</f>
        <v>1 WS A 409 (Лот 233355)</v>
      </c>
      <c r="E1122" s="1436">
        <f>IFERROR(__xludf.DUMMYFUNCTION("""COMPUTED_VALUE"""),45887.0)</f>
        <v>45887</v>
      </c>
      <c r="F1122" s="1436">
        <f>IFERROR(__xludf.DUMMYFUNCTION("""COMPUTED_VALUE"""),45891.0)</f>
        <v>45891</v>
      </c>
      <c r="G1122" s="1430">
        <f>IFERROR(__xludf.DUMMYFUNCTION("""COMPUTED_VALUE"""),4.0)</f>
        <v>4</v>
      </c>
      <c r="H1122" s="94">
        <f t="shared" si="1"/>
        <v>8</v>
      </c>
    </row>
    <row r="1123" ht="15.75" customHeight="1">
      <c r="A1123" s="94" t="str">
        <f>IFERROR(__xludf.DUMMYFUNCTION("""COMPUTED_VALUE"""),"TGB2")</f>
        <v>TGB2</v>
      </c>
      <c r="B1123" s="94"/>
      <c r="C1123" s="94"/>
      <c r="D1123" s="94" t="str">
        <f>IFERROR(__xludf.DUMMYFUNCTION("""COMPUTED_VALUE"""),"6 TG Студии эконом блок Б (Б2, Б3, Б4) (Лот 268016)")</f>
        <v>6 TG Студии эконом блок Б (Б2, Б3, Б4) (Лот 268016)</v>
      </c>
      <c r="E1123" s="1436">
        <f>IFERROR(__xludf.DUMMYFUNCTION("""COMPUTED_VALUE"""),45887.0)</f>
        <v>45887</v>
      </c>
      <c r="F1123" s="1436">
        <f>IFERROR(__xludf.DUMMYFUNCTION("""COMPUTED_VALUE"""),45888.0)</f>
        <v>45888</v>
      </c>
      <c r="G1123" s="1430">
        <f>IFERROR(__xludf.DUMMYFUNCTION("""COMPUTED_VALUE"""),1.0)</f>
        <v>1</v>
      </c>
      <c r="H1123" s="94">
        <f t="shared" si="1"/>
        <v>8</v>
      </c>
    </row>
    <row r="1124" ht="15.75" customHeight="1">
      <c r="A1124" s="94" t="str">
        <f>IFERROR(__xludf.DUMMYFUNCTION("""COMPUTED_VALUE"""),"NW 4-10")</f>
        <v>NW 4-10</v>
      </c>
      <c r="B1124" s="94"/>
      <c r="C1124" s="94"/>
      <c r="D1124" s="94" t="str">
        <f>IFERROR(__xludf.DUMMYFUNCTION("""COMPUTED_VALUE"""),"3 NW 410 (Лот 289904)")</f>
        <v>3 NW 410 (Лот 289904)</v>
      </c>
      <c r="E1124" s="1436">
        <f>IFERROR(__xludf.DUMMYFUNCTION("""COMPUTED_VALUE"""),45887.0)</f>
        <v>45887</v>
      </c>
      <c r="F1124" s="1436">
        <f>IFERROR(__xludf.DUMMYFUNCTION("""COMPUTED_VALUE"""),45891.0)</f>
        <v>45891</v>
      </c>
      <c r="G1124" s="1430">
        <f>IFERROR(__xludf.DUMMYFUNCTION("""COMPUTED_VALUE"""),4.0)</f>
        <v>4</v>
      </c>
      <c r="H1124" s="94">
        <f t="shared" si="1"/>
        <v>8</v>
      </c>
    </row>
    <row r="1125" ht="15.75" customHeight="1">
      <c r="A1125" s="94" t="str">
        <f>IFERROR(__xludf.DUMMYFUNCTION("""COMPUTED_VALUE"""),"D2 503")</f>
        <v>D2 503</v>
      </c>
      <c r="B1125" s="94"/>
      <c r="C1125" s="94"/>
      <c r="D1125" s="94" t="str">
        <f>IFERROR(__xludf.DUMMYFUNCTION("""COMPUTED_VALUE"""),"2 Orbi D2 503 (Лот 291554)")</f>
        <v>2 Orbi D2 503 (Лот 291554)</v>
      </c>
      <c r="E1125" s="1436">
        <f>IFERROR(__xludf.DUMMYFUNCTION("""COMPUTED_VALUE"""),45887.0)</f>
        <v>45887</v>
      </c>
      <c r="F1125" s="1436">
        <f>IFERROR(__xludf.DUMMYFUNCTION("""COMPUTED_VALUE"""),45889.0)</f>
        <v>45889</v>
      </c>
      <c r="G1125" s="1430">
        <f>IFERROR(__xludf.DUMMYFUNCTION("""COMPUTED_VALUE"""),2.0)</f>
        <v>2</v>
      </c>
      <c r="H1125" s="94">
        <f t="shared" si="1"/>
        <v>8</v>
      </c>
    </row>
    <row r="1126" ht="15.75" customHeight="1">
      <c r="A1126" s="94" t="str">
        <f>IFERROR(__xludf.DUMMYFUNCTION("""COMPUTED_VALUE"""),"DL 14-506")</f>
        <v>DL 14-506</v>
      </c>
      <c r="B1126" s="94"/>
      <c r="C1126" s="94"/>
      <c r="D1126" s="431" t="str">
        <f>IFERROR(__xludf.DUMMYFUNCTION("""COMPUTED_VALUE"""),"4 DL 14 - 506 (Лот 296803)")</f>
        <v>4 DL 14 - 506 (Лот 296803)</v>
      </c>
      <c r="E1126" s="1436">
        <f>IFERROR(__xludf.DUMMYFUNCTION("""COMPUTED_VALUE"""),45887.0)</f>
        <v>45887</v>
      </c>
      <c r="F1126" s="1436">
        <f>IFERROR(__xludf.DUMMYFUNCTION("""COMPUTED_VALUE"""),45893.0)</f>
        <v>45893</v>
      </c>
      <c r="G1126" s="1430">
        <f>IFERROR(__xludf.DUMMYFUNCTION("""COMPUTED_VALUE"""),6.0)</f>
        <v>6</v>
      </c>
      <c r="H1126" s="94">
        <f t="shared" si="1"/>
        <v>8</v>
      </c>
    </row>
    <row r="1127" ht="15.75" customHeight="1">
      <c r="A1127" s="1164" t="str">
        <f>IFERROR(__xludf.DUMMYFUNCTION("""COMPUTED_VALUE"""),"DL 4-09")</f>
        <v>DL 4-09</v>
      </c>
      <c r="B1127" s="94"/>
      <c r="C1127" s="94"/>
      <c r="D1127" s="431" t="str">
        <f>IFERROR(__xludf.DUMMYFUNCTION("""COMPUTED_VALUE"""),"4 DL 4 - 09 (Лот 233385)")</f>
        <v>4 DL 4 - 09 (Лот 233385)</v>
      </c>
      <c r="E1127" s="1436">
        <f>IFERROR(__xludf.DUMMYFUNCTION("""COMPUTED_VALUE"""),45888.0)</f>
        <v>45888</v>
      </c>
      <c r="F1127" s="1436">
        <f>IFERROR(__xludf.DUMMYFUNCTION("""COMPUTED_VALUE"""),45895.0)</f>
        <v>45895</v>
      </c>
      <c r="G1127" s="1430">
        <f>IFERROR(__xludf.DUMMYFUNCTION("""COMPUTED_VALUE"""),7.0)</f>
        <v>7</v>
      </c>
      <c r="H1127" s="94">
        <f t="shared" si="1"/>
        <v>8</v>
      </c>
    </row>
    <row r="1128" ht="15.75" customHeight="1">
      <c r="A1128" s="94" t="str">
        <f>IFERROR(__xludf.DUMMYFUNCTION("""COMPUTED_VALUE"""),"NW 3-7")</f>
        <v>NW 3-7</v>
      </c>
      <c r="B1128" s="94"/>
      <c r="C1128" s="94"/>
      <c r="D1128" s="94" t="str">
        <f>IFERROR(__xludf.DUMMYFUNCTION("""COMPUTED_VALUE"""),"3 NW 307 (Лот 289960)")</f>
        <v>3 NW 307 (Лот 289960)</v>
      </c>
      <c r="E1128" s="1436">
        <f>IFERROR(__xludf.DUMMYFUNCTION("""COMPUTED_VALUE"""),45888.0)</f>
        <v>45888</v>
      </c>
      <c r="F1128" s="1436">
        <f>IFERROR(__xludf.DUMMYFUNCTION("""COMPUTED_VALUE"""),45899.0)</f>
        <v>45899</v>
      </c>
      <c r="G1128" s="1430">
        <f>IFERROR(__xludf.DUMMYFUNCTION("""COMPUTED_VALUE"""),11.0)</f>
        <v>11</v>
      </c>
      <c r="H1128" s="94">
        <f t="shared" si="1"/>
        <v>8</v>
      </c>
    </row>
    <row r="1129" ht="15.75" customHeight="1">
      <c r="A1129" s="1164" t="str">
        <f>IFERROR(__xludf.DUMMYFUNCTION("""COMPUTED_VALUE"""),"CM 1606")</f>
        <v>CM 1606</v>
      </c>
      <c r="B1129" s="94"/>
      <c r="C1129" s="94"/>
      <c r="D1129" s="94" t="str">
        <f>IFERROR(__xludf.DUMMYFUNCTION("""COMPUTED_VALUE"""),"3 Mar 1606 (Лот 233302)")</f>
        <v>3 Mar 1606 (Лот 233302)</v>
      </c>
      <c r="E1129" s="1436">
        <f>IFERROR(__xludf.DUMMYFUNCTION("""COMPUTED_VALUE"""),45888.0)</f>
        <v>45888</v>
      </c>
      <c r="F1129" s="1436">
        <f>IFERROR(__xludf.DUMMYFUNCTION("""COMPUTED_VALUE"""),45891.0)</f>
        <v>45891</v>
      </c>
      <c r="G1129" s="1430">
        <f>IFERROR(__xludf.DUMMYFUNCTION("""COMPUTED_VALUE"""),3.0)</f>
        <v>3</v>
      </c>
      <c r="H1129" s="94">
        <f t="shared" si="1"/>
        <v>8</v>
      </c>
    </row>
    <row r="1130" ht="15.75" customHeight="1">
      <c r="A1130" s="1164" t="str">
        <f>IFERROR(__xludf.DUMMYFUNCTION("""COMPUTED_VALUE"""),"DL14-1405")</f>
        <v>DL14-1405</v>
      </c>
      <c r="B1130" s="94"/>
      <c r="C1130" s="94"/>
      <c r="D1130" s="431" t="str">
        <f>IFERROR(__xludf.DUMMYFUNCTION("""COMPUTED_VALUE"""),"4 DL 14 - 1405 (1+1) (Лот 233395)")</f>
        <v>4 DL 14 - 1405 (1+1) (Лот 233395)</v>
      </c>
      <c r="E1130" s="1436">
        <f>IFERROR(__xludf.DUMMYFUNCTION("""COMPUTED_VALUE"""),45888.0)</f>
        <v>45888</v>
      </c>
      <c r="F1130" s="1436">
        <f>IFERROR(__xludf.DUMMYFUNCTION("""COMPUTED_VALUE"""),45892.0)</f>
        <v>45892</v>
      </c>
      <c r="G1130" s="1430">
        <f>IFERROR(__xludf.DUMMYFUNCTION("""COMPUTED_VALUE"""),4.0)</f>
        <v>4</v>
      </c>
      <c r="H1130" s="94">
        <f t="shared" si="1"/>
        <v>8</v>
      </c>
    </row>
    <row r="1131" ht="15.75" customHeight="1">
      <c r="A1131" s="1164" t="str">
        <f>IFERROR(__xludf.DUMMYFUNCTION("""COMPUTED_VALUE"""),"DL 11-1305")</f>
        <v>DL 11-1305</v>
      </c>
      <c r="B1131" s="94"/>
      <c r="C1131" s="94"/>
      <c r="D1131" s="431" t="str">
        <f>IFERROR(__xludf.DUMMYFUNCTION("""COMPUTED_VALUE"""),"4 DL 11 - 1305 (1+1) (Лот 234970)")</f>
        <v>4 DL 11 - 1305 (1+1) (Лот 234970)</v>
      </c>
      <c r="E1131" s="1436">
        <f>IFERROR(__xludf.DUMMYFUNCTION("""COMPUTED_VALUE"""),45888.0)</f>
        <v>45888</v>
      </c>
      <c r="F1131" s="1436">
        <f>IFERROR(__xludf.DUMMYFUNCTION("""COMPUTED_VALUE"""),45893.0)</f>
        <v>45893</v>
      </c>
      <c r="G1131" s="1430">
        <f>IFERROR(__xludf.DUMMYFUNCTION("""COMPUTED_VALUE"""),5.0)</f>
        <v>5</v>
      </c>
      <c r="H1131" s="94">
        <f t="shared" si="1"/>
        <v>8</v>
      </c>
    </row>
    <row r="1132" ht="15.75" customHeight="1">
      <c r="A1132" s="94" t="str">
        <f>IFERROR(__xludf.DUMMYFUNCTION("""COMPUTED_VALUE"""),"TGB10")</f>
        <v>TGB10</v>
      </c>
      <c r="B1132" s="94"/>
      <c r="C1132" s="94"/>
      <c r="D1132" s="94" t="str">
        <f>IFERROR(__xludf.DUMMYFUNCTION("""COMPUTED_VALUE"""),"6 TG Студии с террасой (B9, B10) (Лот 268006)")</f>
        <v>6 TG Студии с террасой (B9, B10) (Лот 268006)</v>
      </c>
      <c r="E1132" s="1436">
        <f>IFERROR(__xludf.DUMMYFUNCTION("""COMPUTED_VALUE"""),45888.0)</f>
        <v>45888</v>
      </c>
      <c r="F1132" s="1436">
        <f>IFERROR(__xludf.DUMMYFUNCTION("""COMPUTED_VALUE"""),45891.0)</f>
        <v>45891</v>
      </c>
      <c r="G1132" s="1430">
        <f>IFERROR(__xludf.DUMMYFUNCTION("""COMPUTED_VALUE"""),3.0)</f>
        <v>3</v>
      </c>
      <c r="H1132" s="94">
        <f t="shared" si="1"/>
        <v>8</v>
      </c>
    </row>
    <row r="1133" ht="15.75" customHeight="1">
      <c r="A1133" s="1164" t="str">
        <f>IFERROR(__xludf.DUMMYFUNCTION("""COMPUTED_VALUE"""),"D2 3216")</f>
        <v>D2 3216</v>
      </c>
      <c r="B1133" s="94"/>
      <c r="C1133" s="94"/>
      <c r="D1133" s="94" t="str">
        <f>IFERROR(__xludf.DUMMYFUNCTION("""COMPUTED_VALUE"""),"2 Orbi D2 3216 (Лот 236836)")</f>
        <v>2 Orbi D2 3216 (Лот 236836)</v>
      </c>
      <c r="E1133" s="1436">
        <f>IFERROR(__xludf.DUMMYFUNCTION("""COMPUTED_VALUE"""),45888.0)</f>
        <v>45888</v>
      </c>
      <c r="F1133" s="1436">
        <f>IFERROR(__xludf.DUMMYFUNCTION("""COMPUTED_VALUE"""),45893.0)</f>
        <v>45893</v>
      </c>
      <c r="G1133" s="1430">
        <f>IFERROR(__xludf.DUMMYFUNCTION("""COMPUTED_VALUE"""),5.0)</f>
        <v>5</v>
      </c>
      <c r="H1133" s="94">
        <f t="shared" si="1"/>
        <v>8</v>
      </c>
    </row>
    <row r="1134" ht="15.75" customHeight="1">
      <c r="A1134" s="1164" t="str">
        <f>IFERROR(__xludf.DUMMYFUNCTION("""COMPUTED_VALUE"""),"WS A 608")</f>
        <v>WS A 608</v>
      </c>
      <c r="B1134" s="94"/>
      <c r="C1134" s="94"/>
      <c r="D1134" s="94" t="str">
        <f>IFERROR(__xludf.DUMMYFUNCTION("""COMPUTED_VALUE"""),"1 WS A 608 (Лот 233370)")</f>
        <v>1 WS A 608 (Лот 233370)</v>
      </c>
      <c r="E1134" s="1436">
        <f>IFERROR(__xludf.DUMMYFUNCTION("""COMPUTED_VALUE"""),45888.0)</f>
        <v>45888</v>
      </c>
      <c r="F1134" s="1436">
        <f>IFERROR(__xludf.DUMMYFUNCTION("""COMPUTED_VALUE"""),45894.0)</f>
        <v>45894</v>
      </c>
      <c r="G1134" s="1430">
        <f>IFERROR(__xludf.DUMMYFUNCTION("""COMPUTED_VALUE"""),6.0)</f>
        <v>6</v>
      </c>
      <c r="H1134" s="94">
        <f t="shared" si="1"/>
        <v>8</v>
      </c>
    </row>
    <row r="1135" ht="15.75" customHeight="1">
      <c r="A1135" s="94" t="str">
        <f>IFERROR(__xludf.DUMMYFUNCTION("""COMPUTED_VALUE"""),"TGB2")</f>
        <v>TGB2</v>
      </c>
      <c r="B1135" s="94"/>
      <c r="C1135" s="94"/>
      <c r="D1135" s="94" t="str">
        <f>IFERROR(__xludf.DUMMYFUNCTION("""COMPUTED_VALUE"""),"6 TG Студии эконом блок Б (Б2, Б3, Б4) (Лот 268016)")</f>
        <v>6 TG Студии эконом блок Б (Б2, Б3, Б4) (Лот 268016)</v>
      </c>
      <c r="E1135" s="1436">
        <f>IFERROR(__xludf.DUMMYFUNCTION("""COMPUTED_VALUE"""),45888.0)</f>
        <v>45888</v>
      </c>
      <c r="F1135" s="1436">
        <f>IFERROR(__xludf.DUMMYFUNCTION("""COMPUTED_VALUE"""),45892.0)</f>
        <v>45892</v>
      </c>
      <c r="G1135" s="1430">
        <f>IFERROR(__xludf.DUMMYFUNCTION("""COMPUTED_VALUE"""),4.0)</f>
        <v>4</v>
      </c>
      <c r="H1135" s="94">
        <f t="shared" si="1"/>
        <v>8</v>
      </c>
    </row>
    <row r="1136" ht="15.75" customHeight="1">
      <c r="A1136" s="94" t="str">
        <f>IFERROR(__xludf.DUMMYFUNCTION("""COMPUTED_VALUE"""),"DL7-16")</f>
        <v>DL7-16</v>
      </c>
      <c r="B1136" s="94"/>
      <c r="C1136" s="94"/>
      <c r="D1136" s="431" t="str">
        <f>IFERROR(__xludf.DUMMYFUNCTION("""COMPUTED_VALUE"""),"4 DL 7 - 16 (2+1) (Лот 284225)")</f>
        <v>4 DL 7 - 16 (2+1) (Лот 284225)</v>
      </c>
      <c r="E1136" s="1436">
        <f>IFERROR(__xludf.DUMMYFUNCTION("""COMPUTED_VALUE"""),45888.0)</f>
        <v>45888</v>
      </c>
      <c r="F1136" s="1436">
        <f>IFERROR(__xludf.DUMMYFUNCTION("""COMPUTED_VALUE"""),45893.0)</f>
        <v>45893</v>
      </c>
      <c r="G1136" s="1430">
        <f>IFERROR(__xludf.DUMMYFUNCTION("""COMPUTED_VALUE"""),5.0)</f>
        <v>5</v>
      </c>
      <c r="H1136" s="94">
        <f t="shared" si="1"/>
        <v>8</v>
      </c>
    </row>
    <row r="1137" ht="15.75" customHeight="1">
      <c r="A1137" s="94" t="str">
        <f>IFERROR(__xludf.DUMMYFUNCTION("""COMPUTED_VALUE"""),"MZ 1416")</f>
        <v>MZ 1416</v>
      </c>
      <c r="B1137" s="94"/>
      <c r="C1137" s="94"/>
      <c r="D1137" s="94" t="str">
        <f>IFERROR(__xludf.DUMMYFUNCTION("""COMPUTED_VALUE"""),"3 MZ 1416 (Лот 289819)")</f>
        <v>3 MZ 1416 (Лот 289819)</v>
      </c>
      <c r="E1137" s="1436">
        <f>IFERROR(__xludf.DUMMYFUNCTION("""COMPUTED_VALUE"""),45888.0)</f>
        <v>45888</v>
      </c>
      <c r="F1137" s="1436">
        <f>IFERROR(__xludf.DUMMYFUNCTION("""COMPUTED_VALUE"""),45891.0)</f>
        <v>45891</v>
      </c>
      <c r="G1137" s="1430">
        <f>IFERROR(__xludf.DUMMYFUNCTION("""COMPUTED_VALUE"""),3.0)</f>
        <v>3</v>
      </c>
      <c r="H1137" s="94">
        <f t="shared" si="1"/>
        <v>8</v>
      </c>
    </row>
    <row r="1138" ht="15.75" customHeight="1">
      <c r="A1138" s="1164" t="str">
        <f>IFERROR(__xludf.DUMMYFUNCTION("""COMPUTED_VALUE"""),"С 1443")</f>
        <v>С 1443</v>
      </c>
      <c r="B1138" s="94"/>
      <c r="C1138" s="94"/>
      <c r="D1138" s="94" t="str">
        <f>IFERROR(__xludf.DUMMYFUNCTION("""COMPUTED_VALUE"""),"2 Orbi C 1443 (Лот 233331)")</f>
        <v>2 Orbi C 1443 (Лот 233331)</v>
      </c>
      <c r="E1138" s="1436">
        <f>IFERROR(__xludf.DUMMYFUNCTION("""COMPUTED_VALUE"""),45888.0)</f>
        <v>45888</v>
      </c>
      <c r="F1138" s="1436">
        <f>IFERROR(__xludf.DUMMYFUNCTION("""COMPUTED_VALUE"""),45889.0)</f>
        <v>45889</v>
      </c>
      <c r="G1138" s="1430">
        <f>IFERROR(__xludf.DUMMYFUNCTION("""COMPUTED_VALUE"""),1.0)</f>
        <v>1</v>
      </c>
      <c r="H1138" s="94">
        <f t="shared" si="1"/>
        <v>8</v>
      </c>
    </row>
    <row r="1139" ht="15.75" customHeight="1">
      <c r="A1139" s="1164" t="str">
        <f>IFERROR(__xludf.DUMMYFUNCTION("""COMPUTED_VALUE"""),"WS В 1510")</f>
        <v>WS В 1510</v>
      </c>
      <c r="B1139" s="94"/>
      <c r="C1139" s="94"/>
      <c r="D1139" s="94" t="str">
        <f>IFERROR(__xludf.DUMMYFUNCTION("""COMPUTED_VALUE"""),"1 WS B 1510 (Лот 233316)")</f>
        <v>1 WS B 1510 (Лот 233316)</v>
      </c>
      <c r="E1139" s="1436">
        <f>IFERROR(__xludf.DUMMYFUNCTION("""COMPUTED_VALUE"""),45889.0)</f>
        <v>45889</v>
      </c>
      <c r="F1139" s="1436">
        <f>IFERROR(__xludf.DUMMYFUNCTION("""COMPUTED_VALUE"""),45896.0)</f>
        <v>45896</v>
      </c>
      <c r="G1139" s="1430">
        <f>IFERROR(__xludf.DUMMYFUNCTION("""COMPUTED_VALUE"""),7.0)</f>
        <v>7</v>
      </c>
      <c r="H1139" s="94">
        <f t="shared" si="1"/>
        <v>8</v>
      </c>
    </row>
    <row r="1140" ht="15.75" customHeight="1">
      <c r="A1140" s="1164" t="str">
        <f>IFERROR(__xludf.DUMMYFUNCTION("""COMPUTED_VALUE"""),"С 1443")</f>
        <v>С 1443</v>
      </c>
      <c r="B1140" s="94"/>
      <c r="C1140" s="94"/>
      <c r="D1140" s="94" t="str">
        <f>IFERROR(__xludf.DUMMYFUNCTION("""COMPUTED_VALUE"""),"2 Orbi C 1443 (Лот 233331)")</f>
        <v>2 Orbi C 1443 (Лот 233331)</v>
      </c>
      <c r="E1140" s="1436">
        <f>IFERROR(__xludf.DUMMYFUNCTION("""COMPUTED_VALUE"""),45889.0)</f>
        <v>45889</v>
      </c>
      <c r="F1140" s="1436">
        <f>IFERROR(__xludf.DUMMYFUNCTION("""COMPUTED_VALUE"""),45894.0)</f>
        <v>45894</v>
      </c>
      <c r="G1140" s="1430">
        <f>IFERROR(__xludf.DUMMYFUNCTION("""COMPUTED_VALUE"""),5.0)</f>
        <v>5</v>
      </c>
      <c r="H1140" s="94">
        <f t="shared" si="1"/>
        <v>8</v>
      </c>
    </row>
    <row r="1141" ht="15.75" customHeight="1">
      <c r="A1141" s="94" t="str">
        <f>IFERROR(__xludf.DUMMYFUNCTION("""COMPUTED_VALUE"""),"PT2604")</f>
        <v>PT2604</v>
      </c>
      <c r="B1141" s="94"/>
      <c r="C1141" s="94"/>
      <c r="D1141" s="94" t="str">
        <f>IFERROR(__xludf.DUMMYFUNCTION("""COMPUTED_VALUE"""),"3 PB 2604 (Лот 265736)")</f>
        <v>3 PB 2604 (Лот 265736)</v>
      </c>
      <c r="E1141" s="1436">
        <f>IFERROR(__xludf.DUMMYFUNCTION("""COMPUTED_VALUE"""),45889.0)</f>
        <v>45889</v>
      </c>
      <c r="F1141" s="1436">
        <f>IFERROR(__xludf.DUMMYFUNCTION("""COMPUTED_VALUE"""),45895.0)</f>
        <v>45895</v>
      </c>
      <c r="G1141" s="1430">
        <f>IFERROR(__xludf.DUMMYFUNCTION("""COMPUTED_VALUE"""),6.0)</f>
        <v>6</v>
      </c>
      <c r="H1141" s="94">
        <f t="shared" si="1"/>
        <v>8</v>
      </c>
    </row>
    <row r="1142" ht="15.75" customHeight="1">
      <c r="A1142" s="94" t="str">
        <f>IFERROR(__xludf.DUMMYFUNCTION("""COMPUTED_VALUE"""),"TGA9")</f>
        <v>TGA9</v>
      </c>
      <c r="B1142" s="94"/>
      <c r="C1142" s="94"/>
      <c r="D1142" s="94" t="str">
        <f>IFERROR(__xludf.DUMMYFUNCTION("""COMPUTED_VALUE"""),"6 TG c 1 сп. блок А (А2, А4, А7, B8, A9) (Лот 263239)")</f>
        <v>6 TG c 1 сп. блок А (А2, А4, А7, B8, A9) (Лот 263239)</v>
      </c>
      <c r="E1142" s="1436">
        <f>IFERROR(__xludf.DUMMYFUNCTION("""COMPUTED_VALUE"""),45889.0)</f>
        <v>45889</v>
      </c>
      <c r="F1142" s="1436">
        <f>IFERROR(__xludf.DUMMYFUNCTION("""COMPUTED_VALUE"""),45899.0)</f>
        <v>45899</v>
      </c>
      <c r="G1142" s="1430">
        <f>IFERROR(__xludf.DUMMYFUNCTION("""COMPUTED_VALUE"""),10.0)</f>
        <v>10</v>
      </c>
      <c r="H1142" s="94">
        <f t="shared" si="1"/>
        <v>8</v>
      </c>
    </row>
    <row r="1143" ht="15.75" customHeight="1">
      <c r="A1143" s="1164" t="str">
        <f>IFERROR(__xludf.DUMMYFUNCTION("""COMPUTED_VALUE"""),"WS F 907")</f>
        <v>WS F 907</v>
      </c>
      <c r="B1143" s="94"/>
      <c r="C1143" s="94"/>
      <c r="D1143" s="94" t="str">
        <f>IFERROR(__xludf.DUMMYFUNCTION("""COMPUTED_VALUE"""),"1 WS F 907 (Лот 233314)")</f>
        <v>1 WS F 907 (Лот 233314)</v>
      </c>
      <c r="E1143" s="1436">
        <f>IFERROR(__xludf.DUMMYFUNCTION("""COMPUTED_VALUE"""),45889.0)</f>
        <v>45889</v>
      </c>
      <c r="F1143" s="1436">
        <f>IFERROR(__xludf.DUMMYFUNCTION("""COMPUTED_VALUE"""),45897.0)</f>
        <v>45897</v>
      </c>
      <c r="G1143" s="1430">
        <f>IFERROR(__xludf.DUMMYFUNCTION("""COMPUTED_VALUE"""),8.0)</f>
        <v>8</v>
      </c>
      <c r="H1143" s="94">
        <f t="shared" si="1"/>
        <v>8</v>
      </c>
    </row>
    <row r="1144" ht="15.75" customHeight="1">
      <c r="A1144" s="1164" t="str">
        <f>IFERROR(__xludf.DUMMYFUNCTION("""COMPUTED_VALUE"""),"DL 11-1112")</f>
        <v>DL 11-1112</v>
      </c>
      <c r="B1144" s="94"/>
      <c r="C1144" s="94"/>
      <c r="D1144" s="431" t="str">
        <f>IFERROR(__xludf.DUMMYFUNCTION("""COMPUTED_VALUE"""),"4 DL 11 - 1112 (Лот 233410)")</f>
        <v>4 DL 11 - 1112 (Лот 233410)</v>
      </c>
      <c r="E1144" s="1436">
        <f>IFERROR(__xludf.DUMMYFUNCTION("""COMPUTED_VALUE"""),45889.0)</f>
        <v>45889</v>
      </c>
      <c r="F1144" s="1436">
        <f>IFERROR(__xludf.DUMMYFUNCTION("""COMPUTED_VALUE"""),45893.0)</f>
        <v>45893</v>
      </c>
      <c r="G1144" s="1430">
        <f>IFERROR(__xludf.DUMMYFUNCTION("""COMPUTED_VALUE"""),4.0)</f>
        <v>4</v>
      </c>
      <c r="H1144" s="94">
        <f t="shared" si="1"/>
        <v>8</v>
      </c>
    </row>
    <row r="1145" ht="15.75" customHeight="1">
      <c r="A1145" s="94" t="str">
        <f>IFERROR(__xludf.DUMMYFUNCTION("""COMPUTED_VALUE"""),"TGB1")</f>
        <v>TGB1</v>
      </c>
      <c r="B1145" s="94"/>
      <c r="C1145" s="94"/>
      <c r="D1145" s="94" t="str">
        <f>IFERROR(__xludf.DUMMYFUNCTION("""COMPUTED_VALUE"""),"6 TG С 1 сп с видом на горы В5, В1 (Лот 268015)")</f>
        <v>6 TG С 1 сп с видом на горы В5, В1 (Лот 268015)</v>
      </c>
      <c r="E1145" s="1436">
        <f>IFERROR(__xludf.DUMMYFUNCTION("""COMPUTED_VALUE"""),45889.0)</f>
        <v>45889</v>
      </c>
      <c r="F1145" s="1436">
        <f>IFERROR(__xludf.DUMMYFUNCTION("""COMPUTED_VALUE"""),45892.0)</f>
        <v>45892</v>
      </c>
      <c r="G1145" s="1430">
        <f>IFERROR(__xludf.DUMMYFUNCTION("""COMPUTED_VALUE"""),3.0)</f>
        <v>3</v>
      </c>
      <c r="H1145" s="94">
        <f t="shared" si="1"/>
        <v>8</v>
      </c>
    </row>
    <row r="1146" ht="15.75" customHeight="1">
      <c r="A1146" s="94" t="str">
        <f>IFERROR(__xludf.DUMMYFUNCTION("""COMPUTED_VALUE"""),"4. DL 13 - 1006 (Лот 299723)")</f>
        <v>4. DL 13 - 1006 (Лот 299723)</v>
      </c>
      <c r="B1146" s="94"/>
      <c r="C1146" s="94"/>
      <c r="D1146" s="431" t="str">
        <f>IFERROR(__xludf.DUMMYFUNCTION("""COMPUTED_VALUE"""),"4 DL 13 - 1006 (1+1) (Лот 299723)")</f>
        <v>4 DL 13 - 1006 (1+1) (Лот 299723)</v>
      </c>
      <c r="E1146" s="1436">
        <f>IFERROR(__xludf.DUMMYFUNCTION("""COMPUTED_VALUE"""),45889.0)</f>
        <v>45889</v>
      </c>
      <c r="F1146" s="1436">
        <f>IFERROR(__xludf.DUMMYFUNCTION("""COMPUTED_VALUE"""),45893.0)</f>
        <v>45893</v>
      </c>
      <c r="G1146" s="1430">
        <f>IFERROR(__xludf.DUMMYFUNCTION("""COMPUTED_VALUE"""),4.0)</f>
        <v>4</v>
      </c>
      <c r="H1146" s="94">
        <f t="shared" si="1"/>
        <v>8</v>
      </c>
    </row>
    <row r="1147" ht="15.75" customHeight="1">
      <c r="A1147" s="94" t="str">
        <f>IFERROR(__xludf.DUMMYFUNCTION("""COMPUTED_VALUE"""),"PT2704")</f>
        <v>PT2704</v>
      </c>
      <c r="B1147" s="94"/>
      <c r="C1147" s="94"/>
      <c r="D1147" s="94" t="str">
        <f>IFERROR(__xludf.DUMMYFUNCTION("""COMPUTED_VALUE"""),"3 PB 2704 (Лот 265740)")</f>
        <v>3 PB 2704 (Лот 265740)</v>
      </c>
      <c r="E1147" s="1436">
        <f>IFERROR(__xludf.DUMMYFUNCTION("""COMPUTED_VALUE"""),45889.0)</f>
        <v>45889</v>
      </c>
      <c r="F1147" s="1436">
        <f>IFERROR(__xludf.DUMMYFUNCTION("""COMPUTED_VALUE"""),45892.0)</f>
        <v>45892</v>
      </c>
      <c r="G1147" s="1430">
        <f>IFERROR(__xludf.DUMMYFUNCTION("""COMPUTED_VALUE"""),3.0)</f>
        <v>3</v>
      </c>
      <c r="H1147" s="94">
        <f t="shared" si="1"/>
        <v>8</v>
      </c>
    </row>
    <row r="1148" ht="15.75" customHeight="1">
      <c r="A1148" s="94" t="str">
        <f>IFERROR(__xludf.DUMMYFUNCTION("""COMPUTED_VALUE"""),"TGA5")</f>
        <v>TGA5</v>
      </c>
      <c r="B1148" s="94"/>
      <c r="C1148" s="94"/>
      <c r="D1148" s="94" t="str">
        <f>IFERROR(__xludf.DUMMYFUNCTION("""COMPUTED_VALUE"""),"6 TG Студия с видом на море А3, А5, А6, А8 (Лот 268012)")</f>
        <v>6 TG Студия с видом на море А3, А5, А6, А8 (Лот 268012)</v>
      </c>
      <c r="E1148" s="1436">
        <f>IFERROR(__xludf.DUMMYFUNCTION("""COMPUTED_VALUE"""),45889.0)</f>
        <v>45889</v>
      </c>
      <c r="F1148" s="1436">
        <f>IFERROR(__xludf.DUMMYFUNCTION("""COMPUTED_VALUE"""),45896.0)</f>
        <v>45896</v>
      </c>
      <c r="G1148" s="1430">
        <f>IFERROR(__xludf.DUMMYFUNCTION("""COMPUTED_VALUE"""),7.0)</f>
        <v>7</v>
      </c>
      <c r="H1148" s="94">
        <f t="shared" si="1"/>
        <v>8</v>
      </c>
    </row>
    <row r="1149" ht="15.75" customHeight="1">
      <c r="A1149" s="1164" t="str">
        <f>IFERROR(__xludf.DUMMYFUNCTION("""COMPUTED_VALUE"""),"WS E 1202")</f>
        <v>WS E 1202</v>
      </c>
      <c r="B1149" s="94"/>
      <c r="C1149" s="94"/>
      <c r="D1149" s="94" t="str">
        <f>IFERROR(__xludf.DUMMYFUNCTION("""COMPUTED_VALUE"""),"1 WS E 1202 (Лот 233379)")</f>
        <v>1 WS E 1202 (Лот 233379)</v>
      </c>
      <c r="E1149" s="1436">
        <f>IFERROR(__xludf.DUMMYFUNCTION("""COMPUTED_VALUE"""),45889.0)</f>
        <v>45889</v>
      </c>
      <c r="F1149" s="1436">
        <f>IFERROR(__xludf.DUMMYFUNCTION("""COMPUTED_VALUE"""),45892.0)</f>
        <v>45892</v>
      </c>
      <c r="G1149" s="1430">
        <f>IFERROR(__xludf.DUMMYFUNCTION("""COMPUTED_VALUE"""),3.0)</f>
        <v>3</v>
      </c>
      <c r="H1149" s="94">
        <f t="shared" si="1"/>
        <v>8</v>
      </c>
    </row>
    <row r="1150" ht="15.75" customHeight="1">
      <c r="A1150" s="1164" t="str">
        <f>IFERROR(__xludf.DUMMYFUNCTION("""COMPUTED_VALUE"""),"D 1321")</f>
        <v>D 1321</v>
      </c>
      <c r="B1150" s="94"/>
      <c r="C1150" s="94"/>
      <c r="D1150" s="94" t="str">
        <f>IFERROR(__xludf.DUMMYFUNCTION("""COMPUTED_VALUE"""),"2 Orbi D 1321 (Лот 233321)")</f>
        <v>2 Orbi D 1321 (Лот 233321)</v>
      </c>
      <c r="E1150" s="1436">
        <f>IFERROR(__xludf.DUMMYFUNCTION("""COMPUTED_VALUE"""),45889.0)</f>
        <v>45889</v>
      </c>
      <c r="F1150" s="1436">
        <f>IFERROR(__xludf.DUMMYFUNCTION("""COMPUTED_VALUE"""),45894.0)</f>
        <v>45894</v>
      </c>
      <c r="G1150" s="1430">
        <f>IFERROR(__xludf.DUMMYFUNCTION("""COMPUTED_VALUE"""),5.0)</f>
        <v>5</v>
      </c>
      <c r="H1150" s="94">
        <f t="shared" si="1"/>
        <v>8</v>
      </c>
    </row>
    <row r="1151" ht="15.75" customHeight="1">
      <c r="A1151" s="1164" t="str">
        <f>IFERROR(__xludf.DUMMYFUNCTION("""COMPUTED_VALUE"""),"DL14-518")</f>
        <v>DL14-518</v>
      </c>
      <c r="B1151" s="94"/>
      <c r="C1151" s="94"/>
      <c r="D1151" s="431" t="str">
        <f>IFERROR(__xludf.DUMMYFUNCTION("""COMPUTED_VALUE"""),"4 DL 14 - 518 (Лот 233360)")</f>
        <v>4 DL 14 - 518 (Лот 233360)</v>
      </c>
      <c r="E1151" s="1436">
        <f>IFERROR(__xludf.DUMMYFUNCTION("""COMPUTED_VALUE"""),45889.0)</f>
        <v>45889</v>
      </c>
      <c r="F1151" s="1436">
        <f>IFERROR(__xludf.DUMMYFUNCTION("""COMPUTED_VALUE"""),45890.0)</f>
        <v>45890</v>
      </c>
      <c r="G1151" s="1430">
        <f>IFERROR(__xludf.DUMMYFUNCTION("""COMPUTED_VALUE"""),1.0)</f>
        <v>1</v>
      </c>
      <c r="H1151" s="94">
        <f t="shared" si="1"/>
        <v>8</v>
      </c>
    </row>
    <row r="1152" ht="15.75" customHeight="1">
      <c r="A1152" s="1164" t="str">
        <f>IFERROR(__xludf.DUMMYFUNCTION("""COMPUTED_VALUE"""),"DL 14-516")</f>
        <v>DL 14-516</v>
      </c>
      <c r="B1152" s="94"/>
      <c r="C1152" s="94"/>
      <c r="D1152" s="431" t="str">
        <f>IFERROR(__xludf.DUMMYFUNCTION("""COMPUTED_VALUE"""),"4 DL 14 - 516 (1+1) (Лот 233401)")</f>
        <v>4 DL 14 - 516 (1+1) (Лот 233401)</v>
      </c>
      <c r="E1152" s="1436">
        <f>IFERROR(__xludf.DUMMYFUNCTION("""COMPUTED_VALUE"""),45889.0)</f>
        <v>45889</v>
      </c>
      <c r="F1152" s="1436">
        <f>IFERROR(__xludf.DUMMYFUNCTION("""COMPUTED_VALUE"""),45892.0)</f>
        <v>45892</v>
      </c>
      <c r="G1152" s="1430">
        <f>IFERROR(__xludf.DUMMYFUNCTION("""COMPUTED_VALUE"""),3.0)</f>
        <v>3</v>
      </c>
      <c r="H1152" s="94">
        <f t="shared" si="1"/>
        <v>8</v>
      </c>
    </row>
    <row r="1153" ht="15.75" customHeight="1">
      <c r="A1153" s="1164" t="str">
        <f>IFERROR(__xludf.DUMMYFUNCTION("""COMPUTED_VALUE"""),"Шар 2505")</f>
        <v>Шар 2505</v>
      </c>
      <c r="B1153" s="94"/>
      <c r="C1153" s="94"/>
      <c r="D1153" s="94" t="str">
        <f>IFERROR(__xludf.DUMMYFUNCTION("""COMPUTED_VALUE"""),"3 Sh8 2505 A (Лот 233423)")</f>
        <v>3 Sh8 2505 A (Лот 233423)</v>
      </c>
      <c r="E1153" s="1436">
        <f>IFERROR(__xludf.DUMMYFUNCTION("""COMPUTED_VALUE"""),45889.0)</f>
        <v>45889</v>
      </c>
      <c r="F1153" s="1436">
        <f>IFERROR(__xludf.DUMMYFUNCTION("""COMPUTED_VALUE"""),45896.0)</f>
        <v>45896</v>
      </c>
      <c r="G1153" s="1430">
        <f>IFERROR(__xludf.DUMMYFUNCTION("""COMPUTED_VALUE"""),7.0)</f>
        <v>7</v>
      </c>
      <c r="H1153" s="94">
        <f t="shared" si="1"/>
        <v>8</v>
      </c>
    </row>
    <row r="1154" ht="15.75" customHeight="1">
      <c r="A1154" s="1164" t="str">
        <f>IFERROR(__xludf.DUMMYFUNCTION("""COMPUTED_VALUE"""),"D2 1625")</f>
        <v>D2 1625</v>
      </c>
      <c r="B1154" s="94"/>
      <c r="C1154" s="94"/>
      <c r="D1154" s="94" t="str">
        <f>IFERROR(__xludf.DUMMYFUNCTION("""COMPUTED_VALUE"""),"2 Orbi D2 1625 (Лот 233308)")</f>
        <v>2 Orbi D2 1625 (Лот 233308)</v>
      </c>
      <c r="E1154" s="1436">
        <f>IFERROR(__xludf.DUMMYFUNCTION("""COMPUTED_VALUE"""),45893.0)</f>
        <v>45893</v>
      </c>
      <c r="F1154" s="1436">
        <f>IFERROR(__xludf.DUMMYFUNCTION("""COMPUTED_VALUE"""),45906.0)</f>
        <v>45906</v>
      </c>
      <c r="G1154" s="1430">
        <f>IFERROR(__xludf.DUMMYFUNCTION("""COMPUTED_VALUE"""),13.0)</f>
        <v>13</v>
      </c>
      <c r="H1154" s="94">
        <f t="shared" si="1"/>
        <v>8</v>
      </c>
    </row>
    <row r="1155" ht="15.75" customHeight="1">
      <c r="A1155" s="94" t="str">
        <f>IFERROR(__xludf.DUMMYFUNCTION("""COMPUTED_VALUE"""),"4 DL 14 - 1214 (Лот 233420)")</f>
        <v>4 DL 14 - 1214 (Лот 233420)</v>
      </c>
      <c r="B1155" s="94"/>
      <c r="C1155" s="94"/>
      <c r="D1155" s="94" t="str">
        <f>IFERROR(__xludf.DUMMYFUNCTION("""COMPUTED_VALUE"""),"4.DL 14-1214 (Лот 233420)")</f>
        <v>4.DL 14-1214 (Лот 233420)</v>
      </c>
      <c r="E1155" s="1436">
        <f>IFERROR(__xludf.DUMMYFUNCTION("""COMPUTED_VALUE"""),45893.0)</f>
        <v>45893</v>
      </c>
      <c r="F1155" s="1436">
        <f>IFERROR(__xludf.DUMMYFUNCTION("""COMPUTED_VALUE"""),45898.0)</f>
        <v>45898</v>
      </c>
      <c r="G1155" s="1430">
        <f>IFERROR(__xludf.DUMMYFUNCTION("""COMPUTED_VALUE"""),5.0)</f>
        <v>5</v>
      </c>
      <c r="H1155" s="94">
        <f t="shared" si="1"/>
        <v>8</v>
      </c>
    </row>
    <row r="1156" ht="15.75" customHeight="1">
      <c r="A1156" s="94" t="str">
        <f>IFERROR(__xludf.DUMMYFUNCTION("""COMPUTED_VALUE"""),"DL 13-703")</f>
        <v>DL 13-703</v>
      </c>
      <c r="B1156" s="94"/>
      <c r="C1156" s="94"/>
      <c r="D1156" s="431" t="str">
        <f>IFERROR(__xludf.DUMMYFUNCTION("""COMPUTED_VALUE"""),"4 DL 13 - 703 (1+1) (Лот 293099)")</f>
        <v>4 DL 13 - 703 (1+1) (Лот 293099)</v>
      </c>
      <c r="E1156" s="1436">
        <f>IFERROR(__xludf.DUMMYFUNCTION("""COMPUTED_VALUE"""),45893.0)</f>
        <v>45893</v>
      </c>
      <c r="F1156" s="1436">
        <f>IFERROR(__xludf.DUMMYFUNCTION("""COMPUTED_VALUE"""),45898.0)</f>
        <v>45898</v>
      </c>
      <c r="G1156" s="1430">
        <f>IFERROR(__xludf.DUMMYFUNCTION("""COMPUTED_VALUE"""),5.0)</f>
        <v>5</v>
      </c>
      <c r="H1156" s="94">
        <f t="shared" si="1"/>
        <v>8</v>
      </c>
    </row>
    <row r="1157" ht="15.75" customHeight="1">
      <c r="A1157" s="94" t="str">
        <f>IFERROR(__xludf.DUMMYFUNCTION("""COMPUTED_VALUE"""),"NW 4-10")</f>
        <v>NW 4-10</v>
      </c>
      <c r="B1157" s="94"/>
      <c r="C1157" s="94"/>
      <c r="D1157" s="94" t="str">
        <f>IFERROR(__xludf.DUMMYFUNCTION("""COMPUTED_VALUE"""),"3 NW 410 (Лот 289904)")</f>
        <v>3 NW 410 (Лот 289904)</v>
      </c>
      <c r="E1157" s="1436">
        <f>IFERROR(__xludf.DUMMYFUNCTION("""COMPUTED_VALUE"""),45893.0)</f>
        <v>45893</v>
      </c>
      <c r="F1157" s="1436">
        <f>IFERROR(__xludf.DUMMYFUNCTION("""COMPUTED_VALUE"""),45896.0)</f>
        <v>45896</v>
      </c>
      <c r="G1157" s="1430">
        <f>IFERROR(__xludf.DUMMYFUNCTION("""COMPUTED_VALUE"""),3.0)</f>
        <v>3</v>
      </c>
      <c r="H1157" s="94">
        <f t="shared" si="1"/>
        <v>8</v>
      </c>
    </row>
    <row r="1158" ht="15.75" customHeight="1">
      <c r="A1158" s="94" t="str">
        <f>IFERROR(__xludf.DUMMYFUNCTION("""COMPUTED_VALUE"""),"TGB11")</f>
        <v>TGB11</v>
      </c>
      <c r="B1158" s="94"/>
      <c r="C1158" s="94"/>
      <c r="D1158" s="94" t="str">
        <f>IFERROR(__xludf.DUMMYFUNCTION("""COMPUTED_VALUE"""),"6 TG 2+1 с террасой (B 11) (Лот 268004)")</f>
        <v>6 TG 2+1 с террасой (B 11) (Лот 268004)</v>
      </c>
      <c r="E1158" s="1436">
        <f>IFERROR(__xludf.DUMMYFUNCTION("""COMPUTED_VALUE"""),45893.0)</f>
        <v>45893</v>
      </c>
      <c r="F1158" s="1436">
        <f>IFERROR(__xludf.DUMMYFUNCTION("""COMPUTED_VALUE"""),45897.0)</f>
        <v>45897</v>
      </c>
      <c r="G1158" s="1430">
        <f>IFERROR(__xludf.DUMMYFUNCTION("""COMPUTED_VALUE"""),4.0)</f>
        <v>4</v>
      </c>
      <c r="H1158" s="94">
        <f t="shared" si="1"/>
        <v>8</v>
      </c>
    </row>
    <row r="1159" ht="15.75" customHeight="1">
      <c r="A1159" s="94" t="str">
        <f>IFERROR(__xludf.DUMMYFUNCTION("""COMPUTED_VALUE"""),"PT2704")</f>
        <v>PT2704</v>
      </c>
      <c r="B1159" s="94"/>
      <c r="C1159" s="94"/>
      <c r="D1159" s="94" t="str">
        <f>IFERROR(__xludf.DUMMYFUNCTION("""COMPUTED_VALUE"""),"3 PB 2704 (Лот 265740)")</f>
        <v>3 PB 2704 (Лот 265740)</v>
      </c>
      <c r="E1159" s="1436">
        <f>IFERROR(__xludf.DUMMYFUNCTION("""COMPUTED_VALUE"""),45893.0)</f>
        <v>45893</v>
      </c>
      <c r="F1159" s="1436">
        <f>IFERROR(__xludf.DUMMYFUNCTION("""COMPUTED_VALUE"""),45899.0)</f>
        <v>45899</v>
      </c>
      <c r="G1159" s="1430">
        <f>IFERROR(__xludf.DUMMYFUNCTION("""COMPUTED_VALUE"""),6.0)</f>
        <v>6</v>
      </c>
      <c r="H1159" s="94">
        <f t="shared" si="1"/>
        <v>8</v>
      </c>
    </row>
    <row r="1160" ht="15.75" customHeight="1">
      <c r="A1160" s="1164" t="str">
        <f>IFERROR(__xludf.DUMMYFUNCTION("""COMPUTED_VALUE"""),"DL14-501-502")</f>
        <v>DL14-501-502</v>
      </c>
      <c r="B1160" s="94"/>
      <c r="C1160" s="94"/>
      <c r="D1160" s="94" t="str">
        <f>IFERROR(__xludf.DUMMYFUNCTION("""COMPUTED_VALUE"""),"4 DL 14 - 501 502 (Лот 284223)")</f>
        <v>4 DL 14 - 501 502 (Лот 284223)</v>
      </c>
      <c r="E1160" s="1436">
        <f>IFERROR(__xludf.DUMMYFUNCTION("""COMPUTED_VALUE"""),45893.0)</f>
        <v>45893</v>
      </c>
      <c r="F1160" s="1436">
        <f>IFERROR(__xludf.DUMMYFUNCTION("""COMPUTED_VALUE"""),45898.0)</f>
        <v>45898</v>
      </c>
      <c r="G1160" s="1430">
        <f>IFERROR(__xludf.DUMMYFUNCTION("""COMPUTED_VALUE"""),5.0)</f>
        <v>5</v>
      </c>
      <c r="H1160" s="94">
        <f t="shared" si="1"/>
        <v>8</v>
      </c>
    </row>
    <row r="1161" ht="15.75" customHeight="1">
      <c r="A1161" s="1164" t="str">
        <f>IFERROR(__xludf.DUMMYFUNCTION("""COMPUTED_VALUE"""),"DL 11-1112")</f>
        <v>DL 11-1112</v>
      </c>
      <c r="B1161" s="94"/>
      <c r="C1161" s="94"/>
      <c r="D1161" s="431" t="str">
        <f>IFERROR(__xludf.DUMMYFUNCTION("""COMPUTED_VALUE"""),"4 DL 11 - 1112 (Лот 233410)")</f>
        <v>4 DL 11 - 1112 (Лот 233410)</v>
      </c>
      <c r="E1161" s="1436">
        <f>IFERROR(__xludf.DUMMYFUNCTION("""COMPUTED_VALUE"""),45893.0)</f>
        <v>45893</v>
      </c>
      <c r="F1161" s="1436">
        <f>IFERROR(__xludf.DUMMYFUNCTION("""COMPUTED_VALUE"""),45897.0)</f>
        <v>45897</v>
      </c>
      <c r="G1161" s="1430">
        <f>IFERROR(__xludf.DUMMYFUNCTION("""COMPUTED_VALUE"""),4.0)</f>
        <v>4</v>
      </c>
      <c r="H1161" s="94">
        <f t="shared" si="1"/>
        <v>8</v>
      </c>
    </row>
    <row r="1162" ht="15.75" customHeight="1">
      <c r="A1162" s="1164" t="str">
        <f>IFERROR(__xludf.DUMMYFUNCTION("""COMPUTED_VALUE"""),"14-411")</f>
        <v>14-411</v>
      </c>
      <c r="B1162" s="94"/>
      <c r="C1162" s="94"/>
      <c r="D1162" s="431" t="str">
        <f>IFERROR(__xludf.DUMMYFUNCTION("""COMPUTED_VALUE"""),"4 DL 14 - 411 (Лот 233419)")</f>
        <v>4 DL 14 - 411 (Лот 233419)</v>
      </c>
      <c r="E1162" s="1436">
        <f>IFERROR(__xludf.DUMMYFUNCTION("""COMPUTED_VALUE"""),45893.0)</f>
        <v>45893</v>
      </c>
      <c r="F1162" s="1436">
        <f>IFERROR(__xludf.DUMMYFUNCTION("""COMPUTED_VALUE"""),45896.0)</f>
        <v>45896</v>
      </c>
      <c r="G1162" s="1430">
        <f>IFERROR(__xludf.DUMMYFUNCTION("""COMPUTED_VALUE"""),3.0)</f>
        <v>3</v>
      </c>
      <c r="H1162" s="94">
        <f t="shared" si="1"/>
        <v>8</v>
      </c>
    </row>
    <row r="1163" ht="15.75" customHeight="1">
      <c r="A1163" s="94" t="str">
        <f>IFERROR(__xludf.DUMMYFUNCTION("""COMPUTED_VALUE"""),"CM 1604")</f>
        <v>CM 1604</v>
      </c>
      <c r="B1163" s="94"/>
      <c r="C1163" s="94"/>
      <c r="D1163" s="94" t="str">
        <f>IFERROR(__xludf.DUMMYFUNCTION("""COMPUTED_VALUE"""),"3 Mar 1604 (Лот 233303)")</f>
        <v>3 Mar 1604 (Лот 233303)</v>
      </c>
      <c r="E1163" s="1436">
        <f>IFERROR(__xludf.DUMMYFUNCTION("""COMPUTED_VALUE"""),45893.0)</f>
        <v>45893</v>
      </c>
      <c r="F1163" s="1436">
        <f>IFERROR(__xludf.DUMMYFUNCTION("""COMPUTED_VALUE"""),45894.0)</f>
        <v>45894</v>
      </c>
      <c r="G1163" s="1430">
        <f>IFERROR(__xludf.DUMMYFUNCTION("""COMPUTED_VALUE"""),1.0)</f>
        <v>1</v>
      </c>
      <c r="H1163" s="94">
        <f t="shared" si="1"/>
        <v>8</v>
      </c>
    </row>
    <row r="1164" ht="15.75" customHeight="1">
      <c r="A1164" s="94" t="str">
        <f>IFERROR(__xludf.DUMMYFUNCTION("""COMPUTED_VALUE"""),"4. DL 13 - 1006 (Лот 299723)")</f>
        <v>4. DL 13 - 1006 (Лот 299723)</v>
      </c>
      <c r="B1164" s="94"/>
      <c r="C1164" s="94"/>
      <c r="D1164" s="431" t="str">
        <f>IFERROR(__xludf.DUMMYFUNCTION("""COMPUTED_VALUE"""),"4 DL 13 - 1006 (1+1) (Лот 299723)")</f>
        <v>4 DL 13 - 1006 (1+1) (Лот 299723)</v>
      </c>
      <c r="E1164" s="1436">
        <f>IFERROR(__xludf.DUMMYFUNCTION("""COMPUTED_VALUE"""),45893.0)</f>
        <v>45893</v>
      </c>
      <c r="F1164" s="1436">
        <f>IFERROR(__xludf.DUMMYFUNCTION("""COMPUTED_VALUE"""),45895.0)</f>
        <v>45895</v>
      </c>
      <c r="G1164" s="1430">
        <f>IFERROR(__xludf.DUMMYFUNCTION("""COMPUTED_VALUE"""),2.0)</f>
        <v>2</v>
      </c>
      <c r="H1164" s="94">
        <f t="shared" si="1"/>
        <v>8</v>
      </c>
    </row>
    <row r="1165" ht="15.75" customHeight="1">
      <c r="A1165" s="94" t="str">
        <f>IFERROR(__xludf.DUMMYFUNCTION("""COMPUTED_VALUE"""),"DL 14-506")</f>
        <v>DL 14-506</v>
      </c>
      <c r="B1165" s="94"/>
      <c r="C1165" s="94"/>
      <c r="D1165" s="431" t="str">
        <f>IFERROR(__xludf.DUMMYFUNCTION("""COMPUTED_VALUE"""),"4 DL 14 - 506 (Лот 296803)")</f>
        <v>4 DL 14 - 506 (Лот 296803)</v>
      </c>
      <c r="E1165" s="1436">
        <f>IFERROR(__xludf.DUMMYFUNCTION("""COMPUTED_VALUE"""),45893.0)</f>
        <v>45893</v>
      </c>
      <c r="F1165" s="1436">
        <f>IFERROR(__xludf.DUMMYFUNCTION("""COMPUTED_VALUE"""),45896.0)</f>
        <v>45896</v>
      </c>
      <c r="G1165" s="1430">
        <f>IFERROR(__xludf.DUMMYFUNCTION("""COMPUTED_VALUE"""),3.0)</f>
        <v>3</v>
      </c>
      <c r="H1165" s="94">
        <f t="shared" si="1"/>
        <v>8</v>
      </c>
    </row>
    <row r="1166" ht="15.75" customHeight="1">
      <c r="A1166" s="94" t="str">
        <f>IFERROR(__xludf.DUMMYFUNCTION("""COMPUTED_VALUE"""),"TGB9")</f>
        <v>TGB9</v>
      </c>
      <c r="B1166" s="94"/>
      <c r="C1166" s="94"/>
      <c r="D1166" s="94" t="str">
        <f>IFERROR(__xludf.DUMMYFUNCTION("""COMPUTED_VALUE"""),"6 TG Студии с террасой (B9, B10) (Лот 268006)")</f>
        <v>6 TG Студии с террасой (B9, B10) (Лот 268006)</v>
      </c>
      <c r="E1166" s="1436">
        <f>IFERROR(__xludf.DUMMYFUNCTION("""COMPUTED_VALUE"""),45893.0)</f>
        <v>45893</v>
      </c>
      <c r="F1166" s="1436">
        <f>IFERROR(__xludf.DUMMYFUNCTION("""COMPUTED_VALUE"""),45897.0)</f>
        <v>45897</v>
      </c>
      <c r="G1166" s="1430">
        <f>IFERROR(__xludf.DUMMYFUNCTION("""COMPUTED_VALUE"""),4.0)</f>
        <v>4</v>
      </c>
      <c r="H1166" s="94">
        <f t="shared" si="1"/>
        <v>8</v>
      </c>
    </row>
    <row r="1167" ht="15.75" customHeight="1">
      <c r="A1167" s="94" t="str">
        <f>IFERROR(__xludf.DUMMYFUNCTION("""COMPUTED_VALUE"""),"NW 10-6")</f>
        <v>NW 10-6</v>
      </c>
      <c r="B1167" s="94"/>
      <c r="C1167" s="94"/>
      <c r="D1167" s="94" t="str">
        <f>IFERROR(__xludf.DUMMYFUNCTION("""COMPUTED_VALUE"""),"3 NW 1006 (Лот 289905)")</f>
        <v>3 NW 1006 (Лот 289905)</v>
      </c>
      <c r="E1167" s="1436">
        <f>IFERROR(__xludf.DUMMYFUNCTION("""COMPUTED_VALUE"""),45893.0)</f>
        <v>45893</v>
      </c>
      <c r="F1167" s="1436">
        <f>IFERROR(__xludf.DUMMYFUNCTION("""COMPUTED_VALUE"""),45896.0)</f>
        <v>45896</v>
      </c>
      <c r="G1167" s="1430">
        <f>IFERROR(__xludf.DUMMYFUNCTION("""COMPUTED_VALUE"""),3.0)</f>
        <v>3</v>
      </c>
      <c r="H1167" s="94">
        <f t="shared" si="1"/>
        <v>8</v>
      </c>
    </row>
    <row r="1168" ht="15.75" customHeight="1">
      <c r="A1168" s="94" t="str">
        <f>IFERROR(__xludf.DUMMYFUNCTION("""COMPUTED_VALUE"""),"С 2756")</f>
        <v>С 2756</v>
      </c>
      <c r="B1168" s="94"/>
      <c r="C1168" s="94"/>
      <c r="D1168" s="94" t="str">
        <f>IFERROR(__xludf.DUMMYFUNCTION("""COMPUTED_VALUE"""),"2 Orbi C 2756 (Лот 233325)")</f>
        <v>2 Orbi C 2756 (Лот 233325)</v>
      </c>
      <c r="E1168" s="1436">
        <f>IFERROR(__xludf.DUMMYFUNCTION("""COMPUTED_VALUE"""),45893.0)</f>
        <v>45893</v>
      </c>
      <c r="F1168" s="1436">
        <f>IFERROR(__xludf.DUMMYFUNCTION("""COMPUTED_VALUE"""),45896.0)</f>
        <v>45896</v>
      </c>
      <c r="G1168" s="1430">
        <f>IFERROR(__xludf.DUMMYFUNCTION("""COMPUTED_VALUE"""),3.0)</f>
        <v>3</v>
      </c>
      <c r="H1168" s="94">
        <f t="shared" si="1"/>
        <v>8</v>
      </c>
    </row>
    <row r="1169" ht="15.75" customHeight="1">
      <c r="A1169" s="94" t="str">
        <f>IFERROR(__xludf.DUMMYFUNCTION("""COMPUTED_VALUE"""),"D2 503")</f>
        <v>D2 503</v>
      </c>
      <c r="B1169" s="94"/>
      <c r="C1169" s="94"/>
      <c r="D1169" s="94" t="str">
        <f>IFERROR(__xludf.DUMMYFUNCTION("""COMPUTED_VALUE"""),"2 Orbi D2 503 (Лот 291554)")</f>
        <v>2 Orbi D2 503 (Лот 291554)</v>
      </c>
      <c r="E1169" s="1436">
        <f>IFERROR(__xludf.DUMMYFUNCTION("""COMPUTED_VALUE"""),45893.0)</f>
        <v>45893</v>
      </c>
      <c r="F1169" s="1436">
        <f>IFERROR(__xludf.DUMMYFUNCTION("""COMPUTED_VALUE"""),45896.0)</f>
        <v>45896</v>
      </c>
      <c r="G1169" s="1430">
        <f>IFERROR(__xludf.DUMMYFUNCTION("""COMPUTED_VALUE"""),3.0)</f>
        <v>3</v>
      </c>
      <c r="H1169" s="94">
        <f t="shared" si="1"/>
        <v>8</v>
      </c>
    </row>
    <row r="1170" ht="15.75" customHeight="1">
      <c r="A1170" s="1164" t="str">
        <f>IFERROR(__xludf.DUMMYFUNCTION("""COMPUTED_VALUE"""),"C 4245")</f>
        <v>C 4245</v>
      </c>
      <c r="B1170" s="94"/>
      <c r="C1170" s="94"/>
      <c r="D1170" s="94" t="str">
        <f>IFERROR(__xludf.DUMMYFUNCTION("""COMPUTED_VALUE"""),"2 Orbi C 4245 (Лот 233298)")</f>
        <v>2 Orbi C 4245 (Лот 233298)</v>
      </c>
      <c r="E1170" s="1436">
        <f>IFERROR(__xludf.DUMMYFUNCTION("""COMPUTED_VALUE"""),45893.0)</f>
        <v>45893</v>
      </c>
      <c r="F1170" s="1436">
        <f>IFERROR(__xludf.DUMMYFUNCTION("""COMPUTED_VALUE"""),45897.0)</f>
        <v>45897</v>
      </c>
      <c r="G1170" s="1430">
        <f>IFERROR(__xludf.DUMMYFUNCTION("""COMPUTED_VALUE"""),4.0)</f>
        <v>4</v>
      </c>
      <c r="H1170" s="94">
        <f t="shared" si="1"/>
        <v>8</v>
      </c>
    </row>
    <row r="1171" ht="15.75" customHeight="1">
      <c r="A1171" s="1164" t="str">
        <f>IFERROR(__xludf.DUMMYFUNCTION("""COMPUTED_VALUE"""),"DL 14-505")</f>
        <v>DL 14-505</v>
      </c>
      <c r="B1171" s="94"/>
      <c r="C1171" s="94"/>
      <c r="D1171" s="431" t="str">
        <f>IFERROR(__xludf.DUMMYFUNCTION("""COMPUTED_VALUE"""),"4 DL 14 - 505 (Лот 233426)")</f>
        <v>4 DL 14 - 505 (Лот 233426)</v>
      </c>
      <c r="E1171" s="1436">
        <f>IFERROR(__xludf.DUMMYFUNCTION("""COMPUTED_VALUE"""),45892.0)</f>
        <v>45892</v>
      </c>
      <c r="F1171" s="1436">
        <f>IFERROR(__xludf.DUMMYFUNCTION("""COMPUTED_VALUE"""),45900.0)</f>
        <v>45900</v>
      </c>
      <c r="G1171" s="1430">
        <f>IFERROR(__xludf.DUMMYFUNCTION("""COMPUTED_VALUE"""),8.0)</f>
        <v>8</v>
      </c>
      <c r="H1171" s="94">
        <f t="shared" si="1"/>
        <v>8</v>
      </c>
    </row>
    <row r="1172" ht="15.75" customHeight="1">
      <c r="A1172" s="1164" t="str">
        <f>IFERROR(__xludf.DUMMYFUNCTION("""COMPUTED_VALUE"""),"DL14-1710")</f>
        <v>DL14-1710</v>
      </c>
      <c r="B1172" s="94"/>
      <c r="C1172" s="94"/>
      <c r="D1172" s="431" t="str">
        <f>IFERROR(__xludf.DUMMYFUNCTION("""COMPUTED_VALUE"""),"4 DL 14 - 1710 (Лот 284212)")</f>
        <v>4 DL 14 - 1710 (Лот 284212)</v>
      </c>
      <c r="E1172" s="1436">
        <f>IFERROR(__xludf.DUMMYFUNCTION("""COMPUTED_VALUE"""),45892.0)</f>
        <v>45892</v>
      </c>
      <c r="F1172" s="1436">
        <f>IFERROR(__xludf.DUMMYFUNCTION("""COMPUTED_VALUE"""),45897.0)</f>
        <v>45897</v>
      </c>
      <c r="G1172" s="1430">
        <f>IFERROR(__xludf.DUMMYFUNCTION("""COMPUTED_VALUE"""),5.0)</f>
        <v>5</v>
      </c>
      <c r="H1172" s="94">
        <f t="shared" si="1"/>
        <v>8</v>
      </c>
    </row>
    <row r="1173" ht="15.75" customHeight="1">
      <c r="A1173" s="1164" t="str">
        <f>IFERROR(__xludf.DUMMYFUNCTION("""COMPUTED_VALUE"""),"WS E 1202")</f>
        <v>WS E 1202</v>
      </c>
      <c r="B1173" s="94"/>
      <c r="C1173" s="94"/>
      <c r="D1173" s="94" t="str">
        <f>IFERROR(__xludf.DUMMYFUNCTION("""COMPUTED_VALUE"""),"1 WS E 1202 (Лот 233379)")</f>
        <v>1 WS E 1202 (Лот 233379)</v>
      </c>
      <c r="E1173" s="1436">
        <f>IFERROR(__xludf.DUMMYFUNCTION("""COMPUTED_VALUE"""),45892.0)</f>
        <v>45892</v>
      </c>
      <c r="F1173" s="1436">
        <f>IFERROR(__xludf.DUMMYFUNCTION("""COMPUTED_VALUE"""),45897.0)</f>
        <v>45897</v>
      </c>
      <c r="G1173" s="1430">
        <f>IFERROR(__xludf.DUMMYFUNCTION("""COMPUTED_VALUE"""),5.0)</f>
        <v>5</v>
      </c>
      <c r="H1173" s="94">
        <f t="shared" si="1"/>
        <v>8</v>
      </c>
    </row>
    <row r="1174" ht="15.75" customHeight="1">
      <c r="A1174" s="94" t="str">
        <f>IFERROR(__xludf.DUMMYFUNCTION("""COMPUTED_VALUE"""),"MZ 1408")</f>
        <v>MZ 1408</v>
      </c>
      <c r="B1174" s="94"/>
      <c r="C1174" s="94"/>
      <c r="D1174" s="94" t="str">
        <f>IFERROR(__xludf.DUMMYFUNCTION("""COMPUTED_VALUE"""),"3 MZ 1408 (Лот 289834)")</f>
        <v>3 MZ 1408 (Лот 289834)</v>
      </c>
      <c r="E1174" s="1436">
        <f>IFERROR(__xludf.DUMMYFUNCTION("""COMPUTED_VALUE"""),45892.0)</f>
        <v>45892</v>
      </c>
      <c r="F1174" s="1436">
        <f>IFERROR(__xludf.DUMMYFUNCTION("""COMPUTED_VALUE"""),45902.0)</f>
        <v>45902</v>
      </c>
      <c r="G1174" s="1430">
        <f>IFERROR(__xludf.DUMMYFUNCTION("""COMPUTED_VALUE"""),10.0)</f>
        <v>10</v>
      </c>
      <c r="H1174" s="94">
        <f t="shared" si="1"/>
        <v>8</v>
      </c>
    </row>
    <row r="1175" ht="15.75" customHeight="1">
      <c r="A1175" s="1164" t="str">
        <f>IFERROR(__xludf.DUMMYFUNCTION("""COMPUTED_VALUE"""),"DL14-1405")</f>
        <v>DL14-1405</v>
      </c>
      <c r="B1175" s="94"/>
      <c r="C1175" s="94"/>
      <c r="D1175" s="431" t="str">
        <f>IFERROR(__xludf.DUMMYFUNCTION("""COMPUTED_VALUE"""),"4 DL 14 - 1405 (1+1) (Лот 233395)")</f>
        <v>4 DL 14 - 1405 (1+1) (Лот 233395)</v>
      </c>
      <c r="E1175" s="1436">
        <f>IFERROR(__xludf.DUMMYFUNCTION("""COMPUTED_VALUE"""),45892.0)</f>
        <v>45892</v>
      </c>
      <c r="F1175" s="1436">
        <f>IFERROR(__xludf.DUMMYFUNCTION("""COMPUTED_VALUE"""),45895.0)</f>
        <v>45895</v>
      </c>
      <c r="G1175" s="1430">
        <f>IFERROR(__xludf.DUMMYFUNCTION("""COMPUTED_VALUE"""),3.0)</f>
        <v>3</v>
      </c>
      <c r="H1175" s="94">
        <f t="shared" si="1"/>
        <v>8</v>
      </c>
    </row>
    <row r="1176" ht="15.75" customHeight="1">
      <c r="A1176" s="1164" t="str">
        <f>IFERROR(__xludf.DUMMYFUNCTION("""COMPUTED_VALUE"""),"WS А 908")</f>
        <v>WS А 908</v>
      </c>
      <c r="B1176" s="94"/>
      <c r="C1176" s="94"/>
      <c r="D1176" s="94" t="str">
        <f>IFERROR(__xludf.DUMMYFUNCTION("""COMPUTED_VALUE"""),"1 WS A 908 (Лот 233353)")</f>
        <v>1 WS A 908 (Лот 233353)</v>
      </c>
      <c r="E1176" s="1436">
        <f>IFERROR(__xludf.DUMMYFUNCTION("""COMPUTED_VALUE"""),45892.0)</f>
        <v>45892</v>
      </c>
      <c r="F1176" s="1436">
        <f>IFERROR(__xludf.DUMMYFUNCTION("""COMPUTED_VALUE"""),45895.0)</f>
        <v>45895</v>
      </c>
      <c r="G1176" s="1430">
        <f>IFERROR(__xludf.DUMMYFUNCTION("""COMPUTED_VALUE"""),3.0)</f>
        <v>3</v>
      </c>
      <c r="H1176" s="94">
        <f t="shared" si="1"/>
        <v>8</v>
      </c>
    </row>
    <row r="1177" ht="15.75" customHeight="1">
      <c r="A1177" s="94" t="str">
        <f>IFERROR(__xludf.DUMMYFUNCTION("""COMPUTED_VALUE"""),"TGA3")</f>
        <v>TGA3</v>
      </c>
      <c r="B1177" s="94"/>
      <c r="C1177" s="94"/>
      <c r="D1177" s="94" t="str">
        <f>IFERROR(__xludf.DUMMYFUNCTION("""COMPUTED_VALUE"""),"6 TG Студия с видом на море А3, А5, А6, А8 (Лот 268012)")</f>
        <v>6 TG Студия с видом на море А3, А5, А6, А8 (Лот 268012)</v>
      </c>
      <c r="E1177" s="1436">
        <f>IFERROR(__xludf.DUMMYFUNCTION("""COMPUTED_VALUE"""),45892.0)</f>
        <v>45892</v>
      </c>
      <c r="F1177" s="1436">
        <f>IFERROR(__xludf.DUMMYFUNCTION("""COMPUTED_VALUE"""),45895.0)</f>
        <v>45895</v>
      </c>
      <c r="G1177" s="1430">
        <f>IFERROR(__xludf.DUMMYFUNCTION("""COMPUTED_VALUE"""),3.0)</f>
        <v>3</v>
      </c>
      <c r="H1177" s="94">
        <f t="shared" si="1"/>
        <v>8</v>
      </c>
    </row>
    <row r="1178" ht="15.75" customHeight="1">
      <c r="A1178" s="94" t="str">
        <f>IFERROR(__xludf.DUMMYFUNCTION("""COMPUTED_VALUE"""),"TGA2")</f>
        <v>TGA2</v>
      </c>
      <c r="B1178" s="94"/>
      <c r="C1178" s="94"/>
      <c r="D1178" s="94" t="str">
        <f>IFERROR(__xludf.DUMMYFUNCTION("""COMPUTED_VALUE"""),"6 TG c 1 сп. блок А (А2, А4, А7, B8, A9) (Лот 263239)")</f>
        <v>6 TG c 1 сп. блок А (А2, А4, А7, B8, A9) (Лот 263239)</v>
      </c>
      <c r="E1178" s="1436">
        <f>IFERROR(__xludf.DUMMYFUNCTION("""COMPUTED_VALUE"""),45892.0)</f>
        <v>45892</v>
      </c>
      <c r="F1178" s="1436">
        <f>IFERROR(__xludf.DUMMYFUNCTION("""COMPUTED_VALUE"""),45895.0)</f>
        <v>45895</v>
      </c>
      <c r="G1178" s="1430">
        <f>IFERROR(__xludf.DUMMYFUNCTION("""COMPUTED_VALUE"""),3.0)</f>
        <v>3</v>
      </c>
      <c r="H1178" s="94">
        <f t="shared" si="1"/>
        <v>8</v>
      </c>
    </row>
    <row r="1179" ht="15.75" customHeight="1">
      <c r="A1179" s="1164" t="str">
        <f>IFERROR(__xludf.DUMMYFUNCTION("""COMPUTED_VALUE"""),"WS A907")</f>
        <v>WS A907</v>
      </c>
      <c r="B1179" s="94"/>
      <c r="C1179" s="94"/>
      <c r="D1179" s="94" t="str">
        <f>IFERROR(__xludf.DUMMYFUNCTION("""COMPUTED_VALUE"""),"1 WS A 907 (Лот 233365)")</f>
        <v>1 WS A 907 (Лот 233365)</v>
      </c>
      <c r="E1179" s="1436">
        <f>IFERROR(__xludf.DUMMYFUNCTION("""COMPUTED_VALUE"""),45892.0)</f>
        <v>45892</v>
      </c>
      <c r="F1179" s="1436">
        <f>IFERROR(__xludf.DUMMYFUNCTION("""COMPUTED_VALUE"""),45897.0)</f>
        <v>45897</v>
      </c>
      <c r="G1179" s="1430">
        <f>IFERROR(__xludf.DUMMYFUNCTION("""COMPUTED_VALUE"""),5.0)</f>
        <v>5</v>
      </c>
      <c r="H1179" s="94">
        <f t="shared" si="1"/>
        <v>8</v>
      </c>
    </row>
    <row r="1180" ht="15.75" customHeight="1">
      <c r="A1180" s="94" t="str">
        <f>IFERROR(__xludf.DUMMYFUNCTION("""COMPUTED_VALUE"""),"TGB2")</f>
        <v>TGB2</v>
      </c>
      <c r="B1180" s="94"/>
      <c r="C1180" s="94"/>
      <c r="D1180" s="94" t="str">
        <f>IFERROR(__xludf.DUMMYFUNCTION("""COMPUTED_VALUE"""),"6 TG Студии эконом блок Б (Б2, Б3, Б4) (Лот 268016)")</f>
        <v>6 TG Студии эконом блок Б (Б2, Б3, Б4) (Лот 268016)</v>
      </c>
      <c r="E1180" s="1436">
        <f>IFERROR(__xludf.DUMMYFUNCTION("""COMPUTED_VALUE"""),45892.0)</f>
        <v>45892</v>
      </c>
      <c r="F1180" s="1436">
        <f>IFERROR(__xludf.DUMMYFUNCTION("""COMPUTED_VALUE"""),45895.0)</f>
        <v>45895</v>
      </c>
      <c r="G1180" s="1430">
        <f>IFERROR(__xludf.DUMMYFUNCTION("""COMPUTED_VALUE"""),3.0)</f>
        <v>3</v>
      </c>
      <c r="H1180" s="94">
        <f t="shared" si="1"/>
        <v>8</v>
      </c>
    </row>
    <row r="1181" ht="15.75" customHeight="1">
      <c r="A1181" s="1164" t="str">
        <f>IFERROR(__xludf.DUMMYFUNCTION("""COMPUTED_VALUE"""),"D 1321")</f>
        <v>D 1321</v>
      </c>
      <c r="B1181" s="94"/>
      <c r="C1181" s="94"/>
      <c r="D1181" s="94" t="str">
        <f>IFERROR(__xludf.DUMMYFUNCTION("""COMPUTED_VALUE"""),"2 Orbi D 1321 (Лот 233321)")</f>
        <v>2 Orbi D 1321 (Лот 233321)</v>
      </c>
      <c r="E1181" s="1436">
        <f>IFERROR(__xludf.DUMMYFUNCTION("""COMPUTED_VALUE"""),45892.0)</f>
        <v>45892</v>
      </c>
      <c r="F1181" s="1436">
        <f>IFERROR(__xludf.DUMMYFUNCTION("""COMPUTED_VALUE"""),45895.0)</f>
        <v>45895</v>
      </c>
      <c r="G1181" s="1430">
        <f>IFERROR(__xludf.DUMMYFUNCTION("""COMPUTED_VALUE"""),3.0)</f>
        <v>3</v>
      </c>
      <c r="H1181" s="94">
        <f t="shared" si="1"/>
        <v>8</v>
      </c>
    </row>
    <row r="1182" ht="15.75" customHeight="1">
      <c r="A1182" s="94" t="str">
        <f>IFERROR(__xludf.DUMMYFUNCTION("""COMPUTED_VALUE"""),"MZ 913")</f>
        <v>MZ 913</v>
      </c>
      <c r="B1182" s="94"/>
      <c r="C1182" s="94"/>
      <c r="D1182" s="94" t="str">
        <f>IFERROR(__xludf.DUMMYFUNCTION("""COMPUTED_VALUE"""),"3 MZ 718, 913 (Лот 269699)")</f>
        <v>3 MZ 718, 913 (Лот 269699)</v>
      </c>
      <c r="E1182" s="1436">
        <f>IFERROR(__xludf.DUMMYFUNCTION("""COMPUTED_VALUE"""),45891.0)</f>
        <v>45891</v>
      </c>
      <c r="F1182" s="1436">
        <f>IFERROR(__xludf.DUMMYFUNCTION("""COMPUTED_VALUE"""),45901.0)</f>
        <v>45901</v>
      </c>
      <c r="G1182" s="1430">
        <f>IFERROR(__xludf.DUMMYFUNCTION("""COMPUTED_VALUE"""),10.0)</f>
        <v>10</v>
      </c>
      <c r="H1182" s="94">
        <f t="shared" si="1"/>
        <v>8</v>
      </c>
    </row>
    <row r="1183" ht="15.75" customHeight="1">
      <c r="A1183" s="1164" t="str">
        <f>IFERROR(__xludf.DUMMYFUNCTION("""COMPUTED_VALUE"""),"DL14-305")</f>
        <v>DL14-305</v>
      </c>
      <c r="B1183" s="94"/>
      <c r="C1183" s="94"/>
      <c r="D1183" s="431" t="str">
        <f>IFERROR(__xludf.DUMMYFUNCTION("""COMPUTED_VALUE"""),"4 DL 14 - 305 (Лот 284208)")</f>
        <v>4 DL 14 - 305 (Лот 284208)</v>
      </c>
      <c r="E1183" s="1436">
        <f>IFERROR(__xludf.DUMMYFUNCTION("""COMPUTED_VALUE"""),45891.0)</f>
        <v>45891</v>
      </c>
      <c r="F1183" s="1436">
        <f>IFERROR(__xludf.DUMMYFUNCTION("""COMPUTED_VALUE"""),45895.0)</f>
        <v>45895</v>
      </c>
      <c r="G1183" s="1430">
        <f>IFERROR(__xludf.DUMMYFUNCTION("""COMPUTED_VALUE"""),4.0)</f>
        <v>4</v>
      </c>
      <c r="H1183" s="94">
        <f t="shared" si="1"/>
        <v>8</v>
      </c>
    </row>
    <row r="1184" ht="15.75" customHeight="1">
      <c r="A1184" s="1164" t="str">
        <f>IFERROR(__xludf.DUMMYFUNCTION("""COMPUTED_VALUE"""),"DL14-1907")</f>
        <v>DL14-1907</v>
      </c>
      <c r="B1184" s="94"/>
      <c r="C1184" s="94"/>
      <c r="D1184" s="431" t="str">
        <f>IFERROR(__xludf.DUMMYFUNCTION("""COMPUTED_VALUE"""),"4 DL 14 - 1907 (Лот 284215)")</f>
        <v>4 DL 14 - 1907 (Лот 284215)</v>
      </c>
      <c r="E1184" s="1436">
        <f>IFERROR(__xludf.DUMMYFUNCTION("""COMPUTED_VALUE"""),45891.0)</f>
        <v>45891</v>
      </c>
      <c r="F1184" s="1436">
        <f>IFERROR(__xludf.DUMMYFUNCTION("""COMPUTED_VALUE"""),45895.0)</f>
        <v>45895</v>
      </c>
      <c r="G1184" s="1430">
        <f>IFERROR(__xludf.DUMMYFUNCTION("""COMPUTED_VALUE"""),4.0)</f>
        <v>4</v>
      </c>
      <c r="H1184" s="94">
        <f t="shared" si="1"/>
        <v>8</v>
      </c>
    </row>
    <row r="1185" ht="15.75" customHeight="1">
      <c r="A1185" s="1164" t="str">
        <f>IFERROR(__xludf.DUMMYFUNCTION("""COMPUTED_VALUE"""),"WS В 503")</f>
        <v>WS В 503</v>
      </c>
      <c r="B1185" s="94"/>
      <c r="C1185" s="94"/>
      <c r="D1185" s="94" t="str">
        <f>IFERROR(__xludf.DUMMYFUNCTION("""COMPUTED_VALUE"""),"1 WS B 503 (Лот 233403)")</f>
        <v>1 WS B 503 (Лот 233403)</v>
      </c>
      <c r="E1185" s="1436">
        <f>IFERROR(__xludf.DUMMYFUNCTION("""COMPUTED_VALUE"""),45891.0)</f>
        <v>45891</v>
      </c>
      <c r="F1185" s="1436">
        <f>IFERROR(__xludf.DUMMYFUNCTION("""COMPUTED_VALUE"""),45894.0)</f>
        <v>45894</v>
      </c>
      <c r="G1185" s="1430">
        <f>IFERROR(__xludf.DUMMYFUNCTION("""COMPUTED_VALUE"""),3.0)</f>
        <v>3</v>
      </c>
      <c r="H1185" s="94">
        <f t="shared" si="1"/>
        <v>8</v>
      </c>
    </row>
    <row r="1186" ht="15.75" customHeight="1">
      <c r="A1186" s="94" t="str">
        <f>IFERROR(__xludf.DUMMYFUNCTION("""COMPUTED_VALUE"""),"С 1125")</f>
        <v>С 1125</v>
      </c>
      <c r="B1186" s="94"/>
      <c r="C1186" s="94"/>
      <c r="D1186" s="94" t="str">
        <f>IFERROR(__xludf.DUMMYFUNCTION("""COMPUTED_VALUE"""),"2 Orbi C 1125 (Лот 233326)")</f>
        <v>2 Orbi C 1125 (Лот 233326)</v>
      </c>
      <c r="E1186" s="1436">
        <f>IFERROR(__xludf.DUMMYFUNCTION("""COMPUTED_VALUE"""),45891.0)</f>
        <v>45891</v>
      </c>
      <c r="F1186" s="1436">
        <f>IFERROR(__xludf.DUMMYFUNCTION("""COMPUTED_VALUE"""),45898.0)</f>
        <v>45898</v>
      </c>
      <c r="G1186" s="1430">
        <f>IFERROR(__xludf.DUMMYFUNCTION("""COMPUTED_VALUE"""),7.0)</f>
        <v>7</v>
      </c>
      <c r="H1186" s="94">
        <f t="shared" si="1"/>
        <v>8</v>
      </c>
    </row>
    <row r="1187" ht="15.75" customHeight="1">
      <c r="A1187" s="94" t="str">
        <f>IFERROR(__xludf.DUMMYFUNCTION("""COMPUTED_VALUE"""),"TGA6")</f>
        <v>TGA6</v>
      </c>
      <c r="B1187" s="94"/>
      <c r="C1187" s="94"/>
      <c r="D1187" s="94" t="str">
        <f>IFERROR(__xludf.DUMMYFUNCTION("""COMPUTED_VALUE"""),"6 TG Студия с видом на море А3, А5, А6, А8 (Лот 268012)")</f>
        <v>6 TG Студия с видом на море А3, А5, А6, А8 (Лот 268012)</v>
      </c>
      <c r="E1187" s="1436">
        <f>IFERROR(__xludf.DUMMYFUNCTION("""COMPUTED_VALUE"""),45891.0)</f>
        <v>45891</v>
      </c>
      <c r="F1187" s="1436">
        <f>IFERROR(__xludf.DUMMYFUNCTION("""COMPUTED_VALUE"""),45899.0)</f>
        <v>45899</v>
      </c>
      <c r="G1187" s="1430">
        <f>IFERROR(__xludf.DUMMYFUNCTION("""COMPUTED_VALUE"""),8.0)</f>
        <v>8</v>
      </c>
      <c r="H1187" s="94">
        <f t="shared" si="1"/>
        <v>8</v>
      </c>
    </row>
    <row r="1188" ht="15.75" customHeight="1">
      <c r="A1188" s="94" t="str">
        <f>IFERROR(__xludf.DUMMYFUNCTION("""COMPUTED_VALUE"""),"MZ 1416")</f>
        <v>MZ 1416</v>
      </c>
      <c r="B1188" s="94"/>
      <c r="C1188" s="94"/>
      <c r="D1188" s="94" t="str">
        <f>IFERROR(__xludf.DUMMYFUNCTION("""COMPUTED_VALUE"""),"3 MZ 1416 (Лот 289819)")</f>
        <v>3 MZ 1416 (Лот 289819)</v>
      </c>
      <c r="E1188" s="1436">
        <f>IFERROR(__xludf.DUMMYFUNCTION("""COMPUTED_VALUE"""),45891.0)</f>
        <v>45891</v>
      </c>
      <c r="F1188" s="1436">
        <f>IFERROR(__xludf.DUMMYFUNCTION("""COMPUTED_VALUE"""),45894.0)</f>
        <v>45894</v>
      </c>
      <c r="G1188" s="1430">
        <f>IFERROR(__xludf.DUMMYFUNCTION("""COMPUTED_VALUE"""),3.0)</f>
        <v>3</v>
      </c>
      <c r="H1188" s="94">
        <f t="shared" si="1"/>
        <v>8</v>
      </c>
    </row>
    <row r="1189" ht="15.75" customHeight="1">
      <c r="A1189" s="1164" t="str">
        <f>IFERROR(__xludf.DUMMYFUNCTION("""COMPUTED_VALUE"""),"CM 1606")</f>
        <v>CM 1606</v>
      </c>
      <c r="B1189" s="94"/>
      <c r="C1189" s="94"/>
      <c r="D1189" s="94" t="str">
        <f>IFERROR(__xludf.DUMMYFUNCTION("""COMPUTED_VALUE"""),"3 Mar 1606 (Лот 233302)")</f>
        <v>3 Mar 1606 (Лот 233302)</v>
      </c>
      <c r="E1189" s="1436">
        <f>IFERROR(__xludf.DUMMYFUNCTION("""COMPUTED_VALUE"""),45891.0)</f>
        <v>45891</v>
      </c>
      <c r="F1189" s="1436">
        <f>IFERROR(__xludf.DUMMYFUNCTION("""COMPUTED_VALUE"""),45895.0)</f>
        <v>45895</v>
      </c>
      <c r="G1189" s="1430">
        <f>IFERROR(__xludf.DUMMYFUNCTION("""COMPUTED_VALUE"""),4.0)</f>
        <v>4</v>
      </c>
      <c r="H1189" s="94">
        <f t="shared" si="1"/>
        <v>8</v>
      </c>
    </row>
    <row r="1190" ht="15.75" customHeight="1">
      <c r="A1190" s="94" t="str">
        <f>IFERROR(__xludf.DUMMYFUNCTION("""COMPUTED_VALUE"""),"TGB6")</f>
        <v>TGB6</v>
      </c>
      <c r="B1190" s="94"/>
      <c r="C1190" s="94"/>
      <c r="D1190" s="94" t="str">
        <f>IFERROR(__xludf.DUMMYFUNCTION("""COMPUTED_VALUE"""),"6 TG 1+1 Sunset (Б6, Б7) (Лот 268008)")</f>
        <v>6 TG 1+1 Sunset (Б6, Б7) (Лот 268008)</v>
      </c>
      <c r="E1190" s="1436">
        <f>IFERROR(__xludf.DUMMYFUNCTION("""COMPUTED_VALUE"""),45891.0)</f>
        <v>45891</v>
      </c>
      <c r="F1190" s="1436">
        <f>IFERROR(__xludf.DUMMYFUNCTION("""COMPUTED_VALUE"""),45894.0)</f>
        <v>45894</v>
      </c>
      <c r="G1190" s="1430">
        <f>IFERROR(__xludf.DUMMYFUNCTION("""COMPUTED_VALUE"""),3.0)</f>
        <v>3</v>
      </c>
      <c r="H1190" s="94">
        <f t="shared" si="1"/>
        <v>8</v>
      </c>
    </row>
    <row r="1191" ht="15.75" customHeight="1">
      <c r="A1191" s="94" t="str">
        <f>IFERROR(__xludf.DUMMYFUNCTION("""COMPUTED_VALUE"""),"DL 13-703")</f>
        <v>DL 13-703</v>
      </c>
      <c r="B1191" s="94"/>
      <c r="C1191" s="94"/>
      <c r="D1191" s="431" t="str">
        <f>IFERROR(__xludf.DUMMYFUNCTION("""COMPUTED_VALUE"""),"4 DL 13 - 703 (1+1) (Лот 293099)")</f>
        <v>4 DL 13 - 703 (1+1) (Лот 293099)</v>
      </c>
      <c r="E1191" s="1436">
        <f>IFERROR(__xludf.DUMMYFUNCTION("""COMPUTED_VALUE"""),45891.0)</f>
        <v>45891</v>
      </c>
      <c r="F1191" s="1436">
        <f>IFERROR(__xludf.DUMMYFUNCTION("""COMPUTED_VALUE"""),45893.0)</f>
        <v>45893</v>
      </c>
      <c r="G1191" s="1430">
        <f>IFERROR(__xludf.DUMMYFUNCTION("""COMPUTED_VALUE"""),2.0)</f>
        <v>2</v>
      </c>
      <c r="H1191" s="94">
        <f t="shared" si="1"/>
        <v>8</v>
      </c>
    </row>
    <row r="1192" ht="15.75" customHeight="1">
      <c r="A1192" s="94" t="str">
        <f>IFERROR(__xludf.DUMMYFUNCTION("""COMPUTED_VALUE"""),"NW 4-10")</f>
        <v>NW 4-10</v>
      </c>
      <c r="B1192" s="94"/>
      <c r="C1192" s="94"/>
      <c r="D1192" s="431" t="str">
        <f>IFERROR(__xludf.DUMMYFUNCTION("""COMPUTED_VALUE"""),"3 NW 410 (Лот 289904)")</f>
        <v>3 NW 410 (Лот 289904)</v>
      </c>
      <c r="E1192" s="1436">
        <f>IFERROR(__xludf.DUMMYFUNCTION("""COMPUTED_VALUE"""),45891.0)</f>
        <v>45891</v>
      </c>
      <c r="F1192" s="1436">
        <f>IFERROR(__xludf.DUMMYFUNCTION("""COMPUTED_VALUE"""),45892.0)</f>
        <v>45892</v>
      </c>
      <c r="G1192" s="1430">
        <f>IFERROR(__xludf.DUMMYFUNCTION("""COMPUTED_VALUE"""),1.0)</f>
        <v>1</v>
      </c>
      <c r="H1192" s="94">
        <f t="shared" si="1"/>
        <v>8</v>
      </c>
    </row>
    <row r="1193" ht="15.75" customHeight="1">
      <c r="A1193" s="1164" t="str">
        <f>IFERROR(__xludf.DUMMYFUNCTION("""COMPUTED_VALUE"""),"WS A 409")</f>
        <v>WS A 409</v>
      </c>
      <c r="B1193" s="94"/>
      <c r="C1193" s="94"/>
      <c r="D1193" s="431" t="str">
        <f>IFERROR(__xludf.DUMMYFUNCTION("""COMPUTED_VALUE"""),"1 WS A 409 (Лот 233355)")</f>
        <v>1 WS A 409 (Лот 233355)</v>
      </c>
      <c r="E1193" s="1436">
        <f>IFERROR(__xludf.DUMMYFUNCTION("""COMPUTED_VALUE"""),45891.0)</f>
        <v>45891</v>
      </c>
      <c r="F1193" s="1436">
        <f>IFERROR(__xludf.DUMMYFUNCTION("""COMPUTED_VALUE"""),45902.0)</f>
        <v>45902</v>
      </c>
      <c r="G1193" s="1430">
        <f>IFERROR(__xludf.DUMMYFUNCTION("""COMPUTED_VALUE"""),11.0)</f>
        <v>11</v>
      </c>
      <c r="H1193" s="94">
        <f t="shared" si="1"/>
        <v>8</v>
      </c>
    </row>
    <row r="1194" ht="15.75" customHeight="1">
      <c r="A1194" s="94" t="str">
        <f>IFERROR(__xludf.DUMMYFUNCTION("""COMPUTED_VALUE"""),"TGB11")</f>
        <v>TGB11</v>
      </c>
      <c r="B1194" s="94"/>
      <c r="C1194" s="94"/>
      <c r="D1194" s="431" t="str">
        <f>IFERROR(__xludf.DUMMYFUNCTION("""COMPUTED_VALUE"""),"6 TG 2+1 с террасой (B 11) (Лот 268004)")</f>
        <v>6 TG 2+1 с террасой (B 11) (Лот 268004)</v>
      </c>
      <c r="E1194" s="1436">
        <f>IFERROR(__xludf.DUMMYFUNCTION("""COMPUTED_VALUE"""),45891.0)</f>
        <v>45891</v>
      </c>
      <c r="F1194" s="1436">
        <f>IFERROR(__xludf.DUMMYFUNCTION("""COMPUTED_VALUE"""),45893.0)</f>
        <v>45893</v>
      </c>
      <c r="G1194" s="1430">
        <f>IFERROR(__xludf.DUMMYFUNCTION("""COMPUTED_VALUE"""),2.0)</f>
        <v>2</v>
      </c>
      <c r="H1194" s="94">
        <f t="shared" si="1"/>
        <v>8</v>
      </c>
    </row>
    <row r="1195" ht="15.75" customHeight="1">
      <c r="A1195" s="94" t="str">
        <f>IFERROR(__xludf.DUMMYFUNCTION("""COMPUTED_VALUE"""),"TGB10")</f>
        <v>TGB10</v>
      </c>
      <c r="B1195" s="94"/>
      <c r="C1195" s="94"/>
      <c r="D1195" s="431" t="str">
        <f>IFERROR(__xludf.DUMMYFUNCTION("""COMPUTED_VALUE"""),"6 TG Студии с террасой (B9, B10) (Лот 268006)")</f>
        <v>6 TG Студии с террасой (B9, B10) (Лот 268006)</v>
      </c>
      <c r="E1195" s="1436">
        <f>IFERROR(__xludf.DUMMYFUNCTION("""COMPUTED_VALUE"""),45891.0)</f>
        <v>45891</v>
      </c>
      <c r="F1195" s="1436">
        <f>IFERROR(__xludf.DUMMYFUNCTION("""COMPUTED_VALUE"""),45893.0)</f>
        <v>45893</v>
      </c>
      <c r="G1195" s="1430">
        <f>IFERROR(__xludf.DUMMYFUNCTION("""COMPUTED_VALUE"""),2.0)</f>
        <v>2</v>
      </c>
      <c r="H1195" s="94">
        <f t="shared" si="1"/>
        <v>8</v>
      </c>
    </row>
    <row r="1196" ht="15.75" customHeight="1">
      <c r="A1196" s="1164" t="str">
        <f>IFERROR(__xludf.DUMMYFUNCTION("""COMPUTED_VALUE"""),"DL14-518")</f>
        <v>DL14-518</v>
      </c>
      <c r="B1196" s="94"/>
      <c r="C1196" s="94"/>
      <c r="D1196" s="431" t="str">
        <f>IFERROR(__xludf.DUMMYFUNCTION("""COMPUTED_VALUE"""),"4 DL 14 - 518 (Лот 233360)")</f>
        <v>4 DL 14 - 518 (Лот 233360)</v>
      </c>
      <c r="E1196" s="1436">
        <f>IFERROR(__xludf.DUMMYFUNCTION("""COMPUTED_VALUE"""),45890.0)</f>
        <v>45890</v>
      </c>
      <c r="F1196" s="1436">
        <f>IFERROR(__xludf.DUMMYFUNCTION("""COMPUTED_VALUE"""),45894.0)</f>
        <v>45894</v>
      </c>
      <c r="G1196" s="1430">
        <f>IFERROR(__xludf.DUMMYFUNCTION("""COMPUTED_VALUE"""),4.0)</f>
        <v>4</v>
      </c>
      <c r="H1196" s="94">
        <f t="shared" si="1"/>
        <v>8</v>
      </c>
    </row>
    <row r="1197" ht="15.75" customHeight="1">
      <c r="A1197" s="94" t="str">
        <f>IFERROR(__xludf.DUMMYFUNCTION("""COMPUTED_VALUE"""),"NW 4-9")</f>
        <v>NW 4-9</v>
      </c>
      <c r="B1197" s="94"/>
      <c r="C1197" s="94"/>
      <c r="D1197" s="431" t="str">
        <f>IFERROR(__xludf.DUMMYFUNCTION("""COMPUTED_VALUE"""),"3 NW 409 (Лот 289895)")</f>
        <v>3 NW 409 (Лот 289895)</v>
      </c>
      <c r="E1197" s="1436">
        <f>IFERROR(__xludf.DUMMYFUNCTION("""COMPUTED_VALUE"""),45890.0)</f>
        <v>45890</v>
      </c>
      <c r="F1197" s="1436">
        <f>IFERROR(__xludf.DUMMYFUNCTION("""COMPUTED_VALUE"""),45896.0)</f>
        <v>45896</v>
      </c>
      <c r="G1197" s="1430">
        <f>IFERROR(__xludf.DUMMYFUNCTION("""COMPUTED_VALUE"""),6.0)</f>
        <v>6</v>
      </c>
      <c r="H1197" s="94">
        <f t="shared" si="1"/>
        <v>8</v>
      </c>
    </row>
    <row r="1198" ht="15.75" customHeight="1">
      <c r="A1198" s="1164" t="str">
        <f>IFERROR(__xludf.DUMMYFUNCTION("""COMPUTED_VALUE"""),"DL 13-709")</f>
        <v>DL 13-709</v>
      </c>
      <c r="B1198" s="94"/>
      <c r="C1198" s="94"/>
      <c r="D1198" s="431" t="str">
        <f>IFERROR(__xludf.DUMMYFUNCTION("""COMPUTED_VALUE"""),"4 DL 13 - 709 (Лот 291393)")</f>
        <v>4 DL 13 - 709 (Лот 291393)</v>
      </c>
      <c r="E1198" s="1436">
        <f>IFERROR(__xludf.DUMMYFUNCTION("""COMPUTED_VALUE"""),45890.0)</f>
        <v>45890</v>
      </c>
      <c r="F1198" s="1436">
        <f>IFERROR(__xludf.DUMMYFUNCTION("""COMPUTED_VALUE"""),45895.0)</f>
        <v>45895</v>
      </c>
      <c r="G1198" s="1430">
        <f>IFERROR(__xludf.DUMMYFUNCTION("""COMPUTED_VALUE"""),5.0)</f>
        <v>5</v>
      </c>
      <c r="H1198" s="94">
        <f t="shared" si="1"/>
        <v>8</v>
      </c>
    </row>
    <row r="1199" ht="15.75" customHeight="1">
      <c r="A1199" s="94" t="str">
        <f>IFERROR(__xludf.DUMMYFUNCTION("""COMPUTED_VALUE"""),"TGA8")</f>
        <v>TGA8</v>
      </c>
      <c r="B1199" s="94"/>
      <c r="C1199" s="94"/>
      <c r="D1199" s="431" t="str">
        <f>IFERROR(__xludf.DUMMYFUNCTION("""COMPUTED_VALUE"""),"6 TG Студия с видом на море А3, А5, А6, А8 (Лот 268012)")</f>
        <v>6 TG Студия с видом на море А3, А5, А6, А8 (Лот 268012)</v>
      </c>
      <c r="E1199" s="1436">
        <f>IFERROR(__xludf.DUMMYFUNCTION("""COMPUTED_VALUE"""),45890.0)</f>
        <v>45890</v>
      </c>
      <c r="F1199" s="1436">
        <f>IFERROR(__xludf.DUMMYFUNCTION("""COMPUTED_VALUE"""),45897.0)</f>
        <v>45897</v>
      </c>
      <c r="G1199" s="1430">
        <f>IFERROR(__xludf.DUMMYFUNCTION("""COMPUTED_VALUE"""),7.0)</f>
        <v>7</v>
      </c>
      <c r="H1199" s="94">
        <f t="shared" si="1"/>
        <v>8</v>
      </c>
    </row>
    <row r="1200" ht="15.75" customHeight="1">
      <c r="A1200" s="1164" t="str">
        <f>IFERROR(__xludf.DUMMYFUNCTION("""COMPUTED_VALUE"""),"BV1318")</f>
        <v>BV1318</v>
      </c>
      <c r="B1200" s="94"/>
      <c r="C1200" s="94"/>
      <c r="D1200" s="431" t="str">
        <f>IFERROR(__xludf.DUMMYFUNCTION("""COMPUTED_VALUE"""),"1 BV 1318 (Лот 234845)")</f>
        <v>1 BV 1318 (Лот 234845)</v>
      </c>
      <c r="E1200" s="1436">
        <f>IFERROR(__xludf.DUMMYFUNCTION("""COMPUTED_VALUE"""),45890.0)</f>
        <v>45890</v>
      </c>
      <c r="F1200" s="1436">
        <f>IFERROR(__xludf.DUMMYFUNCTION("""COMPUTED_VALUE"""),45893.0)</f>
        <v>45893</v>
      </c>
      <c r="G1200" s="1430">
        <f>IFERROR(__xludf.DUMMYFUNCTION("""COMPUTED_VALUE"""),3.0)</f>
        <v>3</v>
      </c>
      <c r="H1200" s="94">
        <f t="shared" si="1"/>
        <v>8</v>
      </c>
    </row>
    <row r="1201" ht="15.75" customHeight="1">
      <c r="A1201" s="94" t="str">
        <f>IFERROR(__xludf.DUMMYFUNCTION("""COMPUTED_VALUE"""),"NW 10-6")</f>
        <v>NW 10-6</v>
      </c>
      <c r="B1201" s="94"/>
      <c r="C1201" s="94"/>
      <c r="D1201" s="431" t="str">
        <f>IFERROR(__xludf.DUMMYFUNCTION("""COMPUTED_VALUE"""),"3 NW 1006 (Лот 289905)")</f>
        <v>3 NW 1006 (Лот 289905)</v>
      </c>
      <c r="E1201" s="1436">
        <f>IFERROR(__xludf.DUMMYFUNCTION("""COMPUTED_VALUE"""),45890.0)</f>
        <v>45890</v>
      </c>
      <c r="F1201" s="1436">
        <f>IFERROR(__xludf.DUMMYFUNCTION("""COMPUTED_VALUE"""),45893.0)</f>
        <v>45893</v>
      </c>
      <c r="G1201" s="1430">
        <f>IFERROR(__xludf.DUMMYFUNCTION("""COMPUTED_VALUE"""),3.0)</f>
        <v>3</v>
      </c>
      <c r="H1201" s="94">
        <f t="shared" si="1"/>
        <v>8</v>
      </c>
    </row>
    <row r="1202" ht="15.75" customHeight="1">
      <c r="A1202" s="94" t="str">
        <f>IFERROR(__xludf.DUMMYFUNCTION("""COMPUTED_VALUE"""),"4.DL 13 - 201 (Лот 299722)")</f>
        <v>4.DL 13 - 201 (Лот 299722)</v>
      </c>
      <c r="B1202" s="94"/>
      <c r="C1202" s="94"/>
      <c r="D1202" s="431" t="str">
        <f>IFERROR(__xludf.DUMMYFUNCTION("""COMPUTED_VALUE"""),"4 DL 13 - 201 (Лот 299722)")</f>
        <v>4 DL 13 - 201 (Лот 299722)</v>
      </c>
      <c r="E1202" s="1436">
        <f>IFERROR(__xludf.DUMMYFUNCTION("""COMPUTED_VALUE"""),45890.0)</f>
        <v>45890</v>
      </c>
      <c r="F1202" s="1436">
        <f>IFERROR(__xludf.DUMMYFUNCTION("""COMPUTED_VALUE"""),45898.0)</f>
        <v>45898</v>
      </c>
      <c r="G1202" s="1430">
        <f>IFERROR(__xludf.DUMMYFUNCTION("""COMPUTED_VALUE"""),8.0)</f>
        <v>8</v>
      </c>
      <c r="H1202" s="94">
        <f t="shared" si="1"/>
        <v>8</v>
      </c>
    </row>
    <row r="1203" ht="15.75" customHeight="1">
      <c r="A1203" s="1164" t="str">
        <f>IFERROR(__xludf.DUMMYFUNCTION("""COMPUTED_VALUE"""),"DL14-1710")</f>
        <v>DL14-1710</v>
      </c>
      <c r="B1203" s="94"/>
      <c r="C1203" s="94"/>
      <c r="D1203" s="431" t="str">
        <f>IFERROR(__xludf.DUMMYFUNCTION("""COMPUTED_VALUE"""),"4 DL 14 - 1710 (Лот 284212)")</f>
        <v>4 DL 14 - 1710 (Лот 284212)</v>
      </c>
      <c r="E1203" s="1436">
        <f>IFERROR(__xludf.DUMMYFUNCTION("""COMPUTED_VALUE"""),45890.0)</f>
        <v>45890</v>
      </c>
      <c r="F1203" s="1436">
        <f>IFERROR(__xludf.DUMMYFUNCTION("""COMPUTED_VALUE"""),45892.0)</f>
        <v>45892</v>
      </c>
      <c r="G1203" s="1430">
        <f>IFERROR(__xludf.DUMMYFUNCTION("""COMPUTED_VALUE"""),2.0)</f>
        <v>2</v>
      </c>
      <c r="H1203" s="94">
        <f t="shared" si="1"/>
        <v>8</v>
      </c>
    </row>
    <row r="1204" ht="15.75" customHeight="1">
      <c r="A1204" s="1164" t="str">
        <f>IFERROR(__xludf.DUMMYFUNCTION("""COMPUTED_VALUE"""),"DL 14-505")</f>
        <v>DL 14-505</v>
      </c>
      <c r="B1204" s="94"/>
      <c r="C1204" s="94"/>
      <c r="D1204" s="431" t="str">
        <f>IFERROR(__xludf.DUMMYFUNCTION("""COMPUTED_VALUE"""),"4 DL 14 - 505 (Лот 233426)")</f>
        <v>4 DL 14 - 505 (Лот 233426)</v>
      </c>
      <c r="E1204" s="1436">
        <f>IFERROR(__xludf.DUMMYFUNCTION("""COMPUTED_VALUE"""),45890.0)</f>
        <v>45890</v>
      </c>
      <c r="F1204" s="1436">
        <f>IFERROR(__xludf.DUMMYFUNCTION("""COMPUTED_VALUE"""),45892.0)</f>
        <v>45892</v>
      </c>
      <c r="G1204" s="1430">
        <f>IFERROR(__xludf.DUMMYFUNCTION("""COMPUTED_VALUE"""),2.0)</f>
        <v>2</v>
      </c>
      <c r="H1204" s="94">
        <f t="shared" si="1"/>
        <v>8</v>
      </c>
    </row>
    <row r="1205" ht="15.75" customHeight="1">
      <c r="A1205" s="1164" t="str">
        <f>IFERROR(__xludf.DUMMYFUNCTION("""COMPUTED_VALUE"""),"CM 1931")</f>
        <v>CM 1931</v>
      </c>
      <c r="B1205" s="94"/>
      <c r="C1205" s="94"/>
      <c r="D1205" s="431" t="str">
        <f>IFERROR(__xludf.DUMMYFUNCTION("""COMPUTED_VALUE"""),"3 Mar 1931 (Лот 233381)")</f>
        <v>3 Mar 1931 (Лот 233381)</v>
      </c>
      <c r="E1205" s="1436">
        <f>IFERROR(__xludf.DUMMYFUNCTION("""COMPUTED_VALUE"""),45890.0)</f>
        <v>45890</v>
      </c>
      <c r="F1205" s="1436">
        <f>IFERROR(__xludf.DUMMYFUNCTION("""COMPUTED_VALUE"""),45894.0)</f>
        <v>45894</v>
      </c>
      <c r="G1205" s="1430">
        <f>IFERROR(__xludf.DUMMYFUNCTION("""COMPUTED_VALUE"""),4.0)</f>
        <v>4</v>
      </c>
      <c r="H1205" s="94">
        <f t="shared" si="1"/>
        <v>8</v>
      </c>
    </row>
    <row r="1206" ht="15.75" customHeight="1">
      <c r="A1206" s="94" t="str">
        <f>IFERROR(__xludf.DUMMYFUNCTION("""COMPUTED_VALUE"""),"BV206")</f>
        <v>BV206</v>
      </c>
      <c r="B1206" s="94"/>
      <c r="C1206" s="94"/>
      <c r="D1206" s="431" t="str">
        <f>IFERROR(__xludf.DUMMYFUNCTION("""COMPUTED_VALUE"""),"1 BV 1006 (Лот 233390)")</f>
        <v>1 BV 1006 (Лот 233390)</v>
      </c>
      <c r="E1206" s="1436">
        <f>IFERROR(__xludf.DUMMYFUNCTION("""COMPUTED_VALUE"""),45890.0)</f>
        <v>45890</v>
      </c>
      <c r="F1206" s="1436">
        <f>IFERROR(__xludf.DUMMYFUNCTION("""COMPUTED_VALUE"""),45894.0)</f>
        <v>45894</v>
      </c>
      <c r="G1206" s="1430">
        <f>IFERROR(__xludf.DUMMYFUNCTION("""COMPUTED_VALUE"""),4.0)</f>
        <v>4</v>
      </c>
      <c r="H1206" s="94">
        <f t="shared" si="1"/>
        <v>8</v>
      </c>
    </row>
    <row r="1207" ht="15.75" customHeight="1">
      <c r="A1207" s="94" t="str">
        <f>IFERROR(__xludf.DUMMYFUNCTION("""COMPUTED_VALUE"""),"D1 3902")</f>
        <v>D1 3902</v>
      </c>
      <c r="B1207" s="94"/>
      <c r="C1207" s="94"/>
      <c r="D1207" s="431" t="str">
        <f>IFERROR(__xludf.DUMMYFUNCTION("""COMPUTED_VALUE"""),"2 Orbi D 3902 (Лот 293635)")</f>
        <v>2 Orbi D 3902 (Лот 293635)</v>
      </c>
      <c r="E1207" s="1436">
        <f>IFERROR(__xludf.DUMMYFUNCTION("""COMPUTED_VALUE"""),45890.0)</f>
        <v>45890</v>
      </c>
      <c r="F1207" s="1436">
        <f>IFERROR(__xludf.DUMMYFUNCTION("""COMPUTED_VALUE"""),45894.0)</f>
        <v>45894</v>
      </c>
      <c r="G1207" s="1430">
        <f>IFERROR(__xludf.DUMMYFUNCTION("""COMPUTED_VALUE"""),4.0)</f>
        <v>4</v>
      </c>
      <c r="H1207" s="94">
        <f t="shared" si="1"/>
        <v>8</v>
      </c>
    </row>
    <row r="1208" ht="15.75" customHeight="1">
      <c r="A1208" s="1164" t="str">
        <f>IFERROR(__xludf.DUMMYFUNCTION("""COMPUTED_VALUE"""),"WS А 908")</f>
        <v>WS А 908</v>
      </c>
      <c r="B1208" s="94"/>
      <c r="C1208" s="94"/>
      <c r="D1208" s="431" t="str">
        <f>IFERROR(__xludf.DUMMYFUNCTION("""COMPUTED_VALUE"""),"1 WS A 908 (Лот 233353)")</f>
        <v>1 WS A 908 (Лот 233353)</v>
      </c>
      <c r="E1208" s="1436">
        <f>IFERROR(__xludf.DUMMYFUNCTION("""COMPUTED_VALUE"""),45890.0)</f>
        <v>45890</v>
      </c>
      <c r="F1208" s="1436">
        <f>IFERROR(__xludf.DUMMYFUNCTION("""COMPUTED_VALUE"""),45892.0)</f>
        <v>45892</v>
      </c>
      <c r="G1208" s="1430">
        <f>IFERROR(__xludf.DUMMYFUNCTION("""COMPUTED_VALUE"""),2.0)</f>
        <v>2</v>
      </c>
      <c r="H1208" s="94">
        <f t="shared" si="1"/>
        <v>8</v>
      </c>
    </row>
    <row r="1209" ht="15.75" customHeight="1">
      <c r="A1209" s="94" t="str">
        <f>IFERROR(__xludf.DUMMYFUNCTION("""COMPUTED_VALUE"""),"MZ 1408")</f>
        <v>MZ 1408</v>
      </c>
      <c r="B1209" s="94"/>
      <c r="C1209" s="94"/>
      <c r="D1209" s="431" t="str">
        <f>IFERROR(__xludf.DUMMYFUNCTION("""COMPUTED_VALUE"""),"3 MZ 1408 (Лот 289834)")</f>
        <v>3 MZ 1408 (Лот 289834)</v>
      </c>
      <c r="E1209" s="1436">
        <f>IFERROR(__xludf.DUMMYFUNCTION("""COMPUTED_VALUE"""),45890.0)</f>
        <v>45890</v>
      </c>
      <c r="F1209" s="1436">
        <f>IFERROR(__xludf.DUMMYFUNCTION("""COMPUTED_VALUE"""),45892.0)</f>
        <v>45892</v>
      </c>
      <c r="G1209" s="1430">
        <f>IFERROR(__xludf.DUMMYFUNCTION("""COMPUTED_VALUE"""),2.0)</f>
        <v>2</v>
      </c>
      <c r="H1209" s="94">
        <f t="shared" si="1"/>
        <v>8</v>
      </c>
    </row>
    <row r="1210" ht="15.75" customHeight="1">
      <c r="A1210" s="94" t="str">
        <f>IFERROR(__xludf.DUMMYFUNCTION("""COMPUTED_VALUE"""),"А 4049")</f>
        <v>А 4049</v>
      </c>
      <c r="B1210" s="94"/>
      <c r="C1210" s="94"/>
      <c r="D1210" s="431" t="str">
        <f>IFERROR(__xludf.DUMMYFUNCTION("""COMPUTED_VALUE"""),"2 Orbi A 4049 (Лот 233324)")</f>
        <v>2 Orbi A 4049 (Лот 233324)</v>
      </c>
      <c r="E1210" s="1436">
        <f>IFERROR(__xludf.DUMMYFUNCTION("""COMPUTED_VALUE"""),45890.0)</f>
        <v>45890</v>
      </c>
      <c r="F1210" s="1436">
        <f>IFERROR(__xludf.DUMMYFUNCTION("""COMPUTED_VALUE"""),45892.0)</f>
        <v>45892</v>
      </c>
      <c r="G1210" s="1430">
        <f>IFERROR(__xludf.DUMMYFUNCTION("""COMPUTED_VALUE"""),2.0)</f>
        <v>2</v>
      </c>
      <c r="H1210" s="94">
        <f t="shared" si="1"/>
        <v>8</v>
      </c>
    </row>
    <row r="1211" ht="15.75" customHeight="1">
      <c r="A1211" s="94" t="str">
        <f>IFERROR(__xludf.DUMMYFUNCTION("""COMPUTED_VALUE"""),"D2 503")</f>
        <v>D2 503</v>
      </c>
      <c r="B1211" s="94"/>
      <c r="C1211" s="94"/>
      <c r="D1211" s="431" t="str">
        <f>IFERROR(__xludf.DUMMYFUNCTION("""COMPUTED_VALUE"""),"2 Orbi D2 503 (Лот 291554)")</f>
        <v>2 Orbi D2 503 (Лот 291554)</v>
      </c>
      <c r="E1211" s="1436">
        <f>IFERROR(__xludf.DUMMYFUNCTION("""COMPUTED_VALUE"""),45890.0)</f>
        <v>45890</v>
      </c>
      <c r="F1211" s="1436">
        <f>IFERROR(__xludf.DUMMYFUNCTION("""COMPUTED_VALUE"""),45893.0)</f>
        <v>45893</v>
      </c>
      <c r="G1211" s="1430">
        <f>IFERROR(__xludf.DUMMYFUNCTION("""COMPUTED_VALUE"""),3.0)</f>
        <v>3</v>
      </c>
      <c r="H1211" s="94">
        <f t="shared" si="1"/>
        <v>8</v>
      </c>
    </row>
    <row r="1212" ht="15.75" customHeight="1">
      <c r="A1212" s="94" t="str">
        <f>IFERROR(__xludf.DUMMYFUNCTION("""COMPUTED_VALUE"""),"TGA1")</f>
        <v>TGA1</v>
      </c>
      <c r="B1212" s="94"/>
      <c r="C1212" s="94"/>
      <c r="D1212" s="431" t="str">
        <f>IFERROR(__xludf.DUMMYFUNCTION("""COMPUTED_VALUE"""),"6 TG С 2 сп. блок А (А1, А10) (Лот 268000)")</f>
        <v>6 TG С 2 сп. блок А (А1, А10) (Лот 268000)</v>
      </c>
      <c r="E1212" s="1436">
        <f>IFERROR(__xludf.DUMMYFUNCTION("""COMPUTED_VALUE"""),45890.0)</f>
        <v>45890</v>
      </c>
      <c r="F1212" s="1436">
        <f>IFERROR(__xludf.DUMMYFUNCTION("""COMPUTED_VALUE"""),45892.0)</f>
        <v>45892</v>
      </c>
      <c r="G1212" s="1430">
        <f>IFERROR(__xludf.DUMMYFUNCTION("""COMPUTED_VALUE"""),2.0)</f>
        <v>2</v>
      </c>
      <c r="H1212" s="94">
        <f t="shared" si="1"/>
        <v>8</v>
      </c>
    </row>
    <row r="1213" ht="15.75" customHeight="1">
      <c r="A1213" s="94" t="str">
        <f>IFERROR(__xludf.DUMMYFUNCTION("""COMPUTED_VALUE"""),"С732")</f>
        <v>С732</v>
      </c>
      <c r="B1213" s="94"/>
      <c r="C1213" s="94"/>
      <c r="D1213" s="94"/>
      <c r="E1213" s="2175">
        <f>IFERROR(__xludf.DUMMYFUNCTION("""COMPUTED_VALUE"""),45887.0)</f>
        <v>45887</v>
      </c>
      <c r="F1213" s="1429">
        <f>IFERROR(__xludf.DUMMYFUNCTION("""COMPUTED_VALUE"""),45917.0)</f>
        <v>45917</v>
      </c>
      <c r="G1213" s="1430">
        <f>IFERROR(__xludf.DUMMYFUNCTION("""COMPUTED_VALUE"""),30.0)</f>
        <v>30</v>
      </c>
      <c r="H1213" s="94">
        <f t="shared" si="1"/>
        <v>8</v>
      </c>
    </row>
    <row r="1214" ht="15.75" customHeight="1">
      <c r="A1214" s="94" t="str">
        <f>IFERROR(__xludf.DUMMYFUNCTION("""COMPUTED_VALUE"""),"Pollo 3-5")</f>
        <v>Pollo 3-5</v>
      </c>
      <c r="B1214" s="94"/>
      <c r="C1214" s="94"/>
      <c r="D1214" s="94"/>
      <c r="E1214" s="1429">
        <f>IFERROR(__xludf.DUMMYFUNCTION("""COMPUTED_VALUE"""),45891.0)</f>
        <v>45891</v>
      </c>
      <c r="F1214" s="1436">
        <f>IFERROR(__xludf.DUMMYFUNCTION("""COMPUTED_VALUE"""),45921.0)</f>
        <v>45921</v>
      </c>
      <c r="G1214" s="1430">
        <f>IFERROR(__xludf.DUMMYFUNCTION("""COMPUTED_VALUE"""),30.0)</f>
        <v>30</v>
      </c>
      <c r="H1214" s="94">
        <f t="shared" si="1"/>
        <v>8</v>
      </c>
    </row>
    <row r="1215" ht="15.75" customHeight="1">
      <c r="A1215" s="94" t="str">
        <f>IFERROR(__xludf.DUMMYFUNCTION("""COMPUTED_VALUE"""),"NW 3-7")</f>
        <v>NW 3-7</v>
      </c>
      <c r="B1215" s="94"/>
      <c r="C1215" s="94"/>
      <c r="D1215" s="94"/>
      <c r="E1215" s="1435">
        <f>IFERROR(__xludf.DUMMYFUNCTION("""COMPUTED_VALUE"""),45894.0)</f>
        <v>45894</v>
      </c>
      <c r="F1215" s="1429">
        <f>IFERROR(__xludf.DUMMYFUNCTION("""COMPUTED_VALUE"""),45924.0)</f>
        <v>45924</v>
      </c>
      <c r="G1215" s="1430">
        <f>IFERROR(__xludf.DUMMYFUNCTION("""COMPUTED_VALUE"""),30.0)</f>
        <v>30</v>
      </c>
      <c r="H1215" s="94">
        <f t="shared" si="1"/>
        <v>8</v>
      </c>
    </row>
    <row r="1216" ht="15.75" customHeight="1">
      <c r="A1216" s="94" t="str">
        <f>IFERROR(__xludf.DUMMYFUNCTION("""COMPUTED_VALUE"""),"шартава 16/18")</f>
        <v>шартава 16/18</v>
      </c>
      <c r="B1216" s="94"/>
      <c r="C1216" s="94"/>
      <c r="D1216" s="94"/>
      <c r="E1216" s="1429">
        <f>IFERROR(__xludf.DUMMYFUNCTION("""COMPUTED_VALUE"""),45894.0)</f>
        <v>45894</v>
      </c>
      <c r="F1216" s="1436">
        <f>IFERROR(__xludf.DUMMYFUNCTION("""COMPUTED_VALUE"""),45924.0)</f>
        <v>45924</v>
      </c>
      <c r="G1216" s="1430">
        <f>IFERROR(__xludf.DUMMYFUNCTION("""COMPUTED_VALUE"""),30.0)</f>
        <v>30</v>
      </c>
      <c r="H1216" s="94">
        <f t="shared" si="1"/>
        <v>8</v>
      </c>
    </row>
    <row r="1217" ht="15.75" customHeight="1">
      <c r="A1217" s="94" t="str">
        <f>IFERROR(__xludf.DUMMYFUNCTION("""COMPUTED_VALUE"""),"Pollo 2-2")</f>
        <v>Pollo 2-2</v>
      </c>
      <c r="B1217" s="94"/>
      <c r="C1217" s="94"/>
      <c r="D1217" s="94"/>
      <c r="E1217" s="1429">
        <f>IFERROR(__xludf.DUMMYFUNCTION("""COMPUTED_VALUE"""),45897.0)</f>
        <v>45897</v>
      </c>
      <c r="F1217" s="1429">
        <f>IFERROR(__xludf.DUMMYFUNCTION("""COMPUTED_VALUE"""),45927.0)</f>
        <v>45927</v>
      </c>
      <c r="G1217" s="1430">
        <f>IFERROR(__xludf.DUMMYFUNCTION("""COMPUTED_VALUE"""),30.0)</f>
        <v>30</v>
      </c>
      <c r="H1217" s="94">
        <f t="shared" si="1"/>
        <v>8</v>
      </c>
    </row>
    <row r="1218" ht="15.75" customHeight="1">
      <c r="A1218" s="94" t="str">
        <f>IFERROR(__xludf.DUMMYFUNCTION("""COMPUTED_VALUE"""),"Polo 4-12")</f>
        <v>Polo 4-12</v>
      </c>
      <c r="B1218" s="94"/>
      <c r="C1218" s="94"/>
      <c r="D1218" s="94"/>
      <c r="E1218" s="1429">
        <f>IFERROR(__xludf.DUMMYFUNCTION("""COMPUTED_VALUE"""),45884.0)</f>
        <v>45884</v>
      </c>
      <c r="F1218" s="1429">
        <f>IFERROR(__xludf.DUMMYFUNCTION("""COMPUTED_VALUE"""),45894.0)</f>
        <v>45894</v>
      </c>
      <c r="G1218" s="1430">
        <f>IFERROR(__xludf.DUMMYFUNCTION("""COMPUTED_VALUE"""),10.0)</f>
        <v>10</v>
      </c>
      <c r="H1218" s="94">
        <f t="shared" si="1"/>
        <v>8</v>
      </c>
    </row>
    <row r="1219" ht="15.75" customHeight="1">
      <c r="A1219" s="1164" t="str">
        <f>IFERROR(__xludf.DUMMYFUNCTION("""COMPUTED_VALUE"""),"DL 14-1214")</f>
        <v>DL 14-1214</v>
      </c>
      <c r="B1219" s="94"/>
      <c r="C1219" s="94"/>
      <c r="D1219" s="431" t="str">
        <f>IFERROR(__xludf.DUMMYFUNCTION("""COMPUTED_VALUE"""),"4 DL 14 - 1214 (Лот 233420)")</f>
        <v>4 DL 14 - 1214 (Лот 233420)</v>
      </c>
      <c r="E1219" s="1436">
        <f>IFERROR(__xludf.DUMMYFUNCTION("""COMPUTED_VALUE"""),45898.0)</f>
        <v>45898</v>
      </c>
      <c r="F1219" s="1436">
        <f>IFERROR(__xludf.DUMMYFUNCTION("""COMPUTED_VALUE"""),45903.0)</f>
        <v>45903</v>
      </c>
      <c r="G1219" s="1430">
        <f>IFERROR(__xludf.DUMMYFUNCTION("""COMPUTED_VALUE"""),5.0)</f>
        <v>5</v>
      </c>
      <c r="H1219" s="94">
        <f t="shared" si="1"/>
        <v>8</v>
      </c>
    </row>
    <row r="1220" ht="15.75" customHeight="1">
      <c r="A1220" s="1164" t="str">
        <f>IFERROR(__xludf.DUMMYFUNCTION("""COMPUTED_VALUE"""),"DL14-1907")</f>
        <v>DL14-1907</v>
      </c>
      <c r="B1220" s="94"/>
      <c r="C1220" s="94"/>
      <c r="D1220" s="431" t="str">
        <f>IFERROR(__xludf.DUMMYFUNCTION("""COMPUTED_VALUE"""),"4 DL 14 - 1907 (Лот 284215)")</f>
        <v>4 DL 14 - 1907 (Лот 284215)</v>
      </c>
      <c r="E1220" s="1436">
        <f>IFERROR(__xludf.DUMMYFUNCTION("""COMPUTED_VALUE"""),45898.0)</f>
        <v>45898</v>
      </c>
      <c r="F1220" s="1436">
        <f>IFERROR(__xludf.DUMMYFUNCTION("""COMPUTED_VALUE"""),45901.0)</f>
        <v>45901</v>
      </c>
      <c r="G1220" s="1430">
        <f>IFERROR(__xludf.DUMMYFUNCTION("""COMPUTED_VALUE"""),3.0)</f>
        <v>3</v>
      </c>
      <c r="H1220" s="94">
        <f t="shared" si="1"/>
        <v>8</v>
      </c>
    </row>
    <row r="1221" ht="15.75" customHeight="1">
      <c r="A1221" s="94" t="str">
        <f>IFERROR(__xludf.DUMMYFUNCTION("""COMPUTED_VALUE"""),"4.DL 13 - 201 (Лот 299722)")</f>
        <v>4.DL 13 - 201 (Лот 299722)</v>
      </c>
      <c r="B1221" s="94"/>
      <c r="C1221" s="94"/>
      <c r="D1221" s="431" t="str">
        <f>IFERROR(__xludf.DUMMYFUNCTION("""COMPUTED_VALUE"""),"4 DL 13 - 201 (Лот 299722)")</f>
        <v>4 DL 13 - 201 (Лот 299722)</v>
      </c>
      <c r="E1221" s="1436">
        <f>IFERROR(__xludf.DUMMYFUNCTION("""COMPUTED_VALUE"""),45898.0)</f>
        <v>45898</v>
      </c>
      <c r="F1221" s="1436">
        <f>IFERROR(__xludf.DUMMYFUNCTION("""COMPUTED_VALUE"""),45901.0)</f>
        <v>45901</v>
      </c>
      <c r="G1221" s="1430">
        <f>IFERROR(__xludf.DUMMYFUNCTION("""COMPUTED_VALUE"""),3.0)</f>
        <v>3</v>
      </c>
      <c r="H1221" s="94">
        <f t="shared" si="1"/>
        <v>8</v>
      </c>
    </row>
    <row r="1222" ht="15.75" customHeight="1">
      <c r="A1222" s="94" t="str">
        <f>IFERROR(__xludf.DUMMYFUNCTION("""COMPUTED_VALUE"""),"D1 3902")</f>
        <v>D1 3902</v>
      </c>
      <c r="B1222" s="94"/>
      <c r="C1222" s="94"/>
      <c r="D1222" s="431" t="str">
        <f>IFERROR(__xludf.DUMMYFUNCTION("""COMPUTED_VALUE"""),"2 Orbi D 3902 (Лот 293635)")</f>
        <v>2 Orbi D 3902 (Лот 293635)</v>
      </c>
      <c r="E1222" s="1436">
        <f>IFERROR(__xludf.DUMMYFUNCTION("""COMPUTED_VALUE"""),45898.0)</f>
        <v>45898</v>
      </c>
      <c r="F1222" s="1436">
        <f>IFERROR(__xludf.DUMMYFUNCTION("""COMPUTED_VALUE"""),45902.0)</f>
        <v>45902</v>
      </c>
      <c r="G1222" s="1430">
        <f>IFERROR(__xludf.DUMMYFUNCTION("""COMPUTED_VALUE"""),4.0)</f>
        <v>4</v>
      </c>
      <c r="H1222" s="94">
        <f t="shared" si="1"/>
        <v>8</v>
      </c>
    </row>
    <row r="1223" ht="15.75" customHeight="1">
      <c r="A1223" s="1164" t="str">
        <f>IFERROR(__xludf.DUMMYFUNCTION("""COMPUTED_VALUE"""),"CM 1931")</f>
        <v>CM 1931</v>
      </c>
      <c r="B1223" s="94"/>
      <c r="C1223" s="94"/>
      <c r="D1223" s="431" t="str">
        <f>IFERROR(__xludf.DUMMYFUNCTION("""COMPUTED_VALUE"""),"3 Mar 1931 (Лот 233381)")</f>
        <v>3 Mar 1931 (Лот 233381)</v>
      </c>
      <c r="E1223" s="1436">
        <f>IFERROR(__xludf.DUMMYFUNCTION("""COMPUTED_VALUE"""),45898.0)</f>
        <v>45898</v>
      </c>
      <c r="F1223" s="1436">
        <f>IFERROR(__xludf.DUMMYFUNCTION("""COMPUTED_VALUE"""),45901.0)</f>
        <v>45901</v>
      </c>
      <c r="G1223" s="1430">
        <f>IFERROR(__xludf.DUMMYFUNCTION("""COMPUTED_VALUE"""),3.0)</f>
        <v>3</v>
      </c>
      <c r="H1223" s="94">
        <f t="shared" si="1"/>
        <v>8</v>
      </c>
    </row>
    <row r="1224" ht="15.75" customHeight="1">
      <c r="A1224" s="1164" t="str">
        <f>IFERROR(__xludf.DUMMYFUNCTION("""COMPUTED_VALUE"""),"DL 4-09")</f>
        <v>DL 4-09</v>
      </c>
      <c r="B1224" s="94"/>
      <c r="C1224" s="94"/>
      <c r="D1224" s="431" t="str">
        <f>IFERROR(__xludf.DUMMYFUNCTION("""COMPUTED_VALUE"""),"4 DL 4 - 09 (Лот 233385)")</f>
        <v>4 DL 4 - 09 (Лот 233385)</v>
      </c>
      <c r="E1224" s="1436">
        <f>IFERROR(__xludf.DUMMYFUNCTION("""COMPUTED_VALUE"""),45898.0)</f>
        <v>45898</v>
      </c>
      <c r="F1224" s="1436">
        <f>IFERROR(__xludf.DUMMYFUNCTION("""COMPUTED_VALUE"""),45928.0)</f>
        <v>45928</v>
      </c>
      <c r="G1224" s="1430">
        <f>IFERROR(__xludf.DUMMYFUNCTION("""COMPUTED_VALUE"""),30.0)</f>
        <v>30</v>
      </c>
      <c r="H1224" s="94">
        <f t="shared" si="1"/>
        <v>8</v>
      </c>
    </row>
    <row r="1225" ht="15.75" customHeight="1">
      <c r="A1225" s="1164" t="str">
        <f>IFERROR(__xludf.DUMMYFUNCTION("""COMPUTED_VALUE"""),"WS E 1202")</f>
        <v>WS E 1202</v>
      </c>
      <c r="B1225" s="94"/>
      <c r="C1225" s="94"/>
      <c r="D1225" s="431" t="str">
        <f>IFERROR(__xludf.DUMMYFUNCTION("""COMPUTED_VALUE"""),"1 WS E 1202 (Лот 233379)")</f>
        <v>1 WS E 1202 (Лот 233379)</v>
      </c>
      <c r="E1225" s="1436">
        <f>IFERROR(__xludf.DUMMYFUNCTION("""COMPUTED_VALUE"""),45898.0)</f>
        <v>45898</v>
      </c>
      <c r="F1225" s="1436">
        <f>IFERROR(__xludf.DUMMYFUNCTION("""COMPUTED_VALUE"""),45902.0)</f>
        <v>45902</v>
      </c>
      <c r="G1225" s="1430">
        <f>IFERROR(__xludf.DUMMYFUNCTION("""COMPUTED_VALUE"""),4.0)</f>
        <v>4</v>
      </c>
      <c r="H1225" s="94">
        <f t="shared" si="1"/>
        <v>8</v>
      </c>
    </row>
    <row r="1226" ht="15.75" customHeight="1">
      <c r="A1226" s="1164" t="str">
        <f>IFERROR(__xludf.DUMMYFUNCTION("""COMPUTED_VALUE"""),"DL 11-1112")</f>
        <v>DL 11-1112</v>
      </c>
      <c r="B1226" s="94"/>
      <c r="C1226" s="94"/>
      <c r="D1226" s="431" t="str">
        <f>IFERROR(__xludf.DUMMYFUNCTION("""COMPUTED_VALUE"""),"4 DL 11 - 1112 (Лот 233410)")</f>
        <v>4 DL 11 - 1112 (Лот 233410)</v>
      </c>
      <c r="E1226" s="1436">
        <f>IFERROR(__xludf.DUMMYFUNCTION("""COMPUTED_VALUE"""),45898.0)</f>
        <v>45898</v>
      </c>
      <c r="F1226" s="1436">
        <f>IFERROR(__xludf.DUMMYFUNCTION("""COMPUTED_VALUE"""),45901.0)</f>
        <v>45901</v>
      </c>
      <c r="G1226" s="1430">
        <f>IFERROR(__xludf.DUMMYFUNCTION("""COMPUTED_VALUE"""),3.0)</f>
        <v>3</v>
      </c>
      <c r="H1226" s="94">
        <f t="shared" si="1"/>
        <v>8</v>
      </c>
    </row>
    <row r="1227" ht="15.75" customHeight="1">
      <c r="A1227" s="1164" t="str">
        <f>IFERROR(__xludf.DUMMYFUNCTION("""COMPUTED_VALUE"""),"DL 11-1305")</f>
        <v>DL 11-1305</v>
      </c>
      <c r="B1227" s="94"/>
      <c r="C1227" s="94"/>
      <c r="D1227" s="431" t="str">
        <f>IFERROR(__xludf.DUMMYFUNCTION("""COMPUTED_VALUE"""),"4 DL 11 - 1305 (1+1) (Лот 234970)")</f>
        <v>4 DL 11 - 1305 (1+1) (Лот 234970)</v>
      </c>
      <c r="E1227" s="1436">
        <f>IFERROR(__xludf.DUMMYFUNCTION("""COMPUTED_VALUE"""),45898.0)</f>
        <v>45898</v>
      </c>
      <c r="F1227" s="1436">
        <f>IFERROR(__xludf.DUMMYFUNCTION("""COMPUTED_VALUE"""),45901.0)</f>
        <v>45901</v>
      </c>
      <c r="G1227" s="1430">
        <f>IFERROR(__xludf.DUMMYFUNCTION("""COMPUTED_VALUE"""),3.0)</f>
        <v>3</v>
      </c>
      <c r="H1227" s="94">
        <f t="shared" si="1"/>
        <v>8</v>
      </c>
    </row>
    <row r="1228" ht="15.75" customHeight="1">
      <c r="A1228" s="1164" t="str">
        <f>IFERROR(__xludf.DUMMYFUNCTION("""COMPUTED_VALUE"""),"DL14-501-502")</f>
        <v>DL14-501-502</v>
      </c>
      <c r="B1228" s="94"/>
      <c r="C1228" s="94"/>
      <c r="D1228" s="431" t="str">
        <f>IFERROR(__xludf.DUMMYFUNCTION("""COMPUTED_VALUE"""),"4 DL 14 - 501 502 (Лот 284223)")</f>
        <v>4 DL 14 - 501 502 (Лот 284223)</v>
      </c>
      <c r="E1228" s="1436">
        <f>IFERROR(__xludf.DUMMYFUNCTION("""COMPUTED_VALUE"""),45898.0)</f>
        <v>45898</v>
      </c>
      <c r="F1228" s="1436">
        <f>IFERROR(__xludf.DUMMYFUNCTION("""COMPUTED_VALUE"""),45900.0)</f>
        <v>45900</v>
      </c>
      <c r="G1228" s="1430">
        <f>IFERROR(__xludf.DUMMYFUNCTION("""COMPUTED_VALUE"""),2.0)</f>
        <v>2</v>
      </c>
      <c r="H1228" s="94">
        <f t="shared" si="1"/>
        <v>8</v>
      </c>
    </row>
    <row r="1229" ht="15.75" customHeight="1">
      <c r="A1229" s="94" t="str">
        <f>IFERROR(__xludf.DUMMYFUNCTION("""COMPUTED_VALUE"""),"А 4049")</f>
        <v>А 4049</v>
      </c>
      <c r="B1229" s="94"/>
      <c r="C1229" s="94"/>
      <c r="D1229" s="431" t="str">
        <f>IFERROR(__xludf.DUMMYFUNCTION("""COMPUTED_VALUE"""),"2 Orbi A 4049 (Лот 233324)")</f>
        <v>2 Orbi A 4049 (Лот 233324)</v>
      </c>
      <c r="E1229" s="1436">
        <f>IFERROR(__xludf.DUMMYFUNCTION("""COMPUTED_VALUE"""),45898.0)</f>
        <v>45898</v>
      </c>
      <c r="F1229" s="1436">
        <f>IFERROR(__xludf.DUMMYFUNCTION("""COMPUTED_VALUE"""),45961.0)</f>
        <v>45961</v>
      </c>
      <c r="G1229" s="1430">
        <f>IFERROR(__xludf.DUMMYFUNCTION("""COMPUTED_VALUE"""),63.0)</f>
        <v>63</v>
      </c>
      <c r="H1229" s="94">
        <f t="shared" si="1"/>
        <v>8</v>
      </c>
    </row>
    <row r="1230" ht="15.75" customHeight="1">
      <c r="A1230" s="1164" t="str">
        <f>IFERROR(__xludf.DUMMYFUNCTION("""COMPUTED_VALUE"""),"WS A 608")</f>
        <v>WS A 608</v>
      </c>
      <c r="B1230" s="94"/>
      <c r="C1230" s="94"/>
      <c r="D1230" s="431" t="str">
        <f>IFERROR(__xludf.DUMMYFUNCTION("""COMPUTED_VALUE"""),"1 WS A 608 (Лот 233370)")</f>
        <v>1 WS A 608 (Лот 233370)</v>
      </c>
      <c r="E1230" s="1436">
        <f>IFERROR(__xludf.DUMMYFUNCTION("""COMPUTED_VALUE"""),45898.0)</f>
        <v>45898</v>
      </c>
      <c r="F1230" s="1436">
        <f>IFERROR(__xludf.DUMMYFUNCTION("""COMPUTED_VALUE"""),45900.0)</f>
        <v>45900</v>
      </c>
      <c r="G1230" s="1430">
        <f>IFERROR(__xludf.DUMMYFUNCTION("""COMPUTED_VALUE"""),2.0)</f>
        <v>2</v>
      </c>
      <c r="H1230" s="94">
        <f t="shared" si="1"/>
        <v>8</v>
      </c>
    </row>
    <row r="1231" ht="15.75" customHeight="1">
      <c r="A1231" s="94" t="str">
        <f>IFERROR(__xludf.DUMMYFUNCTION("""COMPUTED_VALUE"""),"TGB4")</f>
        <v>TGB4</v>
      </c>
      <c r="B1231" s="94"/>
      <c r="C1231" s="94"/>
      <c r="D1231" s="431" t="str">
        <f>IFERROR(__xludf.DUMMYFUNCTION("""COMPUTED_VALUE"""),"6 TG Студии эконом блок Б (Б2, Б3, Б4) (Лот 268016)")</f>
        <v>6 TG Студии эконом блок Б (Б2, Б3, Б4) (Лот 268016)</v>
      </c>
      <c r="E1231" s="1436">
        <f>IFERROR(__xludf.DUMMYFUNCTION("""COMPUTED_VALUE"""),45898.0)</f>
        <v>45898</v>
      </c>
      <c r="F1231" s="1436">
        <f>IFERROR(__xludf.DUMMYFUNCTION("""COMPUTED_VALUE"""),45903.0)</f>
        <v>45903</v>
      </c>
      <c r="G1231" s="1430">
        <f>IFERROR(__xludf.DUMMYFUNCTION("""COMPUTED_VALUE"""),5.0)</f>
        <v>5</v>
      </c>
      <c r="H1231" s="94">
        <f t="shared" si="1"/>
        <v>8</v>
      </c>
    </row>
    <row r="1232" ht="15.75" customHeight="1">
      <c r="A1232" s="94" t="str">
        <f>IFERROR(__xludf.DUMMYFUNCTION("""COMPUTED_VALUE"""),"С 2756")</f>
        <v>С 2756</v>
      </c>
      <c r="B1232" s="94"/>
      <c r="C1232" s="94"/>
      <c r="D1232" s="431" t="str">
        <f>IFERROR(__xludf.DUMMYFUNCTION("""COMPUTED_VALUE"""),"2 Orbi C 2756 (Лот 233325)")</f>
        <v>2 Orbi C 2756 (Лот 233325)</v>
      </c>
      <c r="E1232" s="1436">
        <f>IFERROR(__xludf.DUMMYFUNCTION("""COMPUTED_VALUE"""),45898.0)</f>
        <v>45898</v>
      </c>
      <c r="F1232" s="1436">
        <f>IFERROR(__xludf.DUMMYFUNCTION("""COMPUTED_VALUE"""),45901.0)</f>
        <v>45901</v>
      </c>
      <c r="G1232" s="1430">
        <f>IFERROR(__xludf.DUMMYFUNCTION("""COMPUTED_VALUE"""),3.0)</f>
        <v>3</v>
      </c>
      <c r="H1232" s="94">
        <f t="shared" si="1"/>
        <v>8</v>
      </c>
    </row>
    <row r="1233" ht="15.75" customHeight="1">
      <c r="A1233" s="1164" t="str">
        <f>IFERROR(__xludf.DUMMYFUNCTION("""COMPUTED_VALUE"""),"WS E704")</f>
        <v>WS E704</v>
      </c>
      <c r="B1233" s="94"/>
      <c r="C1233" s="94"/>
      <c r="D1233" s="431" t="str">
        <f>IFERROR(__xludf.DUMMYFUNCTION("""COMPUTED_VALUE"""),"1 WS E 704 (Лот 233383)")</f>
        <v>1 WS E 704 (Лот 233383)</v>
      </c>
      <c r="E1233" s="1436">
        <f>IFERROR(__xludf.DUMMYFUNCTION("""COMPUTED_VALUE"""),45898.0)</f>
        <v>45898</v>
      </c>
      <c r="F1233" s="1436">
        <f>IFERROR(__xludf.DUMMYFUNCTION("""COMPUTED_VALUE"""),45902.0)</f>
        <v>45902</v>
      </c>
      <c r="G1233" s="1430">
        <f>IFERROR(__xludf.DUMMYFUNCTION("""COMPUTED_VALUE"""),4.0)</f>
        <v>4</v>
      </c>
      <c r="H1233" s="94">
        <f t="shared" si="1"/>
        <v>8</v>
      </c>
    </row>
    <row r="1234" ht="15.75" customHeight="1">
      <c r="A1234" s="94" t="str">
        <f>IFERROR(__xludf.DUMMYFUNCTION("""COMPUTED_VALUE"""),"TGB5")</f>
        <v>TGB5</v>
      </c>
      <c r="B1234" s="94"/>
      <c r="C1234" s="94"/>
      <c r="D1234" s="431" t="str">
        <f>IFERROR(__xludf.DUMMYFUNCTION("""COMPUTED_VALUE"""),"6 TG С 1 сп с видом на горы В5, В1 (Лот 268015)")</f>
        <v>6 TG С 1 сп с видом на горы В5, В1 (Лот 268015)</v>
      </c>
      <c r="E1234" s="1436">
        <f>IFERROR(__xludf.DUMMYFUNCTION("""COMPUTED_VALUE"""),45898.0)</f>
        <v>45898</v>
      </c>
      <c r="F1234" s="1436">
        <f>IFERROR(__xludf.DUMMYFUNCTION("""COMPUTED_VALUE"""),45901.0)</f>
        <v>45901</v>
      </c>
      <c r="G1234" s="1430">
        <f>IFERROR(__xludf.DUMMYFUNCTION("""COMPUTED_VALUE"""),3.0)</f>
        <v>3</v>
      </c>
      <c r="H1234" s="94">
        <f t="shared" si="1"/>
        <v>8</v>
      </c>
    </row>
    <row r="1235" ht="15.75" customHeight="1">
      <c r="A1235" s="1164" t="str">
        <f>IFERROR(__xludf.DUMMYFUNCTION("""COMPUTED_VALUE"""),"C 4245")</f>
        <v>C 4245</v>
      </c>
      <c r="B1235" s="94"/>
      <c r="C1235" s="94"/>
      <c r="D1235" s="431" t="str">
        <f>IFERROR(__xludf.DUMMYFUNCTION("""COMPUTED_VALUE"""),"2 Orbi C 4245 (Лот 233298)")</f>
        <v>2 Orbi C 4245 (Лот 233298)</v>
      </c>
      <c r="E1235" s="1436">
        <f>IFERROR(__xludf.DUMMYFUNCTION("""COMPUTED_VALUE"""),45897.0)</f>
        <v>45897</v>
      </c>
      <c r="F1235" s="1436">
        <f>IFERROR(__xludf.DUMMYFUNCTION("""COMPUTED_VALUE"""),45901.0)</f>
        <v>45901</v>
      </c>
      <c r="G1235" s="1430">
        <f>IFERROR(__xludf.DUMMYFUNCTION("""COMPUTED_VALUE"""),4.0)</f>
        <v>4</v>
      </c>
      <c r="H1235" s="94">
        <f t="shared" si="1"/>
        <v>8</v>
      </c>
    </row>
    <row r="1236" ht="15.75" customHeight="1">
      <c r="A1236" s="94" t="str">
        <f>IFERROR(__xludf.DUMMYFUNCTION("""COMPUTED_VALUE"""),"Int 2612")</f>
        <v>Int 2612</v>
      </c>
      <c r="B1236" s="94"/>
      <c r="C1236" s="94"/>
      <c r="D1236" s="431" t="str">
        <f>IFERROR(__xludf.DUMMYFUNCTION("""COMPUTED_VALUE"""),"3 Int B 2612 (Лот 285149)")</f>
        <v>3 Int B 2612 (Лот 285149)</v>
      </c>
      <c r="E1236" s="1436">
        <f>IFERROR(__xludf.DUMMYFUNCTION("""COMPUTED_VALUE"""),45897.0)</f>
        <v>45897</v>
      </c>
      <c r="F1236" s="1436">
        <f>IFERROR(__xludf.DUMMYFUNCTION("""COMPUTED_VALUE"""),45901.0)</f>
        <v>45901</v>
      </c>
      <c r="G1236" s="1430">
        <f>IFERROR(__xludf.DUMMYFUNCTION("""COMPUTED_VALUE"""),4.0)</f>
        <v>4</v>
      </c>
      <c r="H1236" s="94">
        <f t="shared" si="1"/>
        <v>8</v>
      </c>
    </row>
    <row r="1237" ht="15.75" customHeight="1">
      <c r="A1237" s="1164" t="str">
        <f>IFERROR(__xludf.DUMMYFUNCTION("""COMPUTED_VALUE"""),"DL14-1710")</f>
        <v>DL14-1710</v>
      </c>
      <c r="B1237" s="94"/>
      <c r="C1237" s="94"/>
      <c r="D1237" s="431" t="str">
        <f>IFERROR(__xludf.DUMMYFUNCTION("""COMPUTED_VALUE"""),"4 DL 14 - 1710 (Лот 284212)")</f>
        <v>4 DL 14 - 1710 (Лот 284212)</v>
      </c>
      <c r="E1237" s="1436">
        <f>IFERROR(__xludf.DUMMYFUNCTION("""COMPUTED_VALUE"""),45897.0)</f>
        <v>45897</v>
      </c>
      <c r="F1237" s="1436">
        <f>IFERROR(__xludf.DUMMYFUNCTION("""COMPUTED_VALUE"""),45900.0)</f>
        <v>45900</v>
      </c>
      <c r="G1237" s="1430">
        <f>IFERROR(__xludf.DUMMYFUNCTION("""COMPUTED_VALUE"""),3.0)</f>
        <v>3</v>
      </c>
      <c r="H1237" s="94">
        <f t="shared" si="1"/>
        <v>8</v>
      </c>
    </row>
    <row r="1238" ht="15.75" customHeight="1">
      <c r="A1238" s="1164" t="str">
        <f>IFERROR(__xludf.DUMMYFUNCTION("""COMPUTED_VALUE"""),"WS A907")</f>
        <v>WS A907</v>
      </c>
      <c r="B1238" s="94"/>
      <c r="C1238" s="94"/>
      <c r="D1238" s="431" t="str">
        <f>IFERROR(__xludf.DUMMYFUNCTION("""COMPUTED_VALUE"""),"1 WS A 907 (Лот 233365)")</f>
        <v>1 WS A 907 (Лот 233365)</v>
      </c>
      <c r="E1238" s="1436">
        <f>IFERROR(__xludf.DUMMYFUNCTION("""COMPUTED_VALUE"""),45897.0)</f>
        <v>45897</v>
      </c>
      <c r="F1238" s="1436">
        <f>IFERROR(__xludf.DUMMYFUNCTION("""COMPUTED_VALUE"""),45909.0)</f>
        <v>45909</v>
      </c>
      <c r="G1238" s="1430">
        <f>IFERROR(__xludf.DUMMYFUNCTION("""COMPUTED_VALUE"""),12.0)</f>
        <v>12</v>
      </c>
      <c r="H1238" s="94">
        <f t="shared" si="1"/>
        <v>8</v>
      </c>
    </row>
    <row r="1239" ht="15.75" customHeight="1">
      <c r="A1239" s="1164" t="str">
        <f>IFERROR(__xludf.DUMMYFUNCTION("""COMPUTED_VALUE"""),"DL14-305")</f>
        <v>DL14-305</v>
      </c>
      <c r="B1239" s="94"/>
      <c r="C1239" s="94"/>
      <c r="D1239" s="431" t="str">
        <f>IFERROR(__xludf.DUMMYFUNCTION("""COMPUTED_VALUE"""),"4 DL 14 - 305 (Лот 284208)")</f>
        <v>4 DL 14 - 305 (Лот 284208)</v>
      </c>
      <c r="E1239" s="1436">
        <f>IFERROR(__xludf.DUMMYFUNCTION("""COMPUTED_VALUE"""),45897.0)</f>
        <v>45897</v>
      </c>
      <c r="F1239" s="1436">
        <f>IFERROR(__xludf.DUMMYFUNCTION("""COMPUTED_VALUE"""),45900.0)</f>
        <v>45900</v>
      </c>
      <c r="G1239" s="1430">
        <f>IFERROR(__xludf.DUMMYFUNCTION("""COMPUTED_VALUE"""),3.0)</f>
        <v>3</v>
      </c>
      <c r="H1239" s="94">
        <f t="shared" si="1"/>
        <v>8</v>
      </c>
    </row>
    <row r="1240" ht="15.75" customHeight="1">
      <c r="A1240" s="94" t="str">
        <f>IFERROR(__xludf.DUMMYFUNCTION("""COMPUTED_VALUE"""),"WS A805")</f>
        <v>WS A805</v>
      </c>
      <c r="B1240" s="94"/>
      <c r="C1240" s="94"/>
      <c r="D1240" s="431" t="str">
        <f>IFERROR(__xludf.DUMMYFUNCTION("""COMPUTED_VALUE"""),"1 WS A 805 (Лот 283869)")</f>
        <v>1 WS A 805 (Лот 283869)</v>
      </c>
      <c r="E1240" s="1436">
        <f>IFERROR(__xludf.DUMMYFUNCTION("""COMPUTED_VALUE"""),45897.0)</f>
        <v>45897</v>
      </c>
      <c r="F1240" s="1436">
        <f>IFERROR(__xludf.DUMMYFUNCTION("""COMPUTED_VALUE"""),45902.0)</f>
        <v>45902</v>
      </c>
      <c r="G1240" s="1430">
        <f>IFERROR(__xludf.DUMMYFUNCTION("""COMPUTED_VALUE"""),5.0)</f>
        <v>5</v>
      </c>
      <c r="H1240" s="94">
        <f t="shared" si="1"/>
        <v>8</v>
      </c>
    </row>
    <row r="1241" ht="15.75" customHeight="1">
      <c r="A1241" s="94" t="str">
        <f>IFERROR(__xludf.DUMMYFUNCTION("""COMPUTED_VALUE"""),"NW 4-10")</f>
        <v>NW 4-10</v>
      </c>
      <c r="B1241" s="94"/>
      <c r="C1241" s="94"/>
      <c r="D1241" s="431" t="str">
        <f>IFERROR(__xludf.DUMMYFUNCTION("""COMPUTED_VALUE"""),"3 NW 410 (Лот 289904)")</f>
        <v>3 NW 410 (Лот 289904)</v>
      </c>
      <c r="E1241" s="1436">
        <f>IFERROR(__xludf.DUMMYFUNCTION("""COMPUTED_VALUE"""),45897.0)</f>
        <v>45897</v>
      </c>
      <c r="F1241" s="1436">
        <f>IFERROR(__xludf.DUMMYFUNCTION("""COMPUTED_VALUE"""),45903.0)</f>
        <v>45903</v>
      </c>
      <c r="G1241" s="1430">
        <f>IFERROR(__xludf.DUMMYFUNCTION("""COMPUTED_VALUE"""),6.0)</f>
        <v>6</v>
      </c>
      <c r="H1241" s="94">
        <f t="shared" si="1"/>
        <v>8</v>
      </c>
    </row>
    <row r="1242" ht="15.75" customHeight="1">
      <c r="A1242" s="94" t="str">
        <f>IFERROR(__xludf.DUMMYFUNCTION("""COMPUTED_VALUE"""),"NW 10-6")</f>
        <v>NW 10-6</v>
      </c>
      <c r="B1242" s="94"/>
      <c r="C1242" s="94"/>
      <c r="D1242" s="431" t="str">
        <f>IFERROR(__xludf.DUMMYFUNCTION("""COMPUTED_VALUE"""),"3 NW 1006 (Лот 289905)")</f>
        <v>3 NW 1006 (Лот 289905)</v>
      </c>
      <c r="E1242" s="1436">
        <f>IFERROR(__xludf.DUMMYFUNCTION("""COMPUTED_VALUE"""),45897.0)</f>
        <v>45897</v>
      </c>
      <c r="F1242" s="1436">
        <f>IFERROR(__xludf.DUMMYFUNCTION("""COMPUTED_VALUE"""),45903.0)</f>
        <v>45903</v>
      </c>
      <c r="G1242" s="1430">
        <f>IFERROR(__xludf.DUMMYFUNCTION("""COMPUTED_VALUE"""),6.0)</f>
        <v>6</v>
      </c>
      <c r="H1242" s="94">
        <f t="shared" si="1"/>
        <v>8</v>
      </c>
    </row>
    <row r="1243" ht="15.75" customHeight="1">
      <c r="A1243" s="94" t="str">
        <f>IFERROR(__xludf.DUMMYFUNCTION("""COMPUTED_VALUE"""),"WS F1103")</f>
        <v>WS F1103</v>
      </c>
      <c r="B1243" s="94"/>
      <c r="C1243" s="94"/>
      <c r="D1243" s="431" t="str">
        <f>IFERROR(__xludf.DUMMYFUNCTION("""COMPUTED_VALUE"""),"1 WS F 1103 (Лот 286819)")</f>
        <v>1 WS F 1103 (Лот 286819)</v>
      </c>
      <c r="E1243" s="1436">
        <f>IFERROR(__xludf.DUMMYFUNCTION("""COMPUTED_VALUE"""),45897.0)</f>
        <v>45897</v>
      </c>
      <c r="F1243" s="1436">
        <f>IFERROR(__xludf.DUMMYFUNCTION("""COMPUTED_VALUE"""),45905.0)</f>
        <v>45905</v>
      </c>
      <c r="G1243" s="1430">
        <f>IFERROR(__xludf.DUMMYFUNCTION("""COMPUTED_VALUE"""),8.0)</f>
        <v>8</v>
      </c>
      <c r="H1243" s="94">
        <f t="shared" si="1"/>
        <v>8</v>
      </c>
    </row>
    <row r="1244" ht="15.75" customHeight="1">
      <c r="A1244" s="94" t="str">
        <f>IFERROR(__xludf.DUMMYFUNCTION("""COMPUTED_VALUE"""),"TGB5")</f>
        <v>TGB5</v>
      </c>
      <c r="B1244" s="94"/>
      <c r="C1244" s="94"/>
      <c r="D1244" s="431" t="str">
        <f>IFERROR(__xludf.DUMMYFUNCTION("""COMPUTED_VALUE"""),"6 TG С 1 сп с видом на горы В5, В1 (Лот 268015)")</f>
        <v>6 TG С 1 сп с видом на горы В5, В1 (Лот 268015)</v>
      </c>
      <c r="E1244" s="1436">
        <f>IFERROR(__xludf.DUMMYFUNCTION("""COMPUTED_VALUE"""),45897.0)</f>
        <v>45897</v>
      </c>
      <c r="F1244" s="1436">
        <f>IFERROR(__xludf.DUMMYFUNCTION("""COMPUTED_VALUE"""),45906.0)</f>
        <v>45906</v>
      </c>
      <c r="G1244" s="1430">
        <f>IFERROR(__xludf.DUMMYFUNCTION("""COMPUTED_VALUE"""),9.0)</f>
        <v>9</v>
      </c>
      <c r="H1244" s="94">
        <f t="shared" si="1"/>
        <v>8</v>
      </c>
    </row>
    <row r="1245" ht="15.75" customHeight="1">
      <c r="A1245" s="94" t="str">
        <f>IFERROR(__xludf.DUMMYFUNCTION("""COMPUTED_VALUE"""),"PT2604")</f>
        <v>PT2604</v>
      </c>
      <c r="B1245" s="94"/>
      <c r="C1245" s="94"/>
      <c r="D1245" s="431" t="str">
        <f>IFERROR(__xludf.DUMMYFUNCTION("""COMPUTED_VALUE"""),"3 PB 2604 (Лот 265736)")</f>
        <v>3 PB 2604 (Лот 265736)</v>
      </c>
      <c r="E1245" s="1436">
        <f>IFERROR(__xludf.DUMMYFUNCTION("""COMPUTED_VALUE"""),45897.0)</f>
        <v>45897</v>
      </c>
      <c r="F1245" s="1436">
        <f>IFERROR(__xludf.DUMMYFUNCTION("""COMPUTED_VALUE"""),45900.0)</f>
        <v>45900</v>
      </c>
      <c r="G1245" s="1430">
        <f>IFERROR(__xludf.DUMMYFUNCTION("""COMPUTED_VALUE"""),3.0)</f>
        <v>3</v>
      </c>
      <c r="H1245" s="94">
        <f t="shared" si="1"/>
        <v>8</v>
      </c>
    </row>
    <row r="1246" ht="15.75" customHeight="1">
      <c r="A1246" s="1164" t="str">
        <f>IFERROR(__xludf.DUMMYFUNCTION("""COMPUTED_VALUE"""),"WS В 1510")</f>
        <v>WS В 1510</v>
      </c>
      <c r="B1246" s="94"/>
      <c r="C1246" s="94"/>
      <c r="D1246" s="431" t="str">
        <f>IFERROR(__xludf.DUMMYFUNCTION("""COMPUTED_VALUE"""),"1 WS B 1510 (Лот 233316)")</f>
        <v>1 WS B 1510 (Лот 233316)</v>
      </c>
      <c r="E1246" s="1436">
        <f>IFERROR(__xludf.DUMMYFUNCTION("""COMPUTED_VALUE"""),45897.0)</f>
        <v>45897</v>
      </c>
      <c r="F1246" s="1436">
        <f>IFERROR(__xludf.DUMMYFUNCTION("""COMPUTED_VALUE"""),45900.0)</f>
        <v>45900</v>
      </c>
      <c r="G1246" s="1430">
        <f>IFERROR(__xludf.DUMMYFUNCTION("""COMPUTED_VALUE"""),3.0)</f>
        <v>3</v>
      </c>
      <c r="H1246" s="94">
        <f t="shared" si="1"/>
        <v>8</v>
      </c>
    </row>
    <row r="1247" ht="15.75" customHeight="1">
      <c r="A1247" s="1164" t="str">
        <f>IFERROR(__xludf.DUMMYFUNCTION("""COMPUTED_VALUE"""),"WS F 907")</f>
        <v>WS F 907</v>
      </c>
      <c r="B1247" s="94"/>
      <c r="C1247" s="94"/>
      <c r="D1247" s="431" t="str">
        <f>IFERROR(__xludf.DUMMYFUNCTION("""COMPUTED_VALUE"""),"1 WS F 907 (Лот 233314)")</f>
        <v>1 WS F 907 (Лот 233314)</v>
      </c>
      <c r="E1247" s="1436">
        <f>IFERROR(__xludf.DUMMYFUNCTION("""COMPUTED_VALUE"""),45897.0)</f>
        <v>45897</v>
      </c>
      <c r="F1247" s="1436">
        <f>IFERROR(__xludf.DUMMYFUNCTION("""COMPUTED_VALUE"""),45901.0)</f>
        <v>45901</v>
      </c>
      <c r="G1247" s="1430">
        <f>IFERROR(__xludf.DUMMYFUNCTION("""COMPUTED_VALUE"""),4.0)</f>
        <v>4</v>
      </c>
      <c r="H1247" s="94">
        <f t="shared" si="1"/>
        <v>8</v>
      </c>
    </row>
    <row r="1248" ht="15.75" customHeight="1">
      <c r="A1248" s="94" t="str">
        <f>IFERROR(__xludf.DUMMYFUNCTION("""COMPUTED_VALUE"""),"TGA1")</f>
        <v>TGA1</v>
      </c>
      <c r="B1248" s="94"/>
      <c r="C1248" s="94"/>
      <c r="D1248" s="431" t="str">
        <f>IFERROR(__xludf.DUMMYFUNCTION("""COMPUTED_VALUE"""),"6 TG С 2 сп. блок А (А1, А10) (Лот 268000)")</f>
        <v>6 TG С 2 сп. блок А (А1, А10) (Лот 268000)</v>
      </c>
      <c r="E1248" s="1436">
        <f>IFERROR(__xludf.DUMMYFUNCTION("""COMPUTED_VALUE"""),45897.0)</f>
        <v>45897</v>
      </c>
      <c r="F1248" s="1436">
        <f>IFERROR(__xludf.DUMMYFUNCTION("""COMPUTED_VALUE"""),45901.0)</f>
        <v>45901</v>
      </c>
      <c r="G1248" s="1430">
        <f>IFERROR(__xludf.DUMMYFUNCTION("""COMPUTED_VALUE"""),4.0)</f>
        <v>4</v>
      </c>
      <c r="H1248" s="94">
        <f t="shared" si="1"/>
        <v>8</v>
      </c>
    </row>
    <row r="1249" ht="15.75" customHeight="1">
      <c r="A1249" s="1164" t="str">
        <f>IFERROR(__xludf.DUMMYFUNCTION("""COMPUTED_VALUE"""),"D 1321")</f>
        <v>D 1321</v>
      </c>
      <c r="B1249" s="94"/>
      <c r="C1249" s="94"/>
      <c r="D1249" s="431" t="str">
        <f>IFERROR(__xludf.DUMMYFUNCTION("""COMPUTED_VALUE"""),"2 Orbi D 1321 (Лот 233321)")</f>
        <v>2 Orbi D 1321 (Лот 233321)</v>
      </c>
      <c r="E1249" s="1436">
        <f>IFERROR(__xludf.DUMMYFUNCTION("""COMPUTED_VALUE"""),45897.0)</f>
        <v>45897</v>
      </c>
      <c r="F1249" s="1436">
        <f>IFERROR(__xludf.DUMMYFUNCTION("""COMPUTED_VALUE"""),45930.0)</f>
        <v>45930</v>
      </c>
      <c r="G1249" s="1430">
        <f>IFERROR(__xludf.DUMMYFUNCTION("""COMPUTED_VALUE"""),33.0)</f>
        <v>33</v>
      </c>
      <c r="H1249" s="94">
        <f t="shared" si="1"/>
        <v>8</v>
      </c>
    </row>
    <row r="1250" ht="15.75" customHeight="1">
      <c r="A1250" s="1164" t="str">
        <f>IFERROR(__xludf.DUMMYFUNCTION("""COMPUTED_VALUE"""),"Steps 1108")</f>
        <v>Steps 1108</v>
      </c>
      <c r="B1250" s="94"/>
      <c r="C1250" s="94"/>
      <c r="D1250" s="431" t="str">
        <f>IFERROR(__xludf.DUMMYFUNCTION("""COMPUTED_VALUE"""),"1. Steps 1108 (Лот 233301)")</f>
        <v>1. Steps 1108 (Лот 233301)</v>
      </c>
      <c r="E1250" s="1436">
        <f>IFERROR(__xludf.DUMMYFUNCTION("""COMPUTED_VALUE"""),45897.0)</f>
        <v>45897</v>
      </c>
      <c r="F1250" s="1436">
        <f>IFERROR(__xludf.DUMMYFUNCTION("""COMPUTED_VALUE"""),45927.0)</f>
        <v>45927</v>
      </c>
      <c r="G1250" s="1430">
        <f>IFERROR(__xludf.DUMMYFUNCTION("""COMPUTED_VALUE"""),30.0)</f>
        <v>30</v>
      </c>
      <c r="H1250" s="94">
        <f t="shared" si="1"/>
        <v>8</v>
      </c>
    </row>
    <row r="1251" ht="15.75" customHeight="1">
      <c r="A1251" s="1164" t="str">
        <f>IFERROR(__xludf.DUMMYFUNCTION("""COMPUTED_VALUE"""),"WS А 908")</f>
        <v>WS А 908</v>
      </c>
      <c r="B1251" s="94"/>
      <c r="C1251" s="94"/>
      <c r="D1251" s="431" t="str">
        <f>IFERROR(__xludf.DUMMYFUNCTION("""COMPUTED_VALUE"""),"1 WS A 908 (Лот 233353)")</f>
        <v>1 WS A 908 (Лот 233353)</v>
      </c>
      <c r="E1251" s="1436">
        <f>IFERROR(__xludf.DUMMYFUNCTION("""COMPUTED_VALUE"""),45897.0)</f>
        <v>45897</v>
      </c>
      <c r="F1251" s="1436">
        <f>IFERROR(__xludf.DUMMYFUNCTION("""COMPUTED_VALUE"""),45902.0)</f>
        <v>45902</v>
      </c>
      <c r="G1251" s="1430">
        <f>IFERROR(__xludf.DUMMYFUNCTION("""COMPUTED_VALUE"""),5.0)</f>
        <v>5</v>
      </c>
      <c r="H1251" s="94">
        <f t="shared" si="1"/>
        <v>8</v>
      </c>
    </row>
    <row r="1252" ht="15.75" customHeight="1">
      <c r="A1252" s="94" t="str">
        <f>IFERROR(__xludf.DUMMYFUNCTION("""COMPUTED_VALUE"""),"TGB9")</f>
        <v>TGB9</v>
      </c>
      <c r="B1252" s="94"/>
      <c r="C1252" s="94"/>
      <c r="D1252" s="431" t="str">
        <f>IFERROR(__xludf.DUMMYFUNCTION("""COMPUTED_VALUE"""),"6 TG Студии с террасой (B9, B10) (Лот 268006)")</f>
        <v>6 TG Студии с террасой (B9, B10) (Лот 268006)</v>
      </c>
      <c r="E1252" s="1436">
        <f>IFERROR(__xludf.DUMMYFUNCTION("""COMPUTED_VALUE"""),45897.0)</f>
        <v>45897</v>
      </c>
      <c r="F1252" s="1436">
        <f>IFERROR(__xludf.DUMMYFUNCTION("""COMPUTED_VALUE"""),45898.0)</f>
        <v>45898</v>
      </c>
      <c r="G1252" s="1430">
        <f>IFERROR(__xludf.DUMMYFUNCTION("""COMPUTED_VALUE"""),1.0)</f>
        <v>1</v>
      </c>
      <c r="H1252" s="94">
        <f t="shared" si="1"/>
        <v>8</v>
      </c>
    </row>
    <row r="1253" ht="15.75" customHeight="1">
      <c r="A1253" s="94" t="str">
        <f>IFERROR(__xludf.DUMMYFUNCTION("""COMPUTED_VALUE"""),"TGB3")</f>
        <v>TGB3</v>
      </c>
      <c r="B1253" s="94"/>
      <c r="C1253" s="94"/>
      <c r="D1253" s="431" t="str">
        <f>IFERROR(__xludf.DUMMYFUNCTION("""COMPUTED_VALUE"""),"6 TG Студии эконом блок Б (Б2, Б3, Б4) (Лот 268016)")</f>
        <v>6 TG Студии эконом блок Б (Б2, Б3, Б4) (Лот 268016)</v>
      </c>
      <c r="E1253" s="1436">
        <f>IFERROR(__xludf.DUMMYFUNCTION("""COMPUTED_VALUE"""),45897.0)</f>
        <v>45897</v>
      </c>
      <c r="F1253" s="1436">
        <f>IFERROR(__xludf.DUMMYFUNCTION("""COMPUTED_VALUE"""),45898.0)</f>
        <v>45898</v>
      </c>
      <c r="G1253" s="1430">
        <f>IFERROR(__xludf.DUMMYFUNCTION("""COMPUTED_VALUE"""),1.0)</f>
        <v>1</v>
      </c>
      <c r="H1253" s="94">
        <f t="shared" si="1"/>
        <v>8</v>
      </c>
    </row>
    <row r="1254" ht="15.75" customHeight="1">
      <c r="A1254" s="1164" t="str">
        <f>IFERROR(__xludf.DUMMYFUNCTION("""COMPUTED_VALUE"""),"WS В 212")</f>
        <v>WS В 212</v>
      </c>
      <c r="B1254" s="94"/>
      <c r="C1254" s="94"/>
      <c r="D1254" s="431" t="str">
        <f>IFERROR(__xludf.DUMMYFUNCTION("""COMPUTED_VALUE"""),"1 WS B 212 (Лот 233391)")</f>
        <v>1 WS B 212 (Лот 233391)</v>
      </c>
      <c r="E1254" s="1436">
        <f>IFERROR(__xludf.DUMMYFUNCTION("""COMPUTED_VALUE"""),45896.0)</f>
        <v>45896</v>
      </c>
      <c r="F1254" s="1436">
        <f>IFERROR(__xludf.DUMMYFUNCTION("""COMPUTED_VALUE"""),45899.0)</f>
        <v>45899</v>
      </c>
      <c r="G1254" s="1430">
        <f>IFERROR(__xludf.DUMMYFUNCTION("""COMPUTED_VALUE"""),3.0)</f>
        <v>3</v>
      </c>
      <c r="H1254" s="94">
        <f t="shared" si="1"/>
        <v>8</v>
      </c>
    </row>
    <row r="1255" ht="15.75" customHeight="1">
      <c r="A1255" s="1164" t="str">
        <f>IFERROR(__xludf.DUMMYFUNCTION("""COMPUTED_VALUE"""),"CM 1606")</f>
        <v>CM 1606</v>
      </c>
      <c r="B1255" s="94"/>
      <c r="C1255" s="94"/>
      <c r="D1255" s="431" t="str">
        <f>IFERROR(__xludf.DUMMYFUNCTION("""COMPUTED_VALUE"""),"3 Mar 1606 (Лот 233302)")</f>
        <v>3 Mar 1606 (Лот 233302)</v>
      </c>
      <c r="E1255" s="1436">
        <f>IFERROR(__xludf.DUMMYFUNCTION("""COMPUTED_VALUE"""),45896.0)</f>
        <v>45896</v>
      </c>
      <c r="F1255" s="1436">
        <f>IFERROR(__xludf.DUMMYFUNCTION("""COMPUTED_VALUE"""),45903.0)</f>
        <v>45903</v>
      </c>
      <c r="G1255" s="1430">
        <f>IFERROR(__xludf.DUMMYFUNCTION("""COMPUTED_VALUE"""),7.0)</f>
        <v>7</v>
      </c>
      <c r="H1255" s="94">
        <f t="shared" si="1"/>
        <v>8</v>
      </c>
    </row>
    <row r="1256" ht="15.75" customHeight="1">
      <c r="A1256" s="94" t="str">
        <f>IFERROR(__xludf.DUMMYFUNCTION("""COMPUTED_VALUE"""),"NW 4-9")</f>
        <v>NW 4-9</v>
      </c>
      <c r="B1256" s="94"/>
      <c r="C1256" s="94"/>
      <c r="D1256" s="431" t="str">
        <f>IFERROR(__xludf.DUMMYFUNCTION("""COMPUTED_VALUE"""),"3 NW 409 (Лот 289895)")</f>
        <v>3 NW 409 (Лот 289895)</v>
      </c>
      <c r="E1256" s="1436">
        <f>IFERROR(__xludf.DUMMYFUNCTION("""COMPUTED_VALUE"""),45896.0)</f>
        <v>45896</v>
      </c>
      <c r="F1256" s="1436">
        <f>IFERROR(__xludf.DUMMYFUNCTION("""COMPUTED_VALUE"""),45901.0)</f>
        <v>45901</v>
      </c>
      <c r="G1256" s="1430">
        <f>IFERROR(__xludf.DUMMYFUNCTION("""COMPUTED_VALUE"""),5.0)</f>
        <v>5</v>
      </c>
      <c r="H1256" s="94">
        <f t="shared" si="1"/>
        <v>8</v>
      </c>
    </row>
    <row r="1257" ht="15.75" customHeight="1">
      <c r="A1257" s="1164" t="str">
        <f>IFERROR(__xludf.DUMMYFUNCTION("""COMPUTED_VALUE"""),"Шар 2505")</f>
        <v>Шар 2505</v>
      </c>
      <c r="B1257" s="94"/>
      <c r="C1257" s="94"/>
      <c r="D1257" s="431" t="str">
        <f>IFERROR(__xludf.DUMMYFUNCTION("""COMPUTED_VALUE"""),"3 Sh8 2505 A (Лот 233423)")</f>
        <v>3 Sh8 2505 A (Лот 233423)</v>
      </c>
      <c r="E1257" s="1436">
        <f>IFERROR(__xludf.DUMMYFUNCTION("""COMPUTED_VALUE"""),45896.0)</f>
        <v>45896</v>
      </c>
      <c r="F1257" s="1436">
        <f>IFERROR(__xludf.DUMMYFUNCTION("""COMPUTED_VALUE"""),45900.0)</f>
        <v>45900</v>
      </c>
      <c r="G1257" s="1430">
        <f>IFERROR(__xludf.DUMMYFUNCTION("""COMPUTED_VALUE"""),4.0)</f>
        <v>4</v>
      </c>
      <c r="H1257" s="94">
        <f t="shared" si="1"/>
        <v>8</v>
      </c>
    </row>
    <row r="1258" ht="15.75" customHeight="1">
      <c r="A1258" s="1164" t="str">
        <f>IFERROR(__xludf.DUMMYFUNCTION("""COMPUTED_VALUE"""),"WS Е804")</f>
        <v>WS Е804</v>
      </c>
      <c r="B1258" s="94"/>
      <c r="C1258" s="94"/>
      <c r="D1258" s="431" t="str">
        <f>IFERROR(__xludf.DUMMYFUNCTION("""COMPUTED_VALUE"""),"1 WS E 804 (Лот 233350)")</f>
        <v>1 WS E 804 (Лот 233350)</v>
      </c>
      <c r="E1258" s="1436">
        <f>IFERROR(__xludf.DUMMYFUNCTION("""COMPUTED_VALUE"""),45896.0)</f>
        <v>45896</v>
      </c>
      <c r="F1258" s="1436">
        <f>IFERROR(__xludf.DUMMYFUNCTION("""COMPUTED_VALUE"""),45902.0)</f>
        <v>45902</v>
      </c>
      <c r="G1258" s="1430">
        <f>IFERROR(__xludf.DUMMYFUNCTION("""COMPUTED_VALUE"""),6.0)</f>
        <v>6</v>
      </c>
      <c r="H1258" s="94">
        <f t="shared" si="1"/>
        <v>8</v>
      </c>
    </row>
    <row r="1259" ht="15.75" customHeight="1">
      <c r="A1259" s="94" t="str">
        <f>IFERROR(__xludf.DUMMYFUNCTION("""COMPUTED_VALUE"""),"DL 14-506")</f>
        <v>DL 14-506</v>
      </c>
      <c r="B1259" s="94"/>
      <c r="C1259" s="94"/>
      <c r="D1259" s="431" t="str">
        <f>IFERROR(__xludf.DUMMYFUNCTION("""COMPUTED_VALUE"""),"4 DL 14 - 506 (Лот 296803)")</f>
        <v>4 DL 14 - 506 (Лот 296803)</v>
      </c>
      <c r="E1259" s="1436">
        <f>IFERROR(__xludf.DUMMYFUNCTION("""COMPUTED_VALUE"""),45896.0)</f>
        <v>45896</v>
      </c>
      <c r="F1259" s="1436">
        <f>IFERROR(__xludf.DUMMYFUNCTION("""COMPUTED_VALUE"""),45901.0)</f>
        <v>45901</v>
      </c>
      <c r="G1259" s="1430">
        <f>IFERROR(__xludf.DUMMYFUNCTION("""COMPUTED_VALUE"""),5.0)</f>
        <v>5</v>
      </c>
      <c r="H1259" s="94">
        <f t="shared" si="1"/>
        <v>8</v>
      </c>
    </row>
    <row r="1260" ht="15.75" customHeight="1">
      <c r="A1260" s="1164" t="str">
        <f>IFERROR(__xludf.DUMMYFUNCTION("""COMPUTED_VALUE"""),"DL14-1405")</f>
        <v>DL14-1405</v>
      </c>
      <c r="B1260" s="94"/>
      <c r="C1260" s="94"/>
      <c r="D1260" s="431" t="str">
        <f>IFERROR(__xludf.DUMMYFUNCTION("""COMPUTED_VALUE"""),"4 DL 14 - 1405 (1+1) (Лот 233395)")</f>
        <v>4 DL 14 - 1405 (1+1) (Лот 233395)</v>
      </c>
      <c r="E1260" s="1436">
        <f>IFERROR(__xludf.DUMMYFUNCTION("""COMPUTED_VALUE"""),45895.0)</f>
        <v>45895</v>
      </c>
      <c r="F1260" s="1436">
        <f>IFERROR(__xludf.DUMMYFUNCTION("""COMPUTED_VALUE"""),45899.0)</f>
        <v>45899</v>
      </c>
      <c r="G1260" s="1430">
        <f>IFERROR(__xludf.DUMMYFUNCTION("""COMPUTED_VALUE"""),4.0)</f>
        <v>4</v>
      </c>
      <c r="H1260" s="94">
        <f t="shared" si="1"/>
        <v>8</v>
      </c>
    </row>
    <row r="1261" ht="15.75" customHeight="1">
      <c r="A1261" s="94" t="str">
        <f>IFERROR(__xludf.DUMMYFUNCTION("""COMPUTED_VALUE"""),"TGB2")</f>
        <v>TGB2</v>
      </c>
      <c r="B1261" s="94"/>
      <c r="C1261" s="94"/>
      <c r="D1261" s="431" t="str">
        <f>IFERROR(__xludf.DUMMYFUNCTION("""COMPUTED_VALUE"""),"6 TG Студии эконом блок Б (Б2, Б3, Б4) (Лот 268016)")</f>
        <v>6 TG Студии эконом блок Б (Б2, Б3, Б4) (Лот 268016)</v>
      </c>
      <c r="E1261" s="1436">
        <f>IFERROR(__xludf.DUMMYFUNCTION("""COMPUTED_VALUE"""),45895.0)</f>
        <v>45895</v>
      </c>
      <c r="F1261" s="1436">
        <f>IFERROR(__xludf.DUMMYFUNCTION("""COMPUTED_VALUE"""),45901.0)</f>
        <v>45901</v>
      </c>
      <c r="G1261" s="1430">
        <f>IFERROR(__xludf.DUMMYFUNCTION("""COMPUTED_VALUE"""),6.0)</f>
        <v>6</v>
      </c>
      <c r="H1261" s="94">
        <f t="shared" si="1"/>
        <v>8</v>
      </c>
    </row>
    <row r="1262" ht="15.75" customHeight="1">
      <c r="A1262" s="1164" t="str">
        <f>IFERROR(__xludf.DUMMYFUNCTION("""COMPUTED_VALUE"""),"DL 13-709")</f>
        <v>DL 13-709</v>
      </c>
      <c r="B1262" s="94"/>
      <c r="C1262" s="94"/>
      <c r="D1262" s="431" t="str">
        <f>IFERROR(__xludf.DUMMYFUNCTION("""COMPUTED_VALUE"""),"4 DL 13 - 709 (Лот 291393)")</f>
        <v>4 DL 13 - 709 (Лот 291393)</v>
      </c>
      <c r="E1262" s="1436">
        <f>IFERROR(__xludf.DUMMYFUNCTION("""COMPUTED_VALUE"""),45895.0)</f>
        <v>45895</v>
      </c>
      <c r="F1262" s="1436">
        <f>IFERROR(__xludf.DUMMYFUNCTION("""COMPUTED_VALUE"""),45899.0)</f>
        <v>45899</v>
      </c>
      <c r="G1262" s="1430">
        <f>IFERROR(__xludf.DUMMYFUNCTION("""COMPUTED_VALUE"""),4.0)</f>
        <v>4</v>
      </c>
      <c r="H1262" s="94">
        <f t="shared" si="1"/>
        <v>8</v>
      </c>
    </row>
    <row r="1263" ht="15.75" customHeight="1">
      <c r="A1263" s="94" t="str">
        <f>IFERROR(__xludf.DUMMYFUNCTION("""COMPUTED_VALUE"""),"MZ 1416")</f>
        <v>MZ 1416</v>
      </c>
      <c r="B1263" s="94"/>
      <c r="C1263" s="94"/>
      <c r="D1263" s="431" t="str">
        <f>IFERROR(__xludf.DUMMYFUNCTION("""COMPUTED_VALUE"""),"3 MZ 1416 (Лот 289819)")</f>
        <v>3 MZ 1416 (Лот 289819)</v>
      </c>
      <c r="E1263" s="1436">
        <f>IFERROR(__xludf.DUMMYFUNCTION("""COMPUTED_VALUE"""),45895.0)</f>
        <v>45895</v>
      </c>
      <c r="F1263" s="1436">
        <f>IFERROR(__xludf.DUMMYFUNCTION("""COMPUTED_VALUE"""),45899.0)</f>
        <v>45899</v>
      </c>
      <c r="G1263" s="1430">
        <f>IFERROR(__xludf.DUMMYFUNCTION("""COMPUTED_VALUE"""),4.0)</f>
        <v>4</v>
      </c>
      <c r="H1263" s="94">
        <f t="shared" si="1"/>
        <v>8</v>
      </c>
    </row>
    <row r="1264" ht="15.75" customHeight="1">
      <c r="A1264" s="1164" t="str">
        <f>IFERROR(__xludf.DUMMYFUNCTION("""COMPUTED_VALUE"""),"DL14-518")</f>
        <v>DL14-518</v>
      </c>
      <c r="B1264" s="94"/>
      <c r="C1264" s="94"/>
      <c r="D1264" s="431" t="str">
        <f>IFERROR(__xludf.DUMMYFUNCTION("""COMPUTED_VALUE"""),"4 DL 14 - 518 (Лот 233360)")</f>
        <v>4 DL 14 - 518 (Лот 233360)</v>
      </c>
      <c r="E1264" s="1436">
        <f>IFERROR(__xludf.DUMMYFUNCTION("""COMPUTED_VALUE"""),45895.0)</f>
        <v>45895</v>
      </c>
      <c r="F1264" s="1436">
        <f>IFERROR(__xludf.DUMMYFUNCTION("""COMPUTED_VALUE"""),45899.0)</f>
        <v>45899</v>
      </c>
      <c r="G1264" s="1430">
        <f>IFERROR(__xludf.DUMMYFUNCTION("""COMPUTED_VALUE"""),4.0)</f>
        <v>4</v>
      </c>
      <c r="H1264" s="94">
        <f t="shared" si="1"/>
        <v>8</v>
      </c>
    </row>
    <row r="1265" ht="15.75" customHeight="1">
      <c r="A1265" s="94" t="str">
        <f>IFERROR(__xludf.DUMMYFUNCTION("""COMPUTED_VALUE"""),"4. DL 13 - 1006 (Лот 299723)")</f>
        <v>4. DL 13 - 1006 (Лот 299723)</v>
      </c>
      <c r="B1265" s="94"/>
      <c r="C1265" s="94"/>
      <c r="D1265" s="431" t="str">
        <f>IFERROR(__xludf.DUMMYFUNCTION("""COMPUTED_VALUE"""),"4 DL 13 - 1006 (1+1) (Лот 299723)")</f>
        <v>4 DL 13 - 1006 (1+1) (Лот 299723)</v>
      </c>
      <c r="E1265" s="1436">
        <f>IFERROR(__xludf.DUMMYFUNCTION("""COMPUTED_VALUE"""),45895.0)</f>
        <v>45895</v>
      </c>
      <c r="F1265" s="1436">
        <f>IFERROR(__xludf.DUMMYFUNCTION("""COMPUTED_VALUE"""),45899.0)</f>
        <v>45899</v>
      </c>
      <c r="G1265" s="1430">
        <f>IFERROR(__xludf.DUMMYFUNCTION("""COMPUTED_VALUE"""),4.0)</f>
        <v>4</v>
      </c>
      <c r="H1265" s="94">
        <f t="shared" si="1"/>
        <v>8</v>
      </c>
    </row>
    <row r="1266" ht="15.75" customHeight="1">
      <c r="A1266" s="94" t="str">
        <f>IFERROR(__xludf.DUMMYFUNCTION("""COMPUTED_VALUE"""),"D1 3902")</f>
        <v>D1 3902</v>
      </c>
      <c r="B1266" s="94"/>
      <c r="C1266" s="94"/>
      <c r="D1266" s="431" t="str">
        <f>IFERROR(__xludf.DUMMYFUNCTION("""COMPUTED_VALUE"""),"2 Orbi D 3902 (Лот 293635)")</f>
        <v>2 Orbi D 3902 (Лот 293635)</v>
      </c>
      <c r="E1266" s="1436">
        <f>IFERROR(__xludf.DUMMYFUNCTION("""COMPUTED_VALUE"""),45895.0)</f>
        <v>45895</v>
      </c>
      <c r="F1266" s="1436">
        <f>IFERROR(__xludf.DUMMYFUNCTION("""COMPUTED_VALUE"""),45897.0)</f>
        <v>45897</v>
      </c>
      <c r="G1266" s="1430">
        <f>IFERROR(__xludf.DUMMYFUNCTION("""COMPUTED_VALUE"""),2.0)</f>
        <v>2</v>
      </c>
      <c r="H1266" s="94">
        <f t="shared" si="1"/>
        <v>8</v>
      </c>
    </row>
    <row r="1267" ht="15.75" customHeight="1">
      <c r="A1267" s="1164" t="str">
        <f>IFERROR(__xludf.DUMMYFUNCTION("""COMPUTED_VALUE"""),"CM 1931")</f>
        <v>CM 1931</v>
      </c>
      <c r="B1267" s="94"/>
      <c r="C1267" s="94"/>
      <c r="D1267" s="431" t="str">
        <f>IFERROR(__xludf.DUMMYFUNCTION("""COMPUTED_VALUE"""),"3 Mar 1931 (Лот 233381)")</f>
        <v>3 Mar 1931 (Лот 233381)</v>
      </c>
      <c r="E1267" s="1436">
        <f>IFERROR(__xludf.DUMMYFUNCTION("""COMPUTED_VALUE"""),45895.0)</f>
        <v>45895</v>
      </c>
      <c r="F1267" s="1436">
        <f>IFERROR(__xludf.DUMMYFUNCTION("""COMPUTED_VALUE"""),45898.0)</f>
        <v>45898</v>
      </c>
      <c r="G1267" s="1430">
        <f>IFERROR(__xludf.DUMMYFUNCTION("""COMPUTED_VALUE"""),3.0)</f>
        <v>3</v>
      </c>
      <c r="H1267" s="94">
        <f t="shared" si="1"/>
        <v>8</v>
      </c>
    </row>
    <row r="1268" ht="15.75" customHeight="1">
      <c r="A1268" s="94" t="str">
        <f>IFERROR(__xludf.DUMMYFUNCTION("""COMPUTED_VALUE"""),"CM 1604")</f>
        <v>CM 1604</v>
      </c>
      <c r="B1268" s="94"/>
      <c r="C1268" s="94"/>
      <c r="D1268" s="431" t="str">
        <f>IFERROR(__xludf.DUMMYFUNCTION("""COMPUTED_VALUE"""),"3 Mar 1604 (Лот 233303)")</f>
        <v>3 Mar 1604 (Лот 233303)</v>
      </c>
      <c r="E1268" s="1436">
        <f>IFERROR(__xludf.DUMMYFUNCTION("""COMPUTED_VALUE"""),45895.0)</f>
        <v>45895</v>
      </c>
      <c r="F1268" s="1436">
        <f>IFERROR(__xludf.DUMMYFUNCTION("""COMPUTED_VALUE"""),45899.0)</f>
        <v>45899</v>
      </c>
      <c r="G1268" s="1430">
        <f>IFERROR(__xludf.DUMMYFUNCTION("""COMPUTED_VALUE"""),4.0)</f>
        <v>4</v>
      </c>
      <c r="H1268" s="94">
        <f t="shared" si="1"/>
        <v>8</v>
      </c>
    </row>
    <row r="1269" ht="15.75" customHeight="1">
      <c r="A1269" s="94" t="str">
        <f>IFERROR(__xludf.DUMMYFUNCTION("""COMPUTED_VALUE"""),"TGA1")</f>
        <v>TGA1</v>
      </c>
      <c r="B1269" s="94"/>
      <c r="C1269" s="94"/>
      <c r="D1269" s="431" t="str">
        <f>IFERROR(__xludf.DUMMYFUNCTION("""COMPUTED_VALUE"""),"6 TG С 2 сп. блок А (А1, А10) (Лот 268000)")</f>
        <v>6 TG С 2 сп. блок А (А1, А10) (Лот 268000)</v>
      </c>
      <c r="E1269" s="1436">
        <f>IFERROR(__xludf.DUMMYFUNCTION("""COMPUTED_VALUE"""),45895.0)</f>
        <v>45895</v>
      </c>
      <c r="F1269" s="1436">
        <f>IFERROR(__xludf.DUMMYFUNCTION("""COMPUTED_VALUE"""),45903.0)</f>
        <v>45903</v>
      </c>
      <c r="G1269" s="1430">
        <f>IFERROR(__xludf.DUMMYFUNCTION("""COMPUTED_VALUE"""),8.0)</f>
        <v>8</v>
      </c>
      <c r="H1269" s="94">
        <f t="shared" si="1"/>
        <v>8</v>
      </c>
    </row>
    <row r="1270" ht="15.75" customHeight="1">
      <c r="A1270" s="1164" t="str">
        <f>IFERROR(__xludf.DUMMYFUNCTION("""COMPUTED_VALUE"""),"DL 11-1305")</f>
        <v>DL 11-1305</v>
      </c>
      <c r="B1270" s="94"/>
      <c r="C1270" s="94"/>
      <c r="D1270" s="431" t="str">
        <f>IFERROR(__xludf.DUMMYFUNCTION("""COMPUTED_VALUE"""),"4 DL 11 - 1305 (1+1) (Лот 234970)")</f>
        <v>4 DL 11 - 1305 (1+1) (Лот 234970)</v>
      </c>
      <c r="E1270" s="1436">
        <f>IFERROR(__xludf.DUMMYFUNCTION("""COMPUTED_VALUE"""),45894.0)</f>
        <v>45894</v>
      </c>
      <c r="F1270" s="1436">
        <f>IFERROR(__xludf.DUMMYFUNCTION("""COMPUTED_VALUE"""),45898.0)</f>
        <v>45898</v>
      </c>
      <c r="G1270" s="1430">
        <f>IFERROR(__xludf.DUMMYFUNCTION("""COMPUTED_VALUE"""),4.0)</f>
        <v>4</v>
      </c>
      <c r="H1270" s="94">
        <f t="shared" si="1"/>
        <v>8</v>
      </c>
    </row>
    <row r="1271" ht="15.75" customHeight="1">
      <c r="A1271" s="94" t="str">
        <f>IFERROR(__xludf.DUMMYFUNCTION("""COMPUTED_VALUE"""),"TGB6")</f>
        <v>TGB6</v>
      </c>
      <c r="B1271" s="94"/>
      <c r="C1271" s="94"/>
      <c r="D1271" s="431" t="str">
        <f>IFERROR(__xludf.DUMMYFUNCTION("""COMPUTED_VALUE"""),"6 TG 1+1 Sunset (Б6, Б7) (Лот 268008)")</f>
        <v>6 TG 1+1 Sunset (Б6, Б7) (Лот 268008)</v>
      </c>
      <c r="E1271" s="1436">
        <f>IFERROR(__xludf.DUMMYFUNCTION("""COMPUTED_VALUE"""),45894.0)</f>
        <v>45894</v>
      </c>
      <c r="F1271" s="1436">
        <f>IFERROR(__xludf.DUMMYFUNCTION("""COMPUTED_VALUE"""),45897.0)</f>
        <v>45897</v>
      </c>
      <c r="G1271" s="1430">
        <f>IFERROR(__xludf.DUMMYFUNCTION("""COMPUTED_VALUE"""),3.0)</f>
        <v>3</v>
      </c>
      <c r="H1271" s="94">
        <f t="shared" si="1"/>
        <v>8</v>
      </c>
    </row>
    <row r="1272" ht="15.75" customHeight="1">
      <c r="A1272" s="1164" t="str">
        <f>IFERROR(__xludf.DUMMYFUNCTION("""COMPUTED_VALUE"""),"DL 14-516")</f>
        <v>DL 14-516</v>
      </c>
      <c r="B1272" s="94"/>
      <c r="C1272" s="94"/>
      <c r="D1272" s="431" t="str">
        <f>IFERROR(__xludf.DUMMYFUNCTION("""COMPUTED_VALUE"""),"4 DL 14 - 516 (1+1) (Лот 233401)")</f>
        <v>4 DL 14 - 516 (1+1) (Лот 233401)</v>
      </c>
      <c r="E1272" s="1436">
        <f>IFERROR(__xludf.DUMMYFUNCTION("""COMPUTED_VALUE"""),45894.0)</f>
        <v>45894</v>
      </c>
      <c r="F1272" s="1436">
        <f>IFERROR(__xludf.DUMMYFUNCTION("""COMPUTED_VALUE"""),45900.0)</f>
        <v>45900</v>
      </c>
      <c r="G1272" s="1430">
        <f>IFERROR(__xludf.DUMMYFUNCTION("""COMPUTED_VALUE"""),6.0)</f>
        <v>6</v>
      </c>
      <c r="H1272" s="94">
        <f t="shared" si="1"/>
        <v>8</v>
      </c>
    </row>
    <row r="1273" ht="15.75" customHeight="1">
      <c r="A1273" s="94" t="str">
        <f>IFERROR(__xludf.DUMMYFUNCTION("""COMPUTED_VALUE"""),"MZ 718")</f>
        <v>MZ 718</v>
      </c>
      <c r="B1273" s="94"/>
      <c r="C1273" s="94"/>
      <c r="D1273" s="431" t="str">
        <f>IFERROR(__xludf.DUMMYFUNCTION("""COMPUTED_VALUE"""),"3 MZ 718, 913 (Лот 269699)")</f>
        <v>3 MZ 718, 913 (Лот 269699)</v>
      </c>
      <c r="E1273" s="1436">
        <f>IFERROR(__xludf.DUMMYFUNCTION("""COMPUTED_VALUE"""),45894.0)</f>
        <v>45894</v>
      </c>
      <c r="F1273" s="1436">
        <f>IFERROR(__xludf.DUMMYFUNCTION("""COMPUTED_VALUE"""),45898.0)</f>
        <v>45898</v>
      </c>
      <c r="G1273" s="1430">
        <f>IFERROR(__xludf.DUMMYFUNCTION("""COMPUTED_VALUE"""),4.0)</f>
        <v>4</v>
      </c>
      <c r="H1273" s="94">
        <f t="shared" si="1"/>
        <v>8</v>
      </c>
    </row>
    <row r="1274" ht="15.75" customHeight="1">
      <c r="A1274" s="94" t="str">
        <f>IFERROR(__xludf.DUMMYFUNCTION("""COMPUTED_VALUE"""),"TGA2")</f>
        <v>TGA2</v>
      </c>
      <c r="B1274" s="94"/>
      <c r="C1274" s="94"/>
      <c r="D1274" s="431" t="str">
        <f>IFERROR(__xludf.DUMMYFUNCTION("""COMPUTED_VALUE"""),"6 TG c 1 сп. блок А (А2, А4, А7, B8, A9) (Лот 263239)")</f>
        <v>6 TG c 1 сп. блок А (А2, А4, А7, B8, A9) (Лот 263239)</v>
      </c>
      <c r="E1274" s="1436">
        <f>IFERROR(__xludf.DUMMYFUNCTION("""COMPUTED_VALUE"""),45894.0)</f>
        <v>45894</v>
      </c>
      <c r="F1274" s="1436">
        <f>IFERROR(__xludf.DUMMYFUNCTION("""COMPUTED_VALUE"""),45897.0)</f>
        <v>45897</v>
      </c>
      <c r="G1274" s="1430">
        <f>IFERROR(__xludf.DUMMYFUNCTION("""COMPUTED_VALUE"""),3.0)</f>
        <v>3</v>
      </c>
      <c r="H1274" s="94">
        <f t="shared" si="1"/>
        <v>8</v>
      </c>
    </row>
    <row r="1275" ht="15.75" customHeight="1">
      <c r="A1275" s="94" t="str">
        <f>IFERROR(__xludf.DUMMYFUNCTION("""COMPUTED_VALUE"""),"DL7-16")</f>
        <v>DL7-16</v>
      </c>
      <c r="B1275" s="94"/>
      <c r="C1275" s="94"/>
      <c r="D1275" s="431" t="str">
        <f>IFERROR(__xludf.DUMMYFUNCTION("""COMPUTED_VALUE"""),"4 DL 7 - 16 (2+1) (Лот 284225)")</f>
        <v>4 DL 7 - 16 (2+1) (Лот 284225)</v>
      </c>
      <c r="E1275" s="1436">
        <f>IFERROR(__xludf.DUMMYFUNCTION("""COMPUTED_VALUE"""),45894.0)</f>
        <v>45894</v>
      </c>
      <c r="F1275" s="1436">
        <f>IFERROR(__xludf.DUMMYFUNCTION("""COMPUTED_VALUE"""),45901.0)</f>
        <v>45901</v>
      </c>
      <c r="G1275" s="1430">
        <f>IFERROR(__xludf.DUMMYFUNCTION("""COMPUTED_VALUE"""),7.0)</f>
        <v>7</v>
      </c>
      <c r="H1275" s="94">
        <f t="shared" si="1"/>
        <v>8</v>
      </c>
    </row>
    <row r="1276" ht="15.75" customHeight="1">
      <c r="A1276" s="1164" t="str">
        <f>IFERROR(__xludf.DUMMYFUNCTION("""COMPUTED_VALUE"""),"Steps 1108")</f>
        <v>Steps 1108</v>
      </c>
      <c r="B1276" s="94"/>
      <c r="C1276" s="94"/>
      <c r="D1276" s="431" t="str">
        <f>IFERROR(__xludf.DUMMYFUNCTION("""COMPUTED_VALUE"""),"1. Steps 1108 (Лот 233301)")</f>
        <v>1. Steps 1108 (Лот 233301)</v>
      </c>
      <c r="E1276" s="1436">
        <f>IFERROR(__xludf.DUMMYFUNCTION("""COMPUTED_VALUE"""),45894.0)</f>
        <v>45894</v>
      </c>
      <c r="F1276" s="1436">
        <f>IFERROR(__xludf.DUMMYFUNCTION("""COMPUTED_VALUE"""),45897.0)</f>
        <v>45897</v>
      </c>
      <c r="G1276" s="1430">
        <f>IFERROR(__xludf.DUMMYFUNCTION("""COMPUTED_VALUE"""),3.0)</f>
        <v>3</v>
      </c>
      <c r="H1276" s="94">
        <f t="shared" si="1"/>
        <v>8</v>
      </c>
    </row>
    <row r="1277" ht="15.75" customHeight="1">
      <c r="A1277" s="1164" t="str">
        <f>IFERROR(__xludf.DUMMYFUNCTION("""COMPUTED_VALUE"""),"WS Е804")</f>
        <v>WS Е804</v>
      </c>
      <c r="B1277" s="94"/>
      <c r="C1277" s="94"/>
      <c r="D1277" s="431" t="str">
        <f>IFERROR(__xludf.DUMMYFUNCTION("""COMPUTED_VALUE"""),"1 WS E 804 (Лот 233350)")</f>
        <v>1 WS E 804 (Лот 233350)</v>
      </c>
      <c r="E1277" s="1436">
        <f>IFERROR(__xludf.DUMMYFUNCTION("""COMPUTED_VALUE"""),45894.0)</f>
        <v>45894</v>
      </c>
      <c r="F1277" s="1436">
        <f>IFERROR(__xludf.DUMMYFUNCTION("""COMPUTED_VALUE"""),45896.0)</f>
        <v>45896</v>
      </c>
      <c r="G1277" s="1430">
        <f>IFERROR(__xludf.DUMMYFUNCTION("""COMPUTED_VALUE"""),2.0)</f>
        <v>2</v>
      </c>
      <c r="H1277" s="94">
        <f t="shared" si="1"/>
        <v>8</v>
      </c>
    </row>
    <row r="1278" ht="15.75" customHeight="1">
      <c r="A1278" s="94" t="str">
        <f>IFERROR(__xludf.DUMMYFUNCTION("""COMPUTED_VALUE"""),"DL 13-206")</f>
        <v>DL 13-206</v>
      </c>
      <c r="B1278" s="94"/>
      <c r="C1278" s="94"/>
      <c r="D1278" s="431" t="str">
        <f>IFERROR(__xludf.DUMMYFUNCTION("""COMPUTED_VALUE"""),"4 DL 13 - 206 (Лот 291575)")</f>
        <v>4 DL 13 - 206 (Лот 291575)</v>
      </c>
      <c r="E1278" s="1436">
        <f>IFERROR(__xludf.DUMMYFUNCTION("""COMPUTED_VALUE"""),45894.0)</f>
        <v>45894</v>
      </c>
      <c r="F1278" s="1436">
        <f>IFERROR(__xludf.DUMMYFUNCTION("""COMPUTED_VALUE"""),45897.0)</f>
        <v>45897</v>
      </c>
      <c r="G1278" s="1430">
        <f>IFERROR(__xludf.DUMMYFUNCTION("""COMPUTED_VALUE"""),3.0)</f>
        <v>3</v>
      </c>
      <c r="H1278" s="94">
        <f t="shared" si="1"/>
        <v>8</v>
      </c>
    </row>
    <row r="1279" ht="15.75" customHeight="1">
      <c r="A1279" s="94" t="str">
        <f>IFERROR(__xludf.DUMMYFUNCTION("""COMPUTED_VALUE"""),"WS F1103")</f>
        <v>WS F1103</v>
      </c>
      <c r="B1279" s="94"/>
      <c r="C1279" s="94"/>
      <c r="D1279" s="431" t="str">
        <f>IFERROR(__xludf.DUMMYFUNCTION("""COMPUTED_VALUE"""),"1 WS F 1103 (Лот 286819)")</f>
        <v>1 WS F 1103 (Лот 286819)</v>
      </c>
      <c r="E1279" s="1436">
        <f>IFERROR(__xludf.DUMMYFUNCTION("""COMPUTED_VALUE"""),45894.0)</f>
        <v>45894</v>
      </c>
      <c r="F1279" s="1436">
        <f>IFERROR(__xludf.DUMMYFUNCTION("""COMPUTED_VALUE"""),45897.0)</f>
        <v>45897</v>
      </c>
      <c r="G1279" s="1430">
        <f>IFERROR(__xludf.DUMMYFUNCTION("""COMPUTED_VALUE"""),3.0)</f>
        <v>3</v>
      </c>
      <c r="H1279" s="94">
        <f t="shared" si="1"/>
        <v>8</v>
      </c>
    </row>
    <row r="1280" ht="15.75" customHeight="1">
      <c r="A1280" s="1164" t="str">
        <f>IFERROR(__xludf.DUMMYFUNCTION("""COMPUTED_VALUE"""),"WS A 608")</f>
        <v>WS A 608</v>
      </c>
      <c r="B1280" s="94"/>
      <c r="C1280" s="94"/>
      <c r="D1280" s="431" t="str">
        <f>IFERROR(__xludf.DUMMYFUNCTION("""COMPUTED_VALUE"""),"1 WS A 608 (Лот 233370)")</f>
        <v>1 WS A 608 (Лот 233370)</v>
      </c>
      <c r="E1280" s="1436">
        <f>IFERROR(__xludf.DUMMYFUNCTION("""COMPUTED_VALUE"""),45894.0)</f>
        <v>45894</v>
      </c>
      <c r="F1280" s="1436">
        <f>IFERROR(__xludf.DUMMYFUNCTION("""COMPUTED_VALUE"""),45896.0)</f>
        <v>45896</v>
      </c>
      <c r="G1280" s="1430">
        <f>IFERROR(__xludf.DUMMYFUNCTION("""COMPUTED_VALUE"""),2.0)</f>
        <v>2</v>
      </c>
      <c r="H1280" s="94">
        <f t="shared" si="1"/>
        <v>8</v>
      </c>
    </row>
    <row r="1281" ht="15.75" customHeight="1">
      <c r="A1281" s="1164" t="str">
        <f>IFERROR(__xludf.DUMMYFUNCTION("""COMPUTED_VALUE"""),"С 1443")</f>
        <v>С 1443</v>
      </c>
      <c r="B1281" s="94"/>
      <c r="C1281" s="94"/>
      <c r="D1281" s="431" t="str">
        <f>IFERROR(__xludf.DUMMYFUNCTION("""COMPUTED_VALUE"""),"2 Orbi C 1443 (Лот 233331)")</f>
        <v>2 Orbi C 1443 (Лот 233331)</v>
      </c>
      <c r="E1281" s="1436">
        <f>IFERROR(__xludf.DUMMYFUNCTION("""COMPUTED_VALUE"""),45894.0)</f>
        <v>45894</v>
      </c>
      <c r="F1281" s="1436">
        <f>IFERROR(__xludf.DUMMYFUNCTION("""COMPUTED_VALUE"""),45902.0)</f>
        <v>45902</v>
      </c>
      <c r="G1281" s="1430">
        <f>IFERROR(__xludf.DUMMYFUNCTION("""COMPUTED_VALUE"""),8.0)</f>
        <v>8</v>
      </c>
      <c r="H1281" s="94">
        <f t="shared" si="1"/>
        <v>8</v>
      </c>
    </row>
    <row r="1282" ht="15.75" customHeight="1">
      <c r="A1282" s="94" t="str">
        <f>IFERROR(__xludf.DUMMYFUNCTION("""COMPUTED_VALUE"""),"TGA1")</f>
        <v>TGA1</v>
      </c>
      <c r="B1282" s="94"/>
      <c r="C1282" s="94"/>
      <c r="D1282" s="431" t="str">
        <f>IFERROR(__xludf.DUMMYFUNCTION("""COMPUTED_VALUE"""),"6 TG С 2 сп. блок А (А1, А10) (Лот 268000)")</f>
        <v>6 TG С 2 сп. блок А (А1, А10) (Лот 268000)</v>
      </c>
      <c r="E1282" s="1436">
        <f>IFERROR(__xludf.DUMMYFUNCTION("""COMPUTED_VALUE"""),45894.0)</f>
        <v>45894</v>
      </c>
      <c r="F1282" s="1436">
        <f>IFERROR(__xludf.DUMMYFUNCTION("""COMPUTED_VALUE"""),45897.0)</f>
        <v>45897</v>
      </c>
      <c r="G1282" s="1430">
        <f>IFERROR(__xludf.DUMMYFUNCTION("""COMPUTED_VALUE"""),3.0)</f>
        <v>3</v>
      </c>
      <c r="H1282" s="94">
        <f t="shared" si="1"/>
        <v>8</v>
      </c>
    </row>
    <row r="1283" ht="15.75" customHeight="1">
      <c r="A1283" s="1164" t="str">
        <f>IFERROR(__xludf.DUMMYFUNCTION("""COMPUTED_VALUE"""),"WS В 503")</f>
        <v>WS В 503</v>
      </c>
      <c r="B1283" s="94"/>
      <c r="C1283" s="94"/>
      <c r="D1283" s="431" t="str">
        <f>IFERROR(__xludf.DUMMYFUNCTION("""COMPUTED_VALUE"""),"1 WS B 503 (Лот 233403)")</f>
        <v>1 WS B 503 (Лот 233403)</v>
      </c>
      <c r="E1283" s="1436">
        <f>IFERROR(__xludf.DUMMYFUNCTION("""COMPUTED_VALUE"""),45894.0)</f>
        <v>45894</v>
      </c>
      <c r="F1283" s="1436">
        <f>IFERROR(__xludf.DUMMYFUNCTION("""COMPUTED_VALUE"""),45901.0)</f>
        <v>45901</v>
      </c>
      <c r="G1283" s="1430">
        <f>IFERROR(__xludf.DUMMYFUNCTION("""COMPUTED_VALUE"""),7.0)</f>
        <v>7</v>
      </c>
      <c r="H1283" s="94">
        <f t="shared" si="1"/>
        <v>8</v>
      </c>
    </row>
    <row r="1284" ht="15.75" customHeight="1">
      <c r="A1284" s="94" t="str">
        <f>IFERROR(__xludf.DUMMYFUNCTION("""COMPUTED_VALUE"""),"TGB5")</f>
        <v>TGB5</v>
      </c>
      <c r="B1284" s="94"/>
      <c r="C1284" s="94"/>
      <c r="D1284" s="431" t="str">
        <f>IFERROR(__xludf.DUMMYFUNCTION("""COMPUTED_VALUE"""),"6 TG С 1 сп с видом на горы В5, В1 (Лот 268015)")</f>
        <v>6 TG С 1 сп с видом на горы В5, В1 (Лот 268015)</v>
      </c>
      <c r="E1284" s="1436">
        <f>IFERROR(__xludf.DUMMYFUNCTION("""COMPUTED_VALUE"""),45894.0)</f>
        <v>45894</v>
      </c>
      <c r="F1284" s="1436">
        <f>IFERROR(__xludf.DUMMYFUNCTION("""COMPUTED_VALUE"""),45897.0)</f>
        <v>45897</v>
      </c>
      <c r="G1284" s="1430">
        <f>IFERROR(__xludf.DUMMYFUNCTION("""COMPUTED_VALUE"""),3.0)</f>
        <v>3</v>
      </c>
      <c r="H1284" s="94">
        <f t="shared" si="1"/>
        <v>8</v>
      </c>
    </row>
    <row r="1285" ht="15.75" customHeight="1">
      <c r="A1285" s="1164" t="str">
        <f>IFERROR(__xludf.DUMMYFUNCTION("""COMPUTED_VALUE"""),"BV1318")</f>
        <v>BV1318</v>
      </c>
      <c r="B1285" s="94"/>
      <c r="C1285" s="94"/>
      <c r="D1285" s="431" t="str">
        <f>IFERROR(__xludf.DUMMYFUNCTION("""COMPUTED_VALUE"""),"1 BV 1318 (Лот 234845)")</f>
        <v>1 BV 1318 (Лот 234845)</v>
      </c>
      <c r="E1285" s="1436">
        <f>IFERROR(__xludf.DUMMYFUNCTION("""COMPUTED_VALUE"""),45894.0)</f>
        <v>45894</v>
      </c>
      <c r="F1285" s="1436">
        <f>IFERROR(__xludf.DUMMYFUNCTION("""COMPUTED_VALUE"""),45899.0)</f>
        <v>45899</v>
      </c>
      <c r="G1285" s="1430">
        <f>IFERROR(__xludf.DUMMYFUNCTION("""COMPUTED_VALUE"""),5.0)</f>
        <v>5</v>
      </c>
      <c r="H1285" s="94">
        <f t="shared" si="1"/>
        <v>8</v>
      </c>
    </row>
    <row r="1286" ht="15.75" customHeight="1">
      <c r="A1286" s="1164" t="str">
        <f>IFERROR(__xludf.DUMMYFUNCTION("""COMPUTED_VALUE"""),"DL14-1710")</f>
        <v>DL14-1710</v>
      </c>
      <c r="B1286" s="94"/>
      <c r="C1286" s="94"/>
      <c r="D1286" s="431" t="str">
        <f>IFERROR(__xludf.DUMMYFUNCTION("""COMPUTED_VALUE"""),"4 DL 14 - 1710 (Лот 284212)")</f>
        <v>4 DL 14 - 1710 (Лот 284212)</v>
      </c>
      <c r="E1286" s="1436">
        <f>IFERROR(__xludf.DUMMYFUNCTION("""COMPUTED_VALUE"""),45900.0)</f>
        <v>45900</v>
      </c>
      <c r="F1286" s="1436">
        <f>IFERROR(__xludf.DUMMYFUNCTION("""COMPUTED_VALUE"""),45904.0)</f>
        <v>45904</v>
      </c>
      <c r="G1286" s="1430">
        <f>IFERROR(__xludf.DUMMYFUNCTION("""COMPUTED_VALUE"""),4.0)</f>
        <v>4</v>
      </c>
      <c r="H1286" s="94">
        <f t="shared" si="1"/>
        <v>8</v>
      </c>
    </row>
    <row r="1287" ht="15.75" customHeight="1">
      <c r="A1287" s="1164" t="str">
        <f>IFERROR(__xludf.DUMMYFUNCTION("""COMPUTED_VALUE"""),"WS В 212")</f>
        <v>WS В 212</v>
      </c>
      <c r="B1287" s="94"/>
      <c r="C1287" s="94"/>
      <c r="D1287" s="431" t="str">
        <f>IFERROR(__xludf.DUMMYFUNCTION("""COMPUTED_VALUE"""),"1 WS B 212 (Лот 233391)")</f>
        <v>1 WS B 212 (Лот 233391)</v>
      </c>
      <c r="E1287" s="1436">
        <f>IFERROR(__xludf.DUMMYFUNCTION("""COMPUTED_VALUE"""),45900.0)</f>
        <v>45900</v>
      </c>
      <c r="F1287" s="1436">
        <f>IFERROR(__xludf.DUMMYFUNCTION("""COMPUTED_VALUE"""),45906.0)</f>
        <v>45906</v>
      </c>
      <c r="G1287" s="1430">
        <f>IFERROR(__xludf.DUMMYFUNCTION("""COMPUTED_VALUE"""),6.0)</f>
        <v>6</v>
      </c>
      <c r="H1287" s="94">
        <f t="shared" si="1"/>
        <v>8</v>
      </c>
    </row>
    <row r="1288" ht="15.75" customHeight="1">
      <c r="A1288" s="94" t="str">
        <f>IFERROR(__xludf.DUMMYFUNCTION("""COMPUTED_VALUE"""),"PT2704")</f>
        <v>PT2704</v>
      </c>
      <c r="B1288" s="94"/>
      <c r="C1288" s="94"/>
      <c r="D1288" s="431" t="str">
        <f>IFERROR(__xludf.DUMMYFUNCTION("""COMPUTED_VALUE"""),"3 PB 2704 (Лот 265740)")</f>
        <v>3 PB 2704 (Лот 265740)</v>
      </c>
      <c r="E1288" s="1436">
        <f>IFERROR(__xludf.DUMMYFUNCTION("""COMPUTED_VALUE"""),45900.0)</f>
        <v>45900</v>
      </c>
      <c r="F1288" s="1436">
        <f>IFERROR(__xludf.DUMMYFUNCTION("""COMPUTED_VALUE"""),45903.0)</f>
        <v>45903</v>
      </c>
      <c r="G1288" s="1430">
        <f>IFERROR(__xludf.DUMMYFUNCTION("""COMPUTED_VALUE"""),3.0)</f>
        <v>3</v>
      </c>
      <c r="H1288" s="94">
        <f t="shared" si="1"/>
        <v>8</v>
      </c>
    </row>
    <row r="1289" ht="15.75" customHeight="1">
      <c r="A1289" s="1164" t="str">
        <f>IFERROR(__xludf.DUMMYFUNCTION("""COMPUTED_VALUE"""),"DL14-305")</f>
        <v>DL14-305</v>
      </c>
      <c r="B1289" s="94"/>
      <c r="C1289" s="94"/>
      <c r="D1289" s="431" t="str">
        <f>IFERROR(__xludf.DUMMYFUNCTION("""COMPUTED_VALUE"""),"4 DL 14 - 305 (Лот 284208)")</f>
        <v>4 DL 14 - 305 (Лот 284208)</v>
      </c>
      <c r="E1289" s="1436">
        <f>IFERROR(__xludf.DUMMYFUNCTION("""COMPUTED_VALUE"""),45900.0)</f>
        <v>45900</v>
      </c>
      <c r="F1289" s="1436">
        <f>IFERROR(__xludf.DUMMYFUNCTION("""COMPUTED_VALUE"""),45905.0)</f>
        <v>45905</v>
      </c>
      <c r="G1289" s="1430">
        <f>IFERROR(__xludf.DUMMYFUNCTION("""COMPUTED_VALUE"""),5.0)</f>
        <v>5</v>
      </c>
      <c r="H1289" s="94">
        <f t="shared" si="1"/>
        <v>8</v>
      </c>
    </row>
    <row r="1290" ht="15.75" customHeight="1">
      <c r="A1290" s="1164" t="str">
        <f>IFERROR(__xludf.DUMMYFUNCTION("""COMPUTED_VALUE"""),"DL14-501-502")</f>
        <v>DL14-501-502</v>
      </c>
      <c r="B1290" s="94"/>
      <c r="C1290" s="94"/>
      <c r="D1290" s="431" t="str">
        <f>IFERROR(__xludf.DUMMYFUNCTION("""COMPUTED_VALUE"""),"4 DL 14 - 501 502 (Лот 284223)")</f>
        <v>4 DL 14 - 501 502 (Лот 284223)</v>
      </c>
      <c r="E1290" s="1436">
        <f>IFERROR(__xludf.DUMMYFUNCTION("""COMPUTED_VALUE"""),45900.0)</f>
        <v>45900</v>
      </c>
      <c r="F1290" s="1436">
        <f>IFERROR(__xludf.DUMMYFUNCTION("""COMPUTED_VALUE"""),45905.0)</f>
        <v>45905</v>
      </c>
      <c r="G1290" s="1430">
        <f>IFERROR(__xludf.DUMMYFUNCTION("""COMPUTED_VALUE"""),5.0)</f>
        <v>5</v>
      </c>
      <c r="H1290" s="94">
        <f t="shared" si="1"/>
        <v>8</v>
      </c>
    </row>
    <row r="1291" ht="15.75" customHeight="1">
      <c r="A1291" s="1164" t="str">
        <f>IFERROR(__xludf.DUMMYFUNCTION("""COMPUTED_VALUE"""),"BV1318")</f>
        <v>BV1318</v>
      </c>
      <c r="B1291" s="94"/>
      <c r="C1291" s="94"/>
      <c r="D1291" s="431" t="str">
        <f>IFERROR(__xludf.DUMMYFUNCTION("""COMPUTED_VALUE"""),"1 BV 1318 (Лот 234845)")</f>
        <v>1 BV 1318 (Лот 234845)</v>
      </c>
      <c r="E1291" s="1436">
        <f>IFERROR(__xludf.DUMMYFUNCTION("""COMPUTED_VALUE"""),45900.0)</f>
        <v>45900</v>
      </c>
      <c r="F1291" s="1436">
        <f>IFERROR(__xludf.DUMMYFUNCTION("""COMPUTED_VALUE"""),45905.0)</f>
        <v>45905</v>
      </c>
      <c r="G1291" s="1430">
        <f>IFERROR(__xludf.DUMMYFUNCTION("""COMPUTED_VALUE"""),5.0)</f>
        <v>5</v>
      </c>
      <c r="H1291" s="94">
        <f t="shared" si="1"/>
        <v>8</v>
      </c>
    </row>
    <row r="1292" ht="15.75" customHeight="1">
      <c r="A1292" s="94" t="str">
        <f>IFERROR(__xludf.DUMMYFUNCTION("""COMPUTED_VALUE"""),"MZ 718")</f>
        <v>MZ 718</v>
      </c>
      <c r="B1292" s="94"/>
      <c r="C1292" s="94"/>
      <c r="D1292" s="431" t="str">
        <f>IFERROR(__xludf.DUMMYFUNCTION("""COMPUTED_VALUE"""),"3 MZ 718, 913 (Лот 269699)")</f>
        <v>3 MZ 718, 913 (Лот 269699)</v>
      </c>
      <c r="E1292" s="1436">
        <f>IFERROR(__xludf.DUMMYFUNCTION("""COMPUTED_VALUE"""),45899.0)</f>
        <v>45899</v>
      </c>
      <c r="F1292" s="1436">
        <f>IFERROR(__xludf.DUMMYFUNCTION("""COMPUTED_VALUE"""),45904.0)</f>
        <v>45904</v>
      </c>
      <c r="G1292" s="1430">
        <f>IFERROR(__xludf.DUMMYFUNCTION("""COMPUTED_VALUE"""),5.0)</f>
        <v>5</v>
      </c>
      <c r="H1292" s="94">
        <f t="shared" si="1"/>
        <v>8</v>
      </c>
    </row>
    <row r="1293" ht="15.75" customHeight="1">
      <c r="A1293" s="94" t="str">
        <f>IFERROR(__xludf.DUMMYFUNCTION("""COMPUTED_VALUE"""),"TGB11")</f>
        <v>TGB11</v>
      </c>
      <c r="B1293" s="94"/>
      <c r="C1293" s="94"/>
      <c r="D1293" s="431" t="str">
        <f>IFERROR(__xludf.DUMMYFUNCTION("""COMPUTED_VALUE"""),"6 TG 2+1 с террасой (B 11) (Лот 268004)")</f>
        <v>6 TG 2+1 с террасой (B 11) (Лот 268004)</v>
      </c>
      <c r="E1293" s="1436">
        <f>IFERROR(__xludf.DUMMYFUNCTION("""COMPUTED_VALUE"""),45899.0)</f>
        <v>45899</v>
      </c>
      <c r="F1293" s="1436">
        <f>IFERROR(__xludf.DUMMYFUNCTION("""COMPUTED_VALUE"""),45904.0)</f>
        <v>45904</v>
      </c>
      <c r="G1293" s="1430">
        <f>IFERROR(__xludf.DUMMYFUNCTION("""COMPUTED_VALUE"""),5.0)</f>
        <v>5</v>
      </c>
      <c r="H1293" s="94">
        <f t="shared" si="1"/>
        <v>8</v>
      </c>
    </row>
    <row r="1294" ht="15.75" customHeight="1">
      <c r="A1294" s="1164" t="str">
        <f>IFERROR(__xludf.DUMMYFUNCTION("""COMPUTED_VALUE"""),"DL 13-709")</f>
        <v>DL 13-709</v>
      </c>
      <c r="B1294" s="94"/>
      <c r="C1294" s="94"/>
      <c r="D1294" s="431" t="str">
        <f>IFERROR(__xludf.DUMMYFUNCTION("""COMPUTED_VALUE"""),"4 DL 13 - 709 (Лот 291393)")</f>
        <v>4 DL 13 - 709 (Лот 291393)</v>
      </c>
      <c r="E1294" s="1436">
        <f>IFERROR(__xludf.DUMMYFUNCTION("""COMPUTED_VALUE"""),45899.0)</f>
        <v>45899</v>
      </c>
      <c r="F1294" s="1436">
        <f>IFERROR(__xludf.DUMMYFUNCTION("""COMPUTED_VALUE"""),45905.0)</f>
        <v>45905</v>
      </c>
      <c r="G1294" s="1430">
        <f>IFERROR(__xludf.DUMMYFUNCTION("""COMPUTED_VALUE"""),6.0)</f>
        <v>6</v>
      </c>
      <c r="H1294" s="94">
        <f t="shared" si="1"/>
        <v>8</v>
      </c>
    </row>
    <row r="1295" ht="15.75" customHeight="1">
      <c r="A1295" s="94" t="str">
        <f>IFERROR(__xludf.DUMMYFUNCTION("""COMPUTED_VALUE"""),"4. DL 13 - 1006 (Лот 299723)")</f>
        <v>4. DL 13 - 1006 (Лот 299723)</v>
      </c>
      <c r="B1295" s="94"/>
      <c r="C1295" s="94"/>
      <c r="D1295" s="431" t="str">
        <f>IFERROR(__xludf.DUMMYFUNCTION("""COMPUTED_VALUE"""),"4 DL 13 - 1006 (1+1) (Лот 299723)")</f>
        <v>4 DL 13 - 1006 (1+1) (Лот 299723)</v>
      </c>
      <c r="E1295" s="1436">
        <f>IFERROR(__xludf.DUMMYFUNCTION("""COMPUTED_VALUE"""),45899.0)</f>
        <v>45899</v>
      </c>
      <c r="F1295" s="1436">
        <f>IFERROR(__xludf.DUMMYFUNCTION("""COMPUTED_VALUE"""),45904.0)</f>
        <v>45904</v>
      </c>
      <c r="G1295" s="1430">
        <f>IFERROR(__xludf.DUMMYFUNCTION("""COMPUTED_VALUE"""),5.0)</f>
        <v>5</v>
      </c>
      <c r="H1295" s="94">
        <f t="shared" si="1"/>
        <v>8</v>
      </c>
    </row>
    <row r="1296" ht="15.75" customHeight="1">
      <c r="A1296" s="94" t="str">
        <f>IFERROR(__xludf.DUMMYFUNCTION("""COMPUTED_VALUE"""),"С 1125")</f>
        <v>С 1125</v>
      </c>
      <c r="B1296" s="94"/>
      <c r="C1296" s="94"/>
      <c r="D1296" s="431" t="str">
        <f>IFERROR(__xludf.DUMMYFUNCTION("""COMPUTED_VALUE"""),"2 Orbi C 1125 (Лот 233326)")</f>
        <v>2 Orbi C 1125 (Лот 233326)</v>
      </c>
      <c r="E1296" s="1436">
        <f>IFERROR(__xludf.DUMMYFUNCTION("""COMPUTED_VALUE"""),45899.0)</f>
        <v>45899</v>
      </c>
      <c r="F1296" s="1436">
        <f>IFERROR(__xludf.DUMMYFUNCTION("""COMPUTED_VALUE"""),45904.0)</f>
        <v>45904</v>
      </c>
      <c r="G1296" s="1430">
        <f>IFERROR(__xludf.DUMMYFUNCTION("""COMPUTED_VALUE"""),5.0)</f>
        <v>5</v>
      </c>
      <c r="H1296" s="94">
        <f t="shared" si="1"/>
        <v>8</v>
      </c>
    </row>
    <row r="1297" ht="15.75" customHeight="1">
      <c r="A1297" s="1164" t="str">
        <f>IFERROR(__xludf.DUMMYFUNCTION("""COMPUTED_VALUE"""),"14-411")</f>
        <v>14-411</v>
      </c>
      <c r="B1297" s="94"/>
      <c r="C1297" s="94"/>
      <c r="D1297" s="431" t="str">
        <f>IFERROR(__xludf.DUMMYFUNCTION("""COMPUTED_VALUE"""),"4 DL 14 - 411 (Лот 233419)")</f>
        <v>4 DL 14 - 411 (Лот 233419)</v>
      </c>
      <c r="E1297" s="1436">
        <f>IFERROR(__xludf.DUMMYFUNCTION("""COMPUTED_VALUE"""),45899.0)</f>
        <v>45899</v>
      </c>
      <c r="F1297" s="1436">
        <f>IFERROR(__xludf.DUMMYFUNCTION("""COMPUTED_VALUE"""),45902.0)</f>
        <v>45902</v>
      </c>
      <c r="G1297" s="1430">
        <f>IFERROR(__xludf.DUMMYFUNCTION("""COMPUTED_VALUE"""),3.0)</f>
        <v>3</v>
      </c>
      <c r="H1297" s="94">
        <f t="shared" si="1"/>
        <v>8</v>
      </c>
    </row>
    <row r="1298" ht="15.75" customHeight="1">
      <c r="A1298" s="1164" t="str">
        <f>IFERROR(__xludf.DUMMYFUNCTION("""COMPUTED_VALUE"""),"DL14-518")</f>
        <v>DL14-518</v>
      </c>
      <c r="B1298" s="94"/>
      <c r="C1298" s="94"/>
      <c r="D1298" s="431" t="str">
        <f>IFERROR(__xludf.DUMMYFUNCTION("""COMPUTED_VALUE"""),"4 DL 14 - 518 (Лот 233360)")</f>
        <v>4 DL 14 - 518 (Лот 233360)</v>
      </c>
      <c r="E1298" s="1436">
        <f>IFERROR(__xludf.DUMMYFUNCTION("""COMPUTED_VALUE"""),45899.0)</f>
        <v>45899</v>
      </c>
      <c r="F1298" s="1436">
        <f>IFERROR(__xludf.DUMMYFUNCTION("""COMPUTED_VALUE"""),45902.0)</f>
        <v>45902</v>
      </c>
      <c r="G1298" s="1430">
        <f>IFERROR(__xludf.DUMMYFUNCTION("""COMPUTED_VALUE"""),3.0)</f>
        <v>3</v>
      </c>
      <c r="H1298" s="94">
        <f t="shared" si="1"/>
        <v>8</v>
      </c>
    </row>
    <row r="1299" ht="15.75" customHeight="1">
      <c r="A1299" s="94" t="str">
        <f>IFERROR(__xludf.DUMMYFUNCTION("""COMPUTED_VALUE"""),"DL 13-206")</f>
        <v>DL 13-206</v>
      </c>
      <c r="B1299" s="94"/>
      <c r="C1299" s="94"/>
      <c r="D1299" s="431" t="str">
        <f>IFERROR(__xludf.DUMMYFUNCTION("""COMPUTED_VALUE"""),"4 DL 13 - 206 (Лот 291575)")</f>
        <v>4 DL 13 - 206 (Лот 291575)</v>
      </c>
      <c r="E1299" s="1436">
        <f>IFERROR(__xludf.DUMMYFUNCTION("""COMPUTED_VALUE"""),45899.0)</f>
        <v>45899</v>
      </c>
      <c r="F1299" s="1436">
        <f>IFERROR(__xludf.DUMMYFUNCTION("""COMPUTED_VALUE"""),45901.0)</f>
        <v>45901</v>
      </c>
      <c r="G1299" s="1430">
        <f>IFERROR(__xludf.DUMMYFUNCTION("""COMPUTED_VALUE"""),2.0)</f>
        <v>2</v>
      </c>
      <c r="H1299" s="94">
        <f t="shared" si="1"/>
        <v>8</v>
      </c>
    </row>
    <row r="1300" ht="15.75" customHeight="1">
      <c r="A1300" s="94" t="str">
        <f>IFERROR(__xludf.DUMMYFUNCTION("""COMPUTED_VALUE"""),"DL 13-703")</f>
        <v>DL 13-703</v>
      </c>
      <c r="B1300" s="94"/>
      <c r="C1300" s="94"/>
      <c r="D1300" s="431" t="str">
        <f>IFERROR(__xludf.DUMMYFUNCTION("""COMPUTED_VALUE"""),"4 DL 13 - 703 (1+1) (Лот 293099)")</f>
        <v>4 DL 13 - 703 (1+1) (Лот 293099)</v>
      </c>
      <c r="E1300" s="1436">
        <f>IFERROR(__xludf.DUMMYFUNCTION("""COMPUTED_VALUE"""),45899.0)</f>
        <v>45899</v>
      </c>
      <c r="F1300" s="1436">
        <f>IFERROR(__xludf.DUMMYFUNCTION("""COMPUTED_VALUE"""),45903.0)</f>
        <v>45903</v>
      </c>
      <c r="G1300" s="1430">
        <f>IFERROR(__xludf.DUMMYFUNCTION("""COMPUTED_VALUE"""),4.0)</f>
        <v>4</v>
      </c>
      <c r="H1300" s="94">
        <f t="shared" si="1"/>
        <v>8</v>
      </c>
    </row>
    <row r="1301" ht="15.75" customHeight="1">
      <c r="A1301" s="94" t="str">
        <f>IFERROR(__xludf.DUMMYFUNCTION("""COMPUTED_VALUE"""),"NW 2-5")</f>
        <v>NW 2-5</v>
      </c>
      <c r="B1301" s="94"/>
      <c r="C1301" s="94"/>
      <c r="D1301" s="431" t="str">
        <f>IFERROR(__xludf.DUMMYFUNCTION("""COMPUTED_VALUE"""),"3 NW 205 (Лот 295811)")</f>
        <v>3 NW 205 (Лот 295811)</v>
      </c>
      <c r="E1301" s="1436">
        <f>IFERROR(__xludf.DUMMYFUNCTION("""COMPUTED_VALUE"""),45899.0)</f>
        <v>45899</v>
      </c>
      <c r="F1301" s="1436">
        <f>IFERROR(__xludf.DUMMYFUNCTION("""COMPUTED_VALUE"""),45907.0)</f>
        <v>45907</v>
      </c>
      <c r="G1301" s="1430">
        <f>IFERROR(__xludf.DUMMYFUNCTION("""COMPUTED_VALUE"""),8.0)</f>
        <v>8</v>
      </c>
      <c r="H1301" s="94">
        <f t="shared" si="1"/>
        <v>8</v>
      </c>
    </row>
    <row r="1302" ht="15.75" customHeight="1">
      <c r="A1302" s="94" t="str">
        <f>IFERROR(__xludf.DUMMYFUNCTION("""COMPUTED_VALUE"""),"NW 3-7")</f>
        <v>NW 3-7</v>
      </c>
      <c r="B1302" s="94"/>
      <c r="C1302" s="94"/>
      <c r="D1302" s="431" t="str">
        <f>IFERROR(__xludf.DUMMYFUNCTION("""COMPUTED_VALUE"""),"3 NW 307 (Лот 289960)")</f>
        <v>3 NW 307 (Лот 289960)</v>
      </c>
      <c r="E1302" s="1436">
        <f>IFERROR(__xludf.DUMMYFUNCTION("""COMPUTED_VALUE"""),45899.0)</f>
        <v>45899</v>
      </c>
      <c r="F1302" s="1436">
        <f>IFERROR(__xludf.DUMMYFUNCTION("""COMPUTED_VALUE"""),45906.0)</f>
        <v>45906</v>
      </c>
      <c r="G1302" s="1430">
        <f>IFERROR(__xludf.DUMMYFUNCTION("""COMPUTED_VALUE"""),7.0)</f>
        <v>7</v>
      </c>
      <c r="H1302" s="94">
        <f t="shared" si="1"/>
        <v>8</v>
      </c>
    </row>
    <row r="1303" ht="15.75" customHeight="1">
      <c r="A1303" s="94" t="str">
        <f>IFERROR(__xludf.DUMMYFUNCTION("""COMPUTED_VALUE"""),"TGB10")</f>
        <v>TGB10</v>
      </c>
      <c r="B1303" s="94"/>
      <c r="C1303" s="94"/>
      <c r="D1303" s="431" t="str">
        <f>IFERROR(__xludf.DUMMYFUNCTION("""COMPUTED_VALUE"""),"6 TG Студии с террасой (B9, B10) (Лот 268006)")</f>
        <v>6 TG Студии с террасой (B9, B10) (Лот 268006)</v>
      </c>
      <c r="E1303" s="1436">
        <f>IFERROR(__xludf.DUMMYFUNCTION("""COMPUTED_VALUE"""),45899.0)</f>
        <v>45899</v>
      </c>
      <c r="F1303" s="1436">
        <f>IFERROR(__xludf.DUMMYFUNCTION("""COMPUTED_VALUE"""),45904.0)</f>
        <v>45904</v>
      </c>
      <c r="G1303" s="1430">
        <f>IFERROR(__xludf.DUMMYFUNCTION("""COMPUTED_VALUE"""),5.0)</f>
        <v>5</v>
      </c>
      <c r="H1303" s="94">
        <f t="shared" si="1"/>
        <v>8</v>
      </c>
    </row>
    <row r="1304" ht="15.75" customHeight="1">
      <c r="A1304" s="94" t="str">
        <f>IFERROR(__xludf.DUMMYFUNCTION("""COMPUTED_VALUE"""),"D2 503")</f>
        <v>D2 503</v>
      </c>
      <c r="B1304" s="94"/>
      <c r="C1304" s="94"/>
      <c r="D1304" s="431" t="str">
        <f>IFERROR(__xludf.DUMMYFUNCTION("""COMPUTED_VALUE"""),"2 Orbi D2 503 (Лот 291554)")</f>
        <v>2 Orbi D2 503 (Лот 291554)</v>
      </c>
      <c r="E1304" s="1436">
        <f>IFERROR(__xludf.DUMMYFUNCTION("""COMPUTED_VALUE"""),45899.0)</f>
        <v>45899</v>
      </c>
      <c r="F1304" s="1436">
        <f>IFERROR(__xludf.DUMMYFUNCTION("""COMPUTED_VALUE"""),45904.0)</f>
        <v>45904</v>
      </c>
      <c r="G1304" s="1430">
        <f>IFERROR(__xludf.DUMMYFUNCTION("""COMPUTED_VALUE"""),5.0)</f>
        <v>5</v>
      </c>
      <c r="H1304" s="94">
        <f t="shared" si="1"/>
        <v>8</v>
      </c>
    </row>
    <row r="1305" ht="15.75" customHeight="1">
      <c r="A1305" s="94" t="str">
        <f>IFERROR(__xludf.DUMMYFUNCTION("""COMPUTED_VALUE"""),"TGA3")</f>
        <v>TGA3</v>
      </c>
      <c r="B1305" s="94"/>
      <c r="C1305" s="94"/>
      <c r="D1305" s="431" t="str">
        <f>IFERROR(__xludf.DUMMYFUNCTION("""COMPUTED_VALUE"""),"6 TG Студия с видом на море А3, А5, А6, А8 (Лот 268012)")</f>
        <v>6 TG Студия с видом на море А3, А5, А6, А8 (Лот 268012)</v>
      </c>
      <c r="E1305" s="1436">
        <f>IFERROR(__xludf.DUMMYFUNCTION("""COMPUTED_VALUE"""),45899.0)</f>
        <v>45899</v>
      </c>
      <c r="F1305" s="1436">
        <f>IFERROR(__xludf.DUMMYFUNCTION("""COMPUTED_VALUE"""),45902.0)</f>
        <v>45902</v>
      </c>
      <c r="G1305" s="1430">
        <f>IFERROR(__xludf.DUMMYFUNCTION("""COMPUTED_VALUE"""),3.0)</f>
        <v>3</v>
      </c>
      <c r="H1305" s="94">
        <f t="shared" si="1"/>
        <v>8</v>
      </c>
    </row>
    <row r="1306" ht="15.75" customHeight="1">
      <c r="A1306" s="94" t="str">
        <f>IFERROR(__xludf.DUMMYFUNCTION("""COMPUTED_VALUE"""),"D2 1625")</f>
        <v>D2 1625</v>
      </c>
      <c r="B1306" s="94"/>
      <c r="C1306" s="94"/>
      <c r="D1306" s="94"/>
      <c r="E1306" s="1434">
        <f>IFERROR(__xludf.DUMMYFUNCTION("""COMPUTED_VALUE"""),45902.0)</f>
        <v>45902</v>
      </c>
      <c r="F1306" s="94"/>
      <c r="G1306" s="94"/>
      <c r="H1306" s="94">
        <f t="shared" si="1"/>
        <v>9</v>
      </c>
    </row>
    <row r="1307" ht="15.75" customHeight="1">
      <c r="A1307" s="94" t="str">
        <f>IFERROR(__xludf.DUMMYFUNCTION("""COMPUTED_VALUE"""),"D1 3902")</f>
        <v>D1 3902</v>
      </c>
      <c r="B1307" s="94"/>
      <c r="C1307" s="94"/>
      <c r="D1307" s="94" t="str">
        <f>IFERROR(__xludf.DUMMYFUNCTION("""COMPUTED_VALUE"""),"2 Orbi D 3902 (Лот 293635)")</f>
        <v>2 Orbi D 3902 (Лот 293635)</v>
      </c>
      <c r="E1307" s="1436">
        <f>IFERROR(__xludf.DUMMYFUNCTION("""COMPUTED_VALUE"""),45907.0)</f>
        <v>45907</v>
      </c>
      <c r="F1307" s="1436">
        <f>IFERROR(__xludf.DUMMYFUNCTION("""COMPUTED_VALUE"""),45913.0)</f>
        <v>45913</v>
      </c>
      <c r="G1307" s="1430">
        <f>IFERROR(__xludf.DUMMYFUNCTION("""COMPUTED_VALUE"""),6.0)</f>
        <v>6</v>
      </c>
      <c r="H1307" s="94">
        <f t="shared" si="1"/>
        <v>9</v>
      </c>
    </row>
    <row r="1308" ht="15.75" customHeight="1">
      <c r="A1308" s="94" t="str">
        <f>IFERROR(__xludf.DUMMYFUNCTION("""COMPUTED_VALUE"""),"MZ 1408")</f>
        <v>MZ 1408</v>
      </c>
      <c r="B1308" s="94"/>
      <c r="C1308" s="94"/>
      <c r="D1308" s="94" t="str">
        <f>IFERROR(__xludf.DUMMYFUNCTION("""COMPUTED_VALUE"""),"3 MZ 1408 (Лот 289834)")</f>
        <v>3 MZ 1408 (Лот 289834)</v>
      </c>
      <c r="E1308" s="1436">
        <f>IFERROR(__xludf.DUMMYFUNCTION("""COMPUTED_VALUE"""),45907.0)</f>
        <v>45907</v>
      </c>
      <c r="F1308" s="1436">
        <f>IFERROR(__xludf.DUMMYFUNCTION("""COMPUTED_VALUE"""),45912.0)</f>
        <v>45912</v>
      </c>
      <c r="G1308" s="1430">
        <f>IFERROR(__xludf.DUMMYFUNCTION("""COMPUTED_VALUE"""),5.0)</f>
        <v>5</v>
      </c>
      <c r="H1308" s="94">
        <f t="shared" si="1"/>
        <v>9</v>
      </c>
    </row>
    <row r="1309" ht="15.75" customHeight="1">
      <c r="A1309" s="94" t="str">
        <f>IFERROR(__xludf.DUMMYFUNCTION("""COMPUTED_VALUE"""),"PT2604")</f>
        <v>PT2604</v>
      </c>
      <c r="B1309" s="94"/>
      <c r="C1309" s="94"/>
      <c r="D1309" s="94" t="str">
        <f>IFERROR(__xludf.DUMMYFUNCTION("""COMPUTED_VALUE"""),"3 PB 2604 (Лот 265736)")</f>
        <v>3 PB 2604 (Лот 265736)</v>
      </c>
      <c r="E1309" s="1436">
        <f>IFERROR(__xludf.DUMMYFUNCTION("""COMPUTED_VALUE"""),45907.0)</f>
        <v>45907</v>
      </c>
      <c r="F1309" s="1436">
        <f>IFERROR(__xludf.DUMMYFUNCTION("""COMPUTED_VALUE"""),45913.0)</f>
        <v>45913</v>
      </c>
      <c r="G1309" s="1430">
        <f>IFERROR(__xludf.DUMMYFUNCTION("""COMPUTED_VALUE"""),6.0)</f>
        <v>6</v>
      </c>
      <c r="H1309" s="94">
        <f t="shared" si="1"/>
        <v>9</v>
      </c>
    </row>
    <row r="1310" ht="15.75" customHeight="1">
      <c r="A1310" s="94" t="str">
        <f>IFERROR(__xludf.DUMMYFUNCTION("""COMPUTED_VALUE"""),"С 1125")</f>
        <v>С 1125</v>
      </c>
      <c r="B1310" s="94"/>
      <c r="C1310" s="94"/>
      <c r="D1310" s="94" t="str">
        <f>IFERROR(__xludf.DUMMYFUNCTION("""COMPUTED_VALUE"""),"2 Orbi C 1125 (Лот 233326)")</f>
        <v>2 Orbi C 1125 (Лот 233326)</v>
      </c>
      <c r="E1310" s="1436">
        <f>IFERROR(__xludf.DUMMYFUNCTION("""COMPUTED_VALUE"""),45907.0)</f>
        <v>45907</v>
      </c>
      <c r="F1310" s="1436">
        <f>IFERROR(__xludf.DUMMYFUNCTION("""COMPUTED_VALUE"""),45911.0)</f>
        <v>45911</v>
      </c>
      <c r="G1310" s="1430">
        <f>IFERROR(__xludf.DUMMYFUNCTION("""COMPUTED_VALUE"""),4.0)</f>
        <v>4</v>
      </c>
      <c r="H1310" s="94">
        <f t="shared" si="1"/>
        <v>9</v>
      </c>
    </row>
    <row r="1311" ht="15.75" customHeight="1">
      <c r="A1311" s="94" t="str">
        <f>IFERROR(__xludf.DUMMYFUNCTION("""COMPUTED_VALUE"""),"TGB1")</f>
        <v>TGB1</v>
      </c>
      <c r="B1311" s="94"/>
      <c r="C1311" s="94"/>
      <c r="D1311" s="94" t="str">
        <f>IFERROR(__xludf.DUMMYFUNCTION("""COMPUTED_VALUE"""),"6 TG С 1 сп с видом на горы В5, В1 (Лот 268015)")</f>
        <v>6 TG С 1 сп с видом на горы В5, В1 (Лот 268015)</v>
      </c>
      <c r="E1311" s="1436">
        <f>IFERROR(__xludf.DUMMYFUNCTION("""COMPUTED_VALUE"""),45907.0)</f>
        <v>45907</v>
      </c>
      <c r="F1311" s="1436">
        <f>IFERROR(__xludf.DUMMYFUNCTION("""COMPUTED_VALUE"""),45912.0)</f>
        <v>45912</v>
      </c>
      <c r="G1311" s="1430">
        <f>IFERROR(__xludf.DUMMYFUNCTION("""COMPUTED_VALUE"""),5.0)</f>
        <v>5</v>
      </c>
      <c r="H1311" s="94">
        <f t="shared" si="1"/>
        <v>9</v>
      </c>
    </row>
    <row r="1312" ht="15.75" customHeight="1">
      <c r="A1312" s="1164" t="str">
        <f>IFERROR(__xludf.DUMMYFUNCTION("""COMPUTED_VALUE"""),"Int 2905")</f>
        <v>Int 2905</v>
      </c>
      <c r="B1312" s="94"/>
      <c r="C1312" s="94"/>
      <c r="D1312" s="94" t="str">
        <f>IFERROR(__xludf.DUMMYFUNCTION("""COMPUTED_VALUE"""),"3.Inturist 2905 (Лот 233347)")</f>
        <v>3.Inturist 2905 (Лот 233347)</v>
      </c>
      <c r="E1312" s="1436">
        <f>IFERROR(__xludf.DUMMYFUNCTION("""COMPUTED_VALUE"""),45907.0)</f>
        <v>45907</v>
      </c>
      <c r="F1312" s="1436">
        <f>IFERROR(__xludf.DUMMYFUNCTION("""COMPUTED_VALUE"""),45915.0)</f>
        <v>45915</v>
      </c>
      <c r="G1312" s="1430">
        <f>IFERROR(__xludf.DUMMYFUNCTION("""COMPUTED_VALUE"""),8.0)</f>
        <v>8</v>
      </c>
      <c r="H1312" s="94">
        <f t="shared" si="1"/>
        <v>9</v>
      </c>
    </row>
    <row r="1313" ht="15.75" customHeight="1">
      <c r="A1313" s="1164" t="str">
        <f>IFERROR(__xludf.DUMMYFUNCTION("""COMPUTED_VALUE"""),"CM 1931")</f>
        <v>CM 1931</v>
      </c>
      <c r="B1313" s="94"/>
      <c r="C1313" s="94"/>
      <c r="D1313" s="94" t="str">
        <f>IFERROR(__xludf.DUMMYFUNCTION("""COMPUTED_VALUE"""),"3 Mar 1931 (Лот 233381)")</f>
        <v>3 Mar 1931 (Лот 233381)</v>
      </c>
      <c r="E1313" s="1436">
        <f>IFERROR(__xludf.DUMMYFUNCTION("""COMPUTED_VALUE"""),45907.0)</f>
        <v>45907</v>
      </c>
      <c r="F1313" s="1436">
        <f>IFERROR(__xludf.DUMMYFUNCTION("""COMPUTED_VALUE"""),45910.0)</f>
        <v>45910</v>
      </c>
      <c r="G1313" s="1430">
        <f>IFERROR(__xludf.DUMMYFUNCTION("""COMPUTED_VALUE"""),3.0)</f>
        <v>3</v>
      </c>
      <c r="H1313" s="94">
        <f t="shared" si="1"/>
        <v>9</v>
      </c>
    </row>
    <row r="1314" ht="15.75" customHeight="1">
      <c r="A1314" s="94" t="str">
        <f>IFERROR(__xludf.DUMMYFUNCTION("""COMPUTED_VALUE"""),"PT2704")</f>
        <v>PT2704</v>
      </c>
      <c r="B1314" s="94"/>
      <c r="C1314" s="94"/>
      <c r="D1314" s="94" t="str">
        <f>IFERROR(__xludf.DUMMYFUNCTION("""COMPUTED_VALUE"""),"3 PB 2704 (Лот 265740)")</f>
        <v>3 PB 2704 (Лот 265740)</v>
      </c>
      <c r="E1314" s="1436">
        <f>IFERROR(__xludf.DUMMYFUNCTION("""COMPUTED_VALUE"""),45906.0)</f>
        <v>45906</v>
      </c>
      <c r="F1314" s="1436">
        <f>IFERROR(__xludf.DUMMYFUNCTION("""COMPUTED_VALUE"""),45909.0)</f>
        <v>45909</v>
      </c>
      <c r="G1314" s="1430">
        <f>IFERROR(__xludf.DUMMYFUNCTION("""COMPUTED_VALUE"""),3.0)</f>
        <v>3</v>
      </c>
      <c r="H1314" s="94">
        <f t="shared" si="1"/>
        <v>9</v>
      </c>
    </row>
    <row r="1315" ht="15.75" customHeight="1">
      <c r="A1315" s="1164" t="str">
        <f>IFERROR(__xludf.DUMMYFUNCTION("""COMPUTED_VALUE"""),"DL14-501-502")</f>
        <v>DL14-501-502</v>
      </c>
      <c r="B1315" s="94"/>
      <c r="C1315" s="94"/>
      <c r="D1315" s="94" t="str">
        <f>IFERROR(__xludf.DUMMYFUNCTION("""COMPUTED_VALUE"""),"4 DL 14 - 501 502 (Лот 284223)")</f>
        <v>4 DL 14 - 501 502 (Лот 284223)</v>
      </c>
      <c r="E1315" s="1436">
        <f>IFERROR(__xludf.DUMMYFUNCTION("""COMPUTED_VALUE"""),45906.0)</f>
        <v>45906</v>
      </c>
      <c r="F1315" s="1436">
        <f>IFERROR(__xludf.DUMMYFUNCTION("""COMPUTED_VALUE"""),45916.0)</f>
        <v>45916</v>
      </c>
      <c r="G1315" s="1430">
        <f>IFERROR(__xludf.DUMMYFUNCTION("""COMPUTED_VALUE"""),10.0)</f>
        <v>10</v>
      </c>
      <c r="H1315" s="94">
        <f t="shared" si="1"/>
        <v>9</v>
      </c>
    </row>
    <row r="1316" ht="15.75" customHeight="1">
      <c r="A1316" s="94" t="str">
        <f>IFERROR(__xludf.DUMMYFUNCTION("""COMPUTED_VALUE"""),"DL 13-206")</f>
        <v>DL 13-206</v>
      </c>
      <c r="B1316" s="94"/>
      <c r="C1316" s="94"/>
      <c r="D1316" s="94" t="str">
        <f>IFERROR(__xludf.DUMMYFUNCTION("""COMPUTED_VALUE"""),"4 DL 13 - 206 (Лот 291575)")</f>
        <v>4 DL 13 - 206 (Лот 291575)</v>
      </c>
      <c r="E1316" s="1436">
        <f>IFERROR(__xludf.DUMMYFUNCTION("""COMPUTED_VALUE"""),45906.0)</f>
        <v>45906</v>
      </c>
      <c r="F1316" s="1436">
        <f>IFERROR(__xludf.DUMMYFUNCTION("""COMPUTED_VALUE"""),45910.0)</f>
        <v>45910</v>
      </c>
      <c r="G1316" s="1430">
        <f>IFERROR(__xludf.DUMMYFUNCTION("""COMPUTED_VALUE"""),4.0)</f>
        <v>4</v>
      </c>
      <c r="H1316" s="94">
        <f t="shared" si="1"/>
        <v>9</v>
      </c>
    </row>
    <row r="1317" ht="15.75" customHeight="1">
      <c r="A1317" s="94" t="str">
        <f>IFERROR(__xludf.DUMMYFUNCTION("""COMPUTED_VALUE"""),"Int 2612")</f>
        <v>Int 2612</v>
      </c>
      <c r="B1317" s="94"/>
      <c r="C1317" s="94"/>
      <c r="D1317" s="94" t="str">
        <f>IFERROR(__xludf.DUMMYFUNCTION("""COMPUTED_VALUE"""),"3 Int B 2612 (Лот 285149)")</f>
        <v>3 Int B 2612 (Лот 285149)</v>
      </c>
      <c r="E1317" s="1436">
        <f>IFERROR(__xludf.DUMMYFUNCTION("""COMPUTED_VALUE"""),45906.0)</f>
        <v>45906</v>
      </c>
      <c r="F1317" s="1436">
        <f>IFERROR(__xludf.DUMMYFUNCTION("""COMPUTED_VALUE"""),45914.0)</f>
        <v>45914</v>
      </c>
      <c r="G1317" s="1430">
        <f>IFERROR(__xludf.DUMMYFUNCTION("""COMPUTED_VALUE"""),8.0)</f>
        <v>8</v>
      </c>
      <c r="H1317" s="94">
        <f t="shared" si="1"/>
        <v>9</v>
      </c>
    </row>
    <row r="1318" ht="15.75" customHeight="1">
      <c r="A1318" s="1164" t="str">
        <f>IFERROR(__xludf.DUMMYFUNCTION("""COMPUTED_VALUE"""),"WS E 1202")</f>
        <v>WS E 1202</v>
      </c>
      <c r="B1318" s="94"/>
      <c r="C1318" s="94"/>
      <c r="D1318" s="94" t="str">
        <f>IFERROR(__xludf.DUMMYFUNCTION("""COMPUTED_VALUE"""),"1 WS E 1202 (Лот 233379)")</f>
        <v>1 WS E 1202 (Лот 233379)</v>
      </c>
      <c r="E1318" s="1436">
        <f>IFERROR(__xludf.DUMMYFUNCTION("""COMPUTED_VALUE"""),45906.0)</f>
        <v>45906</v>
      </c>
      <c r="F1318" s="1436">
        <f>IFERROR(__xludf.DUMMYFUNCTION("""COMPUTED_VALUE"""),45913.0)</f>
        <v>45913</v>
      </c>
      <c r="G1318" s="1430">
        <f>IFERROR(__xludf.DUMMYFUNCTION("""COMPUTED_VALUE"""),7.0)</f>
        <v>7</v>
      </c>
      <c r="H1318" s="94">
        <f t="shared" si="1"/>
        <v>9</v>
      </c>
    </row>
    <row r="1319" ht="15.75" customHeight="1">
      <c r="A1319" s="94" t="str">
        <f>IFERROR(__xludf.DUMMYFUNCTION("""COMPUTED_VALUE"""),"TGA8")</f>
        <v>TGA8</v>
      </c>
      <c r="B1319" s="94"/>
      <c r="C1319" s="94"/>
      <c r="D1319" s="94" t="str">
        <f>IFERROR(__xludf.DUMMYFUNCTION("""COMPUTED_VALUE"""),"6 TG Студия с видом на море А3, А5, А6, А8 (Лот 268012)")</f>
        <v>6 TG Студия с видом на море А3, А5, А6, А8 (Лот 268012)</v>
      </c>
      <c r="E1319" s="1436">
        <f>IFERROR(__xludf.DUMMYFUNCTION("""COMPUTED_VALUE"""),45906.0)</f>
        <v>45906</v>
      </c>
      <c r="F1319" s="1436">
        <f>IFERROR(__xludf.DUMMYFUNCTION("""COMPUTED_VALUE"""),45912.0)</f>
        <v>45912</v>
      </c>
      <c r="G1319" s="1430">
        <f>IFERROR(__xludf.DUMMYFUNCTION("""COMPUTED_VALUE"""),6.0)</f>
        <v>6</v>
      </c>
      <c r="H1319" s="94">
        <f t="shared" si="1"/>
        <v>9</v>
      </c>
    </row>
    <row r="1320" ht="15.75" customHeight="1">
      <c r="A1320" s="94" t="str">
        <f>IFERROR(__xludf.DUMMYFUNCTION("""COMPUTED_VALUE"""),"TGA6")</f>
        <v>TGA6</v>
      </c>
      <c r="B1320" s="94"/>
      <c r="C1320" s="94"/>
      <c r="D1320" s="94" t="str">
        <f>IFERROR(__xludf.DUMMYFUNCTION("""COMPUTED_VALUE"""),"6 TG Студия с видом на море А3, А5, А6, А8 (Лот 268012)")</f>
        <v>6 TG Студия с видом на море А3, А5, А6, А8 (Лот 268012)</v>
      </c>
      <c r="E1320" s="1436">
        <f>IFERROR(__xludf.DUMMYFUNCTION("""COMPUTED_VALUE"""),45906.0)</f>
        <v>45906</v>
      </c>
      <c r="F1320" s="1436">
        <f>IFERROR(__xludf.DUMMYFUNCTION("""COMPUTED_VALUE"""),45912.0)</f>
        <v>45912</v>
      </c>
      <c r="G1320" s="1430">
        <f>IFERROR(__xludf.DUMMYFUNCTION("""COMPUTED_VALUE"""),6.0)</f>
        <v>6</v>
      </c>
      <c r="H1320" s="94">
        <f t="shared" si="1"/>
        <v>9</v>
      </c>
    </row>
    <row r="1321" ht="15.75" customHeight="1">
      <c r="A1321" s="94" t="str">
        <f>IFERROR(__xludf.DUMMYFUNCTION("""COMPUTED_VALUE"""),"TGB10")</f>
        <v>TGB10</v>
      </c>
      <c r="B1321" s="94"/>
      <c r="C1321" s="94"/>
      <c r="D1321" s="94" t="str">
        <f>IFERROR(__xludf.DUMMYFUNCTION("""COMPUTED_VALUE"""),"6 TG Студии с террасой (B9, B10) (Лот 268006)")</f>
        <v>6 TG Студии с террасой (B9, B10) (Лот 268006)</v>
      </c>
      <c r="E1321" s="1436">
        <f>IFERROR(__xludf.DUMMYFUNCTION("""COMPUTED_VALUE"""),45906.0)</f>
        <v>45906</v>
      </c>
      <c r="F1321" s="1436">
        <f>IFERROR(__xludf.DUMMYFUNCTION("""COMPUTED_VALUE"""),45910.0)</f>
        <v>45910</v>
      </c>
      <c r="G1321" s="1430">
        <f>IFERROR(__xludf.DUMMYFUNCTION("""COMPUTED_VALUE"""),4.0)</f>
        <v>4</v>
      </c>
      <c r="H1321" s="94">
        <f t="shared" si="1"/>
        <v>9</v>
      </c>
    </row>
    <row r="1322" ht="15.75" customHeight="1">
      <c r="A1322" s="94" t="str">
        <f>IFERROR(__xludf.DUMMYFUNCTION("""COMPUTED_VALUE"""),"TGB3")</f>
        <v>TGB3</v>
      </c>
      <c r="B1322" s="94"/>
      <c r="C1322" s="94"/>
      <c r="D1322" s="94" t="str">
        <f>IFERROR(__xludf.DUMMYFUNCTION("""COMPUTED_VALUE"""),"6 TG Студии эконом блок Б (Б2, Б3, Б4) (Лот 268016)")</f>
        <v>6 TG Студии эконом блок Б (Б2, Б3, Б4) (Лот 268016)</v>
      </c>
      <c r="E1322" s="1436">
        <f>IFERROR(__xludf.DUMMYFUNCTION("""COMPUTED_VALUE"""),45906.0)</f>
        <v>45906</v>
      </c>
      <c r="F1322" s="1436">
        <f>IFERROR(__xludf.DUMMYFUNCTION("""COMPUTED_VALUE"""),45935.0)</f>
        <v>45935</v>
      </c>
      <c r="G1322" s="1430">
        <f>IFERROR(__xludf.DUMMYFUNCTION("""COMPUTED_VALUE"""),29.0)</f>
        <v>29</v>
      </c>
      <c r="H1322" s="94">
        <f t="shared" si="1"/>
        <v>9</v>
      </c>
    </row>
    <row r="1323" ht="15.75" customHeight="1">
      <c r="A1323" s="1164" t="str">
        <f>IFERROR(__xludf.DUMMYFUNCTION("""COMPUTED_VALUE"""),"DL 14-505")</f>
        <v>DL 14-505</v>
      </c>
      <c r="B1323" s="94"/>
      <c r="C1323" s="94"/>
      <c r="D1323" s="94" t="str">
        <f>IFERROR(__xludf.DUMMYFUNCTION("""COMPUTED_VALUE"""),"4 DL 14 - 505 (Лот 233426)")</f>
        <v>4 DL 14 - 505 (Лот 233426)</v>
      </c>
      <c r="E1323" s="1436">
        <f>IFERROR(__xludf.DUMMYFUNCTION("""COMPUTED_VALUE"""),45906.0)</f>
        <v>45906</v>
      </c>
      <c r="F1323" s="1436">
        <f>IFERROR(__xludf.DUMMYFUNCTION("""COMPUTED_VALUE"""),45910.0)</f>
        <v>45910</v>
      </c>
      <c r="G1323" s="1430">
        <f>IFERROR(__xludf.DUMMYFUNCTION("""COMPUTED_VALUE"""),4.0)</f>
        <v>4</v>
      </c>
      <c r="H1323" s="94">
        <f t="shared" si="1"/>
        <v>9</v>
      </c>
    </row>
    <row r="1324" ht="15.75" customHeight="1">
      <c r="A1324" s="94" t="str">
        <f>IFERROR(__xludf.DUMMYFUNCTION("""COMPUTED_VALUE"""),"TGB4")</f>
        <v>TGB4</v>
      </c>
      <c r="B1324" s="94"/>
      <c r="C1324" s="94"/>
      <c r="D1324" s="94" t="str">
        <f>IFERROR(__xludf.DUMMYFUNCTION("""COMPUTED_VALUE"""),"6 TG Студии эконом блок Б (Б2, Б3, Б4) (Лот 268016)")</f>
        <v>6 TG Студии эконом блок Б (Б2, Б3, Б4) (Лот 268016)</v>
      </c>
      <c r="E1324" s="1436">
        <f>IFERROR(__xludf.DUMMYFUNCTION("""COMPUTED_VALUE"""),45906.0)</f>
        <v>45906</v>
      </c>
      <c r="F1324" s="1436">
        <f>IFERROR(__xludf.DUMMYFUNCTION("""COMPUTED_VALUE"""),45920.0)</f>
        <v>45920</v>
      </c>
      <c r="G1324" s="1430">
        <f>IFERROR(__xludf.DUMMYFUNCTION("""COMPUTED_VALUE"""),14.0)</f>
        <v>14</v>
      </c>
      <c r="H1324" s="94">
        <f t="shared" si="1"/>
        <v>9</v>
      </c>
    </row>
    <row r="1325" ht="15.75" customHeight="1">
      <c r="A1325" s="1164" t="str">
        <f>IFERROR(__xludf.DUMMYFUNCTION("""COMPUTED_VALUE"""),"CM 1931")</f>
        <v>CM 1931</v>
      </c>
      <c r="B1325" s="94"/>
      <c r="C1325" s="94"/>
      <c r="D1325" s="94" t="str">
        <f>IFERROR(__xludf.DUMMYFUNCTION("""COMPUTED_VALUE"""),"3 Mar 1931 (Лот 233381)")</f>
        <v>3 Mar 1931 (Лот 233381)</v>
      </c>
      <c r="E1325" s="1436">
        <f>IFERROR(__xludf.DUMMYFUNCTION("""COMPUTED_VALUE"""),45906.0)</f>
        <v>45906</v>
      </c>
      <c r="F1325" s="1436">
        <f>IFERROR(__xludf.DUMMYFUNCTION("""COMPUTED_VALUE"""),45907.0)</f>
        <v>45907</v>
      </c>
      <c r="G1325" s="1430">
        <f>IFERROR(__xludf.DUMMYFUNCTION("""COMPUTED_VALUE"""),1.0)</f>
        <v>1</v>
      </c>
      <c r="H1325" s="94">
        <f t="shared" si="1"/>
        <v>9</v>
      </c>
    </row>
    <row r="1326" ht="15.75" customHeight="1">
      <c r="A1326" s="94" t="str">
        <f>IFERROR(__xludf.DUMMYFUNCTION("""COMPUTED_VALUE"""),"4 DL 13 - 1106 (1+1) (Лот 300824)")</f>
        <v>4 DL 13 - 1106 (1+1) (Лот 300824)</v>
      </c>
      <c r="B1326" s="94"/>
      <c r="C1326" s="94"/>
      <c r="D1326" s="94" t="str">
        <f>IFERROR(__xludf.DUMMYFUNCTION("""COMPUTED_VALUE"""),"4 DL 13 - 1106 (1+1) (Лот 300824)")</f>
        <v>4 DL 13 - 1106 (1+1) (Лот 300824)</v>
      </c>
      <c r="E1326" s="1436">
        <f>IFERROR(__xludf.DUMMYFUNCTION("""COMPUTED_VALUE"""),45906.0)</f>
        <v>45906</v>
      </c>
      <c r="F1326" s="1436">
        <f>IFERROR(__xludf.DUMMYFUNCTION("""COMPUTED_VALUE"""),45909.0)</f>
        <v>45909</v>
      </c>
      <c r="G1326" s="1430">
        <f>IFERROR(__xludf.DUMMYFUNCTION("""COMPUTED_VALUE"""),3.0)</f>
        <v>3</v>
      </c>
      <c r="H1326" s="94">
        <f t="shared" si="1"/>
        <v>9</v>
      </c>
    </row>
    <row r="1327" ht="15.75" customHeight="1">
      <c r="A1327" s="1164" t="str">
        <f>IFERROR(__xludf.DUMMYFUNCTION("""COMPUTED_VALUE"""),"DL14-305")</f>
        <v>DL14-305</v>
      </c>
      <c r="B1327" s="94"/>
      <c r="C1327" s="94"/>
      <c r="D1327" s="94" t="str">
        <f>IFERROR(__xludf.DUMMYFUNCTION("""COMPUTED_VALUE"""),"4 DL 14 - 305 (Лот 284208)")</f>
        <v>4 DL 14 - 305 (Лот 284208)</v>
      </c>
      <c r="E1327" s="1436">
        <f>IFERROR(__xludf.DUMMYFUNCTION("""COMPUTED_VALUE"""),45906.0)</f>
        <v>45906</v>
      </c>
      <c r="F1327" s="1436">
        <f>IFERROR(__xludf.DUMMYFUNCTION("""COMPUTED_VALUE"""),45911.0)</f>
        <v>45911</v>
      </c>
      <c r="G1327" s="1430">
        <f>IFERROR(__xludf.DUMMYFUNCTION("""COMPUTED_VALUE"""),5.0)</f>
        <v>5</v>
      </c>
      <c r="H1327" s="94">
        <f t="shared" si="1"/>
        <v>9</v>
      </c>
    </row>
    <row r="1328" ht="15.75" customHeight="1">
      <c r="A1328" s="1164" t="str">
        <f>IFERROR(__xludf.DUMMYFUNCTION("""COMPUTED_VALUE"""),"С 2756")</f>
        <v>С 2756</v>
      </c>
      <c r="B1328" s="94"/>
      <c r="C1328" s="94"/>
      <c r="D1328" s="94" t="str">
        <f>IFERROR(__xludf.DUMMYFUNCTION("""COMPUTED_VALUE"""),"2 Orbi C 2756 (Лот 233325)")</f>
        <v>2 Orbi C 2756 (Лот 233325)</v>
      </c>
      <c r="E1328" s="1436">
        <f>IFERROR(__xludf.DUMMYFUNCTION("""COMPUTED_VALUE"""),45906.0)</f>
        <v>45906</v>
      </c>
      <c r="F1328" s="1436">
        <f>IFERROR(__xludf.DUMMYFUNCTION("""COMPUTED_VALUE"""),45910.0)</f>
        <v>45910</v>
      </c>
      <c r="G1328" s="1430">
        <f>IFERROR(__xludf.DUMMYFUNCTION("""COMPUTED_VALUE"""),4.0)</f>
        <v>4</v>
      </c>
      <c r="H1328" s="94">
        <f t="shared" si="1"/>
        <v>9</v>
      </c>
    </row>
    <row r="1329" ht="15.75" customHeight="1">
      <c r="A1329" s="94" t="str">
        <f>IFERROR(__xludf.DUMMYFUNCTION("""COMPUTED_VALUE"""),"TGA3")</f>
        <v>TGA3</v>
      </c>
      <c r="B1329" s="94"/>
      <c r="C1329" s="94"/>
      <c r="D1329" s="94" t="str">
        <f>IFERROR(__xludf.DUMMYFUNCTION("""COMPUTED_VALUE"""),"6 TG Студия с видом на море А3, А5, А6, А8 (Лот 268012)")</f>
        <v>6 TG Студия с видом на море А3, А5, А6, А8 (Лот 268012)</v>
      </c>
      <c r="E1329" s="1436">
        <f>IFERROR(__xludf.DUMMYFUNCTION("""COMPUTED_VALUE"""),45905.0)</f>
        <v>45905</v>
      </c>
      <c r="F1329" s="1436">
        <f>IFERROR(__xludf.DUMMYFUNCTION("""COMPUTED_VALUE"""),45912.0)</f>
        <v>45912</v>
      </c>
      <c r="G1329" s="1430">
        <f>IFERROR(__xludf.DUMMYFUNCTION("""COMPUTED_VALUE"""),7.0)</f>
        <v>7</v>
      </c>
      <c r="H1329" s="94">
        <f t="shared" si="1"/>
        <v>9</v>
      </c>
    </row>
    <row r="1330" ht="15.75" customHeight="1">
      <c r="A1330" s="94" t="str">
        <f>IFERROR(__xludf.DUMMYFUNCTION("""COMPUTED_VALUE"""),"4. DL 13 - 1006 (Лот 299723)")</f>
        <v>4. DL 13 - 1006 (Лот 299723)</v>
      </c>
      <c r="B1330" s="94"/>
      <c r="C1330" s="94"/>
      <c r="D1330" s="94" t="str">
        <f>IFERROR(__xludf.DUMMYFUNCTION("""COMPUTED_VALUE"""),"4 DL 13 - 1006 (1+1) (Лот 299723)")</f>
        <v>4 DL 13 - 1006 (1+1) (Лот 299723)</v>
      </c>
      <c r="E1330" s="1436">
        <f>IFERROR(__xludf.DUMMYFUNCTION("""COMPUTED_VALUE"""),45905.0)</f>
        <v>45905</v>
      </c>
      <c r="F1330" s="1436">
        <f>IFERROR(__xludf.DUMMYFUNCTION("""COMPUTED_VALUE"""),45909.0)</f>
        <v>45909</v>
      </c>
      <c r="G1330" s="1430">
        <f>IFERROR(__xludf.DUMMYFUNCTION("""COMPUTED_VALUE"""),4.0)</f>
        <v>4</v>
      </c>
      <c r="H1330" s="94">
        <f t="shared" si="1"/>
        <v>9</v>
      </c>
    </row>
    <row r="1331" ht="15.75" customHeight="1">
      <c r="A1331" s="1164" t="str">
        <f>IFERROR(__xludf.DUMMYFUNCTION("""COMPUTED_VALUE"""),"DL 13-709")</f>
        <v>DL 13-709</v>
      </c>
      <c r="B1331" s="94"/>
      <c r="C1331" s="94"/>
      <c r="D1331" s="94" t="str">
        <f>IFERROR(__xludf.DUMMYFUNCTION("""COMPUTED_VALUE"""),"4 DL 13 - 709 (Лот 291393)")</f>
        <v>4 DL 13 - 709 (Лот 291393)</v>
      </c>
      <c r="E1331" s="1436">
        <f>IFERROR(__xludf.DUMMYFUNCTION("""COMPUTED_VALUE"""),45905.0)</f>
        <v>45905</v>
      </c>
      <c r="F1331" s="1436">
        <f>IFERROR(__xludf.DUMMYFUNCTION("""COMPUTED_VALUE"""),45912.0)</f>
        <v>45912</v>
      </c>
      <c r="G1331" s="1430">
        <f>IFERROR(__xludf.DUMMYFUNCTION("""COMPUTED_VALUE"""),7.0)</f>
        <v>7</v>
      </c>
      <c r="H1331" s="94">
        <f t="shared" si="1"/>
        <v>9</v>
      </c>
    </row>
    <row r="1332" ht="15.75" customHeight="1">
      <c r="A1332" s="94" t="str">
        <f>IFERROR(__xludf.DUMMYFUNCTION("""COMPUTED_VALUE"""),"DL 14-506")</f>
        <v>DL 14-506</v>
      </c>
      <c r="B1332" s="94"/>
      <c r="C1332" s="94"/>
      <c r="D1332" s="94" t="str">
        <f>IFERROR(__xludf.DUMMYFUNCTION("""COMPUTED_VALUE"""),"4 DL 14 - 506 (Лот 296803)")</f>
        <v>4 DL 14 - 506 (Лот 296803)</v>
      </c>
      <c r="E1332" s="1436">
        <f>IFERROR(__xludf.DUMMYFUNCTION("""COMPUTED_VALUE"""),45905.0)</f>
        <v>45905</v>
      </c>
      <c r="F1332" s="1436">
        <f>IFERROR(__xludf.DUMMYFUNCTION("""COMPUTED_VALUE"""),45908.0)</f>
        <v>45908</v>
      </c>
      <c r="G1332" s="1430">
        <f>IFERROR(__xludf.DUMMYFUNCTION("""COMPUTED_VALUE"""),3.0)</f>
        <v>3</v>
      </c>
      <c r="H1332" s="94">
        <f t="shared" si="1"/>
        <v>9</v>
      </c>
    </row>
    <row r="1333" ht="15.75" customHeight="1">
      <c r="A1333" s="1164" t="str">
        <f>IFERROR(__xludf.DUMMYFUNCTION("""COMPUTED_VALUE"""),"DL 14-516")</f>
        <v>DL 14-516</v>
      </c>
      <c r="B1333" s="94"/>
      <c r="C1333" s="94"/>
      <c r="D1333" s="94" t="str">
        <f>IFERROR(__xludf.DUMMYFUNCTION("""COMPUTED_VALUE"""),"4 DL 14 - 516 (1+1) (Лот 233401)")</f>
        <v>4 DL 14 - 516 (1+1) (Лот 233401)</v>
      </c>
      <c r="E1333" s="1436">
        <f>IFERROR(__xludf.DUMMYFUNCTION("""COMPUTED_VALUE"""),45905.0)</f>
        <v>45905</v>
      </c>
      <c r="F1333" s="1436">
        <f>IFERROR(__xludf.DUMMYFUNCTION("""COMPUTED_VALUE"""),45908.0)</f>
        <v>45908</v>
      </c>
      <c r="G1333" s="1430">
        <f>IFERROR(__xludf.DUMMYFUNCTION("""COMPUTED_VALUE"""),3.0)</f>
        <v>3</v>
      </c>
      <c r="H1333" s="94">
        <f t="shared" si="1"/>
        <v>9</v>
      </c>
    </row>
    <row r="1334" ht="15.75" customHeight="1">
      <c r="A1334" s="94" t="str">
        <f>IFERROR(__xludf.DUMMYFUNCTION("""COMPUTED_VALUE"""),"NW 10-6")</f>
        <v>NW 10-6</v>
      </c>
      <c r="B1334" s="94"/>
      <c r="C1334" s="94"/>
      <c r="D1334" s="94" t="str">
        <f>IFERROR(__xludf.DUMMYFUNCTION("""COMPUTED_VALUE"""),"3 NW 1006 (Лот 289905)")</f>
        <v>3 NW 1006 (Лот 289905)</v>
      </c>
      <c r="E1334" s="1436">
        <f>IFERROR(__xludf.DUMMYFUNCTION("""COMPUTED_VALUE"""),45905.0)</f>
        <v>45905</v>
      </c>
      <c r="F1334" s="1436">
        <f>IFERROR(__xludf.DUMMYFUNCTION("""COMPUTED_VALUE"""),45908.0)</f>
        <v>45908</v>
      </c>
      <c r="G1334" s="1430">
        <f>IFERROR(__xludf.DUMMYFUNCTION("""COMPUTED_VALUE"""),3.0)</f>
        <v>3</v>
      </c>
      <c r="H1334" s="94">
        <f t="shared" si="1"/>
        <v>9</v>
      </c>
    </row>
    <row r="1335" ht="15.75" customHeight="1">
      <c r="A1335" s="1164" t="str">
        <f>IFERROR(__xludf.DUMMYFUNCTION("""COMPUTED_VALUE"""),"DL14-518")</f>
        <v>DL14-518</v>
      </c>
      <c r="B1335" s="94"/>
      <c r="C1335" s="94"/>
      <c r="D1335" s="94" t="str">
        <f>IFERROR(__xludf.DUMMYFUNCTION("""COMPUTED_VALUE"""),"4 DL 14 - 518 (Лот 233360)")</f>
        <v>4 DL 14 - 518 (Лот 233360)</v>
      </c>
      <c r="E1335" s="1436">
        <f>IFERROR(__xludf.DUMMYFUNCTION("""COMPUTED_VALUE"""),45905.0)</f>
        <v>45905</v>
      </c>
      <c r="F1335" s="1436">
        <f>IFERROR(__xludf.DUMMYFUNCTION("""COMPUTED_VALUE"""),45908.0)</f>
        <v>45908</v>
      </c>
      <c r="G1335" s="1430">
        <f>IFERROR(__xludf.DUMMYFUNCTION("""COMPUTED_VALUE"""),3.0)</f>
        <v>3</v>
      </c>
      <c r="H1335" s="94">
        <f t="shared" si="1"/>
        <v>9</v>
      </c>
    </row>
    <row r="1336" ht="15.75" customHeight="1">
      <c r="A1336" s="94" t="str">
        <f>IFERROR(__xludf.DUMMYFUNCTION("""COMPUTED_VALUE"""),"MZ 718")</f>
        <v>MZ 718</v>
      </c>
      <c r="B1336" s="94"/>
      <c r="C1336" s="94"/>
      <c r="D1336" s="94" t="str">
        <f>IFERROR(__xludf.DUMMYFUNCTION("""COMPUTED_VALUE"""),"3 MZ 718, 913 (Лот 269699)")</f>
        <v>3 MZ 718, 913 (Лот 269699)</v>
      </c>
      <c r="E1336" s="1436">
        <f>IFERROR(__xludf.DUMMYFUNCTION("""COMPUTED_VALUE"""),45904.0)</f>
        <v>45904</v>
      </c>
      <c r="F1336" s="1436">
        <f>IFERROR(__xludf.DUMMYFUNCTION("""COMPUTED_VALUE"""),45908.0)</f>
        <v>45908</v>
      </c>
      <c r="G1336" s="1430">
        <f>IFERROR(__xludf.DUMMYFUNCTION("""COMPUTED_VALUE"""),4.0)</f>
        <v>4</v>
      </c>
      <c r="H1336" s="94">
        <f t="shared" si="1"/>
        <v>9</v>
      </c>
    </row>
    <row r="1337" ht="15.75" customHeight="1">
      <c r="A1337" s="1164" t="str">
        <f>IFERROR(__xludf.DUMMYFUNCTION("""COMPUTED_VALUE"""),"WS A 409")</f>
        <v>WS A 409</v>
      </c>
      <c r="B1337" s="94"/>
      <c r="C1337" s="94"/>
      <c r="D1337" s="94" t="str">
        <f>IFERROR(__xludf.DUMMYFUNCTION("""COMPUTED_VALUE"""),"1 WS A 409 (Лот 233355)")</f>
        <v>1 WS A 409 (Лот 233355)</v>
      </c>
      <c r="E1337" s="1436">
        <f>IFERROR(__xludf.DUMMYFUNCTION("""COMPUTED_VALUE"""),45904.0)</f>
        <v>45904</v>
      </c>
      <c r="F1337" s="1436">
        <f>IFERROR(__xludf.DUMMYFUNCTION("""COMPUTED_VALUE"""),45932.0)</f>
        <v>45932</v>
      </c>
      <c r="G1337" s="1430">
        <f>IFERROR(__xludf.DUMMYFUNCTION("""COMPUTED_VALUE"""),28.0)</f>
        <v>28</v>
      </c>
      <c r="H1337" s="94">
        <f t="shared" si="1"/>
        <v>9</v>
      </c>
    </row>
    <row r="1338" ht="15.75" customHeight="1">
      <c r="A1338" s="1164" t="str">
        <f>IFERROR(__xludf.DUMMYFUNCTION("""COMPUTED_VALUE"""),"C 4245")</f>
        <v>C 4245</v>
      </c>
      <c r="B1338" s="94"/>
      <c r="C1338" s="94"/>
      <c r="D1338" s="94" t="str">
        <f>IFERROR(__xludf.DUMMYFUNCTION("""COMPUTED_VALUE"""),"2 Orbi C 4245 (Лот 233298)")</f>
        <v>2 Orbi C 4245 (Лот 233298)</v>
      </c>
      <c r="E1338" s="1436">
        <f>IFERROR(__xludf.DUMMYFUNCTION("""COMPUTED_VALUE"""),45904.0)</f>
        <v>45904</v>
      </c>
      <c r="F1338" s="1436">
        <f>IFERROR(__xludf.DUMMYFUNCTION("""COMPUTED_VALUE"""),45908.0)</f>
        <v>45908</v>
      </c>
      <c r="G1338" s="1430">
        <f>IFERROR(__xludf.DUMMYFUNCTION("""COMPUTED_VALUE"""),4.0)</f>
        <v>4</v>
      </c>
      <c r="H1338" s="94">
        <f t="shared" si="1"/>
        <v>9</v>
      </c>
    </row>
    <row r="1339" ht="15.75" customHeight="1">
      <c r="A1339" s="94" t="str">
        <f>IFERROR(__xludf.DUMMYFUNCTION("""COMPUTED_VALUE"""),"DL 13-206")</f>
        <v>DL 13-206</v>
      </c>
      <c r="B1339" s="94"/>
      <c r="C1339" s="94"/>
      <c r="D1339" s="94" t="str">
        <f>IFERROR(__xludf.DUMMYFUNCTION("""COMPUTED_VALUE"""),"4 DL 13 - 206 (Лот 291575)")</f>
        <v>4 DL 13 - 206 (Лот 291575)</v>
      </c>
      <c r="E1339" s="1436">
        <f>IFERROR(__xludf.DUMMYFUNCTION("""COMPUTED_VALUE"""),45904.0)</f>
        <v>45904</v>
      </c>
      <c r="F1339" s="1436">
        <f>IFERROR(__xludf.DUMMYFUNCTION("""COMPUTED_VALUE"""),45906.0)</f>
        <v>45906</v>
      </c>
      <c r="G1339" s="1430">
        <f>IFERROR(__xludf.DUMMYFUNCTION("""COMPUTED_VALUE"""),2.0)</f>
        <v>2</v>
      </c>
      <c r="H1339" s="94">
        <f t="shared" si="1"/>
        <v>9</v>
      </c>
    </row>
    <row r="1340" ht="15.75" customHeight="1">
      <c r="A1340" s="1164" t="str">
        <f>IFERROR(__xludf.DUMMYFUNCTION("""COMPUTED_VALUE"""),"DL14-1710")</f>
        <v>DL14-1710</v>
      </c>
      <c r="B1340" s="94"/>
      <c r="C1340" s="94"/>
      <c r="D1340" s="94" t="str">
        <f>IFERROR(__xludf.DUMMYFUNCTION("""COMPUTED_VALUE"""),"4 DL 14 - 1710 (Лот 284212)")</f>
        <v>4 DL 14 - 1710 (Лот 284212)</v>
      </c>
      <c r="E1340" s="1436">
        <f>IFERROR(__xludf.DUMMYFUNCTION("""COMPUTED_VALUE"""),45904.0)</f>
        <v>45904</v>
      </c>
      <c r="F1340" s="1436">
        <f>IFERROR(__xludf.DUMMYFUNCTION("""COMPUTED_VALUE"""),45907.0)</f>
        <v>45907</v>
      </c>
      <c r="G1340" s="1430">
        <f>IFERROR(__xludf.DUMMYFUNCTION("""COMPUTED_VALUE"""),3.0)</f>
        <v>3</v>
      </c>
      <c r="H1340" s="94">
        <f t="shared" si="1"/>
        <v>9</v>
      </c>
    </row>
    <row r="1341" ht="15.75" customHeight="1">
      <c r="A1341" s="94" t="str">
        <f>IFERROR(__xludf.DUMMYFUNCTION("""COMPUTED_VALUE"""),"С 1125")</f>
        <v>С 1125</v>
      </c>
      <c r="B1341" s="94"/>
      <c r="C1341" s="94"/>
      <c r="D1341" s="94" t="str">
        <f>IFERROR(__xludf.DUMMYFUNCTION("""COMPUTED_VALUE"""),"2 Orbi C 1125 (Лот 233326)")</f>
        <v>2 Orbi C 1125 (Лот 233326)</v>
      </c>
      <c r="E1341" s="1436">
        <f>IFERROR(__xludf.DUMMYFUNCTION("""COMPUTED_VALUE"""),45904.0)</f>
        <v>45904</v>
      </c>
      <c r="F1341" s="1436">
        <f>IFERROR(__xludf.DUMMYFUNCTION("""COMPUTED_VALUE"""),45907.0)</f>
        <v>45907</v>
      </c>
      <c r="G1341" s="1430">
        <f>IFERROR(__xludf.DUMMYFUNCTION("""COMPUTED_VALUE"""),3.0)</f>
        <v>3</v>
      </c>
      <c r="H1341" s="94">
        <f t="shared" si="1"/>
        <v>9</v>
      </c>
    </row>
    <row r="1342" ht="15.75" customHeight="1">
      <c r="A1342" s="1164" t="str">
        <f>IFERROR(__xludf.DUMMYFUNCTION("""COMPUTED_VALUE"""),"DL 11-1305")</f>
        <v>DL 11-1305</v>
      </c>
      <c r="B1342" s="94"/>
      <c r="C1342" s="94"/>
      <c r="D1342" s="94" t="str">
        <f>IFERROR(__xludf.DUMMYFUNCTION("""COMPUTED_VALUE"""),"4 DL 11 - 1305 (1+1) (Лот 234970)")</f>
        <v>4 DL 11 - 1305 (1+1) (Лот 234970)</v>
      </c>
      <c r="E1342" s="1436">
        <f>IFERROR(__xludf.DUMMYFUNCTION("""COMPUTED_VALUE"""),45904.0)</f>
        <v>45904</v>
      </c>
      <c r="F1342" s="1436">
        <f>IFERROR(__xludf.DUMMYFUNCTION("""COMPUTED_VALUE"""),45907.0)</f>
        <v>45907</v>
      </c>
      <c r="G1342" s="1430">
        <f>IFERROR(__xludf.DUMMYFUNCTION("""COMPUTED_VALUE"""),3.0)</f>
        <v>3</v>
      </c>
      <c r="H1342" s="94">
        <f t="shared" si="1"/>
        <v>9</v>
      </c>
    </row>
    <row r="1343" ht="15.75" customHeight="1">
      <c r="A1343" s="94" t="str">
        <f>IFERROR(__xludf.DUMMYFUNCTION("""COMPUTED_VALUE"""),"TGA3")</f>
        <v>TGA3</v>
      </c>
      <c r="B1343" s="94"/>
      <c r="C1343" s="94"/>
      <c r="D1343" s="94" t="str">
        <f>IFERROR(__xludf.DUMMYFUNCTION("""COMPUTED_VALUE"""),"6 TG Студия с видом на море А3, А5, А6, А8 (Лот 268012)")</f>
        <v>6 TG Студия с видом на море А3, А5, А6, А8 (Лот 268012)</v>
      </c>
      <c r="E1343" s="1436">
        <f>IFERROR(__xludf.DUMMYFUNCTION("""COMPUTED_VALUE"""),45904.0)</f>
        <v>45904</v>
      </c>
      <c r="F1343" s="1436">
        <f>IFERROR(__xludf.DUMMYFUNCTION("""COMPUTED_VALUE"""),45905.0)</f>
        <v>45905</v>
      </c>
      <c r="G1343" s="1430">
        <f>IFERROR(__xludf.DUMMYFUNCTION("""COMPUTED_VALUE"""),1.0)</f>
        <v>1</v>
      </c>
      <c r="H1343" s="94">
        <f t="shared" si="1"/>
        <v>9</v>
      </c>
    </row>
    <row r="1344" ht="15.75" customHeight="1">
      <c r="A1344" s="94" t="str">
        <f>IFERROR(__xludf.DUMMYFUNCTION("""COMPUTED_VALUE"""),"4.DL 13 - 201 (Лот 299722)")</f>
        <v>4.DL 13 - 201 (Лот 299722)</v>
      </c>
      <c r="B1344" s="94"/>
      <c r="C1344" s="94"/>
      <c r="D1344" s="94" t="str">
        <f>IFERROR(__xludf.DUMMYFUNCTION("""COMPUTED_VALUE"""),"4 DL 13 - 201 (Лот 299722)")</f>
        <v>4 DL 13 - 201 (Лот 299722)</v>
      </c>
      <c r="E1344" s="1436">
        <f>IFERROR(__xludf.DUMMYFUNCTION("""COMPUTED_VALUE"""),45904.0)</f>
        <v>45904</v>
      </c>
      <c r="F1344" s="1436">
        <f>IFERROR(__xludf.DUMMYFUNCTION("""COMPUTED_VALUE"""),45907.0)</f>
        <v>45907</v>
      </c>
      <c r="G1344" s="1430">
        <f>IFERROR(__xludf.DUMMYFUNCTION("""COMPUTED_VALUE"""),3.0)</f>
        <v>3</v>
      </c>
      <c r="H1344" s="94">
        <f t="shared" si="1"/>
        <v>9</v>
      </c>
    </row>
    <row r="1345" ht="15.75" customHeight="1">
      <c r="A1345" s="1164" t="str">
        <f>IFERROR(__xludf.DUMMYFUNCTION("""COMPUTED_VALUE"""),"DL 14-1214")</f>
        <v>DL 14-1214</v>
      </c>
      <c r="B1345" s="94"/>
      <c r="C1345" s="94"/>
      <c r="D1345" s="94" t="str">
        <f>IFERROR(__xludf.DUMMYFUNCTION("""COMPUTED_VALUE"""),"4 DL 14 - 1214 (Лот 233420)")</f>
        <v>4 DL 14 - 1214 (Лот 233420)</v>
      </c>
      <c r="E1345" s="1436">
        <f>IFERROR(__xludf.DUMMYFUNCTION("""COMPUTED_VALUE"""),45904.0)</f>
        <v>45904</v>
      </c>
      <c r="F1345" s="1436">
        <f>IFERROR(__xludf.DUMMYFUNCTION("""COMPUTED_VALUE"""),45907.0)</f>
        <v>45907</v>
      </c>
      <c r="G1345" s="1430">
        <f>IFERROR(__xludf.DUMMYFUNCTION("""COMPUTED_VALUE"""),3.0)</f>
        <v>3</v>
      </c>
      <c r="H1345" s="94">
        <f t="shared" si="1"/>
        <v>9</v>
      </c>
    </row>
    <row r="1346" ht="15.75" customHeight="1">
      <c r="A1346" s="1164" t="str">
        <f>IFERROR(__xludf.DUMMYFUNCTION("""COMPUTED_VALUE"""),"14-411")</f>
        <v>14-411</v>
      </c>
      <c r="B1346" s="94"/>
      <c r="C1346" s="94"/>
      <c r="D1346" s="94" t="str">
        <f>IFERROR(__xludf.DUMMYFUNCTION("""COMPUTED_VALUE"""),"4 DL 14 - 411 (Лот 233419)")</f>
        <v>4 DL 14 - 411 (Лот 233419)</v>
      </c>
      <c r="E1346" s="1436">
        <f>IFERROR(__xludf.DUMMYFUNCTION("""COMPUTED_VALUE"""),45904.0)</f>
        <v>45904</v>
      </c>
      <c r="F1346" s="1436">
        <f>IFERROR(__xludf.DUMMYFUNCTION("""COMPUTED_VALUE"""),45907.0)</f>
        <v>45907</v>
      </c>
      <c r="G1346" s="1430">
        <f>IFERROR(__xludf.DUMMYFUNCTION("""COMPUTED_VALUE"""),3.0)</f>
        <v>3</v>
      </c>
      <c r="H1346" s="94">
        <f t="shared" si="1"/>
        <v>9</v>
      </c>
    </row>
    <row r="1347" ht="15.75" customHeight="1">
      <c r="A1347" s="94" t="str">
        <f>IFERROR(__xludf.DUMMYFUNCTION("""COMPUTED_VALUE"""),"PT2704")</f>
        <v>PT2704</v>
      </c>
      <c r="B1347" s="94"/>
      <c r="C1347" s="94"/>
      <c r="D1347" s="94" t="str">
        <f>IFERROR(__xludf.DUMMYFUNCTION("""COMPUTED_VALUE"""),"3 PB 2704 (Лот 265740)")</f>
        <v>3 PB 2704 (Лот 265740)</v>
      </c>
      <c r="E1347" s="1436">
        <f>IFERROR(__xludf.DUMMYFUNCTION("""COMPUTED_VALUE"""),45903.0)</f>
        <v>45903</v>
      </c>
      <c r="F1347" s="1436">
        <f>IFERROR(__xludf.DUMMYFUNCTION("""COMPUTED_VALUE"""),45906.0)</f>
        <v>45906</v>
      </c>
      <c r="G1347" s="1430">
        <f>IFERROR(__xludf.DUMMYFUNCTION("""COMPUTED_VALUE"""),3.0)</f>
        <v>3</v>
      </c>
      <c r="H1347" s="94">
        <f t="shared" si="1"/>
        <v>9</v>
      </c>
    </row>
    <row r="1348" ht="15.75" customHeight="1">
      <c r="A1348" s="94" t="str">
        <f>IFERROR(__xludf.DUMMYFUNCTION("""COMPUTED_VALUE"""),"MZ 913")</f>
        <v>MZ 913</v>
      </c>
      <c r="B1348" s="94"/>
      <c r="C1348" s="94"/>
      <c r="D1348" s="94" t="str">
        <f>IFERROR(__xludf.DUMMYFUNCTION("""COMPUTED_VALUE"""),"3 MZ 718, 913 (Лот 269699)")</f>
        <v>3 MZ 718, 913 (Лот 269699)</v>
      </c>
      <c r="E1348" s="1436">
        <f>IFERROR(__xludf.DUMMYFUNCTION("""COMPUTED_VALUE"""),45903.0)</f>
        <v>45903</v>
      </c>
      <c r="F1348" s="1436">
        <f>IFERROR(__xludf.DUMMYFUNCTION("""COMPUTED_VALUE"""),45907.0)</f>
        <v>45907</v>
      </c>
      <c r="G1348" s="1430">
        <f>IFERROR(__xludf.DUMMYFUNCTION("""COMPUTED_VALUE"""),4.0)</f>
        <v>4</v>
      </c>
      <c r="H1348" s="94">
        <f t="shared" si="1"/>
        <v>9</v>
      </c>
    </row>
    <row r="1349" ht="15.75" customHeight="1">
      <c r="A1349" s="94" t="str">
        <f>IFERROR(__xludf.DUMMYFUNCTION("""COMPUTED_VALUE"""),"TGA5")</f>
        <v>TGA5</v>
      </c>
      <c r="B1349" s="94"/>
      <c r="C1349" s="94"/>
      <c r="D1349" s="94" t="str">
        <f>IFERROR(__xludf.DUMMYFUNCTION("""COMPUTED_VALUE"""),"6 TG Студия с видом на море А3, А5, А6, А8 (Лот 268012)")</f>
        <v>6 TG Студия с видом на море А3, А5, А6, А8 (Лот 268012)</v>
      </c>
      <c r="E1349" s="1436">
        <f>IFERROR(__xludf.DUMMYFUNCTION("""COMPUTED_VALUE"""),45903.0)</f>
        <v>45903</v>
      </c>
      <c r="F1349" s="1436">
        <f>IFERROR(__xludf.DUMMYFUNCTION("""COMPUTED_VALUE"""),45910.0)</f>
        <v>45910</v>
      </c>
      <c r="G1349" s="1430">
        <f>IFERROR(__xludf.DUMMYFUNCTION("""COMPUTED_VALUE"""),7.0)</f>
        <v>7</v>
      </c>
      <c r="H1349" s="94">
        <f t="shared" si="1"/>
        <v>9</v>
      </c>
    </row>
    <row r="1350" ht="15.75" customHeight="1">
      <c r="A1350" s="94" t="str">
        <f>IFERROR(__xludf.DUMMYFUNCTION("""COMPUTED_VALUE"""),"CM 1604")</f>
        <v>CM 1604</v>
      </c>
      <c r="B1350" s="94"/>
      <c r="C1350" s="94"/>
      <c r="D1350" s="94" t="str">
        <f>IFERROR(__xludf.DUMMYFUNCTION("""COMPUTED_VALUE"""),"3 Mar 1604 (Лот 233303)")</f>
        <v>3 Mar 1604 (Лот 233303)</v>
      </c>
      <c r="E1350" s="1436">
        <f>IFERROR(__xludf.DUMMYFUNCTION("""COMPUTED_VALUE"""),45903.0)</f>
        <v>45903</v>
      </c>
      <c r="F1350" s="1436">
        <f>IFERROR(__xludf.DUMMYFUNCTION("""COMPUTED_VALUE"""),45906.0)</f>
        <v>45906</v>
      </c>
      <c r="G1350" s="1430">
        <f>IFERROR(__xludf.DUMMYFUNCTION("""COMPUTED_VALUE"""),3.0)</f>
        <v>3</v>
      </c>
      <c r="H1350" s="94">
        <f t="shared" si="1"/>
        <v>9</v>
      </c>
    </row>
    <row r="1351" ht="15.75" customHeight="1">
      <c r="A1351" s="1164" t="str">
        <f>IFERROR(__xludf.DUMMYFUNCTION("""COMPUTED_VALUE"""),"WS E704")</f>
        <v>WS E704</v>
      </c>
      <c r="B1351" s="94"/>
      <c r="C1351" s="94"/>
      <c r="D1351" s="94" t="str">
        <f>IFERROR(__xludf.DUMMYFUNCTION("""COMPUTED_VALUE"""),"1 WS E 704 (Лот 233383)")</f>
        <v>1 WS E 704 (Лот 233383)</v>
      </c>
      <c r="E1351" s="1436">
        <f>IFERROR(__xludf.DUMMYFUNCTION("""COMPUTED_VALUE"""),45903.0)</f>
        <v>45903</v>
      </c>
      <c r="F1351" s="1436">
        <f>IFERROR(__xludf.DUMMYFUNCTION("""COMPUTED_VALUE"""),45911.0)</f>
        <v>45911</v>
      </c>
      <c r="G1351" s="1430">
        <f>IFERROR(__xludf.DUMMYFUNCTION("""COMPUTED_VALUE"""),8.0)</f>
        <v>8</v>
      </c>
      <c r="H1351" s="94">
        <f t="shared" si="1"/>
        <v>9</v>
      </c>
    </row>
    <row r="1352" ht="15.75" customHeight="1">
      <c r="A1352" s="1164" t="str">
        <f>IFERROR(__xludf.DUMMYFUNCTION("""COMPUTED_VALUE"""),"DL 14-505")</f>
        <v>DL 14-505</v>
      </c>
      <c r="B1352" s="94"/>
      <c r="C1352" s="94"/>
      <c r="D1352" s="94" t="str">
        <f>IFERROR(__xludf.DUMMYFUNCTION("""COMPUTED_VALUE"""),"4 DL 14 - 505 (Лот 233426)")</f>
        <v>4 DL 14 - 505 (Лот 233426)</v>
      </c>
      <c r="E1352" s="1436">
        <f>IFERROR(__xludf.DUMMYFUNCTION("""COMPUTED_VALUE"""),45903.0)</f>
        <v>45903</v>
      </c>
      <c r="F1352" s="1436">
        <f>IFERROR(__xludf.DUMMYFUNCTION("""COMPUTED_VALUE"""),45906.0)</f>
        <v>45906</v>
      </c>
      <c r="G1352" s="1430">
        <f>IFERROR(__xludf.DUMMYFUNCTION("""COMPUTED_VALUE"""),3.0)</f>
        <v>3</v>
      </c>
      <c r="H1352" s="94">
        <f t="shared" si="1"/>
        <v>9</v>
      </c>
    </row>
    <row r="1353" ht="15.75" customHeight="1">
      <c r="A1353" s="1164" t="str">
        <f>IFERROR(__xludf.DUMMYFUNCTION("""COMPUTED_VALUE"""),"WS A 608")</f>
        <v>WS A 608</v>
      </c>
      <c r="B1353" s="94"/>
      <c r="C1353" s="94"/>
      <c r="D1353" s="94" t="str">
        <f>IFERROR(__xludf.DUMMYFUNCTION("""COMPUTED_VALUE"""),"1 WS A 608 (Лот 233370)")</f>
        <v>1 WS A 608 (Лот 233370)</v>
      </c>
      <c r="E1353" s="1436">
        <f>IFERROR(__xludf.DUMMYFUNCTION("""COMPUTED_VALUE"""),45903.0)</f>
        <v>45903</v>
      </c>
      <c r="F1353" s="1436">
        <f>IFERROR(__xludf.DUMMYFUNCTION("""COMPUTED_VALUE"""),45907.0)</f>
        <v>45907</v>
      </c>
      <c r="G1353" s="1430">
        <f>IFERROR(__xludf.DUMMYFUNCTION("""COMPUTED_VALUE"""),4.0)</f>
        <v>4</v>
      </c>
      <c r="H1353" s="94">
        <f t="shared" si="1"/>
        <v>9</v>
      </c>
    </row>
    <row r="1354" ht="15.75" customHeight="1">
      <c r="A1354" s="1164" t="str">
        <f>IFERROR(__xludf.DUMMYFUNCTION("""COMPUTED_VALUE"""),"WS Е804")</f>
        <v>WS Е804</v>
      </c>
      <c r="B1354" s="94"/>
      <c r="C1354" s="94"/>
      <c r="D1354" s="94" t="str">
        <f>IFERROR(__xludf.DUMMYFUNCTION("""COMPUTED_VALUE"""),"1 WS E 804 (Лот 233350)")</f>
        <v>1 WS E 804 (Лот 233350)</v>
      </c>
      <c r="E1354" s="1436">
        <f>IFERROR(__xludf.DUMMYFUNCTION("""COMPUTED_VALUE"""),45903.0)</f>
        <v>45903</v>
      </c>
      <c r="F1354" s="1436">
        <f>IFERROR(__xludf.DUMMYFUNCTION("""COMPUTED_VALUE"""),45907.0)</f>
        <v>45907</v>
      </c>
      <c r="G1354" s="1430">
        <f>IFERROR(__xludf.DUMMYFUNCTION("""COMPUTED_VALUE"""),4.0)</f>
        <v>4</v>
      </c>
      <c r="H1354" s="94">
        <f t="shared" si="1"/>
        <v>9</v>
      </c>
    </row>
    <row r="1355" ht="15.75" customHeight="1">
      <c r="A1355" s="94" t="str">
        <f>IFERROR(__xludf.DUMMYFUNCTION("""COMPUTED_VALUE"""),"DL 13-703")</f>
        <v>DL 13-703</v>
      </c>
      <c r="B1355" s="94"/>
      <c r="C1355" s="94"/>
      <c r="D1355" s="94" t="str">
        <f>IFERROR(__xludf.DUMMYFUNCTION("""COMPUTED_VALUE"""),"4 DL 13 - 703 (1+1) (Лот 293099)")</f>
        <v>4 DL 13 - 703 (1+1) (Лот 293099)</v>
      </c>
      <c r="E1355" s="1436">
        <f>IFERROR(__xludf.DUMMYFUNCTION("""COMPUTED_VALUE"""),45903.0)</f>
        <v>45903</v>
      </c>
      <c r="F1355" s="1436">
        <f>IFERROR(__xludf.DUMMYFUNCTION("""COMPUTED_VALUE"""),45911.0)</f>
        <v>45911</v>
      </c>
      <c r="G1355" s="1430">
        <f>IFERROR(__xludf.DUMMYFUNCTION("""COMPUTED_VALUE"""),8.0)</f>
        <v>8</v>
      </c>
      <c r="H1355" s="94">
        <f t="shared" si="1"/>
        <v>9</v>
      </c>
    </row>
    <row r="1356" ht="15.75" customHeight="1">
      <c r="A1356" s="1164" t="str">
        <f>IFERROR(__xludf.DUMMYFUNCTION("""COMPUTED_VALUE"""),"DL14-1405")</f>
        <v>DL14-1405</v>
      </c>
      <c r="B1356" s="94"/>
      <c r="C1356" s="94"/>
      <c r="D1356" s="94" t="str">
        <f>IFERROR(__xludf.DUMMYFUNCTION("""COMPUTED_VALUE"""),"4 DL 14 - 1405 (1+1) (Лот 233395)")</f>
        <v>4 DL 14 - 1405 (1+1) (Лот 233395)</v>
      </c>
      <c r="E1356" s="1436">
        <f>IFERROR(__xludf.DUMMYFUNCTION("""COMPUTED_VALUE"""),45903.0)</f>
        <v>45903</v>
      </c>
      <c r="F1356" s="1436">
        <f>IFERROR(__xludf.DUMMYFUNCTION("""COMPUTED_VALUE"""),45909.0)</f>
        <v>45909</v>
      </c>
      <c r="G1356" s="1430">
        <f>IFERROR(__xludf.DUMMYFUNCTION("""COMPUTED_VALUE"""),6.0)</f>
        <v>6</v>
      </c>
      <c r="H1356" s="94">
        <f t="shared" si="1"/>
        <v>9</v>
      </c>
    </row>
    <row r="1357" ht="15.75" customHeight="1">
      <c r="A1357" s="1164" t="str">
        <f>IFERROR(__xludf.DUMMYFUNCTION("""COMPUTED_VALUE"""),"WS В 1510")</f>
        <v>WS В 1510</v>
      </c>
      <c r="B1357" s="94"/>
      <c r="C1357" s="94"/>
      <c r="D1357" s="94" t="str">
        <f>IFERROR(__xludf.DUMMYFUNCTION("""COMPUTED_VALUE"""),"1 WS B 1510 (Лот 233316)")</f>
        <v>1 WS B 1510 (Лот 233316)</v>
      </c>
      <c r="E1357" s="1436">
        <f>IFERROR(__xludf.DUMMYFUNCTION("""COMPUTED_VALUE"""),45903.0)</f>
        <v>45903</v>
      </c>
      <c r="F1357" s="1436">
        <f>IFERROR(__xludf.DUMMYFUNCTION("""COMPUTED_VALUE"""),45909.0)</f>
        <v>45909</v>
      </c>
      <c r="G1357" s="1430">
        <f>IFERROR(__xludf.DUMMYFUNCTION("""COMPUTED_VALUE"""),6.0)</f>
        <v>6</v>
      </c>
      <c r="H1357" s="94">
        <f t="shared" si="1"/>
        <v>9</v>
      </c>
    </row>
    <row r="1358" ht="15.75" customHeight="1">
      <c r="A1358" s="94" t="str">
        <f>IFERROR(__xludf.DUMMYFUNCTION("""COMPUTED_VALUE"""),"TGA10")</f>
        <v>TGA10</v>
      </c>
      <c r="B1358" s="94"/>
      <c r="C1358" s="94"/>
      <c r="D1358" s="94" t="str">
        <f>IFERROR(__xludf.DUMMYFUNCTION("""COMPUTED_VALUE"""),"6 TG С 2 сп. блок А (А1, А10) (Лот 268000)")</f>
        <v>6 TG С 2 сп. блок А (А1, А10) (Лот 268000)</v>
      </c>
      <c r="E1358" s="1436">
        <f>IFERROR(__xludf.DUMMYFUNCTION("""COMPUTED_VALUE"""),45903.0)</f>
        <v>45903</v>
      </c>
      <c r="F1358" s="1436">
        <f>IFERROR(__xludf.DUMMYFUNCTION("""COMPUTED_VALUE"""),45907.0)</f>
        <v>45907</v>
      </c>
      <c r="G1358" s="1430">
        <f>IFERROR(__xludf.DUMMYFUNCTION("""COMPUTED_VALUE"""),4.0)</f>
        <v>4</v>
      </c>
      <c r="H1358" s="94">
        <f t="shared" si="1"/>
        <v>9</v>
      </c>
    </row>
    <row r="1359" ht="15.75" customHeight="1">
      <c r="A1359" s="94" t="str">
        <f>IFERROR(__xludf.DUMMYFUNCTION("""COMPUTED_VALUE"""),"NW 4-10")</f>
        <v>NW 4-10</v>
      </c>
      <c r="B1359" s="94"/>
      <c r="C1359" s="94"/>
      <c r="D1359" s="94" t="str">
        <f>IFERROR(__xludf.DUMMYFUNCTION("""COMPUTED_VALUE"""),"3 NW 410 (Лот 289904)")</f>
        <v>3 NW 410 (Лот 289904)</v>
      </c>
      <c r="E1359" s="1436">
        <f>IFERROR(__xludf.DUMMYFUNCTION("""COMPUTED_VALUE"""),45903.0)</f>
        <v>45903</v>
      </c>
      <c r="F1359" s="1436">
        <f>IFERROR(__xludf.DUMMYFUNCTION("""COMPUTED_VALUE"""),45932.0)</f>
        <v>45932</v>
      </c>
      <c r="G1359" s="1430">
        <f>IFERROR(__xludf.DUMMYFUNCTION("""COMPUTED_VALUE"""),29.0)</f>
        <v>29</v>
      </c>
      <c r="H1359" s="94">
        <f t="shared" si="1"/>
        <v>9</v>
      </c>
    </row>
    <row r="1360" ht="15.75" customHeight="1">
      <c r="A1360" s="1164" t="str">
        <f>IFERROR(__xludf.DUMMYFUNCTION("""COMPUTED_VALUE"""),"WS F 907")</f>
        <v>WS F 907</v>
      </c>
      <c r="B1360" s="94"/>
      <c r="C1360" s="94"/>
      <c r="D1360" s="94" t="str">
        <f>IFERROR(__xludf.DUMMYFUNCTION("""COMPUTED_VALUE"""),"1 WS F 907 (Лот 233314)")</f>
        <v>1 WS F 907 (Лот 233314)</v>
      </c>
      <c r="E1360" s="1436">
        <f>IFERROR(__xludf.DUMMYFUNCTION("""COMPUTED_VALUE"""),45903.0)</f>
        <v>45903</v>
      </c>
      <c r="F1360" s="1436">
        <f>IFERROR(__xludf.DUMMYFUNCTION("""COMPUTED_VALUE"""),45907.0)</f>
        <v>45907</v>
      </c>
      <c r="G1360" s="1430">
        <f>IFERROR(__xludf.DUMMYFUNCTION("""COMPUTED_VALUE"""),4.0)</f>
        <v>4</v>
      </c>
      <c r="H1360" s="94">
        <f t="shared" si="1"/>
        <v>9</v>
      </c>
    </row>
    <row r="1361" ht="15.75" customHeight="1">
      <c r="A1361" s="1164" t="str">
        <f>IFERROR(__xludf.DUMMYFUNCTION("""COMPUTED_VALUE"""),"WS E 1202")</f>
        <v>WS E 1202</v>
      </c>
      <c r="B1361" s="94"/>
      <c r="C1361" s="94"/>
      <c r="D1361" s="94" t="str">
        <f>IFERROR(__xludf.DUMMYFUNCTION("""COMPUTED_VALUE"""),"1 WS E 1202 (Лот 233379)")</f>
        <v>1 WS E 1202 (Лот 233379)</v>
      </c>
      <c r="E1361" s="1436">
        <f>IFERROR(__xludf.DUMMYFUNCTION("""COMPUTED_VALUE"""),45903.0)</f>
        <v>45903</v>
      </c>
      <c r="F1361" s="1436">
        <f>IFERROR(__xludf.DUMMYFUNCTION("""COMPUTED_VALUE"""),45906.0)</f>
        <v>45906</v>
      </c>
      <c r="G1361" s="1430">
        <f>IFERROR(__xludf.DUMMYFUNCTION("""COMPUTED_VALUE"""),3.0)</f>
        <v>3</v>
      </c>
      <c r="H1361" s="94">
        <f t="shared" si="1"/>
        <v>9</v>
      </c>
    </row>
    <row r="1362" ht="15.75" customHeight="1">
      <c r="A1362" s="94" t="str">
        <f>IFERROR(__xludf.DUMMYFUNCTION("""COMPUTED_VALUE"""),"NW 4-9")</f>
        <v>NW 4-9</v>
      </c>
      <c r="B1362" s="94"/>
      <c r="C1362" s="94"/>
      <c r="D1362" s="94" t="str">
        <f>IFERROR(__xludf.DUMMYFUNCTION("""COMPUTED_VALUE"""),"3 NW 409 (Лот 289895)")</f>
        <v>3 NW 409 (Лот 289895)</v>
      </c>
      <c r="E1362" s="1436">
        <f>IFERROR(__xludf.DUMMYFUNCTION("""COMPUTED_VALUE"""),45902.0)</f>
        <v>45902</v>
      </c>
      <c r="F1362" s="1436">
        <f>IFERROR(__xludf.DUMMYFUNCTION("""COMPUTED_VALUE"""),45907.0)</f>
        <v>45907</v>
      </c>
      <c r="G1362" s="1430">
        <f>IFERROR(__xludf.DUMMYFUNCTION("""COMPUTED_VALUE"""),5.0)</f>
        <v>5</v>
      </c>
      <c r="H1362" s="94">
        <f t="shared" si="1"/>
        <v>9</v>
      </c>
    </row>
    <row r="1363" ht="15.75" customHeight="1">
      <c r="A1363" s="94" t="str">
        <f>IFERROR(__xludf.DUMMYFUNCTION("""COMPUTED_VALUE"""),"D1 3902")</f>
        <v>D1 3902</v>
      </c>
      <c r="B1363" s="94"/>
      <c r="C1363" s="94"/>
      <c r="D1363" s="94" t="str">
        <f>IFERROR(__xludf.DUMMYFUNCTION("""COMPUTED_VALUE"""),"2 Orbi D 3902 (Лот 293635)")</f>
        <v>2 Orbi D 3902 (Лот 293635)</v>
      </c>
      <c r="E1363" s="1436">
        <f>IFERROR(__xludf.DUMMYFUNCTION("""COMPUTED_VALUE"""),45902.0)</f>
        <v>45902</v>
      </c>
      <c r="F1363" s="1436">
        <f>IFERROR(__xludf.DUMMYFUNCTION("""COMPUTED_VALUE"""),45907.0)</f>
        <v>45907</v>
      </c>
      <c r="G1363" s="1430">
        <f>IFERROR(__xludf.DUMMYFUNCTION("""COMPUTED_VALUE"""),5.0)</f>
        <v>5</v>
      </c>
      <c r="H1363" s="94">
        <f t="shared" si="1"/>
        <v>9</v>
      </c>
    </row>
    <row r="1364" ht="15.75" customHeight="1">
      <c r="A1364" s="94" t="str">
        <f>IFERROR(__xludf.DUMMYFUNCTION("""COMPUTED_VALUE"""),"TGA6")</f>
        <v>TGA6</v>
      </c>
      <c r="B1364" s="94"/>
      <c r="C1364" s="94"/>
      <c r="D1364" s="94" t="str">
        <f>IFERROR(__xludf.DUMMYFUNCTION("""COMPUTED_VALUE"""),"6 TG Студия с видом на море А3, А5, А6, А8 (Лот 268012)")</f>
        <v>6 TG Студия с видом на море А3, А5, А6, А8 (Лот 268012)</v>
      </c>
      <c r="E1364" s="1436">
        <f>IFERROR(__xludf.DUMMYFUNCTION("""COMPUTED_VALUE"""),45902.0)</f>
        <v>45902</v>
      </c>
      <c r="F1364" s="1436">
        <f>IFERROR(__xludf.DUMMYFUNCTION("""COMPUTED_VALUE"""),45905.0)</f>
        <v>45905</v>
      </c>
      <c r="G1364" s="1430">
        <f>IFERROR(__xludf.DUMMYFUNCTION("""COMPUTED_VALUE"""),3.0)</f>
        <v>3</v>
      </c>
      <c r="H1364" s="94">
        <f t="shared" si="1"/>
        <v>9</v>
      </c>
    </row>
    <row r="1365" ht="15.75" customHeight="1">
      <c r="A1365" s="94" t="str">
        <f>IFERROR(__xludf.DUMMYFUNCTION("""COMPUTED_VALUE"""),"MZ 1408")</f>
        <v>MZ 1408</v>
      </c>
      <c r="B1365" s="94"/>
      <c r="C1365" s="94"/>
      <c r="D1365" s="94" t="str">
        <f>IFERROR(__xludf.DUMMYFUNCTION("""COMPUTED_VALUE"""),"3 MZ 1408 (Лот 289834)")</f>
        <v>3 MZ 1408 (Лот 289834)</v>
      </c>
      <c r="E1365" s="1436">
        <f>IFERROR(__xludf.DUMMYFUNCTION("""COMPUTED_VALUE"""),45902.0)</f>
        <v>45902</v>
      </c>
      <c r="F1365" s="1436">
        <f>IFERROR(__xludf.DUMMYFUNCTION("""COMPUTED_VALUE"""),45905.0)</f>
        <v>45905</v>
      </c>
      <c r="G1365" s="1430">
        <f>IFERROR(__xludf.DUMMYFUNCTION("""COMPUTED_VALUE"""),3.0)</f>
        <v>3</v>
      </c>
      <c r="H1365" s="94">
        <f t="shared" si="1"/>
        <v>9</v>
      </c>
    </row>
    <row r="1366" ht="15.75" customHeight="1">
      <c r="A1366" s="94" t="str">
        <f>IFERROR(__xludf.DUMMYFUNCTION("""COMPUTED_VALUE"""),"TGB6")</f>
        <v>TGB6</v>
      </c>
      <c r="B1366" s="94"/>
      <c r="C1366" s="94"/>
      <c r="D1366" s="94" t="str">
        <f>IFERROR(__xludf.DUMMYFUNCTION("""COMPUTED_VALUE"""),"6 TG 1+1 Sunset (Б6, Б7) (Лот 268008)")</f>
        <v>6 TG 1+1 Sunset (Б6, Б7) (Лот 268008)</v>
      </c>
      <c r="E1366" s="1436">
        <f>IFERROR(__xludf.DUMMYFUNCTION("""COMPUTED_VALUE"""),45902.0)</f>
        <v>45902</v>
      </c>
      <c r="F1366" s="1436">
        <f>IFERROR(__xludf.DUMMYFUNCTION("""COMPUTED_VALUE"""),45907.0)</f>
        <v>45907</v>
      </c>
      <c r="G1366" s="1430">
        <f>IFERROR(__xludf.DUMMYFUNCTION("""COMPUTED_VALUE"""),5.0)</f>
        <v>5</v>
      </c>
      <c r="H1366" s="94">
        <f t="shared" si="1"/>
        <v>9</v>
      </c>
    </row>
    <row r="1367" ht="15.75" customHeight="1">
      <c r="A1367" s="94" t="str">
        <f>IFERROR(__xludf.DUMMYFUNCTION("""COMPUTED_VALUE"""),"TGB8")</f>
        <v>TGB8</v>
      </c>
      <c r="B1367" s="94"/>
      <c r="C1367" s="94"/>
      <c r="D1367" s="94" t="str">
        <f>IFERROR(__xludf.DUMMYFUNCTION("""COMPUTED_VALUE"""),"6 TG c 1 сп. блок А (А2, А4, А7, B8, A9) (Лот 263239)")</f>
        <v>6 TG c 1 сп. блок А (А2, А4, А7, B8, A9) (Лот 263239)</v>
      </c>
      <c r="E1367" s="1436">
        <f>IFERROR(__xludf.DUMMYFUNCTION("""COMPUTED_VALUE"""),45902.0)</f>
        <v>45902</v>
      </c>
      <c r="F1367" s="1436">
        <f>IFERROR(__xludf.DUMMYFUNCTION("""COMPUTED_VALUE"""),45907.0)</f>
        <v>45907</v>
      </c>
      <c r="G1367" s="1430">
        <f>IFERROR(__xludf.DUMMYFUNCTION("""COMPUTED_VALUE"""),5.0)</f>
        <v>5</v>
      </c>
      <c r="H1367" s="94">
        <f t="shared" si="1"/>
        <v>9</v>
      </c>
    </row>
    <row r="1368" ht="15.75" customHeight="1">
      <c r="A1368" s="1164" t="str">
        <f>IFERROR(__xludf.DUMMYFUNCTION("""COMPUTED_VALUE"""),"DL 11-1112")</f>
        <v>DL 11-1112</v>
      </c>
      <c r="B1368" s="94"/>
      <c r="C1368" s="94"/>
      <c r="D1368" s="94" t="str">
        <f>IFERROR(__xludf.DUMMYFUNCTION("""COMPUTED_VALUE"""),"4 DL 11 - 1112 (Лот 233410)")</f>
        <v>4 DL 11 - 1112 (Лот 233410)</v>
      </c>
      <c r="E1368" s="1436">
        <f>IFERROR(__xludf.DUMMYFUNCTION("""COMPUTED_VALUE"""),45902.0)</f>
        <v>45902</v>
      </c>
      <c r="F1368" s="1436">
        <f>IFERROR(__xludf.DUMMYFUNCTION("""COMPUTED_VALUE"""),45906.0)</f>
        <v>45906</v>
      </c>
      <c r="G1368" s="1430">
        <f>IFERROR(__xludf.DUMMYFUNCTION("""COMPUTED_VALUE"""),4.0)</f>
        <v>4</v>
      </c>
      <c r="H1368" s="94">
        <f t="shared" si="1"/>
        <v>9</v>
      </c>
    </row>
    <row r="1369" ht="15.75" customHeight="1">
      <c r="A1369" s="1164" t="str">
        <f>IFERROR(__xludf.DUMMYFUNCTION("""COMPUTED_VALUE"""),"Шар 2505")</f>
        <v>Шар 2505</v>
      </c>
      <c r="B1369" s="94"/>
      <c r="C1369" s="94"/>
      <c r="D1369" s="94" t="str">
        <f>IFERROR(__xludf.DUMMYFUNCTION("""COMPUTED_VALUE"""),"3 Sh8 2505 A (Лот 233423)")</f>
        <v>3 Sh8 2505 A (Лот 233423)</v>
      </c>
      <c r="E1369" s="1436">
        <f>IFERROR(__xludf.DUMMYFUNCTION("""COMPUTED_VALUE"""),45901.0)</f>
        <v>45901</v>
      </c>
      <c r="F1369" s="1439">
        <f>IFERROR(__xludf.DUMMYFUNCTION("""COMPUTED_VALUE"""),45945.0)</f>
        <v>45945</v>
      </c>
      <c r="G1369" s="1430">
        <f>IFERROR(__xludf.DUMMYFUNCTION("""COMPUTED_VALUE"""),44.0)</f>
        <v>44</v>
      </c>
      <c r="H1369" s="94">
        <f t="shared" si="1"/>
        <v>9</v>
      </c>
    </row>
    <row r="1370" ht="15.75" customHeight="1">
      <c r="A1370" s="94" t="str">
        <f>IFERROR(__xludf.DUMMYFUNCTION("""COMPUTED_VALUE"""),"DL7-16")</f>
        <v>DL7-16</v>
      </c>
      <c r="B1370" s="94"/>
      <c r="C1370" s="94"/>
      <c r="D1370" s="94" t="str">
        <f>IFERROR(__xludf.DUMMYFUNCTION("""COMPUTED_VALUE"""),"4 DL 7 - 16 (2+1) (Лот 284225)")</f>
        <v>4 DL 7 - 16 (2+1) (Лот 284225)</v>
      </c>
      <c r="E1370" s="1436">
        <f>IFERROR(__xludf.DUMMYFUNCTION("""COMPUTED_VALUE"""),45901.0)</f>
        <v>45901</v>
      </c>
      <c r="F1370" s="1436">
        <f>IFERROR(__xludf.DUMMYFUNCTION("""COMPUTED_VALUE"""),45907.0)</f>
        <v>45907</v>
      </c>
      <c r="G1370" s="1430">
        <f>IFERROR(__xludf.DUMMYFUNCTION("""COMPUTED_VALUE"""),6.0)</f>
        <v>6</v>
      </c>
      <c r="H1370" s="94">
        <f t="shared" si="1"/>
        <v>9</v>
      </c>
    </row>
    <row r="1371" ht="15.75" customHeight="1">
      <c r="A1371" s="94" t="str">
        <f>IFERROR(__xludf.DUMMYFUNCTION("""COMPUTED_VALUE"""),"MZ 1416")</f>
        <v>MZ 1416</v>
      </c>
      <c r="B1371" s="94"/>
      <c r="C1371" s="94"/>
      <c r="D1371" s="94" t="str">
        <f>IFERROR(__xludf.DUMMYFUNCTION("""COMPUTED_VALUE"""),"3 MZ 1416 (Лот 289819)")</f>
        <v>3 MZ 1416 (Лот 289819)</v>
      </c>
      <c r="E1371" s="1436">
        <f>IFERROR(__xludf.DUMMYFUNCTION("""COMPUTED_VALUE"""),45901.0)</f>
        <v>45901</v>
      </c>
      <c r="F1371" s="1436">
        <f>IFERROR(__xludf.DUMMYFUNCTION("""COMPUTED_VALUE"""),45909.0)</f>
        <v>45909</v>
      </c>
      <c r="G1371" s="1430">
        <f>IFERROR(__xludf.DUMMYFUNCTION("""COMPUTED_VALUE"""),8.0)</f>
        <v>8</v>
      </c>
      <c r="H1371" s="94">
        <f t="shared" si="1"/>
        <v>9</v>
      </c>
    </row>
    <row r="1372" ht="15.75" customHeight="1">
      <c r="A1372" s="94" t="str">
        <f>IFERROR(__xludf.DUMMYFUNCTION("""COMPUTED_VALUE"""),"Int 2612")</f>
        <v>Int 2612</v>
      </c>
      <c r="B1372" s="94"/>
      <c r="C1372" s="94"/>
      <c r="D1372" s="94" t="str">
        <f>IFERROR(__xludf.DUMMYFUNCTION("""COMPUTED_VALUE"""),"3 Int B 2612 (Лот 285149)")</f>
        <v>3 Int B 2612 (Лот 285149)</v>
      </c>
      <c r="E1372" s="1436">
        <f>IFERROR(__xludf.DUMMYFUNCTION("""COMPUTED_VALUE"""),45901.0)</f>
        <v>45901</v>
      </c>
      <c r="F1372" s="1436">
        <f>IFERROR(__xludf.DUMMYFUNCTION("""COMPUTED_VALUE"""),45904.0)</f>
        <v>45904</v>
      </c>
      <c r="G1372" s="1430">
        <f>IFERROR(__xludf.DUMMYFUNCTION("""COMPUTED_VALUE"""),3.0)</f>
        <v>3</v>
      </c>
      <c r="H1372" s="94">
        <f t="shared" si="1"/>
        <v>9</v>
      </c>
    </row>
    <row r="1373" ht="15.75" customHeight="1">
      <c r="A1373" s="94" t="str">
        <f>IFERROR(__xludf.DUMMYFUNCTION("""COMPUTED_VALUE"""),"TGB1")</f>
        <v>TGB1</v>
      </c>
      <c r="B1373" s="94"/>
      <c r="C1373" s="94"/>
      <c r="D1373" s="94" t="str">
        <f>IFERROR(__xludf.DUMMYFUNCTION("""COMPUTED_VALUE"""),"6 TG С 1 сп с видом на горы В5, В1 (Лот 268015)")</f>
        <v>6 TG С 1 сп с видом на горы В5, В1 (Лот 268015)</v>
      </c>
      <c r="E1373" s="1436">
        <f>IFERROR(__xludf.DUMMYFUNCTION("""COMPUTED_VALUE"""),45901.0)</f>
        <v>45901</v>
      </c>
      <c r="F1373" s="1436">
        <f>IFERROR(__xludf.DUMMYFUNCTION("""COMPUTED_VALUE"""),45907.0)</f>
        <v>45907</v>
      </c>
      <c r="G1373" s="1430">
        <f>IFERROR(__xludf.DUMMYFUNCTION("""COMPUTED_VALUE"""),6.0)</f>
        <v>6</v>
      </c>
      <c r="H1373" s="94">
        <f t="shared" si="1"/>
        <v>9</v>
      </c>
    </row>
    <row r="1374" ht="15.75" customHeight="1">
      <c r="A1374" s="1164" t="str">
        <f>IFERROR(__xludf.DUMMYFUNCTION("""COMPUTED_VALUE"""),"WS В 503")</f>
        <v>WS В 503</v>
      </c>
      <c r="B1374" s="94"/>
      <c r="C1374" s="94"/>
      <c r="D1374" s="94" t="str">
        <f>IFERROR(__xludf.DUMMYFUNCTION("""COMPUTED_VALUE"""),"1 WS B 503 (Лот 233403)")</f>
        <v>1 WS B 503 (Лот 233403)</v>
      </c>
      <c r="E1374" s="1436">
        <f>IFERROR(__xludf.DUMMYFUNCTION("""COMPUTED_VALUE"""),45901.0)</f>
        <v>45901</v>
      </c>
      <c r="F1374" s="1436">
        <f>IFERROR(__xludf.DUMMYFUNCTION("""COMPUTED_VALUE"""),45912.0)</f>
        <v>45912</v>
      </c>
      <c r="G1374" s="1430">
        <f>IFERROR(__xludf.DUMMYFUNCTION("""COMPUTED_VALUE"""),11.0)</f>
        <v>11</v>
      </c>
      <c r="H1374" s="94">
        <f t="shared" si="1"/>
        <v>9</v>
      </c>
    </row>
    <row r="1375" ht="15.75" customHeight="1">
      <c r="A1375" s="94" t="str">
        <f>IFERROR(__xludf.DUMMYFUNCTION("""COMPUTED_VALUE"""),"TGA7")</f>
        <v>TGA7</v>
      </c>
      <c r="B1375" s="94"/>
      <c r="C1375" s="94"/>
      <c r="D1375" s="94" t="str">
        <f>IFERROR(__xludf.DUMMYFUNCTION("""COMPUTED_VALUE"""),"6 TG c 1 сп. блок А (А2, А4, А7, B8, A9) (Лот 263239)")</f>
        <v>6 TG c 1 сп. блок А (А2, А4, А7, B8, A9) (Лот 263239)</v>
      </c>
      <c r="E1375" s="1436">
        <f>IFERROR(__xludf.DUMMYFUNCTION("""COMPUTED_VALUE"""),45901.0)</f>
        <v>45901</v>
      </c>
      <c r="F1375" s="1436">
        <f>IFERROR(__xludf.DUMMYFUNCTION("""COMPUTED_VALUE"""),45931.0)</f>
        <v>45931</v>
      </c>
      <c r="G1375" s="1430">
        <f>IFERROR(__xludf.DUMMYFUNCTION("""COMPUTED_VALUE"""),30.0)</f>
        <v>30</v>
      </c>
      <c r="H1375" s="94">
        <f t="shared" si="1"/>
        <v>9</v>
      </c>
    </row>
    <row r="1376" ht="15.75" customHeight="1">
      <c r="A1376" s="94" t="str">
        <f>IFERROR(__xludf.DUMMYFUNCTION("""COMPUTED_VALUE"""),"TGA1")</f>
        <v>TGA1</v>
      </c>
      <c r="B1376" s="94"/>
      <c r="C1376" s="94"/>
      <c r="D1376" s="94" t="str">
        <f>IFERROR(__xludf.DUMMYFUNCTION("""COMPUTED_VALUE"""),"6 TG С 2 сп. блок А (А1, А10) (Лот 268000)")</f>
        <v>6 TG С 2 сп. блок А (А1, А10) (Лот 268000)</v>
      </c>
      <c r="E1376" s="1436">
        <f>IFERROR(__xludf.DUMMYFUNCTION("""COMPUTED_VALUE"""),45901.0)</f>
        <v>45901</v>
      </c>
      <c r="F1376" s="1436">
        <f>IFERROR(__xludf.DUMMYFUNCTION("""COMPUTED_VALUE"""),45906.0)</f>
        <v>45906</v>
      </c>
      <c r="G1376" s="1430">
        <f>IFERROR(__xludf.DUMMYFUNCTION("""COMPUTED_VALUE"""),5.0)</f>
        <v>5</v>
      </c>
      <c r="H1376" s="94">
        <f t="shared" si="1"/>
        <v>9</v>
      </c>
    </row>
    <row r="1377" ht="15.75" customHeight="1">
      <c r="A1377" s="94" t="str">
        <f>IFERROR(__xludf.DUMMYFUNCTION("""COMPUTED_VALUE"""),"DL 14-506")</f>
        <v>DL 14-506</v>
      </c>
      <c r="B1377" s="94"/>
      <c r="C1377" s="94"/>
      <c r="D1377" s="94" t="str">
        <f>IFERROR(__xludf.DUMMYFUNCTION("""COMPUTED_VALUE"""),"4 DL 14 - 506 (Лот 296803)")</f>
        <v>4 DL 14 - 506 (Лот 296803)</v>
      </c>
      <c r="E1377" s="1436">
        <f>IFERROR(__xludf.DUMMYFUNCTION("""COMPUTED_VALUE"""),45901.0)</f>
        <v>45901</v>
      </c>
      <c r="F1377" s="1436">
        <f>IFERROR(__xludf.DUMMYFUNCTION("""COMPUTED_VALUE"""),45904.0)</f>
        <v>45904</v>
      </c>
      <c r="G1377" s="1430">
        <f>IFERROR(__xludf.DUMMYFUNCTION("""COMPUTED_VALUE"""),3.0)</f>
        <v>3</v>
      </c>
      <c r="H1377" s="94">
        <f t="shared" si="1"/>
        <v>9</v>
      </c>
    </row>
    <row r="1378" ht="15.75" customHeight="1">
      <c r="A1378" s="94" t="str">
        <f>IFERROR(__xludf.DUMMYFUNCTION("""COMPUTED_VALUE"""),"4.DL 13 - 201 (Лот 299722)")</f>
        <v>4.DL 13 - 201 (Лот 299722)</v>
      </c>
      <c r="B1378" s="94"/>
      <c r="C1378" s="94"/>
      <c r="D1378" s="94" t="str">
        <f>IFERROR(__xludf.DUMMYFUNCTION("""COMPUTED_VALUE"""),"4 DL 13 - 201 (Лот 299722)")</f>
        <v>4 DL 13 - 201 (Лот 299722)</v>
      </c>
      <c r="E1378" s="1436">
        <f>IFERROR(__xludf.DUMMYFUNCTION("""COMPUTED_VALUE"""),45901.0)</f>
        <v>45901</v>
      </c>
      <c r="F1378" s="1436">
        <f>IFERROR(__xludf.DUMMYFUNCTION("""COMPUTED_VALUE"""),45904.0)</f>
        <v>45904</v>
      </c>
      <c r="G1378" s="1430">
        <f>IFERROR(__xludf.DUMMYFUNCTION("""COMPUTED_VALUE"""),3.0)</f>
        <v>3</v>
      </c>
      <c r="H1378" s="94">
        <f t="shared" si="1"/>
        <v>9</v>
      </c>
    </row>
    <row r="1379" ht="15.75" customHeight="1">
      <c r="A1379" s="1164" t="str">
        <f>IFERROR(__xludf.DUMMYFUNCTION("""COMPUTED_VALUE"""),"DL 14-516")</f>
        <v>DL 14-516</v>
      </c>
      <c r="B1379" s="94"/>
      <c r="C1379" s="94"/>
      <c r="D1379" s="94" t="str">
        <f>IFERROR(__xludf.DUMMYFUNCTION("""COMPUTED_VALUE"""),"4 DL 14 - 516 (1+1) (Лот 233401)")</f>
        <v>4 DL 14 - 516 (1+1) (Лот 233401)</v>
      </c>
      <c r="E1379" s="1436">
        <f>IFERROR(__xludf.DUMMYFUNCTION("""COMPUTED_VALUE"""),45901.0)</f>
        <v>45901</v>
      </c>
      <c r="F1379" s="1436">
        <f>IFERROR(__xludf.DUMMYFUNCTION("""COMPUTED_VALUE"""),45904.0)</f>
        <v>45904</v>
      </c>
      <c r="G1379" s="1430">
        <f>IFERROR(__xludf.DUMMYFUNCTION("""COMPUTED_VALUE"""),3.0)</f>
        <v>3</v>
      </c>
      <c r="H1379" s="94">
        <f t="shared" si="1"/>
        <v>9</v>
      </c>
    </row>
    <row r="1380" ht="15.75" customHeight="1">
      <c r="A1380" s="94" t="str">
        <f>IFERROR(__xludf.DUMMYFUNCTION("""COMPUTED_VALUE"""),"TGA2")</f>
        <v>TGA2</v>
      </c>
      <c r="B1380" s="94"/>
      <c r="C1380" s="94"/>
      <c r="D1380" s="94" t="str">
        <f>IFERROR(__xludf.DUMMYFUNCTION("""COMPUTED_VALUE"""),"6 TG c 1 сп. блок А (А2, А4, А7, B8, A9) (Лот 263239)")</f>
        <v>6 TG c 1 сп. блок А (А2, А4, А7, B8, A9) (Лот 263239)</v>
      </c>
      <c r="E1380" s="1436">
        <f>IFERROR(__xludf.DUMMYFUNCTION("""COMPUTED_VALUE"""),45901.0)</f>
        <v>45901</v>
      </c>
      <c r="F1380" s="1436">
        <f>IFERROR(__xludf.DUMMYFUNCTION("""COMPUTED_VALUE"""),45905.0)</f>
        <v>45905</v>
      </c>
      <c r="G1380" s="1430">
        <f>IFERROR(__xludf.DUMMYFUNCTION("""COMPUTED_VALUE"""),4.0)</f>
        <v>4</v>
      </c>
      <c r="H1380" s="94">
        <f t="shared" si="1"/>
        <v>9</v>
      </c>
    </row>
    <row r="1381" ht="15.75" customHeight="1">
      <c r="A1381" s="94" t="str">
        <f>IFERROR(__xludf.DUMMYFUNCTION("""COMPUTED_VALUE"""),"DL 13-206")</f>
        <v>DL 13-206</v>
      </c>
      <c r="B1381" s="94"/>
      <c r="C1381" s="94"/>
      <c r="D1381" s="94" t="str">
        <f>IFERROR(__xludf.DUMMYFUNCTION("""COMPUTED_VALUE"""),"4 DL 13 - 206 (Лот 291575)")</f>
        <v>4 DL 13 - 206 (Лот 291575)</v>
      </c>
      <c r="E1381" s="1436">
        <f>IFERROR(__xludf.DUMMYFUNCTION("""COMPUTED_VALUE"""),45901.0)</f>
        <v>45901</v>
      </c>
      <c r="F1381" s="1436">
        <f>IFERROR(__xludf.DUMMYFUNCTION("""COMPUTED_VALUE"""),45904.0)</f>
        <v>45904</v>
      </c>
      <c r="G1381" s="1430">
        <f>IFERROR(__xludf.DUMMYFUNCTION("""COMPUTED_VALUE"""),3.0)</f>
        <v>3</v>
      </c>
      <c r="H1381" s="94">
        <f t="shared" si="1"/>
        <v>9</v>
      </c>
    </row>
    <row r="1382" ht="15.75" customHeight="1">
      <c r="A1382" s="94" t="str">
        <f>IFERROR(__xludf.DUMMYFUNCTION("""COMPUTED_VALUE"""),"TGA9")</f>
        <v>TGA9</v>
      </c>
      <c r="B1382" s="94"/>
      <c r="C1382" s="94"/>
      <c r="D1382" s="94" t="str">
        <f>IFERROR(__xludf.DUMMYFUNCTION("""COMPUTED_VALUE"""),"6 TG c 1 сп. блок А (А2, А4, А7, B8, A9) (Лот 263239)")</f>
        <v>6 TG c 1 сп. блок А (А2, А4, А7, B8, A9) (Лот 263239)</v>
      </c>
      <c r="E1382" s="1436">
        <f>IFERROR(__xludf.DUMMYFUNCTION("""COMPUTED_VALUE"""),45901.0)</f>
        <v>45901</v>
      </c>
      <c r="F1382" s="1436">
        <f>IFERROR(__xludf.DUMMYFUNCTION("""COMPUTED_VALUE"""),45904.0)</f>
        <v>45904</v>
      </c>
      <c r="G1382" s="1430">
        <f>IFERROR(__xludf.DUMMYFUNCTION("""COMPUTED_VALUE"""),3.0)</f>
        <v>3</v>
      </c>
      <c r="H1382" s="94">
        <f t="shared" si="1"/>
        <v>9</v>
      </c>
    </row>
    <row r="1383" ht="15.75" customHeight="1">
      <c r="A1383" s="94" t="str">
        <f>IFERROR(__xludf.DUMMYFUNCTION("""COMPUTED_VALUE"""),"TGA3")</f>
        <v>TGA3</v>
      </c>
      <c r="B1383" s="94"/>
      <c r="C1383" s="94"/>
      <c r="D1383" s="94" t="str">
        <f>IFERROR(__xludf.DUMMYFUNCTION("""COMPUTED_VALUE"""),"6 TG Студия с видом на море А3, А5, А6, А8 (Лот 268012)")</f>
        <v>6 TG Студия с видом на море А3, А5, А6, А8 (Лот 268012)</v>
      </c>
      <c r="E1383" s="1436">
        <f>IFERROR(__xludf.DUMMYFUNCTION("""COMPUTED_VALUE"""),45901.0)</f>
        <v>45901</v>
      </c>
      <c r="F1383" s="1436">
        <f>IFERROR(__xludf.DUMMYFUNCTION("""COMPUTED_VALUE"""),45904.0)</f>
        <v>45904</v>
      </c>
      <c r="G1383" s="1430">
        <f>IFERROR(__xludf.DUMMYFUNCTION("""COMPUTED_VALUE"""),3.0)</f>
        <v>3</v>
      </c>
      <c r="H1383" s="94">
        <f t="shared" si="1"/>
        <v>9</v>
      </c>
    </row>
    <row r="1384" ht="15.75" customHeight="1">
      <c r="A1384" s="1164" t="str">
        <f>IFERROR(__xludf.DUMMYFUNCTION("""COMPUTED_VALUE"""),"WS F 907")</f>
        <v>WS F 907</v>
      </c>
      <c r="B1384" s="94"/>
      <c r="C1384" s="94"/>
      <c r="D1384" s="94" t="str">
        <f>IFERROR(__xludf.DUMMYFUNCTION("""COMPUTED_VALUE"""),"1 WS F 907 (Лот 233314)")</f>
        <v>1 WS F 907 (Лот 233314)</v>
      </c>
      <c r="E1384" s="1436">
        <f>IFERROR(__xludf.DUMMYFUNCTION("""COMPUTED_VALUE"""),45901.0)</f>
        <v>45901</v>
      </c>
      <c r="F1384" s="1436">
        <f>IFERROR(__xludf.DUMMYFUNCTION("""COMPUTED_VALUE"""),45902.0)</f>
        <v>45902</v>
      </c>
      <c r="G1384" s="1430">
        <f>IFERROR(__xludf.DUMMYFUNCTION("""COMPUTED_VALUE"""),1.0)</f>
        <v>1</v>
      </c>
      <c r="H1384" s="94">
        <f t="shared" si="1"/>
        <v>9</v>
      </c>
    </row>
    <row r="1385" ht="15.75" customHeight="1">
      <c r="A1385" s="1164" t="str">
        <f>IFERROR(__xludf.DUMMYFUNCTION("""COMPUTED_VALUE"""),"DL 11-1112")</f>
        <v>DL 11-1112</v>
      </c>
      <c r="B1385" s="94"/>
      <c r="C1385" s="94"/>
      <c r="D1385" s="94" t="str">
        <f>IFERROR(__xludf.DUMMYFUNCTION("""COMPUTED_VALUE"""),"4 DL 11 - 1112 (Лот 233410)")</f>
        <v>4 DL 11 - 1112 (Лот 233410)</v>
      </c>
      <c r="E1385" s="1436">
        <f>IFERROR(__xludf.DUMMYFUNCTION("""COMPUTED_VALUE"""),45901.0)</f>
        <v>45901</v>
      </c>
      <c r="F1385" s="1436">
        <f>IFERROR(__xludf.DUMMYFUNCTION("""COMPUTED_VALUE"""),45902.0)</f>
        <v>45902</v>
      </c>
      <c r="G1385" s="1430">
        <f>IFERROR(__xludf.DUMMYFUNCTION("""COMPUTED_VALUE"""),1.0)</f>
        <v>1</v>
      </c>
      <c r="H1385" s="94">
        <f t="shared" si="1"/>
        <v>9</v>
      </c>
    </row>
    <row r="1386" ht="15.75" customHeight="1">
      <c r="A1386" s="1164" t="str">
        <f>IFERROR(__xludf.DUMMYFUNCTION("""COMPUTED_VALUE"""),"DL 11-1305")</f>
        <v>DL 11-1305</v>
      </c>
      <c r="B1386" s="94"/>
      <c r="C1386" s="94"/>
      <c r="D1386" s="94" t="str">
        <f>IFERROR(__xludf.DUMMYFUNCTION("""COMPUTED_VALUE"""),"4 DL 11 - 1305 (1+1) (Лот 234970)")</f>
        <v>4 DL 11 - 1305 (1+1) (Лот 234970)</v>
      </c>
      <c r="E1386" s="1436">
        <f>IFERROR(__xludf.DUMMYFUNCTION("""COMPUTED_VALUE"""),45901.0)</f>
        <v>45901</v>
      </c>
      <c r="F1386" s="1436">
        <f>IFERROR(__xludf.DUMMYFUNCTION("""COMPUTED_VALUE"""),45902.0)</f>
        <v>45902</v>
      </c>
      <c r="G1386" s="1430">
        <f>IFERROR(__xludf.DUMMYFUNCTION("""COMPUTED_VALUE"""),1.0)</f>
        <v>1</v>
      </c>
      <c r="H1386" s="94">
        <f t="shared" si="1"/>
        <v>9</v>
      </c>
    </row>
    <row r="1387" ht="15.75" customHeight="1">
      <c r="A1387" s="1164" t="str">
        <f>IFERROR(__xludf.DUMMYFUNCTION("""COMPUTED_VALUE"""),"DL14-1405")</f>
        <v>DL14-1405</v>
      </c>
      <c r="B1387" s="94"/>
      <c r="C1387" s="94"/>
      <c r="D1387" s="94" t="str">
        <f>IFERROR(__xludf.DUMMYFUNCTION("""COMPUTED_VALUE"""),"4 DL 14 - 1405 (1+1) (Лот 233395)")</f>
        <v>4 DL 14 - 1405 (1+1) (Лот 233395)</v>
      </c>
      <c r="E1387" s="1436">
        <f>IFERROR(__xludf.DUMMYFUNCTION("""COMPUTED_VALUE"""),45901.0)</f>
        <v>45901</v>
      </c>
      <c r="F1387" s="1436">
        <f>IFERROR(__xludf.DUMMYFUNCTION("""COMPUTED_VALUE"""),45903.0)</f>
        <v>45903</v>
      </c>
      <c r="G1387" s="1430">
        <f>IFERROR(__xludf.DUMMYFUNCTION("""COMPUTED_VALUE"""),2.0)</f>
        <v>2</v>
      </c>
      <c r="H1387" s="94">
        <f t="shared" si="1"/>
        <v>9</v>
      </c>
    </row>
    <row r="1388" ht="15.75" customHeight="1">
      <c r="A1388" s="94" t="str">
        <f>IFERROR(__xludf.DUMMYFUNCTION("""COMPUTED_VALUE"""),"TGA8")</f>
        <v>TGA8</v>
      </c>
      <c r="B1388" s="94"/>
      <c r="C1388" s="94"/>
      <c r="D1388" s="94" t="str">
        <f>IFERROR(__xludf.DUMMYFUNCTION("""COMPUTED_VALUE"""),"6 TG Студия с видом на море А3, А5, А6, А8 (Лот 268012)")</f>
        <v>6 TG Студия с видом на море А3, А5, А6, А8 (Лот 268012)</v>
      </c>
      <c r="E1388" s="1436">
        <f>IFERROR(__xludf.DUMMYFUNCTION("""COMPUTED_VALUE"""),45901.0)</f>
        <v>45901</v>
      </c>
      <c r="F1388" s="1436">
        <f>IFERROR(__xludf.DUMMYFUNCTION("""COMPUTED_VALUE"""),45904.0)</f>
        <v>45904</v>
      </c>
      <c r="G1388" s="1430">
        <f>IFERROR(__xludf.DUMMYFUNCTION("""COMPUTED_VALUE"""),3.0)</f>
        <v>3</v>
      </c>
      <c r="H1388" s="94">
        <f t="shared" si="1"/>
        <v>9</v>
      </c>
    </row>
    <row r="1389" ht="15.75" customHeight="1">
      <c r="A1389" s="94" t="str">
        <f>IFERROR(__xludf.DUMMYFUNCTION("""COMPUTED_VALUE"""),"Пиросмани 162")</f>
        <v>Пиросмани 162</v>
      </c>
      <c r="B1389" s="94"/>
      <c r="C1389" s="94"/>
      <c r="D1389" s="94"/>
      <c r="E1389" s="1429">
        <f>IFERROR(__xludf.DUMMYFUNCTION("""COMPUTED_VALUE"""),45910.0)</f>
        <v>45910</v>
      </c>
      <c r="F1389" s="1429">
        <f>IFERROR(__xludf.DUMMYFUNCTION("""COMPUTED_VALUE"""),45939.0)</f>
        <v>45939</v>
      </c>
      <c r="G1389" s="1430">
        <f>IFERROR(__xludf.DUMMYFUNCTION("""COMPUTED_VALUE"""),29.0)</f>
        <v>29</v>
      </c>
      <c r="H1389" s="94">
        <f t="shared" si="1"/>
        <v>9</v>
      </c>
    </row>
    <row r="1390" ht="15.75" customHeight="1">
      <c r="A1390" s="1164" t="str">
        <f>IFERROR(__xludf.DUMMYFUNCTION("""COMPUTED_VALUE"""),"DL 14-702")</f>
        <v>DL 14-702</v>
      </c>
      <c r="B1390" s="94"/>
      <c r="C1390" s="94"/>
      <c r="D1390" s="94" t="str">
        <f>IFERROR(__xludf.DUMMYFUNCTION("""COMPUTED_VALUE"""),"4 DL 14 - 702 (1+1) (Лот 233399)")</f>
        <v>4 DL 14 - 702 (1+1) (Лот 233399)</v>
      </c>
      <c r="E1390" s="1436">
        <f>IFERROR(__xludf.DUMMYFUNCTION("""COMPUTED_VALUE"""),45914.0)</f>
        <v>45914</v>
      </c>
      <c r="F1390" s="1436">
        <f>IFERROR(__xludf.DUMMYFUNCTION("""COMPUTED_VALUE"""),45925.0)</f>
        <v>45925</v>
      </c>
      <c r="G1390" s="1430">
        <f>IFERROR(__xludf.DUMMYFUNCTION("""COMPUTED_VALUE"""),11.0)</f>
        <v>11</v>
      </c>
      <c r="H1390" s="94">
        <f t="shared" si="1"/>
        <v>9</v>
      </c>
    </row>
    <row r="1391" ht="15.75" customHeight="1">
      <c r="A1391" s="1164" t="str">
        <f>IFERROR(__xludf.DUMMYFUNCTION("""COMPUTED_VALUE"""),"Вилла Ева")</f>
        <v>Вилла Ева</v>
      </c>
      <c r="B1391" s="94"/>
      <c r="C1391" s="94"/>
      <c r="D1391" s="94" t="str">
        <f>IFERROR(__xludf.DUMMYFUNCTION("""COMPUTED_VALUE"""),"Villa EVA (Лот 275315)")</f>
        <v>Villa EVA (Лот 275315)</v>
      </c>
      <c r="E1391" s="1436">
        <f>IFERROR(__xludf.DUMMYFUNCTION("""COMPUTED_VALUE"""),45914.0)</f>
        <v>45914</v>
      </c>
      <c r="F1391" s="1436">
        <f>IFERROR(__xludf.DUMMYFUNCTION("""COMPUTED_VALUE"""),45920.0)</f>
        <v>45920</v>
      </c>
      <c r="G1391" s="1430">
        <f>IFERROR(__xludf.DUMMYFUNCTION("""COMPUTED_VALUE"""),6.0)</f>
        <v>6</v>
      </c>
      <c r="H1391" s="94">
        <f t="shared" si="1"/>
        <v>9</v>
      </c>
    </row>
    <row r="1392" ht="15.75" customHeight="1">
      <c r="A1392" s="94" t="str">
        <f>IFERROR(__xludf.DUMMYFUNCTION("""COMPUTED_VALUE"""),"TGB1")</f>
        <v>TGB1</v>
      </c>
      <c r="B1392" s="94"/>
      <c r="C1392" s="94"/>
      <c r="D1392" s="94" t="str">
        <f>IFERROR(__xludf.DUMMYFUNCTION("""COMPUTED_VALUE"""),"6 TG С 1 сп с видом на горы В5, В1 (Лот 268015)")</f>
        <v>6 TG С 1 сп с видом на горы В5, В1 (Лот 268015)</v>
      </c>
      <c r="E1392" s="1436">
        <f>IFERROR(__xludf.DUMMYFUNCTION("""COMPUTED_VALUE"""),45914.0)</f>
        <v>45914</v>
      </c>
      <c r="F1392" s="1436">
        <f>IFERROR(__xludf.DUMMYFUNCTION("""COMPUTED_VALUE"""),45919.0)</f>
        <v>45919</v>
      </c>
      <c r="G1392" s="1430">
        <f>IFERROR(__xludf.DUMMYFUNCTION("""COMPUTED_VALUE"""),5.0)</f>
        <v>5</v>
      </c>
      <c r="H1392" s="94">
        <f t="shared" si="1"/>
        <v>9</v>
      </c>
    </row>
    <row r="1393" ht="15.75" customHeight="1">
      <c r="A1393" s="94" t="str">
        <f>IFERROR(__xludf.DUMMYFUNCTION("""COMPUTED_VALUE"""),"MZ 1416")</f>
        <v>MZ 1416</v>
      </c>
      <c r="B1393" s="94"/>
      <c r="C1393" s="94"/>
      <c r="D1393" s="94" t="str">
        <f>IFERROR(__xludf.DUMMYFUNCTION("""COMPUTED_VALUE"""),"3 MZ 1416 (Лот 289819)")</f>
        <v>3 MZ 1416 (Лот 289819)</v>
      </c>
      <c r="E1393" s="1436">
        <f>IFERROR(__xludf.DUMMYFUNCTION("""COMPUTED_VALUE"""),45914.0)</f>
        <v>45914</v>
      </c>
      <c r="F1393" s="1436">
        <f>IFERROR(__xludf.DUMMYFUNCTION("""COMPUTED_VALUE"""),45917.0)</f>
        <v>45917</v>
      </c>
      <c r="G1393" s="1430">
        <f>IFERROR(__xludf.DUMMYFUNCTION("""COMPUTED_VALUE"""),3.0)</f>
        <v>3</v>
      </c>
      <c r="H1393" s="94">
        <f t="shared" si="1"/>
        <v>9</v>
      </c>
    </row>
    <row r="1394" ht="15.75" customHeight="1">
      <c r="A1394" s="94" t="str">
        <f>IFERROR(__xludf.DUMMYFUNCTION("""COMPUTED_VALUE"""),"PT2604")</f>
        <v>PT2604</v>
      </c>
      <c r="B1394" s="94"/>
      <c r="C1394" s="94"/>
      <c r="D1394" s="94" t="str">
        <f>IFERROR(__xludf.DUMMYFUNCTION("""COMPUTED_VALUE"""),"3 PB 2604 (Лот 265736)")</f>
        <v>3 PB 2604 (Лот 265736)</v>
      </c>
      <c r="E1394" s="1436">
        <f>IFERROR(__xludf.DUMMYFUNCTION("""COMPUTED_VALUE"""),45914.0)</f>
        <v>45914</v>
      </c>
      <c r="F1394" s="1436">
        <f>IFERROR(__xludf.DUMMYFUNCTION("""COMPUTED_VALUE"""),45922.0)</f>
        <v>45922</v>
      </c>
      <c r="G1394" s="1430">
        <f>IFERROR(__xludf.DUMMYFUNCTION("""COMPUTED_VALUE"""),8.0)</f>
        <v>8</v>
      </c>
      <c r="H1394" s="94">
        <f t="shared" si="1"/>
        <v>9</v>
      </c>
    </row>
    <row r="1395" ht="15.75" customHeight="1">
      <c r="A1395" s="1164" t="str">
        <f>IFERROR(__xludf.DUMMYFUNCTION("""COMPUTED_VALUE"""),"BV1318")</f>
        <v>BV1318</v>
      </c>
      <c r="B1395" s="94"/>
      <c r="C1395" s="94"/>
      <c r="D1395" s="94" t="str">
        <f>IFERROR(__xludf.DUMMYFUNCTION("""COMPUTED_VALUE"""),"1 BV 1318 (Лот 234845)")</f>
        <v>1 BV 1318 (Лот 234845)</v>
      </c>
      <c r="E1395" s="1436">
        <f>IFERROR(__xludf.DUMMYFUNCTION("""COMPUTED_VALUE"""),45914.0)</f>
        <v>45914</v>
      </c>
      <c r="F1395" s="1436">
        <f>IFERROR(__xludf.DUMMYFUNCTION("""COMPUTED_VALUE"""),45917.0)</f>
        <v>45917</v>
      </c>
      <c r="G1395" s="1430">
        <f>IFERROR(__xludf.DUMMYFUNCTION("""COMPUTED_VALUE"""),3.0)</f>
        <v>3</v>
      </c>
      <c r="H1395" s="94">
        <f t="shared" si="1"/>
        <v>9</v>
      </c>
    </row>
    <row r="1396" ht="15.75" customHeight="1">
      <c r="A1396" s="1164" t="str">
        <f>IFERROR(__xludf.DUMMYFUNCTION("""COMPUTED_VALUE"""),"CM 1606")</f>
        <v>CM 1606</v>
      </c>
      <c r="B1396" s="94"/>
      <c r="C1396" s="94"/>
      <c r="D1396" s="94" t="str">
        <f>IFERROR(__xludf.DUMMYFUNCTION("""COMPUTED_VALUE"""),"3 Mar 1606 (Лот 233302)")</f>
        <v>3 Mar 1606 (Лот 233302)</v>
      </c>
      <c r="E1396" s="1436">
        <f>IFERROR(__xludf.DUMMYFUNCTION("""COMPUTED_VALUE"""),45914.0)</f>
        <v>45914</v>
      </c>
      <c r="F1396" s="1436">
        <f>IFERROR(__xludf.DUMMYFUNCTION("""COMPUTED_VALUE"""),45916.0)</f>
        <v>45916</v>
      </c>
      <c r="G1396" s="1430">
        <f>IFERROR(__xludf.DUMMYFUNCTION("""COMPUTED_VALUE"""),2.0)</f>
        <v>2</v>
      </c>
      <c r="H1396" s="94">
        <f t="shared" si="1"/>
        <v>9</v>
      </c>
    </row>
    <row r="1397" ht="15.75" customHeight="1">
      <c r="A1397" s="94" t="str">
        <f>IFERROR(__xludf.DUMMYFUNCTION("""COMPUTED_VALUE"""),"TGA2")</f>
        <v>TGA2</v>
      </c>
      <c r="B1397" s="94"/>
      <c r="C1397" s="94"/>
      <c r="D1397" s="94" t="str">
        <f>IFERROR(__xludf.DUMMYFUNCTION("""COMPUTED_VALUE"""),"6 TG c 1 сп. блок А (А2, А4, А7, B8, A9) (Лот 263239)")</f>
        <v>6 TG c 1 сп. блок А (А2, А4, А7, B8, A9) (Лот 263239)</v>
      </c>
      <c r="E1397" s="1436">
        <f>IFERROR(__xludf.DUMMYFUNCTION("""COMPUTED_VALUE"""),45914.0)</f>
        <v>45914</v>
      </c>
      <c r="F1397" s="1436">
        <f>IFERROR(__xludf.DUMMYFUNCTION("""COMPUTED_VALUE"""),45919.0)</f>
        <v>45919</v>
      </c>
      <c r="G1397" s="1430">
        <f>IFERROR(__xludf.DUMMYFUNCTION("""COMPUTED_VALUE"""),5.0)</f>
        <v>5</v>
      </c>
      <c r="H1397" s="94">
        <f t="shared" si="1"/>
        <v>9</v>
      </c>
    </row>
    <row r="1398" ht="15.75" customHeight="1">
      <c r="A1398" s="1164" t="str">
        <f>IFERROR(__xludf.DUMMYFUNCTION("""COMPUTED_VALUE"""),"WS В 1510")</f>
        <v>WS В 1510</v>
      </c>
      <c r="B1398" s="94"/>
      <c r="C1398" s="94"/>
      <c r="D1398" s="94" t="str">
        <f>IFERROR(__xludf.DUMMYFUNCTION("""COMPUTED_VALUE"""),"1 WS B 1510 (Лот 233316)")</f>
        <v>1 WS B 1510 (Лот 233316)</v>
      </c>
      <c r="E1398" s="1436">
        <f>IFERROR(__xludf.DUMMYFUNCTION("""COMPUTED_VALUE"""),45914.0)</f>
        <v>45914</v>
      </c>
      <c r="F1398" s="1436">
        <f>IFERROR(__xludf.DUMMYFUNCTION("""COMPUTED_VALUE"""),45920.0)</f>
        <v>45920</v>
      </c>
      <c r="G1398" s="1430">
        <f>IFERROR(__xludf.DUMMYFUNCTION("""COMPUTED_VALUE"""),6.0)</f>
        <v>6</v>
      </c>
      <c r="H1398" s="94">
        <f t="shared" si="1"/>
        <v>9</v>
      </c>
    </row>
    <row r="1399" ht="15.75" customHeight="1">
      <c r="A1399" s="94" t="str">
        <f>IFERROR(__xludf.DUMMYFUNCTION("""COMPUTED_VALUE"""),"TGB8")</f>
        <v>TGB8</v>
      </c>
      <c r="B1399" s="94"/>
      <c r="C1399" s="94"/>
      <c r="D1399" s="94" t="str">
        <f>IFERROR(__xludf.DUMMYFUNCTION("""COMPUTED_VALUE"""),"6 TG c 1 сп. блок А (А2, А4, А7, B8, A9) (Лот 263239)")</f>
        <v>6 TG c 1 сп. блок А (А2, А4, А7, B8, A9) (Лот 263239)</v>
      </c>
      <c r="E1399" s="1436">
        <f>IFERROR(__xludf.DUMMYFUNCTION("""COMPUTED_VALUE"""),45914.0)</f>
        <v>45914</v>
      </c>
      <c r="F1399" s="1436">
        <f>IFERROR(__xludf.DUMMYFUNCTION("""COMPUTED_VALUE"""),45919.0)</f>
        <v>45919</v>
      </c>
      <c r="G1399" s="1430">
        <f>IFERROR(__xludf.DUMMYFUNCTION("""COMPUTED_VALUE"""),5.0)</f>
        <v>5</v>
      </c>
      <c r="H1399" s="94">
        <f t="shared" si="1"/>
        <v>9</v>
      </c>
    </row>
    <row r="1400" ht="15.75" customHeight="1">
      <c r="A1400" s="94" t="str">
        <f>IFERROR(__xludf.DUMMYFUNCTION("""COMPUTED_VALUE"""),"NW 10-6")</f>
        <v>NW 10-6</v>
      </c>
      <c r="B1400" s="94"/>
      <c r="C1400" s="94"/>
      <c r="D1400" s="94" t="str">
        <f>IFERROR(__xludf.DUMMYFUNCTION("""COMPUTED_VALUE"""),"3 NW 1006 (Лот 289905)")</f>
        <v>3 NW 1006 (Лот 289905)</v>
      </c>
      <c r="E1400" s="1436">
        <f>IFERROR(__xludf.DUMMYFUNCTION("""COMPUTED_VALUE"""),45914.0)</f>
        <v>45914</v>
      </c>
      <c r="F1400" s="1436">
        <f>IFERROR(__xludf.DUMMYFUNCTION("""COMPUTED_VALUE"""),45916.0)</f>
        <v>45916</v>
      </c>
      <c r="G1400" s="1430">
        <f>IFERROR(__xludf.DUMMYFUNCTION("""COMPUTED_VALUE"""),2.0)</f>
        <v>2</v>
      </c>
      <c r="H1400" s="94">
        <f t="shared" si="1"/>
        <v>9</v>
      </c>
    </row>
    <row r="1401" ht="15.75" customHeight="1">
      <c r="A1401" s="94" t="str">
        <f>IFERROR(__xludf.DUMMYFUNCTION("""COMPUTED_VALUE"""),"TGA5")</f>
        <v>TGA5</v>
      </c>
      <c r="B1401" s="94"/>
      <c r="C1401" s="94"/>
      <c r="D1401" s="94" t="str">
        <f>IFERROR(__xludf.DUMMYFUNCTION("""COMPUTED_VALUE"""),"6 TG Студия с видом на море А3, А5, А6, А8 (Лот 268012)")</f>
        <v>6 TG Студия с видом на море А3, А5, А6, А8 (Лот 268012)</v>
      </c>
      <c r="E1401" s="1436">
        <f>IFERROR(__xludf.DUMMYFUNCTION("""COMPUTED_VALUE"""),45914.0)</f>
        <v>45914</v>
      </c>
      <c r="F1401" s="1436">
        <f>IFERROR(__xludf.DUMMYFUNCTION("""COMPUTED_VALUE"""),45919.0)</f>
        <v>45919</v>
      </c>
      <c r="G1401" s="1430">
        <f>IFERROR(__xludf.DUMMYFUNCTION("""COMPUTED_VALUE"""),5.0)</f>
        <v>5</v>
      </c>
      <c r="H1401" s="94">
        <f t="shared" si="1"/>
        <v>9</v>
      </c>
    </row>
    <row r="1402" ht="15.75" customHeight="1">
      <c r="A1402" s="1164" t="str">
        <f>IFERROR(__xludf.DUMMYFUNCTION("""COMPUTED_VALUE"""),"WS Е804")</f>
        <v>WS Е804</v>
      </c>
      <c r="B1402" s="94"/>
      <c r="C1402" s="94"/>
      <c r="D1402" s="94" t="str">
        <f>IFERROR(__xludf.DUMMYFUNCTION("""COMPUTED_VALUE"""),"1 WS E 804 (Лот 233350)")</f>
        <v>1 WS E 804 (Лот 233350)</v>
      </c>
      <c r="E1402" s="1436">
        <f>IFERROR(__xludf.DUMMYFUNCTION("""COMPUTED_VALUE"""),45914.0)</f>
        <v>45914</v>
      </c>
      <c r="F1402" s="1436">
        <f>IFERROR(__xludf.DUMMYFUNCTION("""COMPUTED_VALUE"""),45917.0)</f>
        <v>45917</v>
      </c>
      <c r="G1402" s="1430">
        <f>IFERROR(__xludf.DUMMYFUNCTION("""COMPUTED_VALUE"""),3.0)</f>
        <v>3</v>
      </c>
      <c r="H1402" s="94">
        <f t="shared" si="1"/>
        <v>9</v>
      </c>
    </row>
    <row r="1403" ht="15.75" customHeight="1">
      <c r="A1403" s="94" t="str">
        <f>IFERROR(__xludf.DUMMYFUNCTION("""COMPUTED_VALUE"""),"DL 14-506")</f>
        <v>DL 14-506</v>
      </c>
      <c r="B1403" s="94"/>
      <c r="C1403" s="94"/>
      <c r="D1403" s="94" t="str">
        <f>IFERROR(__xludf.DUMMYFUNCTION("""COMPUTED_VALUE"""),"4 DL 14 - 506 (Лот 296803)")</f>
        <v>4 DL 14 - 506 (Лот 296803)</v>
      </c>
      <c r="E1403" s="1436">
        <f>IFERROR(__xludf.DUMMYFUNCTION("""COMPUTED_VALUE"""),45913.0)</f>
        <v>45913</v>
      </c>
      <c r="F1403" s="1436">
        <f>IFERROR(__xludf.DUMMYFUNCTION("""COMPUTED_VALUE"""),45917.0)</f>
        <v>45917</v>
      </c>
      <c r="G1403" s="1430">
        <f>IFERROR(__xludf.DUMMYFUNCTION("""COMPUTED_VALUE"""),4.0)</f>
        <v>4</v>
      </c>
      <c r="H1403" s="94">
        <f t="shared" si="1"/>
        <v>9</v>
      </c>
    </row>
    <row r="1404" ht="15.75" customHeight="1">
      <c r="A1404" s="94" t="str">
        <f>IFERROR(__xludf.DUMMYFUNCTION("""COMPUTED_VALUE"""),"TGA3")</f>
        <v>TGA3</v>
      </c>
      <c r="B1404" s="94"/>
      <c r="C1404" s="94"/>
      <c r="D1404" s="94" t="str">
        <f>IFERROR(__xludf.DUMMYFUNCTION("""COMPUTED_VALUE"""),"6 TG Студия с видом на море А3, А5, А6, А8 (Лот 268012)")</f>
        <v>6 TG Студия с видом на море А3, А5, А6, А8 (Лот 268012)</v>
      </c>
      <c r="E1404" s="1436">
        <f>IFERROR(__xludf.DUMMYFUNCTION("""COMPUTED_VALUE"""),45913.0)</f>
        <v>45913</v>
      </c>
      <c r="F1404" s="1436">
        <f>IFERROR(__xludf.DUMMYFUNCTION("""COMPUTED_VALUE"""),45918.0)</f>
        <v>45918</v>
      </c>
      <c r="G1404" s="1430">
        <f>IFERROR(__xludf.DUMMYFUNCTION("""COMPUTED_VALUE"""),5.0)</f>
        <v>5</v>
      </c>
      <c r="H1404" s="94">
        <f t="shared" si="1"/>
        <v>9</v>
      </c>
    </row>
    <row r="1405" ht="15.75" customHeight="1">
      <c r="A1405" s="94" t="str">
        <f>IFERROR(__xludf.DUMMYFUNCTION("""COMPUTED_VALUE"""),"TGA6")</f>
        <v>TGA6</v>
      </c>
      <c r="B1405" s="94"/>
      <c r="C1405" s="94"/>
      <c r="D1405" s="94" t="str">
        <f>IFERROR(__xludf.DUMMYFUNCTION("""COMPUTED_VALUE"""),"6 TG Студия с видом на море А3, А5, А6, А8 (Лот 268012)")</f>
        <v>6 TG Студия с видом на море А3, А5, А6, А8 (Лот 268012)</v>
      </c>
      <c r="E1405" s="1436">
        <f>IFERROR(__xludf.DUMMYFUNCTION("""COMPUTED_VALUE"""),45913.0)</f>
        <v>45913</v>
      </c>
      <c r="F1405" s="1436">
        <f>IFERROR(__xludf.DUMMYFUNCTION("""COMPUTED_VALUE"""),45916.0)</f>
        <v>45916</v>
      </c>
      <c r="G1405" s="1430">
        <f>IFERROR(__xludf.DUMMYFUNCTION("""COMPUTED_VALUE"""),3.0)</f>
        <v>3</v>
      </c>
      <c r="H1405" s="94">
        <f t="shared" si="1"/>
        <v>9</v>
      </c>
    </row>
    <row r="1406" ht="15.75" customHeight="1">
      <c r="A1406" s="94" t="str">
        <f>IFERROR(__xludf.DUMMYFUNCTION("""COMPUTED_VALUE"""),"TGB9")</f>
        <v>TGB9</v>
      </c>
      <c r="B1406" s="94"/>
      <c r="C1406" s="94"/>
      <c r="D1406" s="94" t="str">
        <f>IFERROR(__xludf.DUMMYFUNCTION("""COMPUTED_VALUE"""),"6 TG Студии с террасой (B9, B10) (Лот 268006)")</f>
        <v>6 TG Студии с террасой (B9, B10) (Лот 268006)</v>
      </c>
      <c r="E1406" s="1436">
        <f>IFERROR(__xludf.DUMMYFUNCTION("""COMPUTED_VALUE"""),45913.0)</f>
        <v>45913</v>
      </c>
      <c r="F1406" s="1436">
        <f>IFERROR(__xludf.DUMMYFUNCTION("""COMPUTED_VALUE"""),45917.0)</f>
        <v>45917</v>
      </c>
      <c r="G1406" s="1430">
        <f>IFERROR(__xludf.DUMMYFUNCTION("""COMPUTED_VALUE"""),4.0)</f>
        <v>4</v>
      </c>
      <c r="H1406" s="94">
        <f t="shared" si="1"/>
        <v>9</v>
      </c>
    </row>
    <row r="1407" ht="15.75" customHeight="1">
      <c r="A1407" s="94" t="str">
        <f>IFERROR(__xludf.DUMMYFUNCTION("""COMPUTED_VALUE"""),"D1 3902")</f>
        <v>D1 3902</v>
      </c>
      <c r="B1407" s="94"/>
      <c r="C1407" s="94"/>
      <c r="D1407" s="94" t="str">
        <f>IFERROR(__xludf.DUMMYFUNCTION("""COMPUTED_VALUE"""),"2 Orbi D 3902 (Лот 293635)")</f>
        <v>2 Orbi D 3902 (Лот 293635)</v>
      </c>
      <c r="E1407" s="1436">
        <f>IFERROR(__xludf.DUMMYFUNCTION("""COMPUTED_VALUE"""),45913.0)</f>
        <v>45913</v>
      </c>
      <c r="F1407" s="1436">
        <f>IFERROR(__xludf.DUMMYFUNCTION("""COMPUTED_VALUE"""),45916.0)</f>
        <v>45916</v>
      </c>
      <c r="G1407" s="1430">
        <f>IFERROR(__xludf.DUMMYFUNCTION("""COMPUTED_VALUE"""),3.0)</f>
        <v>3</v>
      </c>
      <c r="H1407" s="94">
        <f t="shared" si="1"/>
        <v>9</v>
      </c>
    </row>
    <row r="1408" ht="15.75" customHeight="1">
      <c r="A1408" s="94" t="str">
        <f>IFERROR(__xludf.DUMMYFUNCTION("""COMPUTED_VALUE"""),"CM 1604")</f>
        <v>CM 1604</v>
      </c>
      <c r="B1408" s="94"/>
      <c r="C1408" s="94"/>
      <c r="D1408" s="94" t="str">
        <f>IFERROR(__xludf.DUMMYFUNCTION("""COMPUTED_VALUE"""),"3 Mar 1604 (Лот 233303)")</f>
        <v>3 Mar 1604 (Лот 233303)</v>
      </c>
      <c r="E1408" s="1436">
        <f>IFERROR(__xludf.DUMMYFUNCTION("""COMPUTED_VALUE"""),45913.0)</f>
        <v>45913</v>
      </c>
      <c r="F1408" s="1436">
        <f>IFERROR(__xludf.DUMMYFUNCTION("""COMPUTED_VALUE"""),45916.0)</f>
        <v>45916</v>
      </c>
      <c r="G1408" s="1430">
        <f>IFERROR(__xludf.DUMMYFUNCTION("""COMPUTED_VALUE"""),3.0)</f>
        <v>3</v>
      </c>
      <c r="H1408" s="94">
        <f t="shared" si="1"/>
        <v>9</v>
      </c>
    </row>
    <row r="1409" ht="15.75" customHeight="1">
      <c r="A1409" s="1164" t="str">
        <f>IFERROR(__xludf.DUMMYFUNCTION("""COMPUTED_VALUE"""),"WS В 503")</f>
        <v>WS В 503</v>
      </c>
      <c r="B1409" s="94"/>
      <c r="C1409" s="94"/>
      <c r="D1409" s="94" t="str">
        <f>IFERROR(__xludf.DUMMYFUNCTION("""COMPUTED_VALUE"""),"1 WS B 503 (Лот 233403)")</f>
        <v>1 WS B 503 (Лот 233403)</v>
      </c>
      <c r="E1409" s="1436">
        <f>IFERROR(__xludf.DUMMYFUNCTION("""COMPUTED_VALUE"""),45912.0)</f>
        <v>45912</v>
      </c>
      <c r="F1409" s="1436">
        <f>IFERROR(__xludf.DUMMYFUNCTION("""COMPUTED_VALUE"""),45921.0)</f>
        <v>45921</v>
      </c>
      <c r="G1409" s="1430">
        <f>IFERROR(__xludf.DUMMYFUNCTION("""COMPUTED_VALUE"""),9.0)</f>
        <v>9</v>
      </c>
      <c r="H1409" s="94">
        <f t="shared" si="1"/>
        <v>9</v>
      </c>
    </row>
    <row r="1410" ht="15.75" customHeight="1">
      <c r="A1410" s="94" t="str">
        <f>IFERROR(__xludf.DUMMYFUNCTION("""COMPUTED_VALUE"""),"NW 3-7")</f>
        <v>NW 3-7</v>
      </c>
      <c r="B1410" s="94"/>
      <c r="C1410" s="94"/>
      <c r="D1410" s="94" t="str">
        <f>IFERROR(__xludf.DUMMYFUNCTION("""COMPUTED_VALUE"""),"3 NW 307 (Лот 289960)")</f>
        <v>3 NW 307 (Лот 289960)</v>
      </c>
      <c r="E1410" s="1436">
        <f>IFERROR(__xludf.DUMMYFUNCTION("""COMPUTED_VALUE"""),45912.0)</f>
        <v>45912</v>
      </c>
      <c r="F1410" s="1436">
        <f>IFERROR(__xludf.DUMMYFUNCTION("""COMPUTED_VALUE"""),45942.0)</f>
        <v>45942</v>
      </c>
      <c r="G1410" s="1430">
        <f>IFERROR(__xludf.DUMMYFUNCTION("""COMPUTED_VALUE"""),30.0)</f>
        <v>30</v>
      </c>
      <c r="H1410" s="94">
        <f t="shared" si="1"/>
        <v>9</v>
      </c>
    </row>
    <row r="1411" ht="15.75" customHeight="1">
      <c r="A1411" s="94" t="str">
        <f>IFERROR(__xludf.DUMMYFUNCTION("""COMPUTED_VALUE"""),"С 1125")</f>
        <v>С 1125</v>
      </c>
      <c r="B1411" s="94"/>
      <c r="C1411" s="94"/>
      <c r="D1411" s="94" t="str">
        <f>IFERROR(__xludf.DUMMYFUNCTION("""COMPUTED_VALUE"""),"2 Orbi C 1125 (Лот 233326)")</f>
        <v>2 Orbi C 1125 (Лот 233326)</v>
      </c>
      <c r="E1411" s="1436">
        <f>IFERROR(__xludf.DUMMYFUNCTION("""COMPUTED_VALUE"""),45912.0)</f>
        <v>45912</v>
      </c>
      <c r="F1411" s="1436">
        <f>IFERROR(__xludf.DUMMYFUNCTION("""COMPUTED_VALUE"""),45942.0)</f>
        <v>45942</v>
      </c>
      <c r="G1411" s="1430">
        <f>IFERROR(__xludf.DUMMYFUNCTION("""COMPUTED_VALUE"""),30.0)</f>
        <v>30</v>
      </c>
      <c r="H1411" s="94">
        <f t="shared" si="1"/>
        <v>9</v>
      </c>
    </row>
    <row r="1412" ht="15.75" customHeight="1">
      <c r="A1412" s="94" t="str">
        <f>IFERROR(__xludf.DUMMYFUNCTION("""COMPUTED_VALUE"""),"MZ 1408")</f>
        <v>MZ 1408</v>
      </c>
      <c r="B1412" s="94"/>
      <c r="C1412" s="94"/>
      <c r="D1412" s="94" t="str">
        <f>IFERROR(__xludf.DUMMYFUNCTION("""COMPUTED_VALUE"""),"3 MZ 1408 (Лот 289834)")</f>
        <v>3 MZ 1408 (Лот 289834)</v>
      </c>
      <c r="E1412" s="1436">
        <f>IFERROR(__xludf.DUMMYFUNCTION("""COMPUTED_VALUE"""),45912.0)</f>
        <v>45912</v>
      </c>
      <c r="F1412" s="1436">
        <f>IFERROR(__xludf.DUMMYFUNCTION("""COMPUTED_VALUE"""),45916.0)</f>
        <v>45916</v>
      </c>
      <c r="G1412" s="1430">
        <f>IFERROR(__xludf.DUMMYFUNCTION("""COMPUTED_VALUE"""),4.0)</f>
        <v>4</v>
      </c>
      <c r="H1412" s="94">
        <f t="shared" si="1"/>
        <v>9</v>
      </c>
    </row>
    <row r="1413" ht="15.75" customHeight="1">
      <c r="A1413" s="94" t="str">
        <f>IFERROR(__xludf.DUMMYFUNCTION("""COMPUTED_VALUE"""),"PT2704")</f>
        <v>PT2704</v>
      </c>
      <c r="B1413" s="94"/>
      <c r="C1413" s="94"/>
      <c r="D1413" s="94" t="str">
        <f>IFERROR(__xludf.DUMMYFUNCTION("""COMPUTED_VALUE"""),"3 PB 2704 (Лот 265740)")</f>
        <v>3 PB 2704 (Лот 265740)</v>
      </c>
      <c r="E1413" s="1436">
        <f>IFERROR(__xludf.DUMMYFUNCTION("""COMPUTED_VALUE"""),45912.0)</f>
        <v>45912</v>
      </c>
      <c r="F1413" s="1436">
        <f>IFERROR(__xludf.DUMMYFUNCTION("""COMPUTED_VALUE"""),45915.0)</f>
        <v>45915</v>
      </c>
      <c r="G1413" s="1430">
        <f>IFERROR(__xludf.DUMMYFUNCTION("""COMPUTED_VALUE"""),3.0)</f>
        <v>3</v>
      </c>
      <c r="H1413" s="94">
        <f t="shared" si="1"/>
        <v>9</v>
      </c>
    </row>
    <row r="1414" ht="15.75" customHeight="1">
      <c r="A1414" s="1164" t="str">
        <f>IFERROR(__xludf.DUMMYFUNCTION("""COMPUTED_VALUE"""),"D2 3216")</f>
        <v>D2 3216</v>
      </c>
      <c r="B1414" s="94"/>
      <c r="C1414" s="94"/>
      <c r="D1414" s="94" t="str">
        <f>IFERROR(__xludf.DUMMYFUNCTION("""COMPUTED_VALUE"""),"2 Orbi D2 3216 (Лот 236836)")</f>
        <v>2 Orbi D2 3216 (Лот 236836)</v>
      </c>
      <c r="E1414" s="1436">
        <f>IFERROR(__xludf.DUMMYFUNCTION("""COMPUTED_VALUE"""),45912.0)</f>
        <v>45912</v>
      </c>
      <c r="F1414" s="1436">
        <f>IFERROR(__xludf.DUMMYFUNCTION("""COMPUTED_VALUE"""),45941.0)</f>
        <v>45941</v>
      </c>
      <c r="G1414" s="1430">
        <f>IFERROR(__xludf.DUMMYFUNCTION("""COMPUTED_VALUE"""),29.0)</f>
        <v>29</v>
      </c>
      <c r="H1414" s="94">
        <f t="shared" si="1"/>
        <v>9</v>
      </c>
    </row>
    <row r="1415" ht="15.75" customHeight="1">
      <c r="A1415" s="94" t="str">
        <f>IFERROR(__xludf.DUMMYFUNCTION("""COMPUTED_VALUE"""),"4. DL 13 - 1006 (Лот 299723)")</f>
        <v>4. DL 13 - 1006 (Лот 299723)</v>
      </c>
      <c r="B1415" s="94"/>
      <c r="C1415" s="94"/>
      <c r="D1415" s="94" t="str">
        <f>IFERROR(__xludf.DUMMYFUNCTION("""COMPUTED_VALUE"""),"4 DL 13 - 1006 (1+1) (Лот 299723)")</f>
        <v>4 DL 13 - 1006 (1+1) (Лот 299723)</v>
      </c>
      <c r="E1415" s="1436">
        <f>IFERROR(__xludf.DUMMYFUNCTION("""COMPUTED_VALUE"""),45912.0)</f>
        <v>45912</v>
      </c>
      <c r="F1415" s="1436">
        <f>IFERROR(__xludf.DUMMYFUNCTION("""COMPUTED_VALUE"""),45915.0)</f>
        <v>45915</v>
      </c>
      <c r="G1415" s="1430">
        <f>IFERROR(__xludf.DUMMYFUNCTION("""COMPUTED_VALUE"""),3.0)</f>
        <v>3</v>
      </c>
      <c r="H1415" s="94">
        <f t="shared" si="1"/>
        <v>9</v>
      </c>
    </row>
    <row r="1416" ht="15.75" customHeight="1">
      <c r="A1416" s="1164" t="str">
        <f>IFERROR(__xludf.DUMMYFUNCTION("""COMPUTED_VALUE"""),"WS F 907")</f>
        <v>WS F 907</v>
      </c>
      <c r="B1416" s="94"/>
      <c r="C1416" s="94"/>
      <c r="D1416" s="94" t="str">
        <f>IFERROR(__xludf.DUMMYFUNCTION("""COMPUTED_VALUE"""),"1 WS F 907 (Лот 233314)")</f>
        <v>1 WS F 907 (Лот 233314)</v>
      </c>
      <c r="E1416" s="1436">
        <f>IFERROR(__xludf.DUMMYFUNCTION("""COMPUTED_VALUE"""),45912.0)</f>
        <v>45912</v>
      </c>
      <c r="F1416" s="1436">
        <f>IFERROR(__xludf.DUMMYFUNCTION("""COMPUTED_VALUE"""),45915.0)</f>
        <v>45915</v>
      </c>
      <c r="G1416" s="1430">
        <f>IFERROR(__xludf.DUMMYFUNCTION("""COMPUTED_VALUE"""),3.0)</f>
        <v>3</v>
      </c>
      <c r="H1416" s="94">
        <f t="shared" si="1"/>
        <v>9</v>
      </c>
    </row>
    <row r="1417" ht="15.75" customHeight="1">
      <c r="A1417" s="94" t="str">
        <f>IFERROR(__xludf.DUMMYFUNCTION("""COMPUTED_VALUE"""),"MZ 913")</f>
        <v>MZ 913</v>
      </c>
      <c r="B1417" s="94"/>
      <c r="C1417" s="94"/>
      <c r="D1417" s="94" t="str">
        <f>IFERROR(__xludf.DUMMYFUNCTION("""COMPUTED_VALUE"""),"3 MZ 718, 913 (Лот 269699)")</f>
        <v>3 MZ 718, 913 (Лот 269699)</v>
      </c>
      <c r="E1417" s="1436">
        <f>IFERROR(__xludf.DUMMYFUNCTION("""COMPUTED_VALUE"""),45912.0)</f>
        <v>45912</v>
      </c>
      <c r="F1417" s="1436">
        <f>IFERROR(__xludf.DUMMYFUNCTION("""COMPUTED_VALUE"""),45915.0)</f>
        <v>45915</v>
      </c>
      <c r="G1417" s="1430">
        <f>IFERROR(__xludf.DUMMYFUNCTION("""COMPUTED_VALUE"""),3.0)</f>
        <v>3</v>
      </c>
      <c r="H1417" s="94">
        <f t="shared" si="1"/>
        <v>9</v>
      </c>
    </row>
    <row r="1418" ht="15.75" customHeight="1">
      <c r="A1418" s="1164" t="str">
        <f>IFERROR(__xludf.DUMMYFUNCTION("""COMPUTED_VALUE"""),"DL14-1405")</f>
        <v>DL14-1405</v>
      </c>
      <c r="B1418" s="94"/>
      <c r="C1418" s="94"/>
      <c r="D1418" s="94" t="str">
        <f>IFERROR(__xludf.DUMMYFUNCTION("""COMPUTED_VALUE"""),"4 DL 14 - 1405 (1+1) (Лот 233395)")</f>
        <v>4 DL 14 - 1405 (1+1) (Лот 233395)</v>
      </c>
      <c r="E1418" s="1436">
        <f>IFERROR(__xludf.DUMMYFUNCTION("""COMPUTED_VALUE"""),45912.0)</f>
        <v>45912</v>
      </c>
      <c r="F1418" s="1436">
        <f>IFERROR(__xludf.DUMMYFUNCTION("""COMPUTED_VALUE"""),45917.0)</f>
        <v>45917</v>
      </c>
      <c r="G1418" s="1430">
        <f>IFERROR(__xludf.DUMMYFUNCTION("""COMPUTED_VALUE"""),5.0)</f>
        <v>5</v>
      </c>
      <c r="H1418" s="94">
        <f t="shared" si="1"/>
        <v>9</v>
      </c>
    </row>
    <row r="1419" ht="15.75" customHeight="1">
      <c r="A1419" s="94" t="str">
        <f>IFERROR(__xludf.DUMMYFUNCTION("""COMPUTED_VALUE"""),"DL7-16")</f>
        <v>DL7-16</v>
      </c>
      <c r="B1419" s="94"/>
      <c r="C1419" s="94"/>
      <c r="D1419" s="94" t="str">
        <f>IFERROR(__xludf.DUMMYFUNCTION("""COMPUTED_VALUE"""),"4 DL 7 - 16 (2+1) (Лот 284225)")</f>
        <v>4 DL 7 - 16 (2+1) (Лот 284225)</v>
      </c>
      <c r="E1419" s="1436">
        <f>IFERROR(__xludf.DUMMYFUNCTION("""COMPUTED_VALUE"""),45912.0)</f>
        <v>45912</v>
      </c>
      <c r="F1419" s="1436">
        <f>IFERROR(__xludf.DUMMYFUNCTION("""COMPUTED_VALUE"""),45917.0)</f>
        <v>45917</v>
      </c>
      <c r="G1419" s="1430">
        <f>IFERROR(__xludf.DUMMYFUNCTION("""COMPUTED_VALUE"""),5.0)</f>
        <v>5</v>
      </c>
      <c r="H1419" s="94">
        <f t="shared" si="1"/>
        <v>9</v>
      </c>
    </row>
    <row r="1420" ht="15.75" customHeight="1">
      <c r="A1420" s="1164" t="str">
        <f>IFERROR(__xludf.DUMMYFUNCTION("""COMPUTED_VALUE"""),"14-411")</f>
        <v>14-411</v>
      </c>
      <c r="B1420" s="94"/>
      <c r="C1420" s="94"/>
      <c r="D1420" s="94" t="str">
        <f>IFERROR(__xludf.DUMMYFUNCTION("""COMPUTED_VALUE"""),"4 DL 14 - 411 (Лот 233419)")</f>
        <v>4 DL 14 - 411 (Лот 233419)</v>
      </c>
      <c r="E1420" s="1436">
        <f>IFERROR(__xludf.DUMMYFUNCTION("""COMPUTED_VALUE"""),45911.0)</f>
        <v>45911</v>
      </c>
      <c r="F1420" s="1436">
        <f>IFERROR(__xludf.DUMMYFUNCTION("""COMPUTED_VALUE"""),45922.0)</f>
        <v>45922</v>
      </c>
      <c r="G1420" s="1430">
        <f>IFERROR(__xludf.DUMMYFUNCTION("""COMPUTED_VALUE"""),11.0)</f>
        <v>11</v>
      </c>
      <c r="H1420" s="94">
        <f t="shared" si="1"/>
        <v>9</v>
      </c>
    </row>
    <row r="1421" ht="15.75" customHeight="1">
      <c r="A1421" s="1164" t="str">
        <f>IFERROR(__xludf.DUMMYFUNCTION("""COMPUTED_VALUE"""),"DL 14-1214")</f>
        <v>DL 14-1214</v>
      </c>
      <c r="B1421" s="94"/>
      <c r="C1421" s="94"/>
      <c r="D1421" s="94" t="str">
        <f>IFERROR(__xludf.DUMMYFUNCTION("""COMPUTED_VALUE"""),"4 DL 14 - 1214 (Лот 233420)")</f>
        <v>4 DL 14 - 1214 (Лот 233420)</v>
      </c>
      <c r="E1421" s="1436">
        <f>IFERROR(__xludf.DUMMYFUNCTION("""COMPUTED_VALUE"""),45911.0)</f>
        <v>45911</v>
      </c>
      <c r="F1421" s="1436">
        <f>IFERROR(__xludf.DUMMYFUNCTION("""COMPUTED_VALUE"""),45917.0)</f>
        <v>45917</v>
      </c>
      <c r="G1421" s="1430">
        <f>IFERROR(__xludf.DUMMYFUNCTION("""COMPUTED_VALUE"""),6.0)</f>
        <v>6</v>
      </c>
      <c r="H1421" s="94">
        <f t="shared" si="1"/>
        <v>9</v>
      </c>
    </row>
    <row r="1422" ht="15.75" customHeight="1">
      <c r="A1422" s="1164" t="str">
        <f>IFERROR(__xludf.DUMMYFUNCTION("""COMPUTED_VALUE"""),"C 4245")</f>
        <v>C 4245</v>
      </c>
      <c r="B1422" s="94"/>
      <c r="C1422" s="94"/>
      <c r="D1422" s="94" t="str">
        <f>IFERROR(__xludf.DUMMYFUNCTION("""COMPUTED_VALUE"""),"2 Orbi C 4245 (Лот 233298)")</f>
        <v>2 Orbi C 4245 (Лот 233298)</v>
      </c>
      <c r="E1422" s="1436">
        <f>IFERROR(__xludf.DUMMYFUNCTION("""COMPUTED_VALUE"""),45911.0)</f>
        <v>45911</v>
      </c>
      <c r="F1422" s="1436">
        <f>IFERROR(__xludf.DUMMYFUNCTION("""COMPUTED_VALUE"""),45918.0)</f>
        <v>45918</v>
      </c>
      <c r="G1422" s="1430">
        <f>IFERROR(__xludf.DUMMYFUNCTION("""COMPUTED_VALUE"""),7.0)</f>
        <v>7</v>
      </c>
      <c r="H1422" s="94">
        <f t="shared" si="1"/>
        <v>9</v>
      </c>
    </row>
    <row r="1423" ht="15.75" customHeight="1">
      <c r="A1423" s="94" t="str">
        <f>IFERROR(__xludf.DUMMYFUNCTION("""COMPUTED_VALUE"""),"TGA2")</f>
        <v>TGA2</v>
      </c>
      <c r="B1423" s="94"/>
      <c r="C1423" s="94"/>
      <c r="D1423" s="94" t="str">
        <f>IFERROR(__xludf.DUMMYFUNCTION("""COMPUTED_VALUE"""),"6 TG c 1 сп. блок А (А2, А4, А7, B8, A9) (Лот 263239)")</f>
        <v>6 TG c 1 сп. блок А (А2, А4, А7, B8, A9) (Лот 263239)</v>
      </c>
      <c r="E1423" s="1436">
        <f>IFERROR(__xludf.DUMMYFUNCTION("""COMPUTED_VALUE"""),45911.0)</f>
        <v>45911</v>
      </c>
      <c r="F1423" s="1436">
        <f>IFERROR(__xludf.DUMMYFUNCTION("""COMPUTED_VALUE"""),45915.0)</f>
        <v>45915</v>
      </c>
      <c r="G1423" s="1430">
        <f>IFERROR(__xludf.DUMMYFUNCTION("""COMPUTED_VALUE"""),4.0)</f>
        <v>4</v>
      </c>
      <c r="H1423" s="94">
        <f t="shared" si="1"/>
        <v>9</v>
      </c>
    </row>
    <row r="1424" ht="15.75" customHeight="1">
      <c r="A1424" s="1164" t="str">
        <f>IFERROR(__xludf.DUMMYFUNCTION("""COMPUTED_VALUE"""),"D2 1625")</f>
        <v>D2 1625</v>
      </c>
      <c r="B1424" s="94"/>
      <c r="C1424" s="94"/>
      <c r="D1424" s="94" t="str">
        <f>IFERROR(__xludf.DUMMYFUNCTION("""COMPUTED_VALUE"""),"2 Orbi D2 1625 (Лот 233308)")</f>
        <v>2 Orbi D2 1625 (Лот 233308)</v>
      </c>
      <c r="E1424" s="1436">
        <f>IFERROR(__xludf.DUMMYFUNCTION("""COMPUTED_VALUE"""),45911.0)</f>
        <v>45911</v>
      </c>
      <c r="F1424" s="1436">
        <f>IFERROR(__xludf.DUMMYFUNCTION("""COMPUTED_VALUE"""),45914.0)</f>
        <v>45914</v>
      </c>
      <c r="G1424" s="1430">
        <f>IFERROR(__xludf.DUMMYFUNCTION("""COMPUTED_VALUE"""),3.0)</f>
        <v>3</v>
      </c>
      <c r="H1424" s="94">
        <f t="shared" si="1"/>
        <v>9</v>
      </c>
    </row>
    <row r="1425" ht="15.75" customHeight="1">
      <c r="A1425" s="1164" t="str">
        <f>IFERROR(__xludf.DUMMYFUNCTION("""COMPUTED_VALUE"""),"С 1443")</f>
        <v>С 1443</v>
      </c>
      <c r="B1425" s="94"/>
      <c r="C1425" s="94"/>
      <c r="D1425" s="94" t="str">
        <f>IFERROR(__xludf.DUMMYFUNCTION("""COMPUTED_VALUE"""),"2 Orbi C 1443 (Лот 233331)")</f>
        <v>2 Orbi C 1443 (Лот 233331)</v>
      </c>
      <c r="E1425" s="1436">
        <f>IFERROR(__xludf.DUMMYFUNCTION("""COMPUTED_VALUE"""),45911.0)</f>
        <v>45911</v>
      </c>
      <c r="F1425" s="1436">
        <f>IFERROR(__xludf.DUMMYFUNCTION("""COMPUTED_VALUE"""),45916.0)</f>
        <v>45916</v>
      </c>
      <c r="G1425" s="1430">
        <f>IFERROR(__xludf.DUMMYFUNCTION("""COMPUTED_VALUE"""),5.0)</f>
        <v>5</v>
      </c>
      <c r="H1425" s="94">
        <f t="shared" si="1"/>
        <v>9</v>
      </c>
    </row>
    <row r="1426" ht="15.75" customHeight="1">
      <c r="A1426" s="94" t="str">
        <f>IFERROR(__xludf.DUMMYFUNCTION("""COMPUTED_VALUE"""),"MZ 718")</f>
        <v>MZ 718</v>
      </c>
      <c r="B1426" s="94"/>
      <c r="C1426" s="94"/>
      <c r="D1426" s="94" t="str">
        <f>IFERROR(__xludf.DUMMYFUNCTION("""COMPUTED_VALUE"""),"3 MZ 718, 913 (Лот 269699)")</f>
        <v>3 MZ 718, 913 (Лот 269699)</v>
      </c>
      <c r="E1426" s="1436">
        <f>IFERROR(__xludf.DUMMYFUNCTION("""COMPUTED_VALUE"""),45911.0)</f>
        <v>45911</v>
      </c>
      <c r="F1426" s="1436">
        <f>IFERROR(__xludf.DUMMYFUNCTION("""COMPUTED_VALUE"""),45914.0)</f>
        <v>45914</v>
      </c>
      <c r="G1426" s="1430">
        <f>IFERROR(__xludf.DUMMYFUNCTION("""COMPUTED_VALUE"""),3.0)</f>
        <v>3</v>
      </c>
      <c r="H1426" s="94">
        <f t="shared" si="1"/>
        <v>9</v>
      </c>
    </row>
    <row r="1427" ht="15.75" customHeight="1">
      <c r="A1427" s="1164" t="str">
        <f>IFERROR(__xludf.DUMMYFUNCTION("""COMPUTED_VALUE"""),"WS В 1510")</f>
        <v>WS В 1510</v>
      </c>
      <c r="B1427" s="94"/>
      <c r="C1427" s="94"/>
      <c r="D1427" s="94" t="str">
        <f>IFERROR(__xludf.DUMMYFUNCTION("""COMPUTED_VALUE"""),"1 WS B 1510 (Лот 233316)")</f>
        <v>1 WS B 1510 (Лот 233316)</v>
      </c>
      <c r="E1427" s="1436">
        <f>IFERROR(__xludf.DUMMYFUNCTION("""COMPUTED_VALUE"""),45911.0)</f>
        <v>45911</v>
      </c>
      <c r="F1427" s="1436">
        <f>IFERROR(__xludf.DUMMYFUNCTION("""COMPUTED_VALUE"""),45914.0)</f>
        <v>45914</v>
      </c>
      <c r="G1427" s="1430">
        <f>IFERROR(__xludf.DUMMYFUNCTION("""COMPUTED_VALUE"""),3.0)</f>
        <v>3</v>
      </c>
      <c r="H1427" s="94">
        <f t="shared" si="1"/>
        <v>9</v>
      </c>
    </row>
    <row r="1428" ht="15.75" customHeight="1">
      <c r="A1428" s="94" t="str">
        <f>IFERROR(__xludf.DUMMYFUNCTION("""COMPUTED_VALUE"""),"DL 13-206")</f>
        <v>DL 13-206</v>
      </c>
      <c r="B1428" s="94"/>
      <c r="C1428" s="94"/>
      <c r="D1428" s="94" t="str">
        <f>IFERROR(__xludf.DUMMYFUNCTION("""COMPUTED_VALUE"""),"4 DL 13 - 206 (Лот 291575)")</f>
        <v>4 DL 13 - 206 (Лот 291575)</v>
      </c>
      <c r="E1428" s="1436">
        <f>IFERROR(__xludf.DUMMYFUNCTION("""COMPUTED_VALUE"""),45911.0)</f>
        <v>45911</v>
      </c>
      <c r="F1428" s="1436">
        <f>IFERROR(__xludf.DUMMYFUNCTION("""COMPUTED_VALUE"""),45917.0)</f>
        <v>45917</v>
      </c>
      <c r="G1428" s="1430">
        <f>IFERROR(__xludf.DUMMYFUNCTION("""COMPUTED_VALUE"""),6.0)</f>
        <v>6</v>
      </c>
      <c r="H1428" s="94">
        <f t="shared" si="1"/>
        <v>9</v>
      </c>
    </row>
    <row r="1429" ht="15.75" customHeight="1">
      <c r="A1429" s="94" t="str">
        <f>IFERROR(__xludf.DUMMYFUNCTION("""COMPUTED_VALUE"""),"WS A805")</f>
        <v>WS A805</v>
      </c>
      <c r="B1429" s="94"/>
      <c r="C1429" s="94"/>
      <c r="D1429" s="94" t="str">
        <f>IFERROR(__xludf.DUMMYFUNCTION("""COMPUTED_VALUE"""),"1 WS A 805 (Лот 283869)")</f>
        <v>1 WS A 805 (Лот 283869)</v>
      </c>
      <c r="E1429" s="1436">
        <f>IFERROR(__xludf.DUMMYFUNCTION("""COMPUTED_VALUE"""),45911.0)</f>
        <v>45911</v>
      </c>
      <c r="F1429" s="1436">
        <f>IFERROR(__xludf.DUMMYFUNCTION("""COMPUTED_VALUE"""),45915.0)</f>
        <v>45915</v>
      </c>
      <c r="G1429" s="1430">
        <f>IFERROR(__xludf.DUMMYFUNCTION("""COMPUTED_VALUE"""),4.0)</f>
        <v>4</v>
      </c>
      <c r="H1429" s="94">
        <f t="shared" si="1"/>
        <v>9</v>
      </c>
    </row>
    <row r="1430" ht="15.75" customHeight="1">
      <c r="A1430" s="94" t="str">
        <f>IFERROR(__xludf.DUMMYFUNCTION("""COMPUTED_VALUE"""),"TGA2")</f>
        <v>TGA2</v>
      </c>
      <c r="B1430" s="94"/>
      <c r="C1430" s="94"/>
      <c r="D1430" s="94" t="str">
        <f>IFERROR(__xludf.DUMMYFUNCTION("""COMPUTED_VALUE"""),"6 TG c 1 сп. блок А (А2, А4, А7, B8, A9) (Лот 263239)")</f>
        <v>6 TG c 1 сп. блок А (А2, А4, А7, B8, A9) (Лот 263239)</v>
      </c>
      <c r="E1430" s="1436">
        <f>IFERROR(__xludf.DUMMYFUNCTION("""COMPUTED_VALUE"""),45911.0)</f>
        <v>45911</v>
      </c>
      <c r="F1430" s="1436">
        <f>IFERROR(__xludf.DUMMYFUNCTION("""COMPUTED_VALUE"""),45914.0)</f>
        <v>45914</v>
      </c>
      <c r="G1430" s="1430">
        <f>IFERROR(__xludf.DUMMYFUNCTION("""COMPUTED_VALUE"""),3.0)</f>
        <v>3</v>
      </c>
      <c r="H1430" s="94">
        <f t="shared" si="1"/>
        <v>9</v>
      </c>
    </row>
    <row r="1431" ht="15.75" customHeight="1">
      <c r="A1431" s="94" t="str">
        <f>IFERROR(__xludf.DUMMYFUNCTION("""COMPUTED_VALUE"""),"MZ 1416")</f>
        <v>MZ 1416</v>
      </c>
      <c r="B1431" s="94"/>
      <c r="C1431" s="94"/>
      <c r="D1431" s="94" t="str">
        <f>IFERROR(__xludf.DUMMYFUNCTION("""COMPUTED_VALUE"""),"3 MZ 1416 (Лот 289819)")</f>
        <v>3 MZ 1416 (Лот 289819)</v>
      </c>
      <c r="E1431" s="1436">
        <f>IFERROR(__xludf.DUMMYFUNCTION("""COMPUTED_VALUE"""),45910.0)</f>
        <v>45910</v>
      </c>
      <c r="F1431" s="1436">
        <f>IFERROR(__xludf.DUMMYFUNCTION("""COMPUTED_VALUE"""),45913.0)</f>
        <v>45913</v>
      </c>
      <c r="G1431" s="1430">
        <f>IFERROR(__xludf.DUMMYFUNCTION("""COMPUTED_VALUE"""),3.0)</f>
        <v>3</v>
      </c>
      <c r="H1431" s="94">
        <f t="shared" si="1"/>
        <v>9</v>
      </c>
    </row>
    <row r="1432" ht="15.75" customHeight="1">
      <c r="A1432" s="94" t="str">
        <f>IFERROR(__xludf.DUMMYFUNCTION("""COMPUTED_VALUE"""),"NW 2-5")</f>
        <v>NW 2-5</v>
      </c>
      <c r="B1432" s="94"/>
      <c r="C1432" s="94"/>
      <c r="D1432" s="94" t="str">
        <f>IFERROR(__xludf.DUMMYFUNCTION("""COMPUTED_VALUE"""),"3 NW 205 (Лот 295811)")</f>
        <v>3 NW 205 (Лот 295811)</v>
      </c>
      <c r="E1432" s="1436">
        <f>IFERROR(__xludf.DUMMYFUNCTION("""COMPUTED_VALUE"""),45910.0)</f>
        <v>45910</v>
      </c>
      <c r="F1432" s="1436">
        <f>IFERROR(__xludf.DUMMYFUNCTION("""COMPUTED_VALUE"""),45926.0)</f>
        <v>45926</v>
      </c>
      <c r="G1432" s="1430">
        <f>IFERROR(__xludf.DUMMYFUNCTION("""COMPUTED_VALUE"""),16.0)</f>
        <v>16</v>
      </c>
      <c r="H1432" s="94">
        <f t="shared" si="1"/>
        <v>9</v>
      </c>
    </row>
    <row r="1433" ht="15.75" customHeight="1">
      <c r="A1433" s="94" t="str">
        <f>IFERROR(__xludf.DUMMYFUNCTION("""COMPUTED_VALUE"""),"CM 1604")</f>
        <v>CM 1604</v>
      </c>
      <c r="B1433" s="94"/>
      <c r="C1433" s="94"/>
      <c r="D1433" s="94" t="str">
        <f>IFERROR(__xludf.DUMMYFUNCTION("""COMPUTED_VALUE"""),"3 Mar 1604 (Лот 233303)")</f>
        <v>3 Mar 1604 (Лот 233303)</v>
      </c>
      <c r="E1433" s="1436">
        <f>IFERROR(__xludf.DUMMYFUNCTION("""COMPUTED_VALUE"""),45910.0)</f>
        <v>45910</v>
      </c>
      <c r="F1433" s="1436">
        <f>IFERROR(__xludf.DUMMYFUNCTION("""COMPUTED_VALUE"""),45913.0)</f>
        <v>45913</v>
      </c>
      <c r="G1433" s="1430">
        <f>IFERROR(__xludf.DUMMYFUNCTION("""COMPUTED_VALUE"""),3.0)</f>
        <v>3</v>
      </c>
      <c r="H1433" s="94">
        <f t="shared" si="1"/>
        <v>9</v>
      </c>
    </row>
    <row r="1434" ht="15.75" customHeight="1">
      <c r="A1434" s="1164" t="str">
        <f>IFERROR(__xludf.DUMMYFUNCTION("""COMPUTED_VALUE"""),"BV1318")</f>
        <v>BV1318</v>
      </c>
      <c r="B1434" s="94"/>
      <c r="C1434" s="94"/>
      <c r="D1434" s="94" t="str">
        <f>IFERROR(__xludf.DUMMYFUNCTION("""COMPUTED_VALUE"""),"1 BV 1318 (Лот 234845)")</f>
        <v>1 BV 1318 (Лот 234845)</v>
      </c>
      <c r="E1434" s="1436">
        <f>IFERROR(__xludf.DUMMYFUNCTION("""COMPUTED_VALUE"""),45910.0)</f>
        <v>45910</v>
      </c>
      <c r="F1434" s="1436">
        <f>IFERROR(__xludf.DUMMYFUNCTION("""COMPUTED_VALUE"""),45913.0)</f>
        <v>45913</v>
      </c>
      <c r="G1434" s="1430">
        <f>IFERROR(__xludf.DUMMYFUNCTION("""COMPUTED_VALUE"""),3.0)</f>
        <v>3</v>
      </c>
      <c r="H1434" s="94">
        <f t="shared" si="1"/>
        <v>9</v>
      </c>
    </row>
    <row r="1435" ht="15.75" customHeight="1">
      <c r="A1435" s="94" t="str">
        <f>IFERROR(__xludf.DUMMYFUNCTION("""COMPUTED_VALUE"""),"TGA5")</f>
        <v>TGA5</v>
      </c>
      <c r="B1435" s="94"/>
      <c r="C1435" s="94"/>
      <c r="D1435" s="94" t="str">
        <f>IFERROR(__xludf.DUMMYFUNCTION("""COMPUTED_VALUE"""),"6 TG Студия с видом на море А3, А5, А6, А8 (Лот 268012)")</f>
        <v>6 TG Студия с видом на море А3, А5, А6, А8 (Лот 268012)</v>
      </c>
      <c r="E1435" s="1436">
        <f>IFERROR(__xludf.DUMMYFUNCTION("""COMPUTED_VALUE"""),45910.0)</f>
        <v>45910</v>
      </c>
      <c r="F1435" s="1436">
        <f>IFERROR(__xludf.DUMMYFUNCTION("""COMPUTED_VALUE"""),45914.0)</f>
        <v>45914</v>
      </c>
      <c r="G1435" s="1430">
        <f>IFERROR(__xludf.DUMMYFUNCTION("""COMPUTED_VALUE"""),4.0)</f>
        <v>4</v>
      </c>
      <c r="H1435" s="94">
        <f t="shared" si="1"/>
        <v>9</v>
      </c>
    </row>
    <row r="1436" ht="15.75" customHeight="1">
      <c r="A1436" s="1164" t="str">
        <f>IFERROR(__xludf.DUMMYFUNCTION("""COMPUTED_VALUE"""),"CM 1931")</f>
        <v>CM 1931</v>
      </c>
      <c r="B1436" s="94"/>
      <c r="C1436" s="94"/>
      <c r="D1436" s="94" t="str">
        <f>IFERROR(__xludf.DUMMYFUNCTION("""COMPUTED_VALUE"""),"3 Mar 1931 (Лот 233381)")</f>
        <v>3 Mar 1931 (Лот 233381)</v>
      </c>
      <c r="E1436" s="1436">
        <f>IFERROR(__xludf.DUMMYFUNCTION("""COMPUTED_VALUE"""),45910.0)</f>
        <v>45910</v>
      </c>
      <c r="F1436" s="1436">
        <f>IFERROR(__xludf.DUMMYFUNCTION("""COMPUTED_VALUE"""),45918.0)</f>
        <v>45918</v>
      </c>
      <c r="G1436" s="1430">
        <f>IFERROR(__xludf.DUMMYFUNCTION("""COMPUTED_VALUE"""),8.0)</f>
        <v>8</v>
      </c>
      <c r="H1436" s="94">
        <f t="shared" si="1"/>
        <v>9</v>
      </c>
    </row>
    <row r="1437" ht="15.75" customHeight="1">
      <c r="A1437" s="94" t="str">
        <f>IFERROR(__xludf.DUMMYFUNCTION("""COMPUTED_VALUE"""),"TGB5")</f>
        <v>TGB5</v>
      </c>
      <c r="B1437" s="94"/>
      <c r="C1437" s="94"/>
      <c r="D1437" s="94" t="str">
        <f>IFERROR(__xludf.DUMMYFUNCTION("""COMPUTED_VALUE"""),"6 TG С 1 сп с видом на горы В5, В1 (Лот 268015)")</f>
        <v>6 TG С 1 сп с видом на горы В5, В1 (Лот 268015)</v>
      </c>
      <c r="E1437" s="1436">
        <f>IFERROR(__xludf.DUMMYFUNCTION("""COMPUTED_VALUE"""),45910.0)</f>
        <v>45910</v>
      </c>
      <c r="F1437" s="1436">
        <f>IFERROR(__xludf.DUMMYFUNCTION("""COMPUTED_VALUE"""),45915.0)</f>
        <v>45915</v>
      </c>
      <c r="G1437" s="1430">
        <f>IFERROR(__xludf.DUMMYFUNCTION("""COMPUTED_VALUE"""),5.0)</f>
        <v>5</v>
      </c>
      <c r="H1437" s="94">
        <f t="shared" si="1"/>
        <v>9</v>
      </c>
    </row>
    <row r="1438" ht="15.75" customHeight="1">
      <c r="A1438" s="1164" t="str">
        <f>IFERROR(__xludf.DUMMYFUNCTION("""COMPUTED_VALUE"""),"DL 11-1112")</f>
        <v>DL 11-1112</v>
      </c>
      <c r="B1438" s="94"/>
      <c r="C1438" s="94"/>
      <c r="D1438" s="94" t="str">
        <f>IFERROR(__xludf.DUMMYFUNCTION("""COMPUTED_VALUE"""),"4 DL 11 - 1112 (Лот 233410)")</f>
        <v>4 DL 11 - 1112 (Лот 233410)</v>
      </c>
      <c r="E1438" s="1436">
        <f>IFERROR(__xludf.DUMMYFUNCTION("""COMPUTED_VALUE"""),45910.0)</f>
        <v>45910</v>
      </c>
      <c r="F1438" s="1436">
        <f>IFERROR(__xludf.DUMMYFUNCTION("""COMPUTED_VALUE"""),45914.0)</f>
        <v>45914</v>
      </c>
      <c r="G1438" s="1430">
        <f>IFERROR(__xludf.DUMMYFUNCTION("""COMPUTED_VALUE"""),4.0)</f>
        <v>4</v>
      </c>
      <c r="H1438" s="94">
        <f t="shared" si="1"/>
        <v>9</v>
      </c>
    </row>
    <row r="1439" ht="15.75" customHeight="1">
      <c r="A1439" s="1164" t="str">
        <f>IFERROR(__xludf.DUMMYFUNCTION("""COMPUTED_VALUE"""),"DL14-1710")</f>
        <v>DL14-1710</v>
      </c>
      <c r="B1439" s="94"/>
      <c r="C1439" s="94"/>
      <c r="D1439" s="94" t="str">
        <f>IFERROR(__xludf.DUMMYFUNCTION("""COMPUTED_VALUE"""),"4 DL 14 - 1710 (Лот 284212)")</f>
        <v>4 DL 14 - 1710 (Лот 284212)</v>
      </c>
      <c r="E1439" s="1436">
        <f>IFERROR(__xludf.DUMMYFUNCTION("""COMPUTED_VALUE"""),45910.0)</f>
        <v>45910</v>
      </c>
      <c r="F1439" s="1436">
        <f>IFERROR(__xludf.DUMMYFUNCTION("""COMPUTED_VALUE"""),45918.0)</f>
        <v>45918</v>
      </c>
      <c r="G1439" s="1430">
        <f>IFERROR(__xludf.DUMMYFUNCTION("""COMPUTED_VALUE"""),8.0)</f>
        <v>8</v>
      </c>
      <c r="H1439" s="94">
        <f t="shared" si="1"/>
        <v>9</v>
      </c>
    </row>
    <row r="1440" ht="15.75" customHeight="1">
      <c r="A1440" s="94" t="str">
        <f>IFERROR(__xludf.DUMMYFUNCTION("""COMPUTED_VALUE"""),"TGB6")</f>
        <v>TGB6</v>
      </c>
      <c r="B1440" s="94"/>
      <c r="C1440" s="94"/>
      <c r="D1440" s="94" t="str">
        <f>IFERROR(__xludf.DUMMYFUNCTION("""COMPUTED_VALUE"""),"6 TG 1+1 Sunset (Б6, Б7) (Лот 268008)")</f>
        <v>6 TG 1+1 Sunset (Б6, Б7) (Лот 268008)</v>
      </c>
      <c r="E1440" s="1436">
        <f>IFERROR(__xludf.DUMMYFUNCTION("""COMPUTED_VALUE"""),45910.0)</f>
        <v>45910</v>
      </c>
      <c r="F1440" s="1436">
        <f>IFERROR(__xludf.DUMMYFUNCTION("""COMPUTED_VALUE"""),45913.0)</f>
        <v>45913</v>
      </c>
      <c r="G1440" s="1430">
        <f>IFERROR(__xludf.DUMMYFUNCTION("""COMPUTED_VALUE"""),3.0)</f>
        <v>3</v>
      </c>
      <c r="H1440" s="94">
        <f t="shared" si="1"/>
        <v>9</v>
      </c>
    </row>
    <row r="1441" ht="15.75" customHeight="1">
      <c r="A1441" s="94" t="str">
        <f>IFERROR(__xludf.DUMMYFUNCTION("""COMPUTED_VALUE"""),"DL 13-206")</f>
        <v>DL 13-206</v>
      </c>
      <c r="B1441" s="94"/>
      <c r="C1441" s="94"/>
      <c r="D1441" s="94" t="str">
        <f>IFERROR(__xludf.DUMMYFUNCTION("""COMPUTED_VALUE"""),"4 DL 13 - 206 (Лот 291575)")</f>
        <v>4 DL 13 - 206 (Лот 291575)</v>
      </c>
      <c r="E1441" s="1436">
        <f>IFERROR(__xludf.DUMMYFUNCTION("""COMPUTED_VALUE"""),45910.0)</f>
        <v>45910</v>
      </c>
      <c r="F1441" s="1436">
        <f>IFERROR(__xludf.DUMMYFUNCTION("""COMPUTED_VALUE"""),45911.0)</f>
        <v>45911</v>
      </c>
      <c r="G1441" s="1430">
        <f>IFERROR(__xludf.DUMMYFUNCTION("""COMPUTED_VALUE"""),1.0)</f>
        <v>1</v>
      </c>
      <c r="H1441" s="94">
        <f t="shared" si="1"/>
        <v>9</v>
      </c>
    </row>
    <row r="1442" ht="15.75" customHeight="1">
      <c r="A1442" s="94" t="str">
        <f>IFERROR(__xludf.DUMMYFUNCTION("""COMPUTED_VALUE"""),"D2 503")</f>
        <v>D2 503</v>
      </c>
      <c r="B1442" s="94"/>
      <c r="C1442" s="94"/>
      <c r="D1442" s="94" t="str">
        <f>IFERROR(__xludf.DUMMYFUNCTION("""COMPUTED_VALUE"""),"2 Orbi D2 503 (Лот 291554)")</f>
        <v>2 Orbi D2 503 (Лот 291554)</v>
      </c>
      <c r="E1442" s="1436">
        <f>IFERROR(__xludf.DUMMYFUNCTION("""COMPUTED_VALUE"""),45910.0)</f>
        <v>45910</v>
      </c>
      <c r="F1442" s="1436">
        <f>IFERROR(__xludf.DUMMYFUNCTION("""COMPUTED_VALUE"""),45916.0)</f>
        <v>45916</v>
      </c>
      <c r="G1442" s="1430">
        <f>IFERROR(__xludf.DUMMYFUNCTION("""COMPUTED_VALUE"""),6.0)</f>
        <v>6</v>
      </c>
      <c r="H1442" s="94">
        <f t="shared" si="1"/>
        <v>9</v>
      </c>
    </row>
    <row r="1443" ht="15.75" customHeight="1">
      <c r="A1443" s="94" t="str">
        <f>IFERROR(__xludf.DUMMYFUNCTION("""COMPUTED_VALUE"""),"TGA1")</f>
        <v>TGA1</v>
      </c>
      <c r="B1443" s="94"/>
      <c r="C1443" s="94"/>
      <c r="D1443" s="94" t="str">
        <f>IFERROR(__xludf.DUMMYFUNCTION("""COMPUTED_VALUE"""),"6 TG С 2 сп. блок А (А1, А10) (Лот 268000)")</f>
        <v>6 TG С 2 сп. блок А (А1, А10) (Лот 268000)</v>
      </c>
      <c r="E1443" s="1436">
        <f>IFERROR(__xludf.DUMMYFUNCTION("""COMPUTED_VALUE"""),45910.0)</f>
        <v>45910</v>
      </c>
      <c r="F1443" s="1436">
        <f>IFERROR(__xludf.DUMMYFUNCTION("""COMPUTED_VALUE"""),45916.0)</f>
        <v>45916</v>
      </c>
      <c r="G1443" s="1430">
        <f>IFERROR(__xludf.DUMMYFUNCTION("""COMPUTED_VALUE"""),6.0)</f>
        <v>6</v>
      </c>
      <c r="H1443" s="94">
        <f t="shared" si="1"/>
        <v>9</v>
      </c>
    </row>
    <row r="1444" ht="15.75" customHeight="1">
      <c r="A1444" s="94" t="str">
        <f>IFERROR(__xludf.DUMMYFUNCTION("""COMPUTED_VALUE"""),"PT2704")</f>
        <v>PT2704</v>
      </c>
      <c r="B1444" s="94"/>
      <c r="C1444" s="94"/>
      <c r="D1444" s="94" t="str">
        <f>IFERROR(__xludf.DUMMYFUNCTION("""COMPUTED_VALUE"""),"3 PB 2704 (Лот 265740)")</f>
        <v>3 PB 2704 (Лот 265740)</v>
      </c>
      <c r="E1444" s="1436">
        <f>IFERROR(__xludf.DUMMYFUNCTION("""COMPUTED_VALUE"""),45909.0)</f>
        <v>45909</v>
      </c>
      <c r="F1444" s="1436">
        <f>IFERROR(__xludf.DUMMYFUNCTION("""COMPUTED_VALUE"""),45912.0)</f>
        <v>45912</v>
      </c>
      <c r="G1444" s="1430">
        <f>IFERROR(__xludf.DUMMYFUNCTION("""COMPUTED_VALUE"""),3.0)</f>
        <v>3</v>
      </c>
      <c r="H1444" s="94">
        <f t="shared" si="1"/>
        <v>9</v>
      </c>
    </row>
    <row r="1445" ht="15.75" customHeight="1">
      <c r="A1445" s="1164" t="str">
        <f>IFERROR(__xludf.DUMMYFUNCTION("""COMPUTED_VALUE"""),"CM 1606")</f>
        <v>CM 1606</v>
      </c>
      <c r="B1445" s="94"/>
      <c r="C1445" s="94"/>
      <c r="D1445" s="94" t="str">
        <f>IFERROR(__xludf.DUMMYFUNCTION("""COMPUTED_VALUE"""),"3 Mar 1606 (Лот 233302)")</f>
        <v>3 Mar 1606 (Лот 233302)</v>
      </c>
      <c r="E1445" s="1436">
        <f>IFERROR(__xludf.DUMMYFUNCTION("""COMPUTED_VALUE"""),45909.0)</f>
        <v>45909</v>
      </c>
      <c r="F1445" s="1436">
        <f>IFERROR(__xludf.DUMMYFUNCTION("""COMPUTED_VALUE"""),45914.0)</f>
        <v>45914</v>
      </c>
      <c r="G1445" s="1430">
        <f>IFERROR(__xludf.DUMMYFUNCTION("""COMPUTED_VALUE"""),5.0)</f>
        <v>5</v>
      </c>
      <c r="H1445" s="94">
        <f t="shared" si="1"/>
        <v>9</v>
      </c>
    </row>
    <row r="1446" ht="15.75" customHeight="1">
      <c r="A1446" s="94" t="str">
        <f>IFERROR(__xludf.DUMMYFUNCTION("""COMPUTED_VALUE"""),"NW 3-7")</f>
        <v>NW 3-7</v>
      </c>
      <c r="B1446" s="94"/>
      <c r="C1446" s="94"/>
      <c r="D1446" s="94" t="str">
        <f>IFERROR(__xludf.DUMMYFUNCTION("""COMPUTED_VALUE"""),"3 NW 307 (Лот 289960)")</f>
        <v>3 NW 307 (Лот 289960)</v>
      </c>
      <c r="E1446" s="1436">
        <f>IFERROR(__xludf.DUMMYFUNCTION("""COMPUTED_VALUE"""),45909.0)</f>
        <v>45909</v>
      </c>
      <c r="F1446" s="1436">
        <f>IFERROR(__xludf.DUMMYFUNCTION("""COMPUTED_VALUE"""),45912.0)</f>
        <v>45912</v>
      </c>
      <c r="G1446" s="1430">
        <f>IFERROR(__xludf.DUMMYFUNCTION("""COMPUTED_VALUE"""),3.0)</f>
        <v>3</v>
      </c>
      <c r="H1446" s="94">
        <f t="shared" si="1"/>
        <v>9</v>
      </c>
    </row>
    <row r="1447" ht="15.75" customHeight="1">
      <c r="A1447" s="1164" t="str">
        <f>IFERROR(__xludf.DUMMYFUNCTION("""COMPUTED_VALUE"""),"Steps1123")</f>
        <v>Steps1123</v>
      </c>
      <c r="B1447" s="94"/>
      <c r="C1447" s="94"/>
      <c r="D1447" s="94" t="str">
        <f>IFERROR(__xludf.DUMMYFUNCTION("""COMPUTED_VALUE"""),"1. Steps 1123 (Лот 247443)")</f>
        <v>1. Steps 1123 (Лот 247443)</v>
      </c>
      <c r="E1447" s="1436">
        <f>IFERROR(__xludf.DUMMYFUNCTION("""COMPUTED_VALUE"""),45909.0)</f>
        <v>45909</v>
      </c>
      <c r="F1447" s="1436">
        <f>IFERROR(__xludf.DUMMYFUNCTION("""COMPUTED_VALUE"""),45913.0)</f>
        <v>45913</v>
      </c>
      <c r="G1447" s="1430">
        <f>IFERROR(__xludf.DUMMYFUNCTION("""COMPUTED_VALUE"""),4.0)</f>
        <v>4</v>
      </c>
      <c r="H1447" s="94">
        <f t="shared" si="1"/>
        <v>9</v>
      </c>
    </row>
    <row r="1448" ht="15.75" customHeight="1">
      <c r="A1448" s="1164" t="str">
        <f>IFERROR(__xludf.DUMMYFUNCTION("""COMPUTED_VALUE"""),"WS A907")</f>
        <v>WS A907</v>
      </c>
      <c r="B1448" s="94"/>
      <c r="C1448" s="94"/>
      <c r="D1448" s="94" t="str">
        <f>IFERROR(__xludf.DUMMYFUNCTION("""COMPUTED_VALUE"""),"1 WS A 907 (Лот 233365)")</f>
        <v>1 WS A 907 (Лот 233365)</v>
      </c>
      <c r="E1448" s="1436">
        <f>IFERROR(__xludf.DUMMYFUNCTION("""COMPUTED_VALUE"""),45909.0)</f>
        <v>45909</v>
      </c>
      <c r="F1448" s="1436">
        <f>IFERROR(__xludf.DUMMYFUNCTION("""COMPUTED_VALUE"""),45916.0)</f>
        <v>45916</v>
      </c>
      <c r="G1448" s="1430">
        <f>IFERROR(__xludf.DUMMYFUNCTION("""COMPUTED_VALUE"""),7.0)</f>
        <v>7</v>
      </c>
      <c r="H1448" s="94">
        <f t="shared" si="1"/>
        <v>9</v>
      </c>
    </row>
    <row r="1449" ht="15.75" customHeight="1">
      <c r="A1449" s="94" t="str">
        <f>IFERROR(__xludf.DUMMYFUNCTION("""COMPUTED_VALUE"""),"NW 10-6")</f>
        <v>NW 10-6</v>
      </c>
      <c r="B1449" s="94"/>
      <c r="C1449" s="94"/>
      <c r="D1449" s="94" t="str">
        <f>IFERROR(__xludf.DUMMYFUNCTION("""COMPUTED_VALUE"""),"3 NW 1006 (Лот 289905)")</f>
        <v>3 NW 1006 (Лот 289905)</v>
      </c>
      <c r="E1449" s="1436">
        <f>IFERROR(__xludf.DUMMYFUNCTION("""COMPUTED_VALUE"""),45908.0)</f>
        <v>45908</v>
      </c>
      <c r="F1449" s="1436">
        <f>IFERROR(__xludf.DUMMYFUNCTION("""COMPUTED_VALUE"""),45912.0)</f>
        <v>45912</v>
      </c>
      <c r="G1449" s="1430">
        <f>IFERROR(__xludf.DUMMYFUNCTION("""COMPUTED_VALUE"""),4.0)</f>
        <v>4</v>
      </c>
      <c r="H1449" s="94">
        <f t="shared" si="1"/>
        <v>9</v>
      </c>
    </row>
    <row r="1450" ht="15.75" customHeight="1">
      <c r="A1450" s="94" t="str">
        <f>IFERROR(__xludf.DUMMYFUNCTION("""COMPUTED_VALUE"""),"NW 4-9")</f>
        <v>NW 4-9</v>
      </c>
      <c r="B1450" s="94"/>
      <c r="C1450" s="94"/>
      <c r="D1450" s="94" t="str">
        <f>IFERROR(__xludf.DUMMYFUNCTION("""COMPUTED_VALUE"""),"3 NW 409 (Лот 289895)")</f>
        <v>3 NW 409 (Лот 289895)</v>
      </c>
      <c r="E1450" s="1436">
        <f>IFERROR(__xludf.DUMMYFUNCTION("""COMPUTED_VALUE"""),45908.0)</f>
        <v>45908</v>
      </c>
      <c r="F1450" s="1436">
        <f>IFERROR(__xludf.DUMMYFUNCTION("""COMPUTED_VALUE"""),45938.0)</f>
        <v>45938</v>
      </c>
      <c r="G1450" s="1430">
        <f>IFERROR(__xludf.DUMMYFUNCTION("""COMPUTED_VALUE"""),30.0)</f>
        <v>30</v>
      </c>
      <c r="H1450" s="94">
        <f t="shared" si="1"/>
        <v>9</v>
      </c>
    </row>
    <row r="1451" ht="15.75" customHeight="1">
      <c r="A1451" s="94" t="str">
        <f>IFERROR(__xludf.DUMMYFUNCTION("""COMPUTED_VALUE"""),"TGA10")</f>
        <v>TGA10</v>
      </c>
      <c r="B1451" s="94"/>
      <c r="C1451" s="94"/>
      <c r="D1451" s="94" t="str">
        <f>IFERROR(__xludf.DUMMYFUNCTION("""COMPUTED_VALUE"""),"6 TG С 2 сп. блок А (А1, А10) (Лот 268000)")</f>
        <v>6 TG С 2 сп. блок А (А1, А10) (Лот 268000)</v>
      </c>
      <c r="E1451" s="1436">
        <f>IFERROR(__xludf.DUMMYFUNCTION("""COMPUTED_VALUE"""),45908.0)</f>
        <v>45908</v>
      </c>
      <c r="F1451" s="1436">
        <f>IFERROR(__xludf.DUMMYFUNCTION("""COMPUTED_VALUE"""),45917.0)</f>
        <v>45917</v>
      </c>
      <c r="G1451" s="1430">
        <f>IFERROR(__xludf.DUMMYFUNCTION("""COMPUTED_VALUE"""),9.0)</f>
        <v>9</v>
      </c>
      <c r="H1451" s="94">
        <f t="shared" si="1"/>
        <v>9</v>
      </c>
    </row>
    <row r="1452" ht="15.75" customHeight="1">
      <c r="A1452" s="1164" t="str">
        <f>IFERROR(__xludf.DUMMYFUNCTION("""COMPUTED_VALUE"""),"WS В 212")</f>
        <v>WS В 212</v>
      </c>
      <c r="B1452" s="94"/>
      <c r="C1452" s="94"/>
      <c r="D1452" s="94" t="str">
        <f>IFERROR(__xludf.DUMMYFUNCTION("""COMPUTED_VALUE"""),"1 WS B 212 (Лот 233391)")</f>
        <v>1 WS B 212 (Лот 233391)</v>
      </c>
      <c r="E1452" s="1436">
        <f>IFERROR(__xludf.DUMMYFUNCTION("""COMPUTED_VALUE"""),45908.0)</f>
        <v>45908</v>
      </c>
      <c r="F1452" s="1436">
        <f>IFERROR(__xludf.DUMMYFUNCTION("""COMPUTED_VALUE"""),45911.0)</f>
        <v>45911</v>
      </c>
      <c r="G1452" s="1430">
        <f>IFERROR(__xludf.DUMMYFUNCTION("""COMPUTED_VALUE"""),3.0)</f>
        <v>3</v>
      </c>
      <c r="H1452" s="94">
        <f t="shared" si="1"/>
        <v>9</v>
      </c>
    </row>
    <row r="1453" ht="15.75" customHeight="1">
      <c r="A1453" s="94" t="str">
        <f>IFERROR(__xludf.DUMMYFUNCTION("""COMPUTED_VALUE"""),"DL 14-506")</f>
        <v>DL 14-506</v>
      </c>
      <c r="B1453" s="94"/>
      <c r="C1453" s="94"/>
      <c r="D1453" s="94" t="str">
        <f>IFERROR(__xludf.DUMMYFUNCTION("""COMPUTED_VALUE"""),"4 DL 14 - 506 (Лот 296803)")</f>
        <v>4 DL 14 - 506 (Лот 296803)</v>
      </c>
      <c r="E1453" s="1436">
        <f>IFERROR(__xludf.DUMMYFUNCTION("""COMPUTED_VALUE"""),45908.0)</f>
        <v>45908</v>
      </c>
      <c r="F1453" s="1436">
        <f>IFERROR(__xludf.DUMMYFUNCTION("""COMPUTED_VALUE"""),45912.0)</f>
        <v>45912</v>
      </c>
      <c r="G1453" s="1430">
        <f>IFERROR(__xludf.DUMMYFUNCTION("""COMPUTED_VALUE"""),4.0)</f>
        <v>4</v>
      </c>
      <c r="H1453" s="94">
        <f t="shared" si="1"/>
        <v>9</v>
      </c>
    </row>
    <row r="1454" ht="15.75" customHeight="1">
      <c r="A1454" s="94" t="str">
        <f>IFERROR(__xludf.DUMMYFUNCTION("""COMPUTED_VALUE"""),"4.DL 13 - 201 (Лот 299722)")</f>
        <v>4.DL 13 - 201 (Лот 299722)</v>
      </c>
      <c r="B1454" s="94"/>
      <c r="C1454" s="94"/>
      <c r="D1454" s="94" t="str">
        <f>IFERROR(__xludf.DUMMYFUNCTION("""COMPUTED_VALUE"""),"4 DL 13 - 201 (Лот 299722)")</f>
        <v>4 DL 13 - 201 (Лот 299722)</v>
      </c>
      <c r="E1454" s="1436">
        <f>IFERROR(__xludf.DUMMYFUNCTION("""COMPUTED_VALUE"""),45908.0)</f>
        <v>45908</v>
      </c>
      <c r="F1454" s="1436">
        <f>IFERROR(__xludf.DUMMYFUNCTION("""COMPUTED_VALUE"""),45911.0)</f>
        <v>45911</v>
      </c>
      <c r="G1454" s="1430">
        <f>IFERROR(__xludf.DUMMYFUNCTION("""COMPUTED_VALUE"""),3.0)</f>
        <v>3</v>
      </c>
      <c r="H1454" s="94">
        <f t="shared" si="1"/>
        <v>9</v>
      </c>
    </row>
    <row r="1455" ht="15.75" customHeight="1">
      <c r="A1455" s="94" t="str">
        <f>IFERROR(__xludf.DUMMYFUNCTION("""COMPUTED_VALUE"""),"MZ 913")</f>
        <v>MZ 913</v>
      </c>
      <c r="B1455" s="94"/>
      <c r="C1455" s="94"/>
      <c r="D1455" s="94" t="str">
        <f>IFERROR(__xludf.DUMMYFUNCTION("""COMPUTED_VALUE"""),"3 MZ 718, 913 (Лот 269699)")</f>
        <v>3 MZ 718, 913 (Лот 269699)</v>
      </c>
      <c r="E1455" s="1436">
        <f>IFERROR(__xludf.DUMMYFUNCTION("""COMPUTED_VALUE"""),45908.0)</f>
        <v>45908</v>
      </c>
      <c r="F1455" s="1436">
        <f>IFERROR(__xludf.DUMMYFUNCTION("""COMPUTED_VALUE"""),45911.0)</f>
        <v>45911</v>
      </c>
      <c r="G1455" s="1430">
        <f>IFERROR(__xludf.DUMMYFUNCTION("""COMPUTED_VALUE"""),3.0)</f>
        <v>3</v>
      </c>
      <c r="H1455" s="94">
        <f t="shared" si="1"/>
        <v>9</v>
      </c>
    </row>
    <row r="1456" ht="15.75" customHeight="1">
      <c r="A1456" s="1164" t="str">
        <f>IFERROR(__xludf.DUMMYFUNCTION("""COMPUTED_VALUE"""),"WS Е804")</f>
        <v>WS Е804</v>
      </c>
      <c r="B1456" s="94"/>
      <c r="C1456" s="94"/>
      <c r="D1456" s="94" t="str">
        <f>IFERROR(__xludf.DUMMYFUNCTION("""COMPUTED_VALUE"""),"1 WS E 804 (Лот 233350)")</f>
        <v>1 WS E 804 (Лот 233350)</v>
      </c>
      <c r="E1456" s="1436">
        <f>IFERROR(__xludf.DUMMYFUNCTION("""COMPUTED_VALUE"""),45908.0)</f>
        <v>45908</v>
      </c>
      <c r="F1456" s="1436">
        <f>IFERROR(__xludf.DUMMYFUNCTION("""COMPUTED_VALUE"""),45911.0)</f>
        <v>45911</v>
      </c>
      <c r="G1456" s="1430">
        <f>IFERROR(__xludf.DUMMYFUNCTION("""COMPUTED_VALUE"""),3.0)</f>
        <v>3</v>
      </c>
      <c r="H1456" s="94">
        <f t="shared" si="1"/>
        <v>9</v>
      </c>
    </row>
    <row r="1457" ht="15.75" customHeight="1">
      <c r="A1457" s="94" t="str">
        <f>IFERROR(__xludf.DUMMYFUNCTION("""COMPUTED_VALUE"""),"TGB8")</f>
        <v>TGB8</v>
      </c>
      <c r="B1457" s="94"/>
      <c r="C1457" s="94"/>
      <c r="D1457" s="94" t="str">
        <f>IFERROR(__xludf.DUMMYFUNCTION("""COMPUTED_VALUE"""),"6 TG c 1 сп. блок А (А2, А4, А7, B8, A9) (Лот 263239)")</f>
        <v>6 TG c 1 сп. блок А (А2, А4, А7, B8, A9) (Лот 263239)</v>
      </c>
      <c r="E1457" s="1436">
        <f>IFERROR(__xludf.DUMMYFUNCTION("""COMPUTED_VALUE"""),45908.0)</f>
        <v>45908</v>
      </c>
      <c r="F1457" s="1436">
        <f>IFERROR(__xludf.DUMMYFUNCTION("""COMPUTED_VALUE"""),45913.0)</f>
        <v>45913</v>
      </c>
      <c r="G1457" s="1430">
        <f>IFERROR(__xludf.DUMMYFUNCTION("""COMPUTED_VALUE"""),5.0)</f>
        <v>5</v>
      </c>
      <c r="H1457" s="94">
        <f t="shared" si="1"/>
        <v>9</v>
      </c>
    </row>
    <row r="1458" ht="15.75" customHeight="1">
      <c r="A1458" s="1164" t="str">
        <f>IFERROR(__xludf.DUMMYFUNCTION("""COMPUTED_VALUE"""),"Вилла Ева")</f>
        <v>Вилла Ева</v>
      </c>
      <c r="B1458" s="94"/>
      <c r="C1458" s="94"/>
      <c r="D1458" s="94" t="str">
        <f>IFERROR(__xludf.DUMMYFUNCTION("""COMPUTED_VALUE"""),"Villa EVA (Лот 275315)")</f>
        <v>Villa EVA (Лот 275315)</v>
      </c>
      <c r="E1458" s="1436">
        <f>IFERROR(__xludf.DUMMYFUNCTION("""COMPUTED_VALUE"""),45921.0)</f>
        <v>45921</v>
      </c>
      <c r="F1458" s="1436">
        <f>IFERROR(__xludf.DUMMYFUNCTION("""COMPUTED_VALUE"""),45924.0)</f>
        <v>45924</v>
      </c>
      <c r="G1458" s="1430">
        <f>IFERROR(__xludf.DUMMYFUNCTION("""COMPUTED_VALUE"""),3.0)</f>
        <v>3</v>
      </c>
      <c r="H1458" s="94">
        <f t="shared" si="1"/>
        <v>9</v>
      </c>
    </row>
    <row r="1459" ht="15.75" customHeight="1">
      <c r="A1459" s="1164" t="str">
        <f>IFERROR(__xludf.DUMMYFUNCTION("""COMPUTED_VALUE"""),"BV1318")</f>
        <v>BV1318</v>
      </c>
      <c r="B1459" s="94"/>
      <c r="C1459" s="94"/>
      <c r="D1459" s="94" t="str">
        <f>IFERROR(__xludf.DUMMYFUNCTION("""COMPUTED_VALUE"""),"1 BV 1318 (Лот 234845)")</f>
        <v>1 BV 1318 (Лот 234845)</v>
      </c>
      <c r="E1459" s="1436">
        <f>IFERROR(__xludf.DUMMYFUNCTION("""COMPUTED_VALUE"""),45921.0)</f>
        <v>45921</v>
      </c>
      <c r="F1459" s="1436">
        <f>IFERROR(__xludf.DUMMYFUNCTION("""COMPUTED_VALUE"""),45924.0)</f>
        <v>45924</v>
      </c>
      <c r="G1459" s="1430">
        <f>IFERROR(__xludf.DUMMYFUNCTION("""COMPUTED_VALUE"""),3.0)</f>
        <v>3</v>
      </c>
      <c r="H1459" s="94">
        <f t="shared" si="1"/>
        <v>9</v>
      </c>
    </row>
    <row r="1460" ht="15.75" customHeight="1">
      <c r="A1460" s="1164" t="str">
        <f>IFERROR(__xludf.DUMMYFUNCTION("""COMPUTED_VALUE"""),"WS В 503")</f>
        <v>WS В 503</v>
      </c>
      <c r="B1460" s="94"/>
      <c r="C1460" s="94"/>
      <c r="D1460" s="94" t="str">
        <f>IFERROR(__xludf.DUMMYFUNCTION("""COMPUTED_VALUE"""),"1 WS B 503 (Лот 233403)")</f>
        <v>1 WS B 503 (Лот 233403)</v>
      </c>
      <c r="E1460" s="1436">
        <f>IFERROR(__xludf.DUMMYFUNCTION("""COMPUTED_VALUE"""),45921.0)</f>
        <v>45921</v>
      </c>
      <c r="F1460" s="1436">
        <f>IFERROR(__xludf.DUMMYFUNCTION("""COMPUTED_VALUE"""),45930.0)</f>
        <v>45930</v>
      </c>
      <c r="G1460" s="1430">
        <f>IFERROR(__xludf.DUMMYFUNCTION("""COMPUTED_VALUE"""),9.0)</f>
        <v>9</v>
      </c>
      <c r="H1460" s="94">
        <f t="shared" si="1"/>
        <v>9</v>
      </c>
    </row>
    <row r="1461" ht="15.75" customHeight="1">
      <c r="A1461" s="1164" t="str">
        <f>IFERROR(__xludf.DUMMYFUNCTION("""COMPUTED_VALUE"""),"WS F 907")</f>
        <v>WS F 907</v>
      </c>
      <c r="B1461" s="94"/>
      <c r="C1461" s="94"/>
      <c r="D1461" s="94" t="str">
        <f>IFERROR(__xludf.DUMMYFUNCTION("""COMPUTED_VALUE"""),"1 WS F 907 (Лот 233314)")</f>
        <v>1 WS F 907 (Лот 233314)</v>
      </c>
      <c r="E1461" s="1436">
        <f>IFERROR(__xludf.DUMMYFUNCTION("""COMPUTED_VALUE"""),45921.0)</f>
        <v>45921</v>
      </c>
      <c r="F1461" s="1436">
        <f>IFERROR(__xludf.DUMMYFUNCTION("""COMPUTED_VALUE"""),45925.0)</f>
        <v>45925</v>
      </c>
      <c r="G1461" s="1430">
        <f>IFERROR(__xludf.DUMMYFUNCTION("""COMPUTED_VALUE"""),4.0)</f>
        <v>4</v>
      </c>
      <c r="H1461" s="94">
        <f t="shared" si="1"/>
        <v>9</v>
      </c>
    </row>
    <row r="1462" ht="15.75" customHeight="1">
      <c r="A1462" s="1164" t="str">
        <f>IFERROR(__xludf.DUMMYFUNCTION("""COMPUTED_VALUE"""),"WS E704")</f>
        <v>WS E704</v>
      </c>
      <c r="B1462" s="94"/>
      <c r="C1462" s="94"/>
      <c r="D1462" s="94" t="str">
        <f>IFERROR(__xludf.DUMMYFUNCTION("""COMPUTED_VALUE"""),"1 WS E 704 (Лот 233383)")</f>
        <v>1 WS E 704 (Лот 233383)</v>
      </c>
      <c r="E1462" s="1436">
        <f>IFERROR(__xludf.DUMMYFUNCTION("""COMPUTED_VALUE"""),45921.0)</f>
        <v>45921</v>
      </c>
      <c r="F1462" s="1436">
        <f>IFERROR(__xludf.DUMMYFUNCTION("""COMPUTED_VALUE"""),45925.0)</f>
        <v>45925</v>
      </c>
      <c r="G1462" s="1430">
        <f>IFERROR(__xludf.DUMMYFUNCTION("""COMPUTED_VALUE"""),4.0)</f>
        <v>4</v>
      </c>
      <c r="H1462" s="94">
        <f t="shared" si="1"/>
        <v>9</v>
      </c>
    </row>
    <row r="1463" ht="15.75" customHeight="1">
      <c r="A1463" s="1164" t="str">
        <f>IFERROR(__xludf.DUMMYFUNCTION("""COMPUTED_VALUE"""),"DL 14-505")</f>
        <v>DL 14-505</v>
      </c>
      <c r="B1463" s="94"/>
      <c r="C1463" s="94"/>
      <c r="D1463" s="94" t="str">
        <f>IFERROR(__xludf.DUMMYFUNCTION("""COMPUTED_VALUE"""),"4 DL 14 - 505 (Лот 233426)")</f>
        <v>4 DL 14 - 505 (Лот 233426)</v>
      </c>
      <c r="E1463" s="1436">
        <f>IFERROR(__xludf.DUMMYFUNCTION("""COMPUTED_VALUE"""),45921.0)</f>
        <v>45921</v>
      </c>
      <c r="F1463" s="1436">
        <f>IFERROR(__xludf.DUMMYFUNCTION("""COMPUTED_VALUE"""),45925.0)</f>
        <v>45925</v>
      </c>
      <c r="G1463" s="1430">
        <f>IFERROR(__xludf.DUMMYFUNCTION("""COMPUTED_VALUE"""),4.0)</f>
        <v>4</v>
      </c>
      <c r="H1463" s="94">
        <f t="shared" si="1"/>
        <v>9</v>
      </c>
    </row>
    <row r="1464" ht="15.75" customHeight="1">
      <c r="A1464" s="94" t="str">
        <f>IFERROR(__xludf.DUMMYFUNCTION("""COMPUTED_VALUE"""),"TGB1")</f>
        <v>TGB1</v>
      </c>
      <c r="B1464" s="94"/>
      <c r="C1464" s="94"/>
      <c r="D1464" s="94" t="str">
        <f>IFERROR(__xludf.DUMMYFUNCTION("""COMPUTED_VALUE"""),"6 TG С 1 сп с видом на горы В5, В1 (Лот 268015)")</f>
        <v>6 TG С 1 сп с видом на горы В5, В1 (Лот 268015)</v>
      </c>
      <c r="E1464" s="1436">
        <f>IFERROR(__xludf.DUMMYFUNCTION("""COMPUTED_VALUE"""),45921.0)</f>
        <v>45921</v>
      </c>
      <c r="F1464" s="1436">
        <f>IFERROR(__xludf.DUMMYFUNCTION("""COMPUTED_VALUE"""),45927.0)</f>
        <v>45927</v>
      </c>
      <c r="G1464" s="1430">
        <f>IFERROR(__xludf.DUMMYFUNCTION("""COMPUTED_VALUE"""),6.0)</f>
        <v>6</v>
      </c>
      <c r="H1464" s="94">
        <f t="shared" si="1"/>
        <v>9</v>
      </c>
    </row>
    <row r="1465" ht="15.75" customHeight="1">
      <c r="A1465" s="1164" t="str">
        <f>IFERROR(__xludf.DUMMYFUNCTION("""COMPUTED_VALUE"""),"WS E 1202")</f>
        <v>WS E 1202</v>
      </c>
      <c r="B1465" s="94"/>
      <c r="C1465" s="94"/>
      <c r="D1465" s="94" t="str">
        <f>IFERROR(__xludf.DUMMYFUNCTION("""COMPUTED_VALUE"""),"1 WS E 1202 (Лот 233379)")</f>
        <v>1 WS E 1202 (Лот 233379)</v>
      </c>
      <c r="E1465" s="1436">
        <f>IFERROR(__xludf.DUMMYFUNCTION("""COMPUTED_VALUE"""),45920.0)</f>
        <v>45920</v>
      </c>
      <c r="F1465" s="1436">
        <f>IFERROR(__xludf.DUMMYFUNCTION("""COMPUTED_VALUE"""),45927.0)</f>
        <v>45927</v>
      </c>
      <c r="G1465" s="1430">
        <f>IFERROR(__xludf.DUMMYFUNCTION("""COMPUTED_VALUE"""),7.0)</f>
        <v>7</v>
      </c>
      <c r="H1465" s="94">
        <f t="shared" si="1"/>
        <v>9</v>
      </c>
    </row>
    <row r="1466" ht="15.75" customHeight="1">
      <c r="A1466" s="1164" t="str">
        <f>IFERROR(__xludf.DUMMYFUNCTION("""COMPUTED_VALUE"""),"CM 1931")</f>
        <v>CM 1931</v>
      </c>
      <c r="B1466" s="94"/>
      <c r="C1466" s="94"/>
      <c r="D1466" s="94" t="str">
        <f>IFERROR(__xludf.DUMMYFUNCTION("""COMPUTED_VALUE"""),"3 Mar 1931 (Лот 233381)")</f>
        <v>3 Mar 1931 (Лот 233381)</v>
      </c>
      <c r="E1466" s="1436">
        <f>IFERROR(__xludf.DUMMYFUNCTION("""COMPUTED_VALUE"""),45920.0)</f>
        <v>45920</v>
      </c>
      <c r="F1466" s="1436">
        <f>IFERROR(__xludf.DUMMYFUNCTION("""COMPUTED_VALUE"""),45923.0)</f>
        <v>45923</v>
      </c>
      <c r="G1466" s="1430">
        <f>IFERROR(__xludf.DUMMYFUNCTION("""COMPUTED_VALUE"""),3.0)</f>
        <v>3</v>
      </c>
      <c r="H1466" s="94">
        <f t="shared" si="1"/>
        <v>9</v>
      </c>
    </row>
    <row r="1467" ht="15.75" customHeight="1">
      <c r="A1467" s="1164" t="str">
        <f>IFERROR(__xludf.DUMMYFUNCTION("""COMPUTED_VALUE"""),"WS Е804")</f>
        <v>WS Е804</v>
      </c>
      <c r="B1467" s="94"/>
      <c r="C1467" s="94"/>
      <c r="D1467" s="94" t="str">
        <f>IFERROR(__xludf.DUMMYFUNCTION("""COMPUTED_VALUE"""),"1 WS E 804 (Лот 233350)")</f>
        <v>1 WS E 804 (Лот 233350)</v>
      </c>
      <c r="E1467" s="1436">
        <f>IFERROR(__xludf.DUMMYFUNCTION("""COMPUTED_VALUE"""),45920.0)</f>
        <v>45920</v>
      </c>
      <c r="F1467" s="1436">
        <f>IFERROR(__xludf.DUMMYFUNCTION("""COMPUTED_VALUE"""),45923.0)</f>
        <v>45923</v>
      </c>
      <c r="G1467" s="1430">
        <f>IFERROR(__xludf.DUMMYFUNCTION("""COMPUTED_VALUE"""),3.0)</f>
        <v>3</v>
      </c>
      <c r="H1467" s="94">
        <f t="shared" si="1"/>
        <v>9</v>
      </c>
    </row>
    <row r="1468" ht="15.75" customHeight="1">
      <c r="A1468" s="94" t="str">
        <f>IFERROR(__xludf.DUMMYFUNCTION("""COMPUTED_VALUE"""),"TGB8")</f>
        <v>TGB8</v>
      </c>
      <c r="B1468" s="94"/>
      <c r="C1468" s="94"/>
      <c r="D1468" s="94" t="str">
        <f>IFERROR(__xludf.DUMMYFUNCTION("""COMPUTED_VALUE"""),"6 TG c 1 сп. блок А (А2, А4, А7, B8, A9) (Лот 263239)")</f>
        <v>6 TG c 1 сп. блок А (А2, А4, А7, B8, A9) (Лот 263239)</v>
      </c>
      <c r="E1468" s="1436">
        <f>IFERROR(__xludf.DUMMYFUNCTION("""COMPUTED_VALUE"""),45920.0)</f>
        <v>45920</v>
      </c>
      <c r="F1468" s="1436">
        <f>IFERROR(__xludf.DUMMYFUNCTION("""COMPUTED_VALUE"""),45925.0)</f>
        <v>45925</v>
      </c>
      <c r="G1468" s="1430">
        <f>IFERROR(__xludf.DUMMYFUNCTION("""COMPUTED_VALUE"""),5.0)</f>
        <v>5</v>
      </c>
      <c r="H1468" s="94">
        <f t="shared" si="1"/>
        <v>9</v>
      </c>
    </row>
    <row r="1469" ht="15.75" customHeight="1">
      <c r="A1469" s="1164" t="str">
        <f>IFERROR(__xludf.DUMMYFUNCTION("""COMPUTED_VALUE"""),"DL 14-516")</f>
        <v>DL 14-516</v>
      </c>
      <c r="B1469" s="94"/>
      <c r="C1469" s="94"/>
      <c r="D1469" s="94" t="str">
        <f>IFERROR(__xludf.DUMMYFUNCTION("""COMPUTED_VALUE"""),"4 DL 14 - 516 (1+1) (Лот 233401)")</f>
        <v>4 DL 14 - 516 (1+1) (Лот 233401)</v>
      </c>
      <c r="E1469" s="1436">
        <f>IFERROR(__xludf.DUMMYFUNCTION("""COMPUTED_VALUE"""),45920.0)</f>
        <v>45920</v>
      </c>
      <c r="F1469" s="1436">
        <f>IFERROR(__xludf.DUMMYFUNCTION("""COMPUTED_VALUE"""),45921.0)</f>
        <v>45921</v>
      </c>
      <c r="G1469" s="1430">
        <f>IFERROR(__xludf.DUMMYFUNCTION("""COMPUTED_VALUE"""),1.0)</f>
        <v>1</v>
      </c>
      <c r="H1469" s="94">
        <f t="shared" si="1"/>
        <v>9</v>
      </c>
    </row>
    <row r="1470" ht="15.75" customHeight="1">
      <c r="A1470" s="94" t="str">
        <f>IFERROR(__xludf.DUMMYFUNCTION("""COMPUTED_VALUE"""),"TGA8")</f>
        <v>TGA8</v>
      </c>
      <c r="B1470" s="94"/>
      <c r="C1470" s="94"/>
      <c r="D1470" s="94" t="str">
        <f>IFERROR(__xludf.DUMMYFUNCTION("""COMPUTED_VALUE"""),"6 TG Студия с видом на море А3, А5, А6, А8 (Лот 268012)")</f>
        <v>6 TG Студия с видом на море А3, А5, А6, А8 (Лот 268012)</v>
      </c>
      <c r="E1470" s="1436">
        <f>IFERROR(__xludf.DUMMYFUNCTION("""COMPUTED_VALUE"""),45920.0)</f>
        <v>45920</v>
      </c>
      <c r="F1470" s="1436">
        <f>IFERROR(__xludf.DUMMYFUNCTION("""COMPUTED_VALUE"""),45921.0)</f>
        <v>45921</v>
      </c>
      <c r="G1470" s="1430">
        <f>IFERROR(__xludf.DUMMYFUNCTION("""COMPUTED_VALUE"""),1.0)</f>
        <v>1</v>
      </c>
      <c r="H1470" s="94">
        <f t="shared" si="1"/>
        <v>9</v>
      </c>
    </row>
    <row r="1471" ht="15.75" customHeight="1">
      <c r="A1471" s="1164" t="str">
        <f>IFERROR(__xludf.DUMMYFUNCTION("""COMPUTED_VALUE"""),"DL14-518")</f>
        <v>DL14-518</v>
      </c>
      <c r="B1471" s="94"/>
      <c r="C1471" s="94"/>
      <c r="D1471" s="94" t="str">
        <f>IFERROR(__xludf.DUMMYFUNCTION("""COMPUTED_VALUE"""),"4 DL 14 - 518 (Лот 233360)")</f>
        <v>4 DL 14 - 518 (Лот 233360)</v>
      </c>
      <c r="E1471" s="1436">
        <f>IFERROR(__xludf.DUMMYFUNCTION("""COMPUTED_VALUE"""),45920.0)</f>
        <v>45920</v>
      </c>
      <c r="F1471" s="1436">
        <f>IFERROR(__xludf.DUMMYFUNCTION("""COMPUTED_VALUE"""),45923.0)</f>
        <v>45923</v>
      </c>
      <c r="G1471" s="1430">
        <f>IFERROR(__xludf.DUMMYFUNCTION("""COMPUTED_VALUE"""),3.0)</f>
        <v>3</v>
      </c>
      <c r="H1471" s="94">
        <f t="shared" si="1"/>
        <v>9</v>
      </c>
    </row>
    <row r="1472" ht="15.75" customHeight="1">
      <c r="A1472" s="94" t="str">
        <f>IFERROR(__xludf.DUMMYFUNCTION("""COMPUTED_VALUE"""),"CM 1604")</f>
        <v>CM 1604</v>
      </c>
      <c r="B1472" s="94"/>
      <c r="C1472" s="94"/>
      <c r="D1472" s="94" t="str">
        <f>IFERROR(__xludf.DUMMYFUNCTION("""COMPUTED_VALUE"""),"3 Mar 1604 (Лот 233303)")</f>
        <v>3 Mar 1604 (Лот 233303)</v>
      </c>
      <c r="E1472" s="1436">
        <f>IFERROR(__xludf.DUMMYFUNCTION("""COMPUTED_VALUE"""),45919.0)</f>
        <v>45919</v>
      </c>
      <c r="F1472" s="1436">
        <f>IFERROR(__xludf.DUMMYFUNCTION("""COMPUTED_VALUE"""),45925.0)</f>
        <v>45925</v>
      </c>
      <c r="G1472" s="1430">
        <f>IFERROR(__xludf.DUMMYFUNCTION("""COMPUTED_VALUE"""),6.0)</f>
        <v>6</v>
      </c>
      <c r="H1472" s="94">
        <f t="shared" si="1"/>
        <v>9</v>
      </c>
    </row>
    <row r="1473" ht="15.75" customHeight="1">
      <c r="A1473" s="94" t="str">
        <f>IFERROR(__xludf.DUMMYFUNCTION("""COMPUTED_VALUE"""),"MZ 1416")</f>
        <v>MZ 1416</v>
      </c>
      <c r="B1473" s="94"/>
      <c r="C1473" s="94"/>
      <c r="D1473" s="94" t="str">
        <f>IFERROR(__xludf.DUMMYFUNCTION("""COMPUTED_VALUE"""),"3 MZ 1416 (Лот 289819)")</f>
        <v>3 MZ 1416 (Лот 289819)</v>
      </c>
      <c r="E1473" s="1436">
        <f>IFERROR(__xludf.DUMMYFUNCTION("""COMPUTED_VALUE"""),45919.0)</f>
        <v>45919</v>
      </c>
      <c r="F1473" s="1436">
        <f>IFERROR(__xludf.DUMMYFUNCTION("""COMPUTED_VALUE"""),45923.0)</f>
        <v>45923</v>
      </c>
      <c r="G1473" s="1430">
        <f>IFERROR(__xludf.DUMMYFUNCTION("""COMPUTED_VALUE"""),4.0)</f>
        <v>4</v>
      </c>
      <c r="H1473" s="94">
        <f t="shared" si="1"/>
        <v>9</v>
      </c>
    </row>
    <row r="1474" ht="15.75" customHeight="1">
      <c r="A1474" s="1164" t="str">
        <f>IFERROR(__xludf.DUMMYFUNCTION("""COMPUTED_VALUE"""),"Steps1123")</f>
        <v>Steps1123</v>
      </c>
      <c r="B1474" s="94"/>
      <c r="C1474" s="94"/>
      <c r="D1474" s="94" t="str">
        <f>IFERROR(__xludf.DUMMYFUNCTION("""COMPUTED_VALUE"""),"1. Steps 1123 (Лот 247443)")</f>
        <v>1. Steps 1123 (Лот 247443)</v>
      </c>
      <c r="E1474" s="1436">
        <f>IFERROR(__xludf.DUMMYFUNCTION("""COMPUTED_VALUE"""),45919.0)</f>
        <v>45919</v>
      </c>
      <c r="F1474" s="1436">
        <f>IFERROR(__xludf.DUMMYFUNCTION("""COMPUTED_VALUE"""),45926.0)</f>
        <v>45926</v>
      </c>
      <c r="G1474" s="1430">
        <f>IFERROR(__xludf.DUMMYFUNCTION("""COMPUTED_VALUE"""),7.0)</f>
        <v>7</v>
      </c>
      <c r="H1474" s="94">
        <f t="shared" si="1"/>
        <v>9</v>
      </c>
    </row>
    <row r="1475" ht="15.75" customHeight="1">
      <c r="A1475" s="94" t="str">
        <f>IFERROR(__xludf.DUMMYFUNCTION("""COMPUTED_VALUE"""),"MZ 913")</f>
        <v>MZ 913</v>
      </c>
      <c r="B1475" s="94"/>
      <c r="C1475" s="94"/>
      <c r="D1475" s="94" t="str">
        <f>IFERROR(__xludf.DUMMYFUNCTION("""COMPUTED_VALUE"""),"3 MZ 718, 913 (Лот 269699)")</f>
        <v>3 MZ 718, 913 (Лот 269699)</v>
      </c>
      <c r="E1475" s="1436">
        <f>IFERROR(__xludf.DUMMYFUNCTION("""COMPUTED_VALUE"""),45919.0)</f>
        <v>45919</v>
      </c>
      <c r="F1475" s="1436">
        <f>IFERROR(__xludf.DUMMYFUNCTION("""COMPUTED_VALUE"""),45922.0)</f>
        <v>45922</v>
      </c>
      <c r="G1475" s="1430">
        <f>IFERROR(__xludf.DUMMYFUNCTION("""COMPUTED_VALUE"""),3.0)</f>
        <v>3</v>
      </c>
      <c r="H1475" s="94">
        <f t="shared" si="1"/>
        <v>9</v>
      </c>
    </row>
    <row r="1476" ht="15.75" customHeight="1">
      <c r="A1476" s="94" t="str">
        <f>IFERROR(__xludf.DUMMYFUNCTION("""COMPUTED_VALUE"""),"TGA10")</f>
        <v>TGA10</v>
      </c>
      <c r="B1476" s="94"/>
      <c r="C1476" s="94"/>
      <c r="D1476" s="94" t="str">
        <f>IFERROR(__xludf.DUMMYFUNCTION("""COMPUTED_VALUE"""),"6 TG С 2 сп. блок А (А1, А10) (Лот 268000)")</f>
        <v>6 TG С 2 сп. блок А (А1, А10) (Лот 268000)</v>
      </c>
      <c r="E1476" s="1436">
        <f>IFERROR(__xludf.DUMMYFUNCTION("""COMPUTED_VALUE"""),45919.0)</f>
        <v>45919</v>
      </c>
      <c r="F1476" s="1436">
        <f>IFERROR(__xludf.DUMMYFUNCTION("""COMPUTED_VALUE"""),45925.0)</f>
        <v>45925</v>
      </c>
      <c r="G1476" s="1430">
        <f>IFERROR(__xludf.DUMMYFUNCTION("""COMPUTED_VALUE"""),6.0)</f>
        <v>6</v>
      </c>
      <c r="H1476" s="94">
        <f t="shared" si="1"/>
        <v>9</v>
      </c>
    </row>
    <row r="1477" ht="15.75" customHeight="1">
      <c r="A1477" s="1164" t="str">
        <f>IFERROR(__xludf.DUMMYFUNCTION("""COMPUTED_VALUE"""),"С 1443")</f>
        <v>С 1443</v>
      </c>
      <c r="B1477" s="94"/>
      <c r="C1477" s="94"/>
      <c r="D1477" s="94" t="str">
        <f>IFERROR(__xludf.DUMMYFUNCTION("""COMPUTED_VALUE"""),"2 Orbi C 1443 (Лот 233331)")</f>
        <v>2 Orbi C 1443 (Лот 233331)</v>
      </c>
      <c r="E1477" s="1436">
        <f>IFERROR(__xludf.DUMMYFUNCTION("""COMPUTED_VALUE"""),45919.0)</f>
        <v>45919</v>
      </c>
      <c r="F1477" s="1436">
        <f>IFERROR(__xludf.DUMMYFUNCTION("""COMPUTED_VALUE"""),45928.0)</f>
        <v>45928</v>
      </c>
      <c r="G1477" s="1430">
        <f>IFERROR(__xludf.DUMMYFUNCTION("""COMPUTED_VALUE"""),9.0)</f>
        <v>9</v>
      </c>
      <c r="H1477" s="94">
        <f t="shared" si="1"/>
        <v>9</v>
      </c>
    </row>
    <row r="1478" ht="15.75" customHeight="1">
      <c r="A1478" s="1164" t="str">
        <f>IFERROR(__xludf.DUMMYFUNCTION("""COMPUTED_VALUE"""),"CM 1606")</f>
        <v>CM 1606</v>
      </c>
      <c r="B1478" s="94"/>
      <c r="C1478" s="94"/>
      <c r="D1478" s="94" t="str">
        <f>IFERROR(__xludf.DUMMYFUNCTION("""COMPUTED_VALUE"""),"3 Mar 1606 (Лот 233302)")</f>
        <v>3 Mar 1606 (Лот 233302)</v>
      </c>
      <c r="E1478" s="1436">
        <f>IFERROR(__xludf.DUMMYFUNCTION("""COMPUTED_VALUE"""),45918.0)</f>
        <v>45918</v>
      </c>
      <c r="F1478" s="1436">
        <f>IFERROR(__xludf.DUMMYFUNCTION("""COMPUTED_VALUE"""),45921.0)</f>
        <v>45921</v>
      </c>
      <c r="G1478" s="1430">
        <f>IFERROR(__xludf.DUMMYFUNCTION("""COMPUTED_VALUE"""),3.0)</f>
        <v>3</v>
      </c>
      <c r="H1478" s="94">
        <f t="shared" si="1"/>
        <v>9</v>
      </c>
    </row>
    <row r="1479" ht="15.75" customHeight="1">
      <c r="A1479" s="94" t="str">
        <f>IFERROR(__xludf.DUMMYFUNCTION("""COMPUTED_VALUE"""),"TGA3")</f>
        <v>TGA3</v>
      </c>
      <c r="B1479" s="94"/>
      <c r="C1479" s="94"/>
      <c r="D1479" s="94" t="str">
        <f>IFERROR(__xludf.DUMMYFUNCTION("""COMPUTED_VALUE"""),"6 TG Студия с видом на море А3, А5, А6, А8 (Лот 268012)")</f>
        <v>6 TG Студия с видом на море А3, А5, А6, А8 (Лот 268012)</v>
      </c>
      <c r="E1479" s="1436">
        <f>IFERROR(__xludf.DUMMYFUNCTION("""COMPUTED_VALUE"""),45918.0)</f>
        <v>45918</v>
      </c>
      <c r="F1479" s="1436">
        <f>IFERROR(__xludf.DUMMYFUNCTION("""COMPUTED_VALUE"""),45923.0)</f>
        <v>45923</v>
      </c>
      <c r="G1479" s="1430">
        <f>IFERROR(__xludf.DUMMYFUNCTION("""COMPUTED_VALUE"""),5.0)</f>
        <v>5</v>
      </c>
      <c r="H1479" s="94">
        <f t="shared" si="1"/>
        <v>9</v>
      </c>
    </row>
    <row r="1480" ht="15.75" customHeight="1">
      <c r="A1480" s="94" t="str">
        <f>IFERROR(__xludf.DUMMYFUNCTION("""COMPUTED_VALUE"""),"D1 3902")</f>
        <v>D1 3902</v>
      </c>
      <c r="B1480" s="94"/>
      <c r="C1480" s="94"/>
      <c r="D1480" s="94" t="str">
        <f>IFERROR(__xludf.DUMMYFUNCTION("""COMPUTED_VALUE"""),"2 Orbi D 3902 (Лот 293635)")</f>
        <v>2 Orbi D 3902 (Лот 293635)</v>
      </c>
      <c r="E1480" s="1436">
        <f>IFERROR(__xludf.DUMMYFUNCTION("""COMPUTED_VALUE"""),45918.0)</f>
        <v>45918</v>
      </c>
      <c r="F1480" s="1436">
        <f>IFERROR(__xludf.DUMMYFUNCTION("""COMPUTED_VALUE"""),45923.0)</f>
        <v>45923</v>
      </c>
      <c r="G1480" s="1430">
        <f>IFERROR(__xludf.DUMMYFUNCTION("""COMPUTED_VALUE"""),5.0)</f>
        <v>5</v>
      </c>
      <c r="H1480" s="94">
        <f t="shared" si="1"/>
        <v>9</v>
      </c>
    </row>
    <row r="1481" ht="15.75" customHeight="1">
      <c r="A1481" s="94" t="str">
        <f>IFERROR(__xludf.DUMMYFUNCTION("""COMPUTED_VALUE"""),"WS F1103")</f>
        <v>WS F1103</v>
      </c>
      <c r="B1481" s="94"/>
      <c r="C1481" s="94"/>
      <c r="D1481" s="94" t="str">
        <f>IFERROR(__xludf.DUMMYFUNCTION("""COMPUTED_VALUE"""),"1 WS F 1103 (Лот 286819)")</f>
        <v>1 WS F 1103 (Лот 286819)</v>
      </c>
      <c r="E1481" s="1436">
        <f>IFERROR(__xludf.DUMMYFUNCTION("""COMPUTED_VALUE"""),45918.0)</f>
        <v>45918</v>
      </c>
      <c r="F1481" s="1436">
        <f>IFERROR(__xludf.DUMMYFUNCTION("""COMPUTED_VALUE"""),45923.0)</f>
        <v>45923</v>
      </c>
      <c r="G1481" s="1430">
        <f>IFERROR(__xludf.DUMMYFUNCTION("""COMPUTED_VALUE"""),5.0)</f>
        <v>5</v>
      </c>
      <c r="H1481" s="94">
        <f t="shared" si="1"/>
        <v>9</v>
      </c>
    </row>
    <row r="1482" ht="15.75" customHeight="1">
      <c r="A1482" s="94" t="str">
        <f>IFERROR(__xludf.DUMMYFUNCTION("""COMPUTED_VALUE"""),"TGB9")</f>
        <v>TGB9</v>
      </c>
      <c r="B1482" s="94"/>
      <c r="C1482" s="94"/>
      <c r="D1482" s="94" t="str">
        <f>IFERROR(__xludf.DUMMYFUNCTION("""COMPUTED_VALUE"""),"6 TG Студии с террасой (B9, B10) (Лот 268006)")</f>
        <v>6 TG Студии с террасой (B9, B10) (Лот 268006)</v>
      </c>
      <c r="E1482" s="1436">
        <f>IFERROR(__xludf.DUMMYFUNCTION("""COMPUTED_VALUE"""),45918.0)</f>
        <v>45918</v>
      </c>
      <c r="F1482" s="1436">
        <f>IFERROR(__xludf.DUMMYFUNCTION("""COMPUTED_VALUE"""),45922.0)</f>
        <v>45922</v>
      </c>
      <c r="G1482" s="1430">
        <f>IFERROR(__xludf.DUMMYFUNCTION("""COMPUTED_VALUE"""),4.0)</f>
        <v>4</v>
      </c>
      <c r="H1482" s="94">
        <f t="shared" si="1"/>
        <v>9</v>
      </c>
    </row>
    <row r="1483" ht="15.75" customHeight="1">
      <c r="A1483" s="1164" t="str">
        <f>IFERROR(__xludf.DUMMYFUNCTION("""COMPUTED_VALUE"""),"Int 2905")</f>
        <v>Int 2905</v>
      </c>
      <c r="B1483" s="94"/>
      <c r="C1483" s="94"/>
      <c r="D1483" s="94" t="str">
        <f>IFERROR(__xludf.DUMMYFUNCTION("""COMPUTED_VALUE"""),"3.Inturist 2905 (Лот 233347)")</f>
        <v>3.Inturist 2905 (Лот 233347)</v>
      </c>
      <c r="E1483" s="1436">
        <f>IFERROR(__xludf.DUMMYFUNCTION("""COMPUTED_VALUE"""),45918.0)</f>
        <v>45918</v>
      </c>
      <c r="F1483" s="1436">
        <f>IFERROR(__xludf.DUMMYFUNCTION("""COMPUTED_VALUE"""),45922.0)</f>
        <v>45922</v>
      </c>
      <c r="G1483" s="1430">
        <f>IFERROR(__xludf.DUMMYFUNCTION("""COMPUTED_VALUE"""),4.0)</f>
        <v>4</v>
      </c>
      <c r="H1483" s="94">
        <f t="shared" si="1"/>
        <v>9</v>
      </c>
    </row>
    <row r="1484" ht="15.75" customHeight="1">
      <c r="A1484" s="94" t="str">
        <f>IFERROR(__xludf.DUMMYFUNCTION("""COMPUTED_VALUE"""),"TGA1")</f>
        <v>TGA1</v>
      </c>
      <c r="B1484" s="94"/>
      <c r="C1484" s="94"/>
      <c r="D1484" s="94" t="str">
        <f>IFERROR(__xludf.DUMMYFUNCTION("""COMPUTED_VALUE"""),"6 TG С 2 сп. блок А (А1, А10) (Лот 268000)")</f>
        <v>6 TG С 2 сп. блок А (А1, А10) (Лот 268000)</v>
      </c>
      <c r="E1484" s="1436">
        <f>IFERROR(__xludf.DUMMYFUNCTION("""COMPUTED_VALUE"""),45918.0)</f>
        <v>45918</v>
      </c>
      <c r="F1484" s="1436">
        <f>IFERROR(__xludf.DUMMYFUNCTION("""COMPUTED_VALUE"""),45924.0)</f>
        <v>45924</v>
      </c>
      <c r="G1484" s="1430">
        <f>IFERROR(__xludf.DUMMYFUNCTION("""COMPUTED_VALUE"""),6.0)</f>
        <v>6</v>
      </c>
      <c r="H1484" s="94">
        <f t="shared" si="1"/>
        <v>9</v>
      </c>
    </row>
    <row r="1485" ht="15.75" customHeight="1">
      <c r="A1485" s="1164" t="str">
        <f>IFERROR(__xludf.DUMMYFUNCTION("""COMPUTED_VALUE"""),"BV1318")</f>
        <v>BV1318</v>
      </c>
      <c r="B1485" s="94"/>
      <c r="C1485" s="94"/>
      <c r="D1485" s="94" t="str">
        <f>IFERROR(__xludf.DUMMYFUNCTION("""COMPUTED_VALUE"""),"1 BV 1318 (Лот 234845)")</f>
        <v>1 BV 1318 (Лот 234845)</v>
      </c>
      <c r="E1485" s="1436">
        <f>IFERROR(__xludf.DUMMYFUNCTION("""COMPUTED_VALUE"""),45918.0)</f>
        <v>45918</v>
      </c>
      <c r="F1485" s="1436">
        <f>IFERROR(__xludf.DUMMYFUNCTION("""COMPUTED_VALUE"""),45921.0)</f>
        <v>45921</v>
      </c>
      <c r="G1485" s="1430">
        <f>IFERROR(__xludf.DUMMYFUNCTION("""COMPUTED_VALUE"""),3.0)</f>
        <v>3</v>
      </c>
      <c r="H1485" s="94">
        <f t="shared" si="1"/>
        <v>9</v>
      </c>
    </row>
    <row r="1486" ht="15.75" customHeight="1">
      <c r="A1486" s="94" t="str">
        <f>IFERROR(__xludf.DUMMYFUNCTION("""COMPUTED_VALUE"""),"TGA6")</f>
        <v>TGA6</v>
      </c>
      <c r="B1486" s="94"/>
      <c r="C1486" s="94"/>
      <c r="D1486" s="94" t="str">
        <f>IFERROR(__xludf.DUMMYFUNCTION("""COMPUTED_VALUE"""),"6 TG Студия с видом на море А3, А5, А6, А8 (Лот 268012)")</f>
        <v>6 TG Студия с видом на море А3, А5, А6, А8 (Лот 268012)</v>
      </c>
      <c r="E1486" s="1436">
        <f>IFERROR(__xludf.DUMMYFUNCTION("""COMPUTED_VALUE"""),45917.0)</f>
        <v>45917</v>
      </c>
      <c r="F1486" s="1436">
        <f>IFERROR(__xludf.DUMMYFUNCTION("""COMPUTED_VALUE"""),45927.0)</f>
        <v>45927</v>
      </c>
      <c r="G1486" s="1430">
        <f>IFERROR(__xludf.DUMMYFUNCTION("""COMPUTED_VALUE"""),10.0)</f>
        <v>10</v>
      </c>
      <c r="H1486" s="94">
        <f t="shared" si="1"/>
        <v>9</v>
      </c>
    </row>
    <row r="1487" ht="15.75" customHeight="1">
      <c r="A1487" s="94" t="str">
        <f>IFERROR(__xludf.DUMMYFUNCTION("""COMPUTED_VALUE"""),"DL 13-703")</f>
        <v>DL 13-703</v>
      </c>
      <c r="B1487" s="94"/>
      <c r="C1487" s="94"/>
      <c r="D1487" s="94" t="str">
        <f>IFERROR(__xludf.DUMMYFUNCTION("""COMPUTED_VALUE"""),"4 DL 13 - 703 (1+1) (Лот 293099)")</f>
        <v>4 DL 13 - 703 (1+1) (Лот 293099)</v>
      </c>
      <c r="E1487" s="1436">
        <f>IFERROR(__xludf.DUMMYFUNCTION("""COMPUTED_VALUE"""),45917.0)</f>
        <v>45917</v>
      </c>
      <c r="F1487" s="1436">
        <f>IFERROR(__xludf.DUMMYFUNCTION("""COMPUTED_VALUE"""),45921.0)</f>
        <v>45921</v>
      </c>
      <c r="G1487" s="1430">
        <f>IFERROR(__xludf.DUMMYFUNCTION("""COMPUTED_VALUE"""),4.0)</f>
        <v>4</v>
      </c>
      <c r="H1487" s="94">
        <f t="shared" si="1"/>
        <v>9</v>
      </c>
    </row>
    <row r="1488" ht="15.75" customHeight="1">
      <c r="A1488" s="1164" t="str">
        <f>IFERROR(__xludf.DUMMYFUNCTION("""COMPUTED_VALUE"""),"DL14-305")</f>
        <v>DL14-305</v>
      </c>
      <c r="B1488" s="94"/>
      <c r="C1488" s="94"/>
      <c r="D1488" s="94" t="str">
        <f>IFERROR(__xludf.DUMMYFUNCTION("""COMPUTED_VALUE"""),"4 DL 14 - 305 (Лот 284208)")</f>
        <v>4 DL 14 - 305 (Лот 284208)</v>
      </c>
      <c r="E1488" s="1436">
        <f>IFERROR(__xludf.DUMMYFUNCTION("""COMPUTED_VALUE"""),45917.0)</f>
        <v>45917</v>
      </c>
      <c r="F1488" s="1436">
        <f>IFERROR(__xludf.DUMMYFUNCTION("""COMPUTED_VALUE"""),45922.0)</f>
        <v>45922</v>
      </c>
      <c r="G1488" s="1430">
        <f>IFERROR(__xludf.DUMMYFUNCTION("""COMPUTED_VALUE"""),5.0)</f>
        <v>5</v>
      </c>
      <c r="H1488" s="94">
        <f t="shared" si="1"/>
        <v>9</v>
      </c>
    </row>
    <row r="1489" ht="15.75" customHeight="1">
      <c r="A1489" s="94" t="str">
        <f>IFERROR(__xludf.DUMMYFUNCTION("""COMPUTED_VALUE"""),"WS A805")</f>
        <v>WS A805</v>
      </c>
      <c r="B1489" s="94"/>
      <c r="C1489" s="94"/>
      <c r="D1489" s="94" t="str">
        <f>IFERROR(__xludf.DUMMYFUNCTION("""COMPUTED_VALUE"""),"1 WS A 805 (Лот 283869)")</f>
        <v>1 WS A 805 (Лот 283869)</v>
      </c>
      <c r="E1489" s="1436">
        <f>IFERROR(__xludf.DUMMYFUNCTION("""COMPUTED_VALUE"""),45917.0)</f>
        <v>45917</v>
      </c>
      <c r="F1489" s="1436">
        <f>IFERROR(__xludf.DUMMYFUNCTION("""COMPUTED_VALUE"""),45921.0)</f>
        <v>45921</v>
      </c>
      <c r="G1489" s="1430">
        <f>IFERROR(__xludf.DUMMYFUNCTION("""COMPUTED_VALUE"""),4.0)</f>
        <v>4</v>
      </c>
      <c r="H1489" s="94">
        <f t="shared" si="1"/>
        <v>9</v>
      </c>
    </row>
    <row r="1490" ht="15.75" customHeight="1">
      <c r="A1490" s="94" t="str">
        <f>IFERROR(__xludf.DUMMYFUNCTION("""COMPUTED_VALUE"""),"TGB11")</f>
        <v>TGB11</v>
      </c>
      <c r="B1490" s="94"/>
      <c r="C1490" s="94"/>
      <c r="D1490" s="94" t="str">
        <f>IFERROR(__xludf.DUMMYFUNCTION("""COMPUTED_VALUE"""),"6 TG 2+1 с террасой (B 11) (Лот 268004)")</f>
        <v>6 TG 2+1 с террасой (B 11) (Лот 268004)</v>
      </c>
      <c r="E1490" s="1436">
        <f>IFERROR(__xludf.DUMMYFUNCTION("""COMPUTED_VALUE"""),45917.0)</f>
        <v>45917</v>
      </c>
      <c r="F1490" s="1436">
        <f>IFERROR(__xludf.DUMMYFUNCTION("""COMPUTED_VALUE"""),45921.0)</f>
        <v>45921</v>
      </c>
      <c r="G1490" s="1430">
        <f>IFERROR(__xludf.DUMMYFUNCTION("""COMPUTED_VALUE"""),4.0)</f>
        <v>4</v>
      </c>
      <c r="H1490" s="94">
        <f t="shared" si="1"/>
        <v>9</v>
      </c>
    </row>
    <row r="1491" ht="15.75" customHeight="1">
      <c r="A1491" s="94" t="str">
        <f>IFERROR(__xludf.DUMMYFUNCTION("""COMPUTED_VALUE"""),"PT2704")</f>
        <v>PT2704</v>
      </c>
      <c r="B1491" s="94"/>
      <c r="C1491" s="94"/>
      <c r="D1491" s="94" t="str">
        <f>IFERROR(__xludf.DUMMYFUNCTION("""COMPUTED_VALUE"""),"3 PB 2704 (Лот 265740)")</f>
        <v>3 PB 2704 (Лот 265740)</v>
      </c>
      <c r="E1491" s="1436">
        <f>IFERROR(__xludf.DUMMYFUNCTION("""COMPUTED_VALUE"""),45917.0)</f>
        <v>45917</v>
      </c>
      <c r="F1491" s="1436">
        <f>IFERROR(__xludf.DUMMYFUNCTION("""COMPUTED_VALUE"""),45921.0)</f>
        <v>45921</v>
      </c>
      <c r="G1491" s="1430">
        <f>IFERROR(__xludf.DUMMYFUNCTION("""COMPUTED_VALUE"""),4.0)</f>
        <v>4</v>
      </c>
      <c r="H1491" s="94">
        <f t="shared" si="1"/>
        <v>9</v>
      </c>
    </row>
    <row r="1492" ht="15.75" customHeight="1">
      <c r="A1492" s="1164" t="str">
        <f>IFERROR(__xludf.DUMMYFUNCTION("""COMPUTED_VALUE"""),"WS A907")</f>
        <v>WS A907</v>
      </c>
      <c r="B1492" s="94"/>
      <c r="C1492" s="94"/>
      <c r="D1492" s="94" t="str">
        <f>IFERROR(__xludf.DUMMYFUNCTION("""COMPUTED_VALUE"""),"1 WS A 907 (Лот 233365)")</f>
        <v>1 WS A 907 (Лот 233365)</v>
      </c>
      <c r="E1492" s="1436">
        <f>IFERROR(__xludf.DUMMYFUNCTION("""COMPUTED_VALUE"""),45917.0)</f>
        <v>45917</v>
      </c>
      <c r="F1492" s="1436">
        <f>IFERROR(__xludf.DUMMYFUNCTION("""COMPUTED_VALUE"""),45924.0)</f>
        <v>45924</v>
      </c>
      <c r="G1492" s="1430">
        <f>IFERROR(__xludf.DUMMYFUNCTION("""COMPUTED_VALUE"""),7.0)</f>
        <v>7</v>
      </c>
      <c r="H1492" s="94">
        <f t="shared" si="1"/>
        <v>9</v>
      </c>
    </row>
    <row r="1493" ht="15.75" customHeight="1">
      <c r="A1493" s="1164" t="str">
        <f>IFERROR(__xludf.DUMMYFUNCTION("""COMPUTED_VALUE"""),"DL 13-709")</f>
        <v>DL 13-709</v>
      </c>
      <c r="B1493" s="94"/>
      <c r="C1493" s="94"/>
      <c r="D1493" s="94" t="str">
        <f>IFERROR(__xludf.DUMMYFUNCTION("""COMPUTED_VALUE"""),"4 DL 13 - 709 (Лот 291393)")</f>
        <v>4 DL 13 - 709 (Лот 291393)</v>
      </c>
      <c r="E1493" s="1436">
        <f>IFERROR(__xludf.DUMMYFUNCTION("""COMPUTED_VALUE"""),45917.0)</f>
        <v>45917</v>
      </c>
      <c r="F1493" s="1436">
        <f>IFERROR(__xludf.DUMMYFUNCTION("""COMPUTED_VALUE"""),45923.0)</f>
        <v>45923</v>
      </c>
      <c r="G1493" s="1430">
        <f>IFERROR(__xludf.DUMMYFUNCTION("""COMPUTED_VALUE"""),6.0)</f>
        <v>6</v>
      </c>
      <c r="H1493" s="94">
        <f t="shared" si="1"/>
        <v>9</v>
      </c>
    </row>
    <row r="1494" ht="15.75" customHeight="1">
      <c r="A1494" s="1164" t="str">
        <f>IFERROR(__xludf.DUMMYFUNCTION("""COMPUTED_VALUE"""),"DL 11-1305")</f>
        <v>DL 11-1305</v>
      </c>
      <c r="B1494" s="94"/>
      <c r="C1494" s="94"/>
      <c r="D1494" s="94" t="str">
        <f>IFERROR(__xludf.DUMMYFUNCTION("""COMPUTED_VALUE"""),"4 DL 11 - 1305 (1+1) (Лот 234970)")</f>
        <v>4 DL 11 - 1305 (1+1) (Лот 234970)</v>
      </c>
      <c r="E1494" s="1436">
        <f>IFERROR(__xludf.DUMMYFUNCTION("""COMPUTED_VALUE"""),45917.0)</f>
        <v>45917</v>
      </c>
      <c r="F1494" s="1436">
        <f>IFERROR(__xludf.DUMMYFUNCTION("""COMPUTED_VALUE"""),45923.0)</f>
        <v>45923</v>
      </c>
      <c r="G1494" s="1430">
        <f>IFERROR(__xludf.DUMMYFUNCTION("""COMPUTED_VALUE"""),6.0)</f>
        <v>6</v>
      </c>
      <c r="H1494" s="94">
        <f t="shared" si="1"/>
        <v>9</v>
      </c>
    </row>
    <row r="1495" ht="15.75" customHeight="1">
      <c r="A1495" s="94" t="str">
        <f>IFERROR(__xludf.DUMMYFUNCTION("""COMPUTED_VALUE"""),"Int 2612")</f>
        <v>Int 2612</v>
      </c>
      <c r="B1495" s="94"/>
      <c r="C1495" s="94"/>
      <c r="D1495" s="94" t="str">
        <f>IFERROR(__xludf.DUMMYFUNCTION("""COMPUTED_VALUE"""),"3 Int B 2612 (Лот 285149)")</f>
        <v>3 Int B 2612 (Лот 285149)</v>
      </c>
      <c r="E1495" s="1436">
        <f>IFERROR(__xludf.DUMMYFUNCTION("""COMPUTED_VALUE"""),45916.0)</f>
        <v>45916</v>
      </c>
      <c r="F1495" s="1436">
        <f>IFERROR(__xludf.DUMMYFUNCTION("""COMPUTED_VALUE"""),45925.0)</f>
        <v>45925</v>
      </c>
      <c r="G1495" s="1430">
        <f>IFERROR(__xludf.DUMMYFUNCTION("""COMPUTED_VALUE"""),9.0)</f>
        <v>9</v>
      </c>
      <c r="H1495" s="94">
        <f t="shared" si="1"/>
        <v>9</v>
      </c>
    </row>
    <row r="1496" ht="15.75" customHeight="1">
      <c r="A1496" s="94" t="str">
        <f>IFERROR(__xludf.DUMMYFUNCTION("""COMPUTED_VALUE"""),"MZ 1408")</f>
        <v>MZ 1408</v>
      </c>
      <c r="B1496" s="94"/>
      <c r="C1496" s="94"/>
      <c r="D1496" s="94" t="str">
        <f>IFERROR(__xludf.DUMMYFUNCTION("""COMPUTED_VALUE"""),"3 MZ 1408 (Лот 289834)")</f>
        <v>3 MZ 1408 (Лот 289834)</v>
      </c>
      <c r="E1496" s="1436">
        <f>IFERROR(__xludf.DUMMYFUNCTION("""COMPUTED_VALUE"""),45916.0)</f>
        <v>45916</v>
      </c>
      <c r="F1496" s="1436">
        <f>IFERROR(__xludf.DUMMYFUNCTION("""COMPUTED_VALUE"""),45924.0)</f>
        <v>45924</v>
      </c>
      <c r="G1496" s="1430">
        <f>IFERROR(__xludf.DUMMYFUNCTION("""COMPUTED_VALUE"""),8.0)</f>
        <v>8</v>
      </c>
      <c r="H1496" s="94">
        <f t="shared" si="1"/>
        <v>9</v>
      </c>
    </row>
    <row r="1497" ht="15.75" customHeight="1">
      <c r="A1497" s="94" t="str">
        <f>IFERROR(__xludf.DUMMYFUNCTION("""COMPUTED_VALUE"""),"NW 10-6")</f>
        <v>NW 10-6</v>
      </c>
      <c r="B1497" s="94"/>
      <c r="C1497" s="94"/>
      <c r="D1497" s="94" t="str">
        <f>IFERROR(__xludf.DUMMYFUNCTION("""COMPUTED_VALUE"""),"3 NW 1006 (Лот 289905)")</f>
        <v>3 NW 1006 (Лот 289905)</v>
      </c>
      <c r="E1497" s="1436">
        <f>IFERROR(__xludf.DUMMYFUNCTION("""COMPUTED_VALUE"""),45916.0)</f>
        <v>45916</v>
      </c>
      <c r="F1497" s="1436">
        <f>IFERROR(__xludf.DUMMYFUNCTION("""COMPUTED_VALUE"""),45918.0)</f>
        <v>45918</v>
      </c>
      <c r="G1497" s="1430">
        <f>IFERROR(__xludf.DUMMYFUNCTION("""COMPUTED_VALUE"""),2.0)</f>
        <v>2</v>
      </c>
      <c r="H1497" s="94">
        <f t="shared" si="1"/>
        <v>9</v>
      </c>
    </row>
    <row r="1498" ht="15.75" customHeight="1">
      <c r="A1498" s="94" t="str">
        <f>IFERROR(__xludf.DUMMYFUNCTION("""COMPUTED_VALUE"""),"D1 3902")</f>
        <v>D1 3902</v>
      </c>
      <c r="B1498" s="94"/>
      <c r="C1498" s="94"/>
      <c r="D1498" s="94" t="str">
        <f>IFERROR(__xludf.DUMMYFUNCTION("""COMPUTED_VALUE"""),"2 Orbi D 3902 (Лот 293635)")</f>
        <v>2 Orbi D 3902 (Лот 293635)</v>
      </c>
      <c r="E1498" s="1436">
        <f>IFERROR(__xludf.DUMMYFUNCTION("""COMPUTED_VALUE"""),45916.0)</f>
        <v>45916</v>
      </c>
      <c r="F1498" s="1436">
        <f>IFERROR(__xludf.DUMMYFUNCTION("""COMPUTED_VALUE"""),45918.0)</f>
        <v>45918</v>
      </c>
      <c r="G1498" s="1430">
        <f>IFERROR(__xludf.DUMMYFUNCTION("""COMPUTED_VALUE"""),2.0)</f>
        <v>2</v>
      </c>
      <c r="H1498" s="94">
        <f t="shared" si="1"/>
        <v>9</v>
      </c>
    </row>
    <row r="1499" ht="15.75" customHeight="1">
      <c r="A1499" s="1164" t="str">
        <f>IFERROR(__xludf.DUMMYFUNCTION("""COMPUTED_VALUE"""),"DL 14-516")</f>
        <v>DL 14-516</v>
      </c>
      <c r="B1499" s="94"/>
      <c r="C1499" s="94"/>
      <c r="D1499" s="94" t="str">
        <f>IFERROR(__xludf.DUMMYFUNCTION("""COMPUTED_VALUE"""),"4 DL 14 - 516 (1+1) (Лот 233401)")</f>
        <v>4 DL 14 - 516 (1+1) (Лот 233401)</v>
      </c>
      <c r="E1499" s="1436">
        <f>IFERROR(__xludf.DUMMYFUNCTION("""COMPUTED_VALUE"""),45916.0)</f>
        <v>45916</v>
      </c>
      <c r="F1499" s="1436">
        <f>IFERROR(__xludf.DUMMYFUNCTION("""COMPUTED_VALUE"""),45920.0)</f>
        <v>45920</v>
      </c>
      <c r="G1499" s="1430">
        <f>IFERROR(__xludf.DUMMYFUNCTION("""COMPUTED_VALUE"""),4.0)</f>
        <v>4</v>
      </c>
      <c r="H1499" s="94">
        <f t="shared" si="1"/>
        <v>9</v>
      </c>
    </row>
    <row r="1500" ht="15.75" customHeight="1">
      <c r="A1500" s="94" t="str">
        <f>IFERROR(__xludf.DUMMYFUNCTION("""COMPUTED_VALUE"""),"4.DL 13 - 201 (Лот 299722)")</f>
        <v>4.DL 13 - 201 (Лот 299722)</v>
      </c>
      <c r="B1500" s="94"/>
      <c r="C1500" s="94"/>
      <c r="D1500" s="94" t="str">
        <f>IFERROR(__xludf.DUMMYFUNCTION("""COMPUTED_VALUE"""),"4 DL 13 - 201 (Лот 299722)")</f>
        <v>4 DL 13 - 201 (Лот 299722)</v>
      </c>
      <c r="E1500" s="1436">
        <f>IFERROR(__xludf.DUMMYFUNCTION("""COMPUTED_VALUE"""),45916.0)</f>
        <v>45916</v>
      </c>
      <c r="F1500" s="1436">
        <f>IFERROR(__xludf.DUMMYFUNCTION("""COMPUTED_VALUE"""),45923.0)</f>
        <v>45923</v>
      </c>
      <c r="G1500" s="1430">
        <f>IFERROR(__xludf.DUMMYFUNCTION("""COMPUTED_VALUE"""),7.0)</f>
        <v>7</v>
      </c>
      <c r="H1500" s="94">
        <f t="shared" si="1"/>
        <v>9</v>
      </c>
    </row>
    <row r="1501" ht="15.75" customHeight="1">
      <c r="A1501" s="94" t="str">
        <f>IFERROR(__xludf.DUMMYFUNCTION("""COMPUTED_VALUE"""),"MZ 718")</f>
        <v>MZ 718</v>
      </c>
      <c r="B1501" s="94"/>
      <c r="C1501" s="94"/>
      <c r="D1501" s="94" t="str">
        <f>IFERROR(__xludf.DUMMYFUNCTION("""COMPUTED_VALUE"""),"3 MZ 718, 913 (Лот 269699)")</f>
        <v>3 MZ 718, 913 (Лот 269699)</v>
      </c>
      <c r="E1501" s="1436">
        <f>IFERROR(__xludf.DUMMYFUNCTION("""COMPUTED_VALUE"""),45915.0)</f>
        <v>45915</v>
      </c>
      <c r="F1501" s="1436">
        <f>IFERROR(__xludf.DUMMYFUNCTION("""COMPUTED_VALUE"""),45918.0)</f>
        <v>45918</v>
      </c>
      <c r="G1501" s="1430">
        <f>IFERROR(__xludf.DUMMYFUNCTION("""COMPUTED_VALUE"""),3.0)</f>
        <v>3</v>
      </c>
      <c r="H1501" s="94">
        <f t="shared" si="1"/>
        <v>9</v>
      </c>
    </row>
    <row r="1502" ht="15.75" customHeight="1">
      <c r="A1502" s="1164" t="str">
        <f>IFERROR(__xludf.DUMMYFUNCTION("""COMPUTED_VALUE"""),"DL 11-1112")</f>
        <v>DL 11-1112</v>
      </c>
      <c r="B1502" s="94"/>
      <c r="C1502" s="94"/>
      <c r="D1502" s="94" t="str">
        <f>IFERROR(__xludf.DUMMYFUNCTION("""COMPUTED_VALUE"""),"4 DL 11 - 1112 (Лот 233410)")</f>
        <v>4 DL 11 - 1112 (Лот 233410)</v>
      </c>
      <c r="E1502" s="1436">
        <f>IFERROR(__xludf.DUMMYFUNCTION("""COMPUTED_VALUE"""),45915.0)</f>
        <v>45915</v>
      </c>
      <c r="F1502" s="1436">
        <f>IFERROR(__xludf.DUMMYFUNCTION("""COMPUTED_VALUE"""),45921.0)</f>
        <v>45921</v>
      </c>
      <c r="G1502" s="1430">
        <f>IFERROR(__xludf.DUMMYFUNCTION("""COMPUTED_VALUE"""),6.0)</f>
        <v>6</v>
      </c>
      <c r="H1502" s="94">
        <f t="shared" si="1"/>
        <v>9</v>
      </c>
    </row>
    <row r="1503" ht="15.75" customHeight="1">
      <c r="A1503" s="94" t="str">
        <f>IFERROR(__xludf.DUMMYFUNCTION("""COMPUTED_VALUE"""),"MZ 913")</f>
        <v>MZ 913</v>
      </c>
      <c r="B1503" s="94"/>
      <c r="C1503" s="94"/>
      <c r="D1503" s="94" t="str">
        <f>IFERROR(__xludf.DUMMYFUNCTION("""COMPUTED_VALUE"""),"3 MZ 718, 913 (Лот 269699)")</f>
        <v>3 MZ 718, 913 (Лот 269699)</v>
      </c>
      <c r="E1503" s="1436">
        <f>IFERROR(__xludf.DUMMYFUNCTION("""COMPUTED_VALUE"""),45915.0)</f>
        <v>45915</v>
      </c>
      <c r="F1503" s="1436">
        <f>IFERROR(__xludf.DUMMYFUNCTION("""COMPUTED_VALUE"""),45919.0)</f>
        <v>45919</v>
      </c>
      <c r="G1503" s="1430">
        <f>IFERROR(__xludf.DUMMYFUNCTION("""COMPUTED_VALUE"""),4.0)</f>
        <v>4</v>
      </c>
      <c r="H1503" s="94">
        <f t="shared" si="1"/>
        <v>9</v>
      </c>
    </row>
    <row r="1504" ht="15.75" customHeight="1">
      <c r="A1504" s="1164" t="str">
        <f>IFERROR(__xludf.DUMMYFUNCTION("""COMPUTED_VALUE"""),"WS В 212")</f>
        <v>WS В 212</v>
      </c>
      <c r="B1504" s="94"/>
      <c r="C1504" s="94"/>
      <c r="D1504" s="94" t="str">
        <f>IFERROR(__xludf.DUMMYFUNCTION("""COMPUTED_VALUE"""),"1 WS B 212 (Лот 233391)")</f>
        <v>1 WS B 212 (Лот 233391)</v>
      </c>
      <c r="E1504" s="1436">
        <f>IFERROR(__xludf.DUMMYFUNCTION("""COMPUTED_VALUE"""),45915.0)</f>
        <v>45915</v>
      </c>
      <c r="F1504" s="1436">
        <f>IFERROR(__xludf.DUMMYFUNCTION("""COMPUTED_VALUE"""),45928.0)</f>
        <v>45928</v>
      </c>
      <c r="G1504" s="1430">
        <f>IFERROR(__xludf.DUMMYFUNCTION("""COMPUTED_VALUE"""),13.0)</f>
        <v>13</v>
      </c>
      <c r="H1504" s="94">
        <f t="shared" si="1"/>
        <v>9</v>
      </c>
    </row>
    <row r="1505" ht="15.75" customHeight="1">
      <c r="A1505" s="94" t="str">
        <f>IFERROR(__xludf.DUMMYFUNCTION("""COMPUTED_VALUE"""),"TGA8")</f>
        <v>TGA8</v>
      </c>
      <c r="B1505" s="94"/>
      <c r="C1505" s="94"/>
      <c r="D1505" s="94" t="str">
        <f>IFERROR(__xludf.DUMMYFUNCTION("""COMPUTED_VALUE"""),"6 TG Студия с видом на море А3, А5, А6, А8 (Лот 268012)")</f>
        <v>6 TG Студия с видом на море А3, А5, А6, А8 (Лот 268012)</v>
      </c>
      <c r="E1505" s="1436">
        <f>IFERROR(__xludf.DUMMYFUNCTION("""COMPUTED_VALUE"""),45915.0)</f>
        <v>45915</v>
      </c>
      <c r="F1505" s="1436">
        <f>IFERROR(__xludf.DUMMYFUNCTION("""COMPUTED_VALUE"""),45920.0)</f>
        <v>45920</v>
      </c>
      <c r="G1505" s="1430">
        <f>IFERROR(__xludf.DUMMYFUNCTION("""COMPUTED_VALUE"""),5.0)</f>
        <v>5</v>
      </c>
      <c r="H1505" s="94">
        <f t="shared" si="1"/>
        <v>9</v>
      </c>
    </row>
    <row r="1506" ht="15.75" customHeight="1">
      <c r="A1506" s="1164" t="str">
        <f>IFERROR(__xludf.DUMMYFUNCTION("""COMPUTED_VALUE"""),"WS E704")</f>
        <v>WS E704</v>
      </c>
      <c r="B1506" s="94"/>
      <c r="C1506" s="94"/>
      <c r="D1506" s="94" t="str">
        <f>IFERROR(__xludf.DUMMYFUNCTION("""COMPUTED_VALUE"""),"1 WS E 704 (Лот 233383)")</f>
        <v>1 WS E 704 (Лот 233383)</v>
      </c>
      <c r="E1506" s="1436">
        <f>IFERROR(__xludf.DUMMYFUNCTION("""COMPUTED_VALUE"""),45915.0)</f>
        <v>45915</v>
      </c>
      <c r="F1506" s="1436">
        <f>IFERROR(__xludf.DUMMYFUNCTION("""COMPUTED_VALUE"""),45918.0)</f>
        <v>45918</v>
      </c>
      <c r="G1506" s="1430">
        <f>IFERROR(__xludf.DUMMYFUNCTION("""COMPUTED_VALUE"""),3.0)</f>
        <v>3</v>
      </c>
      <c r="H1506" s="94">
        <f t="shared" si="1"/>
        <v>9</v>
      </c>
    </row>
    <row r="1507" ht="15.75" customHeight="1">
      <c r="A1507" s="1164" t="str">
        <f>IFERROR(__xludf.DUMMYFUNCTION("""COMPUTED_VALUE"""),"WS A 608")</f>
        <v>WS A 608</v>
      </c>
      <c r="B1507" s="94"/>
      <c r="C1507" s="94"/>
      <c r="D1507" s="94" t="str">
        <f>IFERROR(__xludf.DUMMYFUNCTION("""COMPUTED_VALUE"""),"1 WS A 608 (Лот 233370)")</f>
        <v>1 WS A 608 (Лот 233370)</v>
      </c>
      <c r="E1507" s="1436">
        <f>IFERROR(__xludf.DUMMYFUNCTION("""COMPUTED_VALUE"""),45915.0)</f>
        <v>45915</v>
      </c>
      <c r="F1507" s="1436">
        <f>IFERROR(__xludf.DUMMYFUNCTION("""COMPUTED_VALUE"""),45923.0)</f>
        <v>45923</v>
      </c>
      <c r="G1507" s="1430">
        <f>IFERROR(__xludf.DUMMYFUNCTION("""COMPUTED_VALUE"""),8.0)</f>
        <v>8</v>
      </c>
      <c r="H1507" s="94">
        <f t="shared" si="1"/>
        <v>9</v>
      </c>
    </row>
    <row r="1508" ht="15.75" customHeight="1">
      <c r="A1508" s="94" t="str">
        <f>IFERROR(__xludf.DUMMYFUNCTION("""COMPUTED_VALUE"""),"TGB5")</f>
        <v>TGB5</v>
      </c>
      <c r="B1508" s="94"/>
      <c r="C1508" s="94"/>
      <c r="D1508" s="94" t="str">
        <f>IFERROR(__xludf.DUMMYFUNCTION("""COMPUTED_VALUE"""),"6 TG С 1 сп с видом на горы В5, В1 (Лот 268015)")</f>
        <v>6 TG С 1 сп с видом на горы В5, В1 (Лот 268015)</v>
      </c>
      <c r="E1508" s="1436">
        <f>IFERROR(__xludf.DUMMYFUNCTION("""COMPUTED_VALUE"""),45915.0)</f>
        <v>45915</v>
      </c>
      <c r="F1508" s="1436">
        <f>IFERROR(__xludf.DUMMYFUNCTION("""COMPUTED_VALUE"""),45925.0)</f>
        <v>45925</v>
      </c>
      <c r="G1508" s="1430">
        <f>IFERROR(__xludf.DUMMYFUNCTION("""COMPUTED_VALUE"""),10.0)</f>
        <v>10</v>
      </c>
      <c r="H1508" s="94">
        <f t="shared" si="1"/>
        <v>9</v>
      </c>
    </row>
    <row r="1509" ht="15.75" customHeight="1">
      <c r="A1509" s="1164" t="str">
        <f>IFERROR(__xludf.DUMMYFUNCTION("""COMPUTED_VALUE"""),"Int 2905")</f>
        <v>Int 2905</v>
      </c>
      <c r="B1509" s="94"/>
      <c r="C1509" s="94"/>
      <c r="D1509" s="94" t="str">
        <f>IFERROR(__xludf.DUMMYFUNCTION("""COMPUTED_VALUE"""),"3.Inturist 2905 (Лот 233347)")</f>
        <v>3.Inturist 2905 (Лот 233347)</v>
      </c>
      <c r="E1509" s="1436">
        <f>IFERROR(__xludf.DUMMYFUNCTION("""COMPUTED_VALUE"""),45915.0)</f>
        <v>45915</v>
      </c>
      <c r="F1509" s="1436">
        <f>IFERROR(__xludf.DUMMYFUNCTION("""COMPUTED_VALUE"""),45918.0)</f>
        <v>45918</v>
      </c>
      <c r="G1509" s="1430">
        <f>IFERROR(__xludf.DUMMYFUNCTION("""COMPUTED_VALUE"""),3.0)</f>
        <v>3</v>
      </c>
      <c r="H1509" s="94">
        <f t="shared" si="1"/>
        <v>9</v>
      </c>
    </row>
    <row r="1510" ht="15.75" customHeight="1">
      <c r="A1510" s="1164" t="str">
        <f>IFERROR(__xludf.DUMMYFUNCTION("""COMPUTED_VALUE"""),"WS F 907")</f>
        <v>WS F 907</v>
      </c>
      <c r="B1510" s="94"/>
      <c r="C1510" s="94"/>
      <c r="D1510" s="94" t="str">
        <f>IFERROR(__xludf.DUMMYFUNCTION("""COMPUTED_VALUE"""),"1 WS F 907 (Лот 233314)")</f>
        <v>1 WS F 907 (Лот 233314)</v>
      </c>
      <c r="E1510" s="1436">
        <f>IFERROR(__xludf.DUMMYFUNCTION("""COMPUTED_VALUE"""),45915.0)</f>
        <v>45915</v>
      </c>
      <c r="F1510" s="1436">
        <f>IFERROR(__xludf.DUMMYFUNCTION("""COMPUTED_VALUE"""),45921.0)</f>
        <v>45921</v>
      </c>
      <c r="G1510" s="1430">
        <f>IFERROR(__xludf.DUMMYFUNCTION("""COMPUTED_VALUE"""),6.0)</f>
        <v>6</v>
      </c>
      <c r="H1510" s="94">
        <f t="shared" si="1"/>
        <v>9</v>
      </c>
    </row>
    <row r="1511" ht="15.75" customHeight="1">
      <c r="A1511" s="1164" t="str">
        <f>IFERROR(__xludf.DUMMYFUNCTION("""COMPUTED_VALUE"""),"С 2756")</f>
        <v>С 2756</v>
      </c>
      <c r="B1511" s="94"/>
      <c r="C1511" s="94"/>
      <c r="D1511" s="94" t="str">
        <f>IFERROR(__xludf.DUMMYFUNCTION("""COMPUTED_VALUE"""),"2 Orbi C 2756 (Лот 233325)")</f>
        <v>2 Orbi C 2756 (Лот 233325)</v>
      </c>
      <c r="E1511" s="1436">
        <f>IFERROR(__xludf.DUMMYFUNCTION("""COMPUTED_VALUE"""),45915.0)</f>
        <v>45915</v>
      </c>
      <c r="F1511" s="1436">
        <f>IFERROR(__xludf.DUMMYFUNCTION("""COMPUTED_VALUE"""),45919.0)</f>
        <v>45919</v>
      </c>
      <c r="G1511" s="1430">
        <f>IFERROR(__xludf.DUMMYFUNCTION("""COMPUTED_VALUE"""),4.0)</f>
        <v>4</v>
      </c>
      <c r="H1511" s="94">
        <f t="shared" si="1"/>
        <v>9</v>
      </c>
    </row>
    <row r="1512" ht="15.75" customHeight="1">
      <c r="A1512" s="94" t="str">
        <f>IFERROR(__xludf.DUMMYFUNCTION("""COMPUTED_VALUE"""),"С732")</f>
        <v>С732</v>
      </c>
      <c r="B1512" s="94"/>
      <c r="C1512" s="94"/>
      <c r="D1512" s="94"/>
      <c r="E1512" s="2175">
        <f>IFERROR(__xludf.DUMMYFUNCTION("""COMPUTED_VALUE"""),45918.0)</f>
        <v>45918</v>
      </c>
      <c r="F1512" s="1429">
        <f>IFERROR(__xludf.DUMMYFUNCTION("""COMPUTED_VALUE"""),45948.0)</f>
        <v>45948</v>
      </c>
      <c r="G1512" s="1430">
        <f>IFERROR(__xludf.DUMMYFUNCTION("""COMPUTED_VALUE"""),30.0)</f>
        <v>30</v>
      </c>
      <c r="H1512" s="94">
        <f t="shared" si="1"/>
        <v>9</v>
      </c>
    </row>
    <row r="1513" ht="15.75" customHeight="1">
      <c r="A1513" s="94" t="str">
        <f>IFERROR(__xludf.DUMMYFUNCTION("""COMPUTED_VALUE"""),"Pollo 3-5")</f>
        <v>Pollo 3-5</v>
      </c>
      <c r="B1513" s="94"/>
      <c r="C1513" s="94"/>
      <c r="D1513" s="94"/>
      <c r="E1513" s="1429">
        <f>IFERROR(__xludf.DUMMYFUNCTION("""COMPUTED_VALUE"""),45922.0)</f>
        <v>45922</v>
      </c>
      <c r="F1513" s="1436">
        <f>IFERROR(__xludf.DUMMYFUNCTION("""COMPUTED_VALUE"""),45951.0)</f>
        <v>45951</v>
      </c>
      <c r="G1513" s="1430">
        <f>IFERROR(__xludf.DUMMYFUNCTION("""COMPUTED_VALUE"""),29.0)</f>
        <v>29</v>
      </c>
      <c r="H1513" s="94">
        <f t="shared" si="1"/>
        <v>9</v>
      </c>
    </row>
    <row r="1514" ht="15.75" customHeight="1">
      <c r="A1514" s="94" t="str">
        <f>IFERROR(__xludf.DUMMYFUNCTION("""COMPUTED_VALUE"""),"шартава 16/18")</f>
        <v>шартава 16/18</v>
      </c>
      <c r="B1514" s="94"/>
      <c r="C1514" s="94"/>
      <c r="D1514" s="94"/>
      <c r="E1514" s="1429">
        <f>IFERROR(__xludf.DUMMYFUNCTION("""COMPUTED_VALUE"""),45925.0)</f>
        <v>45925</v>
      </c>
      <c r="F1514" s="1436">
        <f>IFERROR(__xludf.DUMMYFUNCTION("""COMPUTED_VALUE"""),45954.0)</f>
        <v>45954</v>
      </c>
      <c r="G1514" s="1430">
        <f>IFERROR(__xludf.DUMMYFUNCTION("""COMPUTED_VALUE"""),29.0)</f>
        <v>29</v>
      </c>
      <c r="H1514" s="94">
        <f t="shared" si="1"/>
        <v>9</v>
      </c>
    </row>
    <row r="1515" ht="15.75" customHeight="1">
      <c r="A1515" s="94" t="str">
        <f>IFERROR(__xludf.DUMMYFUNCTION("""COMPUTED_VALUE"""),"Pollo 2-2")</f>
        <v>Pollo 2-2</v>
      </c>
      <c r="B1515" s="94"/>
      <c r="C1515" s="94"/>
      <c r="D1515" s="94"/>
      <c r="E1515" s="1429">
        <f>IFERROR(__xludf.DUMMYFUNCTION("""COMPUTED_VALUE"""),45928.0)</f>
        <v>45928</v>
      </c>
      <c r="F1515" s="1429">
        <f>IFERROR(__xludf.DUMMYFUNCTION("""COMPUTED_VALUE"""),45957.0)</f>
        <v>45957</v>
      </c>
      <c r="G1515" s="1430">
        <f>IFERROR(__xludf.DUMMYFUNCTION("""COMPUTED_VALUE"""),29.0)</f>
        <v>29</v>
      </c>
      <c r="H1515" s="94">
        <f t="shared" si="1"/>
        <v>9</v>
      </c>
    </row>
    <row r="1516" ht="15.75" customHeight="1">
      <c r="A1516" s="1164" t="str">
        <f>IFERROR(__xludf.DUMMYFUNCTION("""COMPUTED_VALUE"""),"WS F 907")</f>
        <v>WS F 907</v>
      </c>
      <c r="B1516" s="94"/>
      <c r="C1516" s="94"/>
      <c r="D1516" s="431" t="str">
        <f>IFERROR(__xludf.DUMMYFUNCTION("""COMPUTED_VALUE"""),"1 WS F 907 (Лот 233314)")</f>
        <v>1 WS F 907 (Лот 233314)</v>
      </c>
      <c r="E1516" s="1436">
        <f>IFERROR(__xludf.DUMMYFUNCTION("""COMPUTED_VALUE"""),45928.0)</f>
        <v>45928</v>
      </c>
      <c r="F1516" s="1436">
        <f>IFERROR(__xludf.DUMMYFUNCTION("""COMPUTED_VALUE"""),45934.0)</f>
        <v>45934</v>
      </c>
      <c r="G1516" s="1430">
        <f>IFERROR(__xludf.DUMMYFUNCTION("""COMPUTED_VALUE"""),6.0)</f>
        <v>6</v>
      </c>
      <c r="H1516" s="94">
        <f t="shared" si="1"/>
        <v>9</v>
      </c>
    </row>
    <row r="1517" ht="15.75" customHeight="1">
      <c r="A1517" s="1164" t="str">
        <f>IFERROR(__xludf.DUMMYFUNCTION("""COMPUTED_VALUE"""),"Steps1123")</f>
        <v>Steps1123</v>
      </c>
      <c r="B1517" s="94"/>
      <c r="C1517" s="94"/>
      <c r="D1517" s="431" t="str">
        <f>IFERROR(__xludf.DUMMYFUNCTION("""COMPUTED_VALUE"""),"1. Steps 1123 (Лот 247443)")</f>
        <v>1. Steps 1123 (Лот 247443)</v>
      </c>
      <c r="E1517" s="1436">
        <f>IFERROR(__xludf.DUMMYFUNCTION("""COMPUTED_VALUE"""),45928.0)</f>
        <v>45928</v>
      </c>
      <c r="F1517" s="1436">
        <f>IFERROR(__xludf.DUMMYFUNCTION("""COMPUTED_VALUE"""),45958.0)</f>
        <v>45958</v>
      </c>
      <c r="G1517" s="1430">
        <f>IFERROR(__xludf.DUMMYFUNCTION("""COMPUTED_VALUE"""),30.0)</f>
        <v>30</v>
      </c>
      <c r="H1517" s="94">
        <f t="shared" si="1"/>
        <v>9</v>
      </c>
    </row>
    <row r="1518" ht="15.75" customHeight="1">
      <c r="A1518" s="1164" t="str">
        <f>IFERROR(__xludf.DUMMYFUNCTION("""COMPUTED_VALUE"""),"WS В 212")</f>
        <v>WS В 212</v>
      </c>
      <c r="B1518" s="94"/>
      <c r="C1518" s="94"/>
      <c r="D1518" s="431" t="str">
        <f>IFERROR(__xludf.DUMMYFUNCTION("""COMPUTED_VALUE"""),"1 WS B 212 (Лот 233391)")</f>
        <v>1 WS B 212 (Лот 233391)</v>
      </c>
      <c r="E1518" s="1436">
        <f>IFERROR(__xludf.DUMMYFUNCTION("""COMPUTED_VALUE"""),45928.0)</f>
        <v>45928</v>
      </c>
      <c r="F1518" s="1436">
        <f>IFERROR(__xludf.DUMMYFUNCTION("""COMPUTED_VALUE"""),45937.0)</f>
        <v>45937</v>
      </c>
      <c r="G1518" s="1430">
        <f>IFERROR(__xludf.DUMMYFUNCTION("""COMPUTED_VALUE"""),9.0)</f>
        <v>9</v>
      </c>
      <c r="H1518" s="94">
        <f t="shared" si="1"/>
        <v>9</v>
      </c>
    </row>
    <row r="1519" ht="15.75" customHeight="1">
      <c r="A1519" s="94" t="str">
        <f>IFERROR(__xludf.DUMMYFUNCTION("""COMPUTED_VALUE"""),"WS A805")</f>
        <v>WS A805</v>
      </c>
      <c r="B1519" s="94"/>
      <c r="C1519" s="94"/>
      <c r="D1519" s="431" t="str">
        <f>IFERROR(__xludf.DUMMYFUNCTION("""COMPUTED_VALUE"""),"1 WS A 805 (Лот 283869)")</f>
        <v>1 WS A 805 (Лот 283869)</v>
      </c>
      <c r="E1519" s="1436">
        <f>IFERROR(__xludf.DUMMYFUNCTION("""COMPUTED_VALUE"""),45928.0)</f>
        <v>45928</v>
      </c>
      <c r="F1519" s="1436">
        <f>IFERROR(__xludf.DUMMYFUNCTION("""COMPUTED_VALUE"""),45935.0)</f>
        <v>45935</v>
      </c>
      <c r="G1519" s="1430">
        <f>IFERROR(__xludf.DUMMYFUNCTION("""COMPUTED_VALUE"""),7.0)</f>
        <v>7</v>
      </c>
      <c r="H1519" s="94">
        <f t="shared" si="1"/>
        <v>9</v>
      </c>
    </row>
    <row r="1520" ht="15.75" customHeight="1">
      <c r="A1520" s="94" t="str">
        <f>IFERROR(__xludf.DUMMYFUNCTION("""COMPUTED_VALUE"""),"MZ 718")</f>
        <v>MZ 718</v>
      </c>
      <c r="B1520" s="94"/>
      <c r="C1520" s="94"/>
      <c r="D1520" s="431" t="str">
        <f>IFERROR(__xludf.DUMMYFUNCTION("""COMPUTED_VALUE"""),"3 MZ 718, 913 (Лот 269699)")</f>
        <v>3 MZ 718, 913 (Лот 269699)</v>
      </c>
      <c r="E1520" s="1436">
        <f>IFERROR(__xludf.DUMMYFUNCTION("""COMPUTED_VALUE"""),45927.0)</f>
        <v>45927</v>
      </c>
      <c r="F1520" s="1436">
        <f>IFERROR(__xludf.DUMMYFUNCTION("""COMPUTED_VALUE"""),45931.0)</f>
        <v>45931</v>
      </c>
      <c r="G1520" s="1430">
        <f>IFERROR(__xludf.DUMMYFUNCTION("""COMPUTED_VALUE"""),4.0)</f>
        <v>4</v>
      </c>
      <c r="H1520" s="94">
        <f t="shared" si="1"/>
        <v>9</v>
      </c>
    </row>
    <row r="1521" ht="15.75" customHeight="1">
      <c r="A1521" s="1164" t="str">
        <f>IFERROR(__xludf.DUMMYFUNCTION("""COMPUTED_VALUE"""),"Steps 1108")</f>
        <v>Steps 1108</v>
      </c>
      <c r="B1521" s="94"/>
      <c r="C1521" s="94"/>
      <c r="D1521" s="431" t="str">
        <f>IFERROR(__xludf.DUMMYFUNCTION("""COMPUTED_VALUE"""),"1. Steps 1108 (Лот 233301)")</f>
        <v>1. Steps 1108 (Лот 233301)</v>
      </c>
      <c r="E1521" s="1436">
        <f>IFERROR(__xludf.DUMMYFUNCTION("""COMPUTED_VALUE"""),45927.0)</f>
        <v>45927</v>
      </c>
      <c r="F1521" s="1436">
        <f>IFERROR(__xludf.DUMMYFUNCTION("""COMPUTED_VALUE"""),45930.0)</f>
        <v>45930</v>
      </c>
      <c r="G1521" s="1430">
        <f>IFERROR(__xludf.DUMMYFUNCTION("""COMPUTED_VALUE"""),3.0)</f>
        <v>3</v>
      </c>
      <c r="H1521" s="94">
        <f t="shared" si="1"/>
        <v>9</v>
      </c>
    </row>
    <row r="1522" ht="15.75" customHeight="1">
      <c r="A1522" s="1164" t="str">
        <f>IFERROR(__xludf.DUMMYFUNCTION("""COMPUTED_VALUE"""),"DL 14-516")</f>
        <v>DL 14-516</v>
      </c>
      <c r="B1522" s="94"/>
      <c r="C1522" s="94"/>
      <c r="D1522" s="431" t="str">
        <f>IFERROR(__xludf.DUMMYFUNCTION("""COMPUTED_VALUE"""),"4 DL 14 - 516 (1+1) (Лот 233401)")</f>
        <v>4 DL 14 - 516 (1+1) (Лот 233401)</v>
      </c>
      <c r="E1522" s="1436">
        <f>IFERROR(__xludf.DUMMYFUNCTION("""COMPUTED_VALUE"""),45927.0)</f>
        <v>45927</v>
      </c>
      <c r="F1522" s="1436">
        <f>IFERROR(__xludf.DUMMYFUNCTION("""COMPUTED_VALUE"""),45934.0)</f>
        <v>45934</v>
      </c>
      <c r="G1522" s="1430">
        <f>IFERROR(__xludf.DUMMYFUNCTION("""COMPUTED_VALUE"""),7.0)</f>
        <v>7</v>
      </c>
      <c r="H1522" s="94">
        <f t="shared" si="1"/>
        <v>9</v>
      </c>
    </row>
    <row r="1523" ht="15.75" customHeight="1">
      <c r="A1523" s="1164" t="str">
        <f>IFERROR(__xludf.DUMMYFUNCTION("""COMPUTED_VALUE"""),"WS A907")</f>
        <v>WS A907</v>
      </c>
      <c r="B1523" s="94"/>
      <c r="C1523" s="94"/>
      <c r="D1523" s="431" t="str">
        <f>IFERROR(__xludf.DUMMYFUNCTION("""COMPUTED_VALUE"""),"1 WS A 907 (Лот 233365)")</f>
        <v>1 WS A 907 (Лот 233365)</v>
      </c>
      <c r="E1523" s="1436">
        <f>IFERROR(__xludf.DUMMYFUNCTION("""COMPUTED_VALUE"""),45927.0)</f>
        <v>45927</v>
      </c>
      <c r="F1523" s="1436">
        <f>IFERROR(__xludf.DUMMYFUNCTION("""COMPUTED_VALUE"""),45934.0)</f>
        <v>45934</v>
      </c>
      <c r="G1523" s="1430">
        <f>IFERROR(__xludf.DUMMYFUNCTION("""COMPUTED_VALUE"""),7.0)</f>
        <v>7</v>
      </c>
      <c r="H1523" s="94">
        <f t="shared" si="1"/>
        <v>9</v>
      </c>
    </row>
    <row r="1524" ht="15.75" customHeight="1">
      <c r="A1524" s="94" t="str">
        <f>IFERROR(__xludf.DUMMYFUNCTION("""COMPUTED_VALUE"""),"TGA6")</f>
        <v>TGA6</v>
      </c>
      <c r="B1524" s="94"/>
      <c r="C1524" s="94"/>
      <c r="D1524" s="431" t="str">
        <f>IFERROR(__xludf.DUMMYFUNCTION("""COMPUTED_VALUE"""),"6 TG Студия с видом на море А3, А5, А6, А8 (Лот 268012)")</f>
        <v>6 TG Студия с видом на море А3, А5, А6, А8 (Лот 268012)</v>
      </c>
      <c r="E1524" s="1436">
        <f>IFERROR(__xludf.DUMMYFUNCTION("""COMPUTED_VALUE"""),45927.0)</f>
        <v>45927</v>
      </c>
      <c r="F1524" s="1436">
        <f>IFERROR(__xludf.DUMMYFUNCTION("""COMPUTED_VALUE"""),45930.0)</f>
        <v>45930</v>
      </c>
      <c r="G1524" s="1430">
        <f>IFERROR(__xludf.DUMMYFUNCTION("""COMPUTED_VALUE"""),3.0)</f>
        <v>3</v>
      </c>
      <c r="H1524" s="94">
        <f t="shared" si="1"/>
        <v>9</v>
      </c>
    </row>
    <row r="1525" ht="15.75" customHeight="1">
      <c r="A1525" s="431" t="str">
        <f>IFERROR(__xludf.DUMMYFUNCTION("""COMPUTED_VALUE"""),"7 Pr- 181 (Лот 233318)")</f>
        <v>7 Pr- 181 (Лот 233318)</v>
      </c>
      <c r="B1525" s="94"/>
      <c r="C1525" s="94"/>
      <c r="D1525" s="431" t="str">
        <f>IFERROR(__xludf.DUMMYFUNCTION("""COMPUTED_VALUE"""),"7 Pr- 181 (Лот 233318)")</f>
        <v>7 Pr- 181 (Лот 233318)</v>
      </c>
      <c r="E1525" s="1436">
        <f>IFERROR(__xludf.DUMMYFUNCTION("""COMPUTED_VALUE"""),45927.0)</f>
        <v>45927</v>
      </c>
      <c r="F1525" s="1436">
        <f>IFERROR(__xludf.DUMMYFUNCTION("""COMPUTED_VALUE"""),45962.0)</f>
        <v>45962</v>
      </c>
      <c r="G1525" s="1430">
        <f>IFERROR(__xludf.DUMMYFUNCTION("""COMPUTED_VALUE"""),35.0)</f>
        <v>35</v>
      </c>
      <c r="H1525" s="94">
        <f t="shared" si="1"/>
        <v>9</v>
      </c>
    </row>
    <row r="1526" ht="15.75" customHeight="1">
      <c r="A1526" s="94" t="str">
        <f>IFERROR(__xludf.DUMMYFUNCTION("""COMPUTED_VALUE"""),"PT2704")</f>
        <v>PT2704</v>
      </c>
      <c r="B1526" s="94"/>
      <c r="C1526" s="94"/>
      <c r="D1526" s="431" t="str">
        <f>IFERROR(__xludf.DUMMYFUNCTION("""COMPUTED_VALUE"""),"3 PB 2704 (Лот 265740)")</f>
        <v>3 PB 2704 (Лот 265740)</v>
      </c>
      <c r="E1526" s="1436">
        <f>IFERROR(__xludf.DUMMYFUNCTION("""COMPUTED_VALUE"""),45926.0)</f>
        <v>45926</v>
      </c>
      <c r="F1526" s="1436">
        <f>IFERROR(__xludf.DUMMYFUNCTION("""COMPUTED_VALUE"""),45930.0)</f>
        <v>45930</v>
      </c>
      <c r="G1526" s="1430">
        <f>IFERROR(__xludf.DUMMYFUNCTION("""COMPUTED_VALUE"""),4.0)</f>
        <v>4</v>
      </c>
      <c r="H1526" s="94">
        <f t="shared" si="1"/>
        <v>9</v>
      </c>
    </row>
    <row r="1527" ht="15.75" customHeight="1">
      <c r="A1527" s="94" t="str">
        <f>IFERROR(__xludf.DUMMYFUNCTION("""COMPUTED_VALUE"""),"CM 1604")</f>
        <v>CM 1604</v>
      </c>
      <c r="B1527" s="94"/>
      <c r="C1527" s="94"/>
      <c r="D1527" s="431" t="str">
        <f>IFERROR(__xludf.DUMMYFUNCTION("""COMPUTED_VALUE"""),"3 Mar 1604 (Лот 233303)")</f>
        <v>3 Mar 1604 (Лот 233303)</v>
      </c>
      <c r="E1527" s="1436">
        <f>IFERROR(__xludf.DUMMYFUNCTION("""COMPUTED_VALUE"""),45926.0)</f>
        <v>45926</v>
      </c>
      <c r="F1527" s="1436">
        <f>IFERROR(__xludf.DUMMYFUNCTION("""COMPUTED_VALUE"""),45929.0)</f>
        <v>45929</v>
      </c>
      <c r="G1527" s="1430">
        <f>IFERROR(__xludf.DUMMYFUNCTION("""COMPUTED_VALUE"""),3.0)</f>
        <v>3</v>
      </c>
      <c r="H1527" s="94">
        <f t="shared" si="1"/>
        <v>9</v>
      </c>
    </row>
    <row r="1528" ht="15.75" customHeight="1">
      <c r="A1528" s="1164" t="str">
        <f>IFERROR(__xludf.DUMMYFUNCTION("""COMPUTED_VALUE"""),"BV1318")</f>
        <v>BV1318</v>
      </c>
      <c r="B1528" s="94"/>
      <c r="C1528" s="94"/>
      <c r="D1528" s="431" t="str">
        <f>IFERROR(__xludf.DUMMYFUNCTION("""COMPUTED_VALUE"""),"1 BV 1318 (Лот 234845)")</f>
        <v>1 BV 1318 (Лот 234845)</v>
      </c>
      <c r="E1528" s="1436">
        <f>IFERROR(__xludf.DUMMYFUNCTION("""COMPUTED_VALUE"""),45926.0)</f>
        <v>45926</v>
      </c>
      <c r="F1528" s="1436">
        <f>IFERROR(__xludf.DUMMYFUNCTION("""COMPUTED_VALUE"""),45930.0)</f>
        <v>45930</v>
      </c>
      <c r="G1528" s="1430">
        <f>IFERROR(__xludf.DUMMYFUNCTION("""COMPUTED_VALUE"""),4.0)</f>
        <v>4</v>
      </c>
      <c r="H1528" s="94">
        <f t="shared" si="1"/>
        <v>9</v>
      </c>
    </row>
    <row r="1529" ht="15.75" customHeight="1">
      <c r="A1529" s="94" t="str">
        <f>IFERROR(__xludf.DUMMYFUNCTION("""COMPUTED_VALUE"""),"Int 2612")</f>
        <v>Int 2612</v>
      </c>
      <c r="B1529" s="94"/>
      <c r="C1529" s="94"/>
      <c r="D1529" s="431" t="str">
        <f>IFERROR(__xludf.DUMMYFUNCTION("""COMPUTED_VALUE"""),"3 Int B 2612 (Лот 285149)")</f>
        <v>3 Int B 2612 (Лот 285149)</v>
      </c>
      <c r="E1529" s="1436">
        <f>IFERROR(__xludf.DUMMYFUNCTION("""COMPUTED_VALUE"""),45926.0)</f>
        <v>45926</v>
      </c>
      <c r="F1529" s="1436">
        <f>IFERROR(__xludf.DUMMYFUNCTION("""COMPUTED_VALUE"""),45933.0)</f>
        <v>45933</v>
      </c>
      <c r="G1529" s="1430">
        <f>IFERROR(__xludf.DUMMYFUNCTION("""COMPUTED_VALUE"""),7.0)</f>
        <v>7</v>
      </c>
      <c r="H1529" s="94">
        <f t="shared" si="1"/>
        <v>9</v>
      </c>
    </row>
    <row r="1530" ht="15.75" customHeight="1">
      <c r="A1530" s="94" t="str">
        <f>IFERROR(__xludf.DUMMYFUNCTION("""COMPUTED_VALUE"""),"NW 10-6")</f>
        <v>NW 10-6</v>
      </c>
      <c r="B1530" s="94"/>
      <c r="C1530" s="94"/>
      <c r="D1530" s="431" t="str">
        <f>IFERROR(__xludf.DUMMYFUNCTION("""COMPUTED_VALUE"""),"3 NW 1006 (Лот 289905)")</f>
        <v>3 NW 1006 (Лот 289905)</v>
      </c>
      <c r="E1530" s="1436">
        <f>IFERROR(__xludf.DUMMYFUNCTION("""COMPUTED_VALUE"""),45926.0)</f>
        <v>45926</v>
      </c>
      <c r="F1530" s="1436">
        <f>IFERROR(__xludf.DUMMYFUNCTION("""COMPUTED_VALUE"""),45964.0)</f>
        <v>45964</v>
      </c>
      <c r="G1530" s="1430">
        <f>IFERROR(__xludf.DUMMYFUNCTION("""COMPUTED_VALUE"""),38.0)</f>
        <v>38</v>
      </c>
      <c r="H1530" s="94">
        <f t="shared" si="1"/>
        <v>9</v>
      </c>
    </row>
    <row r="1531" ht="15.75" customHeight="1">
      <c r="A1531" s="94" t="str">
        <f>IFERROR(__xludf.DUMMYFUNCTION("""COMPUTED_VALUE"""),"TGA10")</f>
        <v>TGA10</v>
      </c>
      <c r="B1531" s="94"/>
      <c r="C1531" s="94"/>
      <c r="D1531" s="431" t="str">
        <f>IFERROR(__xludf.DUMMYFUNCTION("""COMPUTED_VALUE"""),"6 TG С 2 сп. блок А (А1, А10) (Лот 268000)")</f>
        <v>6 TG С 2 сп. блок А (А1, А10) (Лот 268000)</v>
      </c>
      <c r="E1531" s="1436">
        <f>IFERROR(__xludf.DUMMYFUNCTION("""COMPUTED_VALUE"""),45926.0)</f>
        <v>45926</v>
      </c>
      <c r="F1531" s="1436">
        <f>IFERROR(__xludf.DUMMYFUNCTION("""COMPUTED_VALUE"""),45931.0)</f>
        <v>45931</v>
      </c>
      <c r="G1531" s="1430">
        <f>IFERROR(__xludf.DUMMYFUNCTION("""COMPUTED_VALUE"""),5.0)</f>
        <v>5</v>
      </c>
      <c r="H1531" s="94">
        <f t="shared" si="1"/>
        <v>9</v>
      </c>
    </row>
    <row r="1532" ht="15.75" customHeight="1">
      <c r="A1532" s="94" t="str">
        <f>IFERROR(__xludf.DUMMYFUNCTION("""COMPUTED_VALUE"""),"TG195")</f>
        <v>TG195</v>
      </c>
      <c r="B1532" s="94"/>
      <c r="C1532" s="94"/>
      <c r="D1532" s="431" t="str">
        <f>IFERROR(__xludf.DUMMYFUNCTION("""COMPUTED_VALUE"""),"4. TG 195 (Лот 297147)")</f>
        <v>4. TG 195 (Лот 297147)</v>
      </c>
      <c r="E1532" s="1436">
        <f>IFERROR(__xludf.DUMMYFUNCTION("""COMPUTED_VALUE"""),45926.0)</f>
        <v>45926</v>
      </c>
      <c r="F1532" s="1436">
        <f>IFERROR(__xludf.DUMMYFUNCTION("""COMPUTED_VALUE"""),45956.0)</f>
        <v>45956</v>
      </c>
      <c r="G1532" s="1430">
        <f>IFERROR(__xludf.DUMMYFUNCTION("""COMPUTED_VALUE"""),30.0)</f>
        <v>30</v>
      </c>
      <c r="H1532" s="94">
        <f t="shared" si="1"/>
        <v>9</v>
      </c>
    </row>
    <row r="1533" ht="15.75" customHeight="1">
      <c r="A1533" s="1164" t="str">
        <f>IFERROR(__xludf.DUMMYFUNCTION("""COMPUTED_VALUE"""),"WS E704")</f>
        <v>WS E704</v>
      </c>
      <c r="B1533" s="94"/>
      <c r="C1533" s="94"/>
      <c r="D1533" s="431" t="str">
        <f>IFERROR(__xludf.DUMMYFUNCTION("""COMPUTED_VALUE"""),"1 WS E 704 (Лот 233383)")</f>
        <v>1 WS E 704 (Лот 233383)</v>
      </c>
      <c r="E1533" s="1436">
        <f>IFERROR(__xludf.DUMMYFUNCTION("""COMPUTED_VALUE"""),45926.0)</f>
        <v>45926</v>
      </c>
      <c r="F1533" s="1436">
        <f>IFERROR(__xludf.DUMMYFUNCTION("""COMPUTED_VALUE"""),45930.0)</f>
        <v>45930</v>
      </c>
      <c r="G1533" s="1430">
        <f>IFERROR(__xludf.DUMMYFUNCTION("""COMPUTED_VALUE"""),4.0)</f>
        <v>4</v>
      </c>
      <c r="H1533" s="94">
        <f t="shared" si="1"/>
        <v>9</v>
      </c>
    </row>
    <row r="1534" ht="15.75" customHeight="1">
      <c r="A1534" s="94" t="str">
        <f>IFERROR(__xludf.DUMMYFUNCTION("""COMPUTED_VALUE"""),"D1 3902")</f>
        <v>D1 3902</v>
      </c>
      <c r="B1534" s="94"/>
      <c r="C1534" s="94"/>
      <c r="D1534" s="431" t="str">
        <f>IFERROR(__xludf.DUMMYFUNCTION("""COMPUTED_VALUE"""),"2 Orbi D 3902 (Лот 293635)")</f>
        <v>2 Orbi D 3902 (Лот 293635)</v>
      </c>
      <c r="E1534" s="1436">
        <f>IFERROR(__xludf.DUMMYFUNCTION("""COMPUTED_VALUE"""),45925.0)</f>
        <v>45925</v>
      </c>
      <c r="F1534" s="1436">
        <f>IFERROR(__xludf.DUMMYFUNCTION("""COMPUTED_VALUE"""),45936.0)</f>
        <v>45936</v>
      </c>
      <c r="G1534" s="1430">
        <f>IFERROR(__xludf.DUMMYFUNCTION("""COMPUTED_VALUE"""),11.0)</f>
        <v>11</v>
      </c>
      <c r="H1534" s="94">
        <f t="shared" si="1"/>
        <v>9</v>
      </c>
    </row>
    <row r="1535" ht="15.75" customHeight="1">
      <c r="A1535" s="1164" t="str">
        <f>IFERROR(__xludf.DUMMYFUNCTION("""COMPUTED_VALUE"""),"C 4245")</f>
        <v>C 4245</v>
      </c>
      <c r="B1535" s="94"/>
      <c r="C1535" s="94"/>
      <c r="D1535" s="431" t="str">
        <f>IFERROR(__xludf.DUMMYFUNCTION("""COMPUTED_VALUE"""),"2 Orbi C 4245 (Лот 233298)")</f>
        <v>2 Orbi C 4245 (Лот 233298)</v>
      </c>
      <c r="E1535" s="1436">
        <f>IFERROR(__xludf.DUMMYFUNCTION("""COMPUTED_VALUE"""),45925.0)</f>
        <v>45925</v>
      </c>
      <c r="F1535" s="1436">
        <f>IFERROR(__xludf.DUMMYFUNCTION("""COMPUTED_VALUE"""),45929.0)</f>
        <v>45929</v>
      </c>
      <c r="G1535" s="1430">
        <f>IFERROR(__xludf.DUMMYFUNCTION("""COMPUTED_VALUE"""),4.0)</f>
        <v>4</v>
      </c>
      <c r="H1535" s="94">
        <f t="shared" si="1"/>
        <v>9</v>
      </c>
    </row>
    <row r="1536" ht="15.75" customHeight="1">
      <c r="A1536" s="1164" t="str">
        <f>IFERROR(__xludf.DUMMYFUNCTION("""COMPUTED_VALUE"""),"CM 1606")</f>
        <v>CM 1606</v>
      </c>
      <c r="B1536" s="94"/>
      <c r="C1536" s="94"/>
      <c r="D1536" s="431" t="str">
        <f>IFERROR(__xludf.DUMMYFUNCTION("""COMPUTED_VALUE"""),"3 Mar 1606 (Лот 233302)")</f>
        <v>3 Mar 1606 (Лот 233302)</v>
      </c>
      <c r="E1536" s="1436">
        <f>IFERROR(__xludf.DUMMYFUNCTION("""COMPUTED_VALUE"""),45925.0)</f>
        <v>45925</v>
      </c>
      <c r="F1536" s="1436">
        <f>IFERROR(__xludf.DUMMYFUNCTION("""COMPUTED_VALUE"""),45929.0)</f>
        <v>45929</v>
      </c>
      <c r="G1536" s="1430">
        <f>IFERROR(__xludf.DUMMYFUNCTION("""COMPUTED_VALUE"""),4.0)</f>
        <v>4</v>
      </c>
      <c r="H1536" s="94">
        <f t="shared" si="1"/>
        <v>9</v>
      </c>
    </row>
    <row r="1537" ht="15.75" customHeight="1">
      <c r="A1537" s="94" t="str">
        <f>IFERROR(__xludf.DUMMYFUNCTION("""COMPUTED_VALUE"""),"TGB8")</f>
        <v>TGB8</v>
      </c>
      <c r="B1537" s="94"/>
      <c r="C1537" s="94"/>
      <c r="D1537" s="431" t="str">
        <f>IFERROR(__xludf.DUMMYFUNCTION("""COMPUTED_VALUE"""),"6 TG c 1 сп. блок А (А2, А4, А7, B8, A9) (Лот 263239)")</f>
        <v>6 TG c 1 сп. блок А (А2, А4, А7, B8, A9) (Лот 263239)</v>
      </c>
      <c r="E1537" s="1436">
        <f>IFERROR(__xludf.DUMMYFUNCTION("""COMPUTED_VALUE"""),45925.0)</f>
        <v>45925</v>
      </c>
      <c r="F1537" s="1436">
        <f>IFERROR(__xludf.DUMMYFUNCTION("""COMPUTED_VALUE"""),45930.0)</f>
        <v>45930</v>
      </c>
      <c r="G1537" s="1430">
        <f>IFERROR(__xludf.DUMMYFUNCTION("""COMPUTED_VALUE"""),5.0)</f>
        <v>5</v>
      </c>
      <c r="H1537" s="94">
        <f t="shared" si="1"/>
        <v>9</v>
      </c>
    </row>
    <row r="1538" ht="15.75" customHeight="1">
      <c r="A1538" s="1164" t="str">
        <f>IFERROR(__xludf.DUMMYFUNCTION("""COMPUTED_VALUE"""),"WS F 907")</f>
        <v>WS F 907</v>
      </c>
      <c r="B1538" s="94"/>
      <c r="C1538" s="94"/>
      <c r="D1538" s="431" t="str">
        <f>IFERROR(__xludf.DUMMYFUNCTION("""COMPUTED_VALUE"""),"1 WS F 907 (Лот 233314)")</f>
        <v>1 WS F 907 (Лот 233314)</v>
      </c>
      <c r="E1538" s="1436">
        <f>IFERROR(__xludf.DUMMYFUNCTION("""COMPUTED_VALUE"""),45925.0)</f>
        <v>45925</v>
      </c>
      <c r="F1538" s="1436">
        <f>IFERROR(__xludf.DUMMYFUNCTION("""COMPUTED_VALUE"""),45927.0)</f>
        <v>45927</v>
      </c>
      <c r="G1538" s="1430">
        <f>IFERROR(__xludf.DUMMYFUNCTION("""COMPUTED_VALUE"""),2.0)</f>
        <v>2</v>
      </c>
      <c r="H1538" s="94">
        <f t="shared" si="1"/>
        <v>9</v>
      </c>
    </row>
    <row r="1539" ht="15.75" customHeight="1">
      <c r="A1539" s="1164" t="str">
        <f>IFERROR(__xludf.DUMMYFUNCTION("""COMPUTED_VALUE"""),"С 2756")</f>
        <v>С 2756</v>
      </c>
      <c r="B1539" s="94"/>
      <c r="C1539" s="94"/>
      <c r="D1539" s="431" t="str">
        <f>IFERROR(__xludf.DUMMYFUNCTION("""COMPUTED_VALUE"""),"2 Orbi C 2756 (Лот 233325)")</f>
        <v>2 Orbi C 2756 (Лот 233325)</v>
      </c>
      <c r="E1539" s="1436">
        <f>IFERROR(__xludf.DUMMYFUNCTION("""COMPUTED_VALUE"""),45925.0)</f>
        <v>45925</v>
      </c>
      <c r="F1539" s="1436">
        <f>IFERROR(__xludf.DUMMYFUNCTION("""COMPUTED_VALUE"""),45930.0)</f>
        <v>45930</v>
      </c>
      <c r="G1539" s="1430">
        <f>IFERROR(__xludf.DUMMYFUNCTION("""COMPUTED_VALUE"""),5.0)</f>
        <v>5</v>
      </c>
      <c r="H1539" s="94">
        <f t="shared" si="1"/>
        <v>9</v>
      </c>
    </row>
    <row r="1540" ht="15.75" customHeight="1">
      <c r="A1540" s="94" t="str">
        <f>IFERROR(__xludf.DUMMYFUNCTION("""COMPUTED_VALUE"""),"DL7-16")</f>
        <v>DL7-16</v>
      </c>
      <c r="B1540" s="94"/>
      <c r="C1540" s="94"/>
      <c r="D1540" s="431" t="str">
        <f>IFERROR(__xludf.DUMMYFUNCTION("""COMPUTED_VALUE"""),"4 DL 7 - 16 (2+1) (Лот 284225)")</f>
        <v>4 DL 7 - 16 (2+1) (Лот 284225)</v>
      </c>
      <c r="E1540" s="1436">
        <f>IFERROR(__xludf.DUMMYFUNCTION("""COMPUTED_VALUE"""),45925.0)</f>
        <v>45925</v>
      </c>
      <c r="F1540" s="1436">
        <f>IFERROR(__xludf.DUMMYFUNCTION("""COMPUTED_VALUE"""),45926.0)</f>
        <v>45926</v>
      </c>
      <c r="G1540" s="1430">
        <f>IFERROR(__xludf.DUMMYFUNCTION("""COMPUTED_VALUE"""),1.0)</f>
        <v>1</v>
      </c>
      <c r="H1540" s="94">
        <f t="shared" si="1"/>
        <v>9</v>
      </c>
    </row>
    <row r="1541" ht="15.75" customHeight="1">
      <c r="A1541" s="94" t="str">
        <f>IFERROR(__xludf.DUMMYFUNCTION("""COMPUTED_VALUE"""),"MZ 1416")</f>
        <v>MZ 1416</v>
      </c>
      <c r="B1541" s="94"/>
      <c r="C1541" s="94"/>
      <c r="D1541" s="431" t="str">
        <f>IFERROR(__xludf.DUMMYFUNCTION("""COMPUTED_VALUE"""),"3 MZ 1416 (Лот 289819)")</f>
        <v>3 MZ 1416 (Лот 289819)</v>
      </c>
      <c r="E1541" s="1436">
        <f>IFERROR(__xludf.DUMMYFUNCTION("""COMPUTED_VALUE"""),45924.0)</f>
        <v>45924</v>
      </c>
      <c r="F1541" s="1436">
        <f>IFERROR(__xludf.DUMMYFUNCTION("""COMPUTED_VALUE"""),45931.0)</f>
        <v>45931</v>
      </c>
      <c r="G1541" s="1430">
        <f>IFERROR(__xludf.DUMMYFUNCTION("""COMPUTED_VALUE"""),7.0)</f>
        <v>7</v>
      </c>
      <c r="H1541" s="94">
        <f t="shared" si="1"/>
        <v>9</v>
      </c>
    </row>
    <row r="1542" ht="15.75" customHeight="1">
      <c r="A1542" s="1164" t="str">
        <f>IFERROR(__xludf.DUMMYFUNCTION("""COMPUTED_VALUE"""),"WS A 608")</f>
        <v>WS A 608</v>
      </c>
      <c r="B1542" s="94"/>
      <c r="C1542" s="94"/>
      <c r="D1542" s="431" t="str">
        <f>IFERROR(__xludf.DUMMYFUNCTION("""COMPUTED_VALUE"""),"1 WS A 608 (Лот 233370)")</f>
        <v>1 WS A 608 (Лот 233370)</v>
      </c>
      <c r="E1542" s="1436">
        <f>IFERROR(__xludf.DUMMYFUNCTION("""COMPUTED_VALUE"""),45924.0)</f>
        <v>45924</v>
      </c>
      <c r="F1542" s="1436">
        <f>IFERROR(__xludf.DUMMYFUNCTION("""COMPUTED_VALUE"""),45932.0)</f>
        <v>45932</v>
      </c>
      <c r="G1542" s="1430">
        <f>IFERROR(__xludf.DUMMYFUNCTION("""COMPUTED_VALUE"""),8.0)</f>
        <v>8</v>
      </c>
      <c r="H1542" s="94">
        <f t="shared" si="1"/>
        <v>9</v>
      </c>
    </row>
    <row r="1543" ht="15.75" customHeight="1">
      <c r="A1543" s="1164" t="str">
        <f>IFERROR(__xludf.DUMMYFUNCTION("""COMPUTED_VALUE"""),"Int 2905")</f>
        <v>Int 2905</v>
      </c>
      <c r="B1543" s="94"/>
      <c r="C1543" s="94"/>
      <c r="D1543" s="431" t="str">
        <f>IFERROR(__xludf.DUMMYFUNCTION("""COMPUTED_VALUE"""),"3.Inturist 2905 (Лот 233347)")</f>
        <v>3.Inturist 2905 (Лот 233347)</v>
      </c>
      <c r="E1543" s="1436">
        <f>IFERROR(__xludf.DUMMYFUNCTION("""COMPUTED_VALUE"""),45924.0)</f>
        <v>45924</v>
      </c>
      <c r="F1543" s="1436">
        <f>IFERROR(__xludf.DUMMYFUNCTION("""COMPUTED_VALUE"""),45932.0)</f>
        <v>45932</v>
      </c>
      <c r="G1543" s="1430">
        <f>IFERROR(__xludf.DUMMYFUNCTION("""COMPUTED_VALUE"""),8.0)</f>
        <v>8</v>
      </c>
      <c r="H1543" s="94">
        <f t="shared" si="1"/>
        <v>9</v>
      </c>
    </row>
    <row r="1544" ht="15.75" customHeight="1">
      <c r="A1544" s="94" t="str">
        <f>IFERROR(__xludf.DUMMYFUNCTION("""COMPUTED_VALUE"""),"TGB11")</f>
        <v>TGB11</v>
      </c>
      <c r="B1544" s="94"/>
      <c r="C1544" s="94"/>
      <c r="D1544" s="431" t="str">
        <f>IFERROR(__xludf.DUMMYFUNCTION("""COMPUTED_VALUE"""),"6 TG 2+1 с террасой (B 11) (Лот 268004)")</f>
        <v>6 TG 2+1 с террасой (B 11) (Лот 268004)</v>
      </c>
      <c r="E1544" s="1436">
        <f>IFERROR(__xludf.DUMMYFUNCTION("""COMPUTED_VALUE"""),45924.0)</f>
        <v>45924</v>
      </c>
      <c r="F1544" s="1436">
        <f>IFERROR(__xludf.DUMMYFUNCTION("""COMPUTED_VALUE"""),45928.0)</f>
        <v>45928</v>
      </c>
      <c r="G1544" s="1430">
        <f>IFERROR(__xludf.DUMMYFUNCTION("""COMPUTED_VALUE"""),4.0)</f>
        <v>4</v>
      </c>
      <c r="H1544" s="94">
        <f t="shared" si="1"/>
        <v>9</v>
      </c>
    </row>
    <row r="1545" ht="15.75" customHeight="1">
      <c r="A1545" s="94" t="str">
        <f>IFERROR(__xludf.DUMMYFUNCTION("""COMPUTED_VALUE"""),"TGA1")</f>
        <v>TGA1</v>
      </c>
      <c r="B1545" s="94"/>
      <c r="C1545" s="94"/>
      <c r="D1545" s="431" t="str">
        <f>IFERROR(__xludf.DUMMYFUNCTION("""COMPUTED_VALUE"""),"6 TG С 2 сп. блок А (А1, А10) (Лот 268000)")</f>
        <v>6 TG С 2 сп. блок А (А1, А10) (Лот 268000)</v>
      </c>
      <c r="E1545" s="1436">
        <f>IFERROR(__xludf.DUMMYFUNCTION("""COMPUTED_VALUE"""),45924.0)</f>
        <v>45924</v>
      </c>
      <c r="F1545" s="1436">
        <f>IFERROR(__xludf.DUMMYFUNCTION("""COMPUTED_VALUE"""),45927.0)</f>
        <v>45927</v>
      </c>
      <c r="G1545" s="1430">
        <f>IFERROR(__xludf.DUMMYFUNCTION("""COMPUTED_VALUE"""),3.0)</f>
        <v>3</v>
      </c>
      <c r="H1545" s="94">
        <f t="shared" si="1"/>
        <v>9</v>
      </c>
    </row>
    <row r="1546" ht="15.75" customHeight="1">
      <c r="A1546" s="1164" t="str">
        <f>IFERROR(__xludf.DUMMYFUNCTION("""COMPUTED_VALUE"""),"BV1318")</f>
        <v>BV1318</v>
      </c>
      <c r="B1546" s="94"/>
      <c r="C1546" s="94"/>
      <c r="D1546" s="431" t="str">
        <f>IFERROR(__xludf.DUMMYFUNCTION("""COMPUTED_VALUE"""),"1 BV 1318 (Лот 234845)")</f>
        <v>1 BV 1318 (Лот 234845)</v>
      </c>
      <c r="E1546" s="1436">
        <f>IFERROR(__xludf.DUMMYFUNCTION("""COMPUTED_VALUE"""),45924.0)</f>
        <v>45924</v>
      </c>
      <c r="F1546" s="1436">
        <f>IFERROR(__xludf.DUMMYFUNCTION("""COMPUTED_VALUE"""),45926.0)</f>
        <v>45926</v>
      </c>
      <c r="G1546" s="1430">
        <f>IFERROR(__xludf.DUMMYFUNCTION("""COMPUTED_VALUE"""),2.0)</f>
        <v>2</v>
      </c>
      <c r="H1546" s="94">
        <f t="shared" si="1"/>
        <v>9</v>
      </c>
    </row>
    <row r="1547" ht="15.75" customHeight="1">
      <c r="A1547" s="94" t="str">
        <f>IFERROR(__xludf.DUMMYFUNCTION("""COMPUTED_VALUE"""),"WS A805")</f>
        <v>WS A805</v>
      </c>
      <c r="B1547" s="94"/>
      <c r="C1547" s="94"/>
      <c r="D1547" s="431" t="str">
        <f>IFERROR(__xludf.DUMMYFUNCTION("""COMPUTED_VALUE"""),"1 WS A 805 (Лот 283869)")</f>
        <v>1 WS A 805 (Лот 283869)</v>
      </c>
      <c r="E1547" s="1436">
        <f>IFERROR(__xludf.DUMMYFUNCTION("""COMPUTED_VALUE"""),45924.0)</f>
        <v>45924</v>
      </c>
      <c r="F1547" s="1436">
        <f>IFERROR(__xludf.DUMMYFUNCTION("""COMPUTED_VALUE"""),45927.0)</f>
        <v>45927</v>
      </c>
      <c r="G1547" s="1430">
        <f>IFERROR(__xludf.DUMMYFUNCTION("""COMPUTED_VALUE"""),3.0)</f>
        <v>3</v>
      </c>
      <c r="H1547" s="94">
        <f t="shared" si="1"/>
        <v>9</v>
      </c>
    </row>
    <row r="1548" ht="15.75" customHeight="1">
      <c r="A1548" s="1164" t="str">
        <f>IFERROR(__xludf.DUMMYFUNCTION("""COMPUTED_VALUE"""),"DL14-1710")</f>
        <v>DL14-1710</v>
      </c>
      <c r="B1548" s="94"/>
      <c r="C1548" s="94"/>
      <c r="D1548" s="431" t="str">
        <f>IFERROR(__xludf.DUMMYFUNCTION("""COMPUTED_VALUE"""),"4 DL 14 - 1710 (Лот 284212)")</f>
        <v>4 DL 14 - 1710 (Лот 284212)</v>
      </c>
      <c r="E1548" s="1436">
        <f>IFERROR(__xludf.DUMMYFUNCTION("""COMPUTED_VALUE"""),45924.0)</f>
        <v>45924</v>
      </c>
      <c r="F1548" s="1436">
        <f>IFERROR(__xludf.DUMMYFUNCTION("""COMPUTED_VALUE"""),45930.0)</f>
        <v>45930</v>
      </c>
      <c r="G1548" s="1430">
        <f>IFERROR(__xludf.DUMMYFUNCTION("""COMPUTED_VALUE"""),6.0)</f>
        <v>6</v>
      </c>
      <c r="H1548" s="94">
        <f t="shared" si="1"/>
        <v>9</v>
      </c>
    </row>
    <row r="1549" ht="15.75" customHeight="1">
      <c r="A1549" s="94" t="str">
        <f>IFERROR(__xludf.DUMMYFUNCTION("""COMPUTED_VALUE"""),"WS F1103")</f>
        <v>WS F1103</v>
      </c>
      <c r="B1549" s="94"/>
      <c r="C1549" s="94"/>
      <c r="D1549" s="431" t="str">
        <f>IFERROR(__xludf.DUMMYFUNCTION("""COMPUTED_VALUE"""),"1 WS F 1103 (Лот 286819)")</f>
        <v>1 WS F 1103 (Лот 286819)</v>
      </c>
      <c r="E1549" s="1436">
        <f>IFERROR(__xludf.DUMMYFUNCTION("""COMPUTED_VALUE"""),45924.0)</f>
        <v>45924</v>
      </c>
      <c r="F1549" s="1436">
        <f>IFERROR(__xludf.DUMMYFUNCTION("""COMPUTED_VALUE"""),45928.0)</f>
        <v>45928</v>
      </c>
      <c r="G1549" s="1430">
        <f>IFERROR(__xludf.DUMMYFUNCTION("""COMPUTED_VALUE"""),4.0)</f>
        <v>4</v>
      </c>
      <c r="H1549" s="94">
        <f t="shared" si="1"/>
        <v>9</v>
      </c>
    </row>
    <row r="1550" ht="15.75" customHeight="1">
      <c r="A1550" s="94" t="str">
        <f>IFERROR(__xludf.DUMMYFUNCTION("""COMPUTED_VALUE"""),"MZ 913")</f>
        <v>MZ 913</v>
      </c>
      <c r="B1550" s="94"/>
      <c r="C1550" s="94"/>
      <c r="D1550" s="431" t="str">
        <f>IFERROR(__xludf.DUMMYFUNCTION("""COMPUTED_VALUE"""),"3 MZ 718, 913 (Лот 269699)")</f>
        <v>3 MZ 718, 913 (Лот 269699)</v>
      </c>
      <c r="E1550" s="1436">
        <f>IFERROR(__xludf.DUMMYFUNCTION("""COMPUTED_VALUE"""),45923.0)</f>
        <v>45923</v>
      </c>
      <c r="F1550" s="1436">
        <f>IFERROR(__xludf.DUMMYFUNCTION("""COMPUTED_VALUE"""),45936.0)</f>
        <v>45936</v>
      </c>
      <c r="G1550" s="1430">
        <f>IFERROR(__xludf.DUMMYFUNCTION("""COMPUTED_VALUE"""),13.0)</f>
        <v>13</v>
      </c>
      <c r="H1550" s="94">
        <f t="shared" si="1"/>
        <v>9</v>
      </c>
    </row>
    <row r="1551" ht="15.75" customHeight="1">
      <c r="A1551" s="94" t="str">
        <f>IFERROR(__xludf.DUMMYFUNCTION("""COMPUTED_VALUE"""),"PT2704")</f>
        <v>PT2704</v>
      </c>
      <c r="B1551" s="94"/>
      <c r="C1551" s="94"/>
      <c r="D1551" s="431" t="str">
        <f>IFERROR(__xludf.DUMMYFUNCTION("""COMPUTED_VALUE"""),"3 PB 2704 (Лот 265740)")</f>
        <v>3 PB 2704 (Лот 265740)</v>
      </c>
      <c r="E1551" s="1436">
        <f>IFERROR(__xludf.DUMMYFUNCTION("""COMPUTED_VALUE"""),45923.0)</f>
        <v>45923</v>
      </c>
      <c r="F1551" s="1436">
        <f>IFERROR(__xludf.DUMMYFUNCTION("""COMPUTED_VALUE"""),45926.0)</f>
        <v>45926</v>
      </c>
      <c r="G1551" s="1430">
        <f>IFERROR(__xludf.DUMMYFUNCTION("""COMPUTED_VALUE"""),3.0)</f>
        <v>3</v>
      </c>
      <c r="H1551" s="94">
        <f t="shared" si="1"/>
        <v>9</v>
      </c>
    </row>
    <row r="1552" ht="15.75" customHeight="1">
      <c r="A1552" s="94" t="str">
        <f>IFERROR(__xludf.DUMMYFUNCTION("""COMPUTED_VALUE"""),"NW 10-6")</f>
        <v>NW 10-6</v>
      </c>
      <c r="B1552" s="94"/>
      <c r="C1552" s="94"/>
      <c r="D1552" s="431" t="str">
        <f>IFERROR(__xludf.DUMMYFUNCTION("""COMPUTED_VALUE"""),"3 NW 1006 (Лот 289905)")</f>
        <v>3 NW 1006 (Лот 289905)</v>
      </c>
      <c r="E1552" s="1436">
        <f>IFERROR(__xludf.DUMMYFUNCTION("""COMPUTED_VALUE"""),45923.0)</f>
        <v>45923</v>
      </c>
      <c r="F1552" s="1436">
        <f>IFERROR(__xludf.DUMMYFUNCTION("""COMPUTED_VALUE"""),45926.0)</f>
        <v>45926</v>
      </c>
      <c r="G1552" s="1430">
        <f>IFERROR(__xludf.DUMMYFUNCTION("""COMPUTED_VALUE"""),3.0)</f>
        <v>3</v>
      </c>
      <c r="H1552" s="94">
        <f t="shared" si="1"/>
        <v>9</v>
      </c>
    </row>
    <row r="1553" ht="15.75" customHeight="1">
      <c r="A1553" s="94" t="str">
        <f>IFERROR(__xludf.DUMMYFUNCTION("""COMPUTED_VALUE"""),"PT2604")</f>
        <v>PT2604</v>
      </c>
      <c r="B1553" s="94"/>
      <c r="C1553" s="94"/>
      <c r="D1553" s="431" t="str">
        <f>IFERROR(__xludf.DUMMYFUNCTION("""COMPUTED_VALUE"""),"3 PB 2604 (Лот 265736)")</f>
        <v>3 PB 2604 (Лот 265736)</v>
      </c>
      <c r="E1553" s="1436">
        <f>IFERROR(__xludf.DUMMYFUNCTION("""COMPUTED_VALUE"""),45923.0)</f>
        <v>45923</v>
      </c>
      <c r="F1553" s="1436">
        <f>IFERROR(__xludf.DUMMYFUNCTION("""COMPUTED_VALUE"""),45930.0)</f>
        <v>45930</v>
      </c>
      <c r="G1553" s="1430">
        <f>IFERROR(__xludf.DUMMYFUNCTION("""COMPUTED_VALUE"""),7.0)</f>
        <v>7</v>
      </c>
      <c r="H1553" s="94">
        <f t="shared" si="1"/>
        <v>9</v>
      </c>
    </row>
    <row r="1554" ht="15.75" customHeight="1">
      <c r="A1554" s="94" t="str">
        <f>IFERROR(__xludf.DUMMYFUNCTION("""COMPUTED_VALUE"""),"TGA2")</f>
        <v>TGA2</v>
      </c>
      <c r="B1554" s="94"/>
      <c r="C1554" s="94"/>
      <c r="D1554" s="431" t="str">
        <f>IFERROR(__xludf.DUMMYFUNCTION("""COMPUTED_VALUE"""),"6 TG c 1 сп. блок А (А2, А4, А7, B8, A9) (Лот 263239)")</f>
        <v>6 TG c 1 сп. блок А (А2, А4, А7, B8, A9) (Лот 263239)</v>
      </c>
      <c r="E1554" s="1436">
        <f>IFERROR(__xludf.DUMMYFUNCTION("""COMPUTED_VALUE"""),45923.0)</f>
        <v>45923</v>
      </c>
      <c r="F1554" s="1436">
        <f>IFERROR(__xludf.DUMMYFUNCTION("""COMPUTED_VALUE"""),45931.0)</f>
        <v>45931</v>
      </c>
      <c r="G1554" s="1430">
        <f>IFERROR(__xludf.DUMMYFUNCTION("""COMPUTED_VALUE"""),8.0)</f>
        <v>8</v>
      </c>
      <c r="H1554" s="94">
        <f t="shared" si="1"/>
        <v>9</v>
      </c>
    </row>
    <row r="1555" ht="15.75" customHeight="1">
      <c r="A1555" s="1164" t="str">
        <f>IFERROR(__xludf.DUMMYFUNCTION("""COMPUTED_VALUE"""),"CM 1931")</f>
        <v>CM 1931</v>
      </c>
      <c r="B1555" s="94"/>
      <c r="C1555" s="94"/>
      <c r="D1555" s="431" t="str">
        <f>IFERROR(__xludf.DUMMYFUNCTION("""COMPUTED_VALUE"""),"3 Mar 1931 (Лот 233381)")</f>
        <v>3 Mar 1931 (Лот 233381)</v>
      </c>
      <c r="E1555" s="1436">
        <f>IFERROR(__xludf.DUMMYFUNCTION("""COMPUTED_VALUE"""),45923.0)</f>
        <v>45923</v>
      </c>
      <c r="F1555" s="1436">
        <f>IFERROR(__xludf.DUMMYFUNCTION("""COMPUTED_VALUE"""),45954.0)</f>
        <v>45954</v>
      </c>
      <c r="G1555" s="1430">
        <f>IFERROR(__xludf.DUMMYFUNCTION("""COMPUTED_VALUE"""),31.0)</f>
        <v>31</v>
      </c>
      <c r="H1555" s="94">
        <f t="shared" si="1"/>
        <v>9</v>
      </c>
    </row>
    <row r="1556" ht="15.75" customHeight="1">
      <c r="A1556" s="94" t="str">
        <f>IFERROR(__xludf.DUMMYFUNCTION("""COMPUTED_VALUE"""),"TG195")</f>
        <v>TG195</v>
      </c>
      <c r="B1556" s="94"/>
      <c r="C1556" s="94"/>
      <c r="D1556" s="431" t="str">
        <f>IFERROR(__xludf.DUMMYFUNCTION("""COMPUTED_VALUE"""),"4. TG 195 (Лот 297147)")</f>
        <v>4. TG 195 (Лот 297147)</v>
      </c>
      <c r="E1556" s="1436">
        <f>IFERROR(__xludf.DUMMYFUNCTION("""COMPUTED_VALUE"""),45923.0)</f>
        <v>45923</v>
      </c>
      <c r="F1556" s="1436">
        <f>IFERROR(__xludf.DUMMYFUNCTION("""COMPUTED_VALUE"""),45926.0)</f>
        <v>45926</v>
      </c>
      <c r="G1556" s="1430">
        <f>IFERROR(__xludf.DUMMYFUNCTION("""COMPUTED_VALUE"""),3.0)</f>
        <v>3</v>
      </c>
      <c r="H1556" s="94">
        <f t="shared" si="1"/>
        <v>9</v>
      </c>
    </row>
    <row r="1557" ht="15.75" customHeight="1">
      <c r="A1557" s="1164" t="str">
        <f>IFERROR(__xludf.DUMMYFUNCTION("""COMPUTED_VALUE"""),"DL14-518")</f>
        <v>DL14-518</v>
      </c>
      <c r="B1557" s="94"/>
      <c r="C1557" s="94"/>
      <c r="D1557" s="431" t="str">
        <f>IFERROR(__xludf.DUMMYFUNCTION("""COMPUTED_VALUE"""),"4 DL 14 - 518 (Лот 233360)")</f>
        <v>4 DL 14 - 518 (Лот 233360)</v>
      </c>
      <c r="E1557" s="1436">
        <f>IFERROR(__xludf.DUMMYFUNCTION("""COMPUTED_VALUE"""),45923.0)</f>
        <v>45923</v>
      </c>
      <c r="F1557" s="1436">
        <f>IFERROR(__xludf.DUMMYFUNCTION("""COMPUTED_VALUE"""),45925.0)</f>
        <v>45925</v>
      </c>
      <c r="G1557" s="1430">
        <f>IFERROR(__xludf.DUMMYFUNCTION("""COMPUTED_VALUE"""),2.0)</f>
        <v>2</v>
      </c>
      <c r="H1557" s="94">
        <f t="shared" si="1"/>
        <v>9</v>
      </c>
    </row>
    <row r="1558" ht="15.75" customHeight="1">
      <c r="A1558" s="1164" t="str">
        <f>IFERROR(__xludf.DUMMYFUNCTION("""COMPUTED_VALUE"""),"DL 13-709")</f>
        <v>DL 13-709</v>
      </c>
      <c r="B1558" s="94"/>
      <c r="C1558" s="94"/>
      <c r="D1558" s="431" t="str">
        <f>IFERROR(__xludf.DUMMYFUNCTION("""COMPUTED_VALUE"""),"4 DL 13 - 709 (Лот 291393)")</f>
        <v>4 DL 13 - 709 (Лот 291393)</v>
      </c>
      <c r="E1558" s="1436">
        <f>IFERROR(__xludf.DUMMYFUNCTION("""COMPUTED_VALUE"""),45923.0)</f>
        <v>45923</v>
      </c>
      <c r="F1558" s="1436">
        <f>IFERROR(__xludf.DUMMYFUNCTION("""COMPUTED_VALUE"""),45924.0)</f>
        <v>45924</v>
      </c>
      <c r="G1558" s="1430">
        <f>IFERROR(__xludf.DUMMYFUNCTION("""COMPUTED_VALUE"""),1.0)</f>
        <v>1</v>
      </c>
      <c r="H1558" s="94">
        <f t="shared" si="1"/>
        <v>9</v>
      </c>
    </row>
    <row r="1559" ht="15.75" customHeight="1">
      <c r="A1559" s="94" t="str">
        <f>IFERROR(__xludf.DUMMYFUNCTION("""COMPUTED_VALUE"""),"TGA8")</f>
        <v>TGA8</v>
      </c>
      <c r="B1559" s="94"/>
      <c r="C1559" s="94"/>
      <c r="D1559" s="431" t="str">
        <f>IFERROR(__xludf.DUMMYFUNCTION("""COMPUTED_VALUE"""),"6 TG Студия с видом на море А3, А5, А6, А8 (Лот 268012)")</f>
        <v>6 TG Студия с видом на море А3, А5, А6, А8 (Лот 268012)</v>
      </c>
      <c r="E1559" s="1436">
        <f>IFERROR(__xludf.DUMMYFUNCTION("""COMPUTED_VALUE"""),45923.0)</f>
        <v>45923</v>
      </c>
      <c r="F1559" s="1436">
        <f>IFERROR(__xludf.DUMMYFUNCTION("""COMPUTED_VALUE"""),45926.0)</f>
        <v>45926</v>
      </c>
      <c r="G1559" s="1430">
        <f>IFERROR(__xludf.DUMMYFUNCTION("""COMPUTED_VALUE"""),3.0)</f>
        <v>3</v>
      </c>
      <c r="H1559" s="94">
        <f t="shared" si="1"/>
        <v>9</v>
      </c>
    </row>
    <row r="1560" ht="15.75" customHeight="1">
      <c r="A1560" s="94" t="str">
        <f>IFERROR(__xludf.DUMMYFUNCTION("""COMPUTED_VALUE"""),"TGA9")</f>
        <v>TGA9</v>
      </c>
      <c r="B1560" s="94"/>
      <c r="C1560" s="94"/>
      <c r="D1560" s="431" t="str">
        <f>IFERROR(__xludf.DUMMYFUNCTION("""COMPUTED_VALUE"""),"6 TG c 1 сп. блок А (А2, А4, А7, B8, A9) (Лот 263239)")</f>
        <v>6 TG c 1 сп. блок А (А2, А4, А7, B8, A9) (Лот 263239)</v>
      </c>
      <c r="E1560" s="1436">
        <f>IFERROR(__xludf.DUMMYFUNCTION("""COMPUTED_VALUE"""),45923.0)</f>
        <v>45923</v>
      </c>
      <c r="F1560" s="1436">
        <f>IFERROR(__xludf.DUMMYFUNCTION("""COMPUTED_VALUE"""),45926.0)</f>
        <v>45926</v>
      </c>
      <c r="G1560" s="1430">
        <f>IFERROR(__xludf.DUMMYFUNCTION("""COMPUTED_VALUE"""),3.0)</f>
        <v>3</v>
      </c>
      <c r="H1560" s="94">
        <f t="shared" si="1"/>
        <v>9</v>
      </c>
    </row>
    <row r="1561" ht="15.75" customHeight="1">
      <c r="A1561" s="1164" t="str">
        <f>IFERROR(__xludf.DUMMYFUNCTION("""COMPUTED_VALUE"""),"WS Е804")</f>
        <v>WS Е804</v>
      </c>
      <c r="B1561" s="94"/>
      <c r="C1561" s="94"/>
      <c r="D1561" s="431" t="str">
        <f>IFERROR(__xludf.DUMMYFUNCTION("""COMPUTED_VALUE"""),"1 WS E 804 (Лот 233350)")</f>
        <v>1 WS E 804 (Лот 233350)</v>
      </c>
      <c r="E1561" s="1436">
        <f>IFERROR(__xludf.DUMMYFUNCTION("""COMPUTED_VALUE"""),45923.0)</f>
        <v>45923</v>
      </c>
      <c r="F1561" s="1436">
        <f>IFERROR(__xludf.DUMMYFUNCTION("""COMPUTED_VALUE"""),45953.0)</f>
        <v>45953</v>
      </c>
      <c r="G1561" s="1430">
        <f>IFERROR(__xludf.DUMMYFUNCTION("""COMPUTED_VALUE"""),30.0)</f>
        <v>30</v>
      </c>
      <c r="H1561" s="94">
        <f t="shared" si="1"/>
        <v>9</v>
      </c>
    </row>
    <row r="1562" ht="15.75" customHeight="1">
      <c r="A1562" s="94" t="str">
        <f>IFERROR(__xludf.DUMMYFUNCTION("""COMPUTED_VALUE"""),"MZ 718")</f>
        <v>MZ 718</v>
      </c>
      <c r="B1562" s="94"/>
      <c r="C1562" s="94"/>
      <c r="D1562" s="431" t="str">
        <f>IFERROR(__xludf.DUMMYFUNCTION("""COMPUTED_VALUE"""),"3 MZ 718, 913 (Лот 269699)")</f>
        <v>3 MZ 718, 913 (Лот 269699)</v>
      </c>
      <c r="E1562" s="1436">
        <f>IFERROR(__xludf.DUMMYFUNCTION("""COMPUTED_VALUE"""),45922.0)</f>
        <v>45922</v>
      </c>
      <c r="F1562" s="1436">
        <f>IFERROR(__xludf.DUMMYFUNCTION("""COMPUTED_VALUE"""),45927.0)</f>
        <v>45927</v>
      </c>
      <c r="G1562" s="1430">
        <f>IFERROR(__xludf.DUMMYFUNCTION("""COMPUTED_VALUE"""),5.0)</f>
        <v>5</v>
      </c>
      <c r="H1562" s="94">
        <f t="shared" si="1"/>
        <v>9</v>
      </c>
    </row>
    <row r="1563" ht="15.75" customHeight="1">
      <c r="A1563" s="1164" t="str">
        <f>IFERROR(__xludf.DUMMYFUNCTION("""COMPUTED_VALUE"""),"WS В 1510")</f>
        <v>WS В 1510</v>
      </c>
      <c r="B1563" s="94"/>
      <c r="C1563" s="94"/>
      <c r="D1563" s="431" t="str">
        <f>IFERROR(__xludf.DUMMYFUNCTION("""COMPUTED_VALUE"""),"1 WS B 1510 (Лот 233316)")</f>
        <v>1 WS B 1510 (Лот 233316)</v>
      </c>
      <c r="E1563" s="1436">
        <f>IFERROR(__xludf.DUMMYFUNCTION("""COMPUTED_VALUE"""),45922.0)</f>
        <v>45922</v>
      </c>
      <c r="F1563" s="1436">
        <f>IFERROR(__xludf.DUMMYFUNCTION("""COMPUTED_VALUE"""),45928.0)</f>
        <v>45928</v>
      </c>
      <c r="G1563" s="1430">
        <f>IFERROR(__xludf.DUMMYFUNCTION("""COMPUTED_VALUE"""),6.0)</f>
        <v>6</v>
      </c>
      <c r="H1563" s="94">
        <f t="shared" si="1"/>
        <v>9</v>
      </c>
    </row>
    <row r="1564" ht="15.75" customHeight="1">
      <c r="A1564" s="94" t="str">
        <f>IFERROR(__xludf.DUMMYFUNCTION("""COMPUTED_VALUE"""),"4. DL 13 - 1006 (Лот 299723)")</f>
        <v>4. DL 13 - 1006 (Лот 299723)</v>
      </c>
      <c r="B1564" s="94"/>
      <c r="C1564" s="94"/>
      <c r="D1564" s="431" t="str">
        <f>IFERROR(__xludf.DUMMYFUNCTION("""COMPUTED_VALUE"""),"4 DL 13 - 1006 (1+1) (Лот 299723)")</f>
        <v>4 DL 13 - 1006 (1+1) (Лот 299723)</v>
      </c>
      <c r="E1564" s="1436">
        <f>IFERROR(__xludf.DUMMYFUNCTION("""COMPUTED_VALUE"""),45922.0)</f>
        <v>45922</v>
      </c>
      <c r="F1564" s="1436">
        <f>IFERROR(__xludf.DUMMYFUNCTION("""COMPUTED_VALUE"""),45923.0)</f>
        <v>45923</v>
      </c>
      <c r="G1564" s="1430">
        <f>IFERROR(__xludf.DUMMYFUNCTION("""COMPUTED_VALUE"""),1.0)</f>
        <v>1</v>
      </c>
      <c r="H1564" s="94">
        <f t="shared" si="1"/>
        <v>9</v>
      </c>
    </row>
    <row r="1565" ht="15.75" customHeight="1">
      <c r="A1565" s="94" t="str">
        <f>IFERROR(__xludf.DUMMYFUNCTION("""COMPUTED_VALUE"""),"DL 13-703")</f>
        <v>DL 13-703</v>
      </c>
      <c r="B1565" s="94"/>
      <c r="C1565" s="94"/>
      <c r="D1565" s="431" t="str">
        <f>IFERROR(__xludf.DUMMYFUNCTION("""COMPUTED_VALUE"""),"4 DL 13 - 703 (1+1) (Лот 293099)")</f>
        <v>4 DL 13 - 703 (1+1) (Лот 293099)</v>
      </c>
      <c r="E1565" s="1436">
        <f>IFERROR(__xludf.DUMMYFUNCTION("""COMPUTED_VALUE"""),45922.0)</f>
        <v>45922</v>
      </c>
      <c r="F1565" s="1436">
        <f>IFERROR(__xludf.DUMMYFUNCTION("""COMPUTED_VALUE"""),45923.0)</f>
        <v>45923</v>
      </c>
      <c r="G1565" s="1430">
        <f>IFERROR(__xludf.DUMMYFUNCTION("""COMPUTED_VALUE"""),1.0)</f>
        <v>1</v>
      </c>
      <c r="H1565" s="94">
        <f t="shared" si="1"/>
        <v>9</v>
      </c>
    </row>
    <row r="1566" ht="15.75" customHeight="1">
      <c r="A1566" s="1164" t="str">
        <f>IFERROR(__xludf.DUMMYFUNCTION("""COMPUTED_VALUE"""),"CM 1606")</f>
        <v>CM 1606</v>
      </c>
      <c r="B1566" s="94"/>
      <c r="C1566" s="94"/>
      <c r="D1566" s="431" t="str">
        <f>IFERROR(__xludf.DUMMYFUNCTION("""COMPUTED_VALUE"""),"3 Mar 1606 (Лот 233302)")</f>
        <v>3 Mar 1606 (Лот 233302)</v>
      </c>
      <c r="E1566" s="1436">
        <f>IFERROR(__xludf.DUMMYFUNCTION("""COMPUTED_VALUE"""),45922.0)</f>
        <v>45922</v>
      </c>
      <c r="F1566" s="1436">
        <f>IFERROR(__xludf.DUMMYFUNCTION("""COMPUTED_VALUE"""),45925.0)</f>
        <v>45925</v>
      </c>
      <c r="G1566" s="1430">
        <f>IFERROR(__xludf.DUMMYFUNCTION("""COMPUTED_VALUE"""),3.0)</f>
        <v>3</v>
      </c>
      <c r="H1566" s="94">
        <f t="shared" si="1"/>
        <v>9</v>
      </c>
    </row>
    <row r="1567" ht="15.75" customHeight="1">
      <c r="A1567" s="94" t="str">
        <f>IFERROR(__xludf.DUMMYFUNCTION("""COMPUTED_VALUE"""),"TGB9")</f>
        <v>TGB9</v>
      </c>
      <c r="B1567" s="94"/>
      <c r="C1567" s="94"/>
      <c r="D1567" s="431" t="str">
        <f>IFERROR(__xludf.DUMMYFUNCTION("""COMPUTED_VALUE"""),"6 TG Студии с террасой (B9, B10) (Лот 268006)")</f>
        <v>6 TG Студии с террасой (B9, B10) (Лот 268006)</v>
      </c>
      <c r="E1567" s="1436">
        <f>IFERROR(__xludf.DUMMYFUNCTION("""COMPUTED_VALUE"""),45922.0)</f>
        <v>45922</v>
      </c>
      <c r="F1567" s="1436">
        <f>IFERROR(__xludf.DUMMYFUNCTION("""COMPUTED_VALUE"""),45925.0)</f>
        <v>45925</v>
      </c>
      <c r="G1567" s="1430">
        <f>IFERROR(__xludf.DUMMYFUNCTION("""COMPUTED_VALUE"""),3.0)</f>
        <v>3</v>
      </c>
      <c r="H1567" s="94">
        <f t="shared" si="1"/>
        <v>9</v>
      </c>
    </row>
    <row r="1568" ht="15.75" customHeight="1">
      <c r="A1568" s="1164" t="str">
        <f>IFERROR(__xludf.DUMMYFUNCTION("""COMPUTED_VALUE"""),"BV1318")</f>
        <v>BV1318</v>
      </c>
      <c r="B1568" s="94"/>
      <c r="C1568" s="94"/>
      <c r="D1568" s="431" t="str">
        <f>IFERROR(__xludf.DUMMYFUNCTION("""COMPUTED_VALUE"""),"1 BV 1318 (Лот 234845)")</f>
        <v>1 BV 1318 (Лот 234845)</v>
      </c>
      <c r="E1568" s="1436">
        <f>IFERROR(__xludf.DUMMYFUNCTION("""COMPUTED_VALUE"""),45930.0)</f>
        <v>45930</v>
      </c>
      <c r="F1568" s="1436">
        <f>IFERROR(__xludf.DUMMYFUNCTION("""COMPUTED_VALUE"""),45934.0)</f>
        <v>45934</v>
      </c>
      <c r="G1568" s="1430">
        <f>IFERROR(__xludf.DUMMYFUNCTION("""COMPUTED_VALUE"""),4.0)</f>
        <v>4</v>
      </c>
      <c r="H1568" s="94">
        <f t="shared" si="1"/>
        <v>9</v>
      </c>
    </row>
    <row r="1569" ht="15.75" customHeight="1">
      <c r="A1569" s="94" t="str">
        <f>IFERROR(__xludf.DUMMYFUNCTION("""COMPUTED_VALUE"""),"PT2604")</f>
        <v>PT2604</v>
      </c>
      <c r="B1569" s="94"/>
      <c r="C1569" s="94"/>
      <c r="D1569" s="431" t="str">
        <f>IFERROR(__xludf.DUMMYFUNCTION("""COMPUTED_VALUE"""),"3 PB 2604 (Лот 265736)")</f>
        <v>3 PB 2604 (Лот 265736)</v>
      </c>
      <c r="E1569" s="1436">
        <f>IFERROR(__xludf.DUMMYFUNCTION("""COMPUTED_VALUE"""),45930.0)</f>
        <v>45930</v>
      </c>
      <c r="F1569" s="1436">
        <f>IFERROR(__xludf.DUMMYFUNCTION("""COMPUTED_VALUE"""),45935.0)</f>
        <v>45935</v>
      </c>
      <c r="G1569" s="1430">
        <f>IFERROR(__xludf.DUMMYFUNCTION("""COMPUTED_VALUE"""),5.0)</f>
        <v>5</v>
      </c>
      <c r="H1569" s="94">
        <f t="shared" si="1"/>
        <v>9</v>
      </c>
    </row>
    <row r="1570" ht="15.75" customHeight="1">
      <c r="A1570" s="1164" t="str">
        <f>IFERROR(__xludf.DUMMYFUNCTION("""COMPUTED_VALUE"""),"WS E704")</f>
        <v>WS E704</v>
      </c>
      <c r="B1570" s="94"/>
      <c r="C1570" s="94"/>
      <c r="D1570" s="431" t="str">
        <f>IFERROR(__xludf.DUMMYFUNCTION("""COMPUTED_VALUE"""),"1 WS E 704 (Лот 233383)")</f>
        <v>1 WS E 704 (Лот 233383)</v>
      </c>
      <c r="E1570" s="1436">
        <f>IFERROR(__xludf.DUMMYFUNCTION("""COMPUTED_VALUE"""),45930.0)</f>
        <v>45930</v>
      </c>
      <c r="F1570" s="1436">
        <f>IFERROR(__xludf.DUMMYFUNCTION("""COMPUTED_VALUE"""),45931.0)</f>
        <v>45931</v>
      </c>
      <c r="G1570" s="1430">
        <f>IFERROR(__xludf.DUMMYFUNCTION("""COMPUTED_VALUE"""),1.0)</f>
        <v>1</v>
      </c>
      <c r="H1570" s="94">
        <f t="shared" si="1"/>
        <v>9</v>
      </c>
    </row>
    <row r="1571" ht="15.75" customHeight="1">
      <c r="A1571" s="1164" t="str">
        <f>IFERROR(__xludf.DUMMYFUNCTION("""COMPUTED_VALUE"""),"DL 14-505")</f>
        <v>DL 14-505</v>
      </c>
      <c r="B1571" s="94"/>
      <c r="C1571" s="94"/>
      <c r="D1571" s="431" t="str">
        <f>IFERROR(__xludf.DUMMYFUNCTION("""COMPUTED_VALUE"""),"4 DL 14 - 505 (Лот 233426)")</f>
        <v>4 DL 14 - 505 (Лот 233426)</v>
      </c>
      <c r="E1571" s="1436">
        <f>IFERROR(__xludf.DUMMYFUNCTION("""COMPUTED_VALUE"""),45930.0)</f>
        <v>45930</v>
      </c>
      <c r="F1571" s="1436">
        <f>IFERROR(__xludf.DUMMYFUNCTION("""COMPUTED_VALUE"""),45934.0)</f>
        <v>45934</v>
      </c>
      <c r="G1571" s="1430">
        <f>IFERROR(__xludf.DUMMYFUNCTION("""COMPUTED_VALUE"""),4.0)</f>
        <v>4</v>
      </c>
      <c r="H1571" s="94">
        <f t="shared" si="1"/>
        <v>9</v>
      </c>
    </row>
    <row r="1572" ht="15.75" customHeight="1">
      <c r="A1572" s="94" t="str">
        <f>IFERROR(__xludf.DUMMYFUNCTION("""COMPUTED_VALUE"""),"DL 13-703")</f>
        <v>DL 13-703</v>
      </c>
      <c r="B1572" s="94"/>
      <c r="C1572" s="94"/>
      <c r="D1572" s="431" t="str">
        <f>IFERROR(__xludf.DUMMYFUNCTION("""COMPUTED_VALUE"""),"4 DL 13 - 703 (1+1) (Лот 293099)")</f>
        <v>4 DL 13 - 703 (1+1) (Лот 293099)</v>
      </c>
      <c r="E1572" s="1436">
        <f>IFERROR(__xludf.DUMMYFUNCTION("""COMPUTED_VALUE"""),45930.0)</f>
        <v>45930</v>
      </c>
      <c r="F1572" s="1436">
        <f>IFERROR(__xludf.DUMMYFUNCTION("""COMPUTED_VALUE"""),45933.0)</f>
        <v>45933</v>
      </c>
      <c r="G1572" s="1430">
        <f>IFERROR(__xludf.DUMMYFUNCTION("""COMPUTED_VALUE"""),3.0)</f>
        <v>3</v>
      </c>
      <c r="H1572" s="94">
        <f t="shared" si="1"/>
        <v>9</v>
      </c>
    </row>
    <row r="1573" ht="15.75" customHeight="1">
      <c r="A1573" s="94" t="str">
        <f>IFERROR(__xludf.DUMMYFUNCTION("""COMPUTED_VALUE"""),"TGB3")</f>
        <v>TGB3</v>
      </c>
      <c r="B1573" s="94"/>
      <c r="C1573" s="94"/>
      <c r="D1573" s="431" t="str">
        <f>IFERROR(__xludf.DUMMYFUNCTION("""COMPUTED_VALUE"""),"6 TG Студии эконом блок Б (Б2, Б3, Б4) (Лот 268016)")</f>
        <v>6 TG Студии эконом блок Б (Б2, Б3, Б4) (Лот 268016)</v>
      </c>
      <c r="E1573" s="1436">
        <f>IFERROR(__xludf.DUMMYFUNCTION("""COMPUTED_VALUE"""),45930.0)</f>
        <v>45930</v>
      </c>
      <c r="F1573" s="1436">
        <f>IFERROR(__xludf.DUMMYFUNCTION("""COMPUTED_VALUE"""),45937.0)</f>
        <v>45937</v>
      </c>
      <c r="G1573" s="1430">
        <f>IFERROR(__xludf.DUMMYFUNCTION("""COMPUTED_VALUE"""),7.0)</f>
        <v>7</v>
      </c>
      <c r="H1573" s="94">
        <f t="shared" si="1"/>
        <v>9</v>
      </c>
    </row>
    <row r="1574" ht="15.75" customHeight="1">
      <c r="A1574" s="94" t="str">
        <f>IFERROR(__xludf.DUMMYFUNCTION("""COMPUTED_VALUE"""),"TGB9")</f>
        <v>TGB9</v>
      </c>
      <c r="B1574" s="94"/>
      <c r="C1574" s="94"/>
      <c r="D1574" s="431" t="str">
        <f>IFERROR(__xludf.DUMMYFUNCTION("""COMPUTED_VALUE"""),"6 TG Студии с террасой (B9, B10) (Лот 268006)")</f>
        <v>6 TG Студии с террасой (B9, B10) (Лот 268006)</v>
      </c>
      <c r="E1574" s="1436">
        <f>IFERROR(__xludf.DUMMYFUNCTION("""COMPUTED_VALUE"""),45930.0)</f>
        <v>45930</v>
      </c>
      <c r="F1574" s="1436">
        <f>IFERROR(__xludf.DUMMYFUNCTION("""COMPUTED_VALUE"""),45938.0)</f>
        <v>45938</v>
      </c>
      <c r="G1574" s="1430">
        <f>IFERROR(__xludf.DUMMYFUNCTION("""COMPUTED_VALUE"""),8.0)</f>
        <v>8</v>
      </c>
      <c r="H1574" s="94">
        <f t="shared" si="1"/>
        <v>9</v>
      </c>
    </row>
    <row r="1575" ht="15.75" customHeight="1">
      <c r="A1575" s="94" t="str">
        <f>IFERROR(__xludf.DUMMYFUNCTION("""COMPUTED_VALUE"""),"TGA9")</f>
        <v>TGA9</v>
      </c>
      <c r="B1575" s="94"/>
      <c r="C1575" s="94"/>
      <c r="D1575" s="431" t="str">
        <f>IFERROR(__xludf.DUMMYFUNCTION("""COMPUTED_VALUE"""),"6 TG c 1 сп. блок А (А2, А4, А7, B8, A9) (Лот 263239)")</f>
        <v>6 TG c 1 сп. блок А (А2, А4, А7, B8, A9) (Лот 263239)</v>
      </c>
      <c r="E1575" s="1436">
        <f>IFERROR(__xludf.DUMMYFUNCTION("""COMPUTED_VALUE"""),45930.0)</f>
        <v>45930</v>
      </c>
      <c r="F1575" s="1436">
        <f>IFERROR(__xludf.DUMMYFUNCTION("""COMPUTED_VALUE"""),45933.0)</f>
        <v>45933</v>
      </c>
      <c r="G1575" s="1430">
        <f>IFERROR(__xludf.DUMMYFUNCTION("""COMPUTED_VALUE"""),3.0)</f>
        <v>3</v>
      </c>
      <c r="H1575" s="94">
        <f t="shared" si="1"/>
        <v>9</v>
      </c>
    </row>
    <row r="1576" ht="15.75" customHeight="1">
      <c r="A1576" s="1164" t="str">
        <f>IFERROR(__xludf.DUMMYFUNCTION("""COMPUTED_VALUE"""),"D2 1625")</f>
        <v>D2 1625</v>
      </c>
      <c r="B1576" s="94"/>
      <c r="C1576" s="94"/>
      <c r="D1576" s="431" t="str">
        <f>IFERROR(__xludf.DUMMYFUNCTION("""COMPUTED_VALUE"""),"2 Orbi D2 1625 (Лот 233308)")</f>
        <v>2 Orbi D2 1625 (Лот 233308)</v>
      </c>
      <c r="E1576" s="1436">
        <f>IFERROR(__xludf.DUMMYFUNCTION("""COMPUTED_VALUE"""),45929.0)</f>
        <v>45929</v>
      </c>
      <c r="F1576" s="1437">
        <f>IFERROR(__xludf.DUMMYFUNCTION("""COMPUTED_VALUE"""),45967.0)</f>
        <v>45967</v>
      </c>
      <c r="G1576" s="1430">
        <f>IFERROR(__xludf.DUMMYFUNCTION("""COMPUTED_VALUE"""),38.0)</f>
        <v>38</v>
      </c>
      <c r="H1576" s="94">
        <f t="shared" si="1"/>
        <v>9</v>
      </c>
    </row>
    <row r="1577" ht="15.75" customHeight="1">
      <c r="A1577" s="1164" t="str">
        <f>IFERROR(__xludf.DUMMYFUNCTION("""COMPUTED_VALUE"""),"WS E704")</f>
        <v>WS E704</v>
      </c>
      <c r="B1577" s="94"/>
      <c r="C1577" s="94"/>
      <c r="D1577" s="431" t="str">
        <f>IFERROR(__xludf.DUMMYFUNCTION("""COMPUTED_VALUE"""),"1 WS E 704 (Лот 233383)")</f>
        <v>1 WS E 704 (Лот 233383)</v>
      </c>
      <c r="E1577" s="1436">
        <f>IFERROR(__xludf.DUMMYFUNCTION("""COMPUTED_VALUE"""),45935.0)</f>
        <v>45935</v>
      </c>
      <c r="F1577" s="1439">
        <f>IFERROR(__xludf.DUMMYFUNCTION("""COMPUTED_VALUE"""),45942.0)</f>
        <v>45942</v>
      </c>
      <c r="G1577" s="1430">
        <f>IFERROR(__xludf.DUMMYFUNCTION("""COMPUTED_VALUE"""),7.0)</f>
        <v>7</v>
      </c>
      <c r="H1577" s="94">
        <f t="shared" si="1"/>
        <v>10</v>
      </c>
    </row>
    <row r="1578" ht="15.75" customHeight="1">
      <c r="A1578" s="1164" t="str">
        <f>IFERROR(__xludf.DUMMYFUNCTION("""COMPUTED_VALUE"""),"CM 1606")</f>
        <v>CM 1606</v>
      </c>
      <c r="B1578" s="94"/>
      <c r="C1578" s="94"/>
      <c r="D1578" s="431" t="str">
        <f>IFERROR(__xludf.DUMMYFUNCTION("""COMPUTED_VALUE"""),"3 Mar 1606 (Лот 233302)")</f>
        <v>3 Mar 1606 (Лот 233302)</v>
      </c>
      <c r="E1578" s="1436">
        <f>IFERROR(__xludf.DUMMYFUNCTION("""COMPUTED_VALUE"""),45935.0)</f>
        <v>45935</v>
      </c>
      <c r="F1578" s="1436">
        <f>IFERROR(__xludf.DUMMYFUNCTION("""COMPUTED_VALUE"""),45963.0)</f>
        <v>45963</v>
      </c>
      <c r="G1578" s="1430">
        <f>IFERROR(__xludf.DUMMYFUNCTION("""COMPUTED_VALUE"""),28.0)</f>
        <v>28</v>
      </c>
      <c r="H1578" s="94">
        <f t="shared" si="1"/>
        <v>10</v>
      </c>
    </row>
    <row r="1579" ht="15.75" customHeight="1">
      <c r="A1579" s="1164" t="str">
        <f>IFERROR(__xludf.DUMMYFUNCTION("""COMPUTED_VALUE"""),"Int 2905")</f>
        <v>Int 2905</v>
      </c>
      <c r="B1579" s="94"/>
      <c r="C1579" s="94"/>
      <c r="D1579" s="431" t="str">
        <f>IFERROR(__xludf.DUMMYFUNCTION("""COMPUTED_VALUE"""),"3.Inturist 2905 (Лот 233347)")</f>
        <v>3.Inturist 2905 (Лот 233347)</v>
      </c>
      <c r="E1579" s="1436">
        <f>IFERROR(__xludf.DUMMYFUNCTION("""COMPUTED_VALUE"""),45935.0)</f>
        <v>45935</v>
      </c>
      <c r="F1579" s="1436">
        <f>IFERROR(__xludf.DUMMYFUNCTION("""COMPUTED_VALUE"""),45966.0)</f>
        <v>45966</v>
      </c>
      <c r="G1579" s="1430">
        <f>IFERROR(__xludf.DUMMYFUNCTION("""COMPUTED_VALUE"""),31.0)</f>
        <v>31</v>
      </c>
      <c r="H1579" s="94">
        <f t="shared" si="1"/>
        <v>10</v>
      </c>
    </row>
    <row r="1580" ht="15.75" customHeight="1">
      <c r="A1580" s="94" t="str">
        <f>IFERROR(__xludf.DUMMYFUNCTION("""COMPUTED_VALUE"""),"PT2604")</f>
        <v>PT2604</v>
      </c>
      <c r="B1580" s="94"/>
      <c r="C1580" s="94"/>
      <c r="D1580" s="431" t="str">
        <f>IFERROR(__xludf.DUMMYFUNCTION("""COMPUTED_VALUE"""),"3 PB 2604 (Лот 265736)")</f>
        <v>3 PB 2604 (Лот 265736)</v>
      </c>
      <c r="E1580" s="1436">
        <f>IFERROR(__xludf.DUMMYFUNCTION("""COMPUTED_VALUE"""),45935.0)</f>
        <v>45935</v>
      </c>
      <c r="F1580" s="1436">
        <f>IFERROR(__xludf.DUMMYFUNCTION("""COMPUTED_VALUE"""),45939.0)</f>
        <v>45939</v>
      </c>
      <c r="G1580" s="1430">
        <f>IFERROR(__xludf.DUMMYFUNCTION("""COMPUTED_VALUE"""),4.0)</f>
        <v>4</v>
      </c>
      <c r="H1580" s="94">
        <f t="shared" si="1"/>
        <v>10</v>
      </c>
    </row>
    <row r="1581" ht="15.75" customHeight="1">
      <c r="A1581" s="1164" t="str">
        <f>IFERROR(__xludf.DUMMYFUNCTION("""COMPUTED_VALUE"""),"BV1318")</f>
        <v>BV1318</v>
      </c>
      <c r="B1581" s="94"/>
      <c r="C1581" s="94"/>
      <c r="D1581" s="431" t="str">
        <f>IFERROR(__xludf.DUMMYFUNCTION("""COMPUTED_VALUE"""),"1 BV 1318 (Лот 234845)")</f>
        <v>1 BV 1318 (Лот 234845)</v>
      </c>
      <c r="E1581" s="1436">
        <f>IFERROR(__xludf.DUMMYFUNCTION("""COMPUTED_VALUE"""),45934.0)</f>
        <v>45934</v>
      </c>
      <c r="F1581" s="1436">
        <f>IFERROR(__xludf.DUMMYFUNCTION("""COMPUTED_VALUE"""),45937.0)</f>
        <v>45937</v>
      </c>
      <c r="G1581" s="1430">
        <f>IFERROR(__xludf.DUMMYFUNCTION("""COMPUTED_VALUE"""),3.0)</f>
        <v>3</v>
      </c>
      <c r="H1581" s="94">
        <f t="shared" si="1"/>
        <v>10</v>
      </c>
    </row>
    <row r="1582" ht="15.75" customHeight="1">
      <c r="A1582" s="94" t="str">
        <f>IFERROR(__xludf.DUMMYFUNCTION("""COMPUTED_VALUE"""),"MZ 1408")</f>
        <v>MZ 1408</v>
      </c>
      <c r="B1582" s="94"/>
      <c r="C1582" s="94"/>
      <c r="D1582" s="431" t="str">
        <f>IFERROR(__xludf.DUMMYFUNCTION("""COMPUTED_VALUE"""),"3 MZ 1408 (Лот 289834)")</f>
        <v>3 MZ 1408 (Лот 289834)</v>
      </c>
      <c r="E1582" s="1436">
        <f>IFERROR(__xludf.DUMMYFUNCTION("""COMPUTED_VALUE"""),45934.0)</f>
        <v>45934</v>
      </c>
      <c r="F1582" s="1436">
        <f>IFERROR(__xludf.DUMMYFUNCTION("""COMPUTED_VALUE"""),45962.0)</f>
        <v>45962</v>
      </c>
      <c r="G1582" s="1430">
        <f>IFERROR(__xludf.DUMMYFUNCTION("""COMPUTED_VALUE"""),28.0)</f>
        <v>28</v>
      </c>
      <c r="H1582" s="94">
        <f t="shared" si="1"/>
        <v>10</v>
      </c>
    </row>
    <row r="1583" ht="15.75" customHeight="1">
      <c r="A1583" s="1164" t="str">
        <f>IFERROR(__xludf.DUMMYFUNCTION("""COMPUTED_VALUE"""),"DL 14-505")</f>
        <v>DL 14-505</v>
      </c>
      <c r="B1583" s="94"/>
      <c r="C1583" s="94"/>
      <c r="D1583" s="431" t="str">
        <f>IFERROR(__xludf.DUMMYFUNCTION("""COMPUTED_VALUE"""),"4 DL 14 - 505 (Лот 233426)")</f>
        <v>4 DL 14 - 505 (Лот 233426)</v>
      </c>
      <c r="E1583" s="1436">
        <f>IFERROR(__xludf.DUMMYFUNCTION("""COMPUTED_VALUE"""),45934.0)</f>
        <v>45934</v>
      </c>
      <c r="F1583" s="1436">
        <f>IFERROR(__xludf.DUMMYFUNCTION("""COMPUTED_VALUE"""),45936.0)</f>
        <v>45936</v>
      </c>
      <c r="G1583" s="1430">
        <f>IFERROR(__xludf.DUMMYFUNCTION("""COMPUTED_VALUE"""),2.0)</f>
        <v>2</v>
      </c>
      <c r="H1583" s="94">
        <f t="shared" si="1"/>
        <v>10</v>
      </c>
    </row>
    <row r="1584" ht="15.75" customHeight="1">
      <c r="A1584" s="94" t="str">
        <f>IFERROR(__xludf.DUMMYFUNCTION("""COMPUTED_VALUE"""),"MZ 718")</f>
        <v>MZ 718</v>
      </c>
      <c r="B1584" s="94"/>
      <c r="C1584" s="94"/>
      <c r="D1584" s="431" t="str">
        <f>IFERROR(__xludf.DUMMYFUNCTION("""COMPUTED_VALUE"""),"3 MZ 718, 913 (Лот 269699)")</f>
        <v>3 MZ 718, 913 (Лот 269699)</v>
      </c>
      <c r="E1584" s="1436">
        <f>IFERROR(__xludf.DUMMYFUNCTION("""COMPUTED_VALUE"""),45933.0)</f>
        <v>45933</v>
      </c>
      <c r="F1584" s="1436">
        <f>IFERROR(__xludf.DUMMYFUNCTION("""COMPUTED_VALUE"""),45937.0)</f>
        <v>45937</v>
      </c>
      <c r="G1584" s="1430">
        <f>IFERROR(__xludf.DUMMYFUNCTION("""COMPUTED_VALUE"""),4.0)</f>
        <v>4</v>
      </c>
      <c r="H1584" s="94">
        <f t="shared" si="1"/>
        <v>10</v>
      </c>
    </row>
    <row r="1585" ht="15.75" customHeight="1">
      <c r="A1585" s="1164" t="str">
        <f>IFERROR(__xludf.DUMMYFUNCTION("""COMPUTED_VALUE"""),"WS В 503")</f>
        <v>WS В 503</v>
      </c>
      <c r="B1585" s="94"/>
      <c r="C1585" s="94"/>
      <c r="D1585" s="431" t="str">
        <f>IFERROR(__xludf.DUMMYFUNCTION("""COMPUTED_VALUE"""),"1 WS B 503 (Лот 233403)")</f>
        <v>1 WS B 503 (Лот 233403)</v>
      </c>
      <c r="E1585" s="1436">
        <f>IFERROR(__xludf.DUMMYFUNCTION("""COMPUTED_VALUE"""),45933.0)</f>
        <v>45933</v>
      </c>
      <c r="F1585" s="1436">
        <f>IFERROR(__xludf.DUMMYFUNCTION("""COMPUTED_VALUE"""),45963.0)</f>
        <v>45963</v>
      </c>
      <c r="G1585" s="1430">
        <f>IFERROR(__xludf.DUMMYFUNCTION("""COMPUTED_VALUE"""),30.0)</f>
        <v>30</v>
      </c>
      <c r="H1585" s="94">
        <f t="shared" si="1"/>
        <v>10</v>
      </c>
    </row>
    <row r="1586" ht="15.75" customHeight="1">
      <c r="A1586" s="94" t="str">
        <f>IFERROR(__xludf.DUMMYFUNCTION("""COMPUTED_VALUE"""),"TGA6")</f>
        <v>TGA6</v>
      </c>
      <c r="B1586" s="94"/>
      <c r="C1586" s="94"/>
      <c r="D1586" s="431" t="str">
        <f>IFERROR(__xludf.DUMMYFUNCTION("""COMPUTED_VALUE"""),"6 TG Студия с видом на море А3, А5, А6, А8 (Лот 268012)")</f>
        <v>6 TG Студия с видом на море А3, А5, А6, А8 (Лот 268012)</v>
      </c>
      <c r="E1586" s="1436">
        <f>IFERROR(__xludf.DUMMYFUNCTION("""COMPUTED_VALUE"""),45933.0)</f>
        <v>45933</v>
      </c>
      <c r="F1586" s="1439">
        <f>IFERROR(__xludf.DUMMYFUNCTION("""COMPUTED_VALUE"""),45941.0)</f>
        <v>45941</v>
      </c>
      <c r="G1586" s="1430">
        <f>IFERROR(__xludf.DUMMYFUNCTION("""COMPUTED_VALUE"""),8.0)</f>
        <v>8</v>
      </c>
      <c r="H1586" s="94">
        <f t="shared" si="1"/>
        <v>10</v>
      </c>
    </row>
    <row r="1587" ht="15.75" customHeight="1">
      <c r="A1587" s="94" t="str">
        <f>IFERROR(__xludf.DUMMYFUNCTION("""COMPUTED_VALUE"""),"TGA9")</f>
        <v>TGA9</v>
      </c>
      <c r="B1587" s="94"/>
      <c r="C1587" s="94"/>
      <c r="D1587" s="431" t="str">
        <f>IFERROR(__xludf.DUMMYFUNCTION("""COMPUTED_VALUE"""),"6 TG c 1 сп. блок А (А2, А4, А7, B8, A9) (Лот 263239)")</f>
        <v>6 TG c 1 сп. блок А (А2, А4, А7, B8, A9) (Лот 263239)</v>
      </c>
      <c r="E1587" s="1436">
        <f>IFERROR(__xludf.DUMMYFUNCTION("""COMPUTED_VALUE"""),45933.0)</f>
        <v>45933</v>
      </c>
      <c r="F1587" s="1436">
        <f>IFERROR(__xludf.DUMMYFUNCTION("""COMPUTED_VALUE"""),45934.0)</f>
        <v>45934</v>
      </c>
      <c r="G1587" s="1430">
        <f>IFERROR(__xludf.DUMMYFUNCTION("""COMPUTED_VALUE"""),1.0)</f>
        <v>1</v>
      </c>
      <c r="H1587" s="94">
        <f t="shared" si="1"/>
        <v>10</v>
      </c>
    </row>
    <row r="1588" ht="15.75" customHeight="1">
      <c r="A1588" s="94" t="str">
        <f>IFERROR(__xludf.DUMMYFUNCTION("""COMPUTED_VALUE"""),"CM 1604")</f>
        <v>CM 1604</v>
      </c>
      <c r="B1588" s="94"/>
      <c r="C1588" s="94"/>
      <c r="D1588" s="431" t="str">
        <f>IFERROR(__xludf.DUMMYFUNCTION("""COMPUTED_VALUE"""),"3 Mar 1604 (Лот 233303)")</f>
        <v>3 Mar 1604 (Лот 233303)</v>
      </c>
      <c r="E1588" s="1436">
        <f>IFERROR(__xludf.DUMMYFUNCTION("""COMPUTED_VALUE"""),45932.0)</f>
        <v>45932</v>
      </c>
      <c r="F1588" s="1439">
        <f>IFERROR(__xludf.DUMMYFUNCTION("""COMPUTED_VALUE"""),45943.0)</f>
        <v>45943</v>
      </c>
      <c r="G1588" s="1430">
        <f>IFERROR(__xludf.DUMMYFUNCTION("""COMPUTED_VALUE"""),11.0)</f>
        <v>11</v>
      </c>
      <c r="H1588" s="94">
        <f t="shared" si="1"/>
        <v>10</v>
      </c>
    </row>
    <row r="1589" ht="15.75" customHeight="1">
      <c r="A1589" s="1164" t="str">
        <f>IFERROR(__xludf.DUMMYFUNCTION("""COMPUTED_VALUE"""),"WS E 1202")</f>
        <v>WS E 1202</v>
      </c>
      <c r="B1589" s="94"/>
      <c r="C1589" s="94"/>
      <c r="D1589" s="431" t="str">
        <f>IFERROR(__xludf.DUMMYFUNCTION("""COMPUTED_VALUE"""),"1 WS E 1202 (Лот 233379)")</f>
        <v>1 WS E 1202 (Лот 233379)</v>
      </c>
      <c r="E1589" s="1436">
        <f>IFERROR(__xludf.DUMMYFUNCTION("""COMPUTED_VALUE"""),45932.0)</f>
        <v>45932</v>
      </c>
      <c r="F1589" s="1439">
        <f>IFERROR(__xludf.DUMMYFUNCTION("""COMPUTED_VALUE"""),45975.0)</f>
        <v>45975</v>
      </c>
      <c r="G1589" s="1430">
        <f>IFERROR(__xludf.DUMMYFUNCTION("""COMPUTED_VALUE"""),43.0)</f>
        <v>43</v>
      </c>
      <c r="H1589" s="94">
        <f t="shared" si="1"/>
        <v>10</v>
      </c>
    </row>
    <row r="1590" ht="15.75" customHeight="1">
      <c r="A1590" s="1164" t="str">
        <f>IFERROR(__xludf.DUMMYFUNCTION("""COMPUTED_VALUE"""),"WS A 409")</f>
        <v>WS A 409</v>
      </c>
      <c r="B1590" s="94"/>
      <c r="C1590" s="94"/>
      <c r="D1590" s="431" t="str">
        <f>IFERROR(__xludf.DUMMYFUNCTION("""COMPUTED_VALUE"""),"1 WS A 409 (Лот 233355)")</f>
        <v>1 WS A 409 (Лот 233355)</v>
      </c>
      <c r="E1590" s="1436">
        <f>IFERROR(__xludf.DUMMYFUNCTION("""COMPUTED_VALUE"""),45932.0)</f>
        <v>45932</v>
      </c>
      <c r="F1590" s="1436">
        <f>IFERROR(__xludf.DUMMYFUNCTION("""COMPUTED_VALUE"""),45937.0)</f>
        <v>45937</v>
      </c>
      <c r="G1590" s="1430">
        <f>IFERROR(__xludf.DUMMYFUNCTION("""COMPUTED_VALUE"""),5.0)</f>
        <v>5</v>
      </c>
      <c r="H1590" s="94">
        <f t="shared" si="1"/>
        <v>10</v>
      </c>
    </row>
    <row r="1591" ht="15.75" customHeight="1">
      <c r="A1591" s="94" t="str">
        <f>IFERROR(__xludf.DUMMYFUNCTION("""COMPUTED_VALUE"""),"TGB11")</f>
        <v>TGB11</v>
      </c>
      <c r="B1591" s="94"/>
      <c r="C1591" s="94"/>
      <c r="D1591" s="431" t="str">
        <f>IFERROR(__xludf.DUMMYFUNCTION("""COMPUTED_VALUE"""),"6 TG 2+1 с террасой (B 11) (Лот 268004)")</f>
        <v>6 TG 2+1 с террасой (B 11) (Лот 268004)</v>
      </c>
      <c r="E1591" s="1436">
        <f>IFERROR(__xludf.DUMMYFUNCTION("""COMPUTED_VALUE"""),45932.0)</f>
        <v>45932</v>
      </c>
      <c r="F1591" s="1439">
        <f>IFERROR(__xludf.DUMMYFUNCTION("""COMPUTED_VALUE"""),45960.0)</f>
        <v>45960</v>
      </c>
      <c r="G1591" s="1430">
        <f>IFERROR(__xludf.DUMMYFUNCTION("""COMPUTED_VALUE"""),28.0)</f>
        <v>28</v>
      </c>
      <c r="H1591" s="94">
        <f t="shared" si="1"/>
        <v>10</v>
      </c>
    </row>
    <row r="1592" ht="15.75" customHeight="1">
      <c r="A1592" s="94" t="str">
        <f>IFERROR(__xludf.DUMMYFUNCTION("""COMPUTED_VALUE"""),"PT2704")</f>
        <v>PT2704</v>
      </c>
      <c r="B1592" s="94"/>
      <c r="C1592" s="94"/>
      <c r="D1592" s="431" t="str">
        <f>IFERROR(__xludf.DUMMYFUNCTION("""COMPUTED_VALUE"""),"3 PB 2704 (Лот 265740)")</f>
        <v>3 PB 2704 (Лот 265740)</v>
      </c>
      <c r="E1592" s="1436">
        <f>IFERROR(__xludf.DUMMYFUNCTION("""COMPUTED_VALUE"""),45931.0)</f>
        <v>45931</v>
      </c>
      <c r="F1592" s="1436">
        <f>IFERROR(__xludf.DUMMYFUNCTION("""COMPUTED_VALUE"""),45936.0)</f>
        <v>45936</v>
      </c>
      <c r="G1592" s="1430">
        <f>IFERROR(__xludf.DUMMYFUNCTION("""COMPUTED_VALUE"""),5.0)</f>
        <v>5</v>
      </c>
      <c r="H1592" s="94">
        <f t="shared" si="1"/>
        <v>10</v>
      </c>
    </row>
    <row r="1593" ht="15.75" customHeight="1">
      <c r="A1593" s="1164" t="str">
        <f>IFERROR(__xludf.DUMMYFUNCTION("""COMPUTED_VALUE"""),"С 1443")</f>
        <v>С 1443</v>
      </c>
      <c r="B1593" s="94"/>
      <c r="C1593" s="94"/>
      <c r="D1593" s="431" t="str">
        <f>IFERROR(__xludf.DUMMYFUNCTION("""COMPUTED_VALUE"""),"2 Orbi C 1443 (Лот 233331)")</f>
        <v>2 Orbi C 1443 (Лот 233331)</v>
      </c>
      <c r="E1593" s="1436">
        <f>IFERROR(__xludf.DUMMYFUNCTION("""COMPUTED_VALUE"""),45931.0)</f>
        <v>45931</v>
      </c>
      <c r="F1593" s="1439">
        <f>IFERROR(__xludf.DUMMYFUNCTION("""COMPUTED_VALUE"""),45961.0)</f>
        <v>45961</v>
      </c>
      <c r="G1593" s="1430">
        <f>IFERROR(__xludf.DUMMYFUNCTION("""COMPUTED_VALUE"""),30.0)</f>
        <v>30</v>
      </c>
      <c r="H1593" s="94">
        <f t="shared" si="1"/>
        <v>10</v>
      </c>
    </row>
    <row r="1594" ht="15.75" customHeight="1">
      <c r="A1594" s="1164" t="str">
        <f>IFERROR(__xludf.DUMMYFUNCTION("""COMPUTED_VALUE"""),"D 1321")</f>
        <v>D 1321</v>
      </c>
      <c r="B1594" s="94"/>
      <c r="C1594" s="94"/>
      <c r="D1594" s="431" t="str">
        <f>IFERROR(__xludf.DUMMYFUNCTION("""COMPUTED_VALUE"""),"2 Orbi D 1321 (Лот 233321)")</f>
        <v>2 Orbi D 1321 (Лот 233321)</v>
      </c>
      <c r="E1594" s="1436">
        <f>IFERROR(__xludf.DUMMYFUNCTION("""COMPUTED_VALUE"""),45931.0)</f>
        <v>45931</v>
      </c>
      <c r="F1594" s="1436">
        <f>IFERROR(__xludf.DUMMYFUNCTION("""COMPUTED_VALUE"""),45966.0)</f>
        <v>45966</v>
      </c>
      <c r="G1594" s="1430">
        <f>IFERROR(__xludf.DUMMYFUNCTION("""COMPUTED_VALUE"""),35.0)</f>
        <v>35</v>
      </c>
      <c r="H1594" s="94">
        <f t="shared" si="1"/>
        <v>10</v>
      </c>
    </row>
    <row r="1595" ht="15.75" customHeight="1">
      <c r="A1595" s="1164" t="str">
        <f>IFERROR(__xludf.DUMMYFUNCTION("""COMPUTED_VALUE"""),"DL 4-09")</f>
        <v>DL 4-09</v>
      </c>
      <c r="B1595" s="94"/>
      <c r="C1595" s="94"/>
      <c r="D1595" s="431" t="str">
        <f>IFERROR(__xludf.DUMMYFUNCTION("""COMPUTED_VALUE"""),"4 DL 4 - 09 (Лот 233385)")</f>
        <v>4 DL 4 - 09 (Лот 233385)</v>
      </c>
      <c r="E1595" s="1436">
        <f>IFERROR(__xludf.DUMMYFUNCTION("""COMPUTED_VALUE"""),45931.0)</f>
        <v>45931</v>
      </c>
      <c r="F1595" s="1436">
        <f>IFERROR(__xludf.DUMMYFUNCTION("""COMPUTED_VALUE"""),45935.0)</f>
        <v>45935</v>
      </c>
      <c r="G1595" s="1430">
        <f>IFERROR(__xludf.DUMMYFUNCTION("""COMPUTED_VALUE"""),4.0)</f>
        <v>4</v>
      </c>
      <c r="H1595" s="94">
        <f t="shared" si="1"/>
        <v>10</v>
      </c>
    </row>
    <row r="1596" ht="15.75" customHeight="1">
      <c r="A1596" s="1164" t="str">
        <f>IFERROR(__xludf.DUMMYFUNCTION("""COMPUTED_VALUE"""),"CM 1606")</f>
        <v>CM 1606</v>
      </c>
      <c r="B1596" s="94"/>
      <c r="C1596" s="94"/>
      <c r="D1596" s="431" t="str">
        <f>IFERROR(__xludf.DUMMYFUNCTION("""COMPUTED_VALUE"""),"3 Mar 1606 (Лот 233302)")</f>
        <v>3 Mar 1606 (Лот 233302)</v>
      </c>
      <c r="E1596" s="1436">
        <f>IFERROR(__xludf.DUMMYFUNCTION("""COMPUTED_VALUE"""),45931.0)</f>
        <v>45931</v>
      </c>
      <c r="F1596" s="1436">
        <f>IFERROR(__xludf.DUMMYFUNCTION("""COMPUTED_VALUE"""),45934.0)</f>
        <v>45934</v>
      </c>
      <c r="G1596" s="1430">
        <f>IFERROR(__xludf.DUMMYFUNCTION("""COMPUTED_VALUE"""),3.0)</f>
        <v>3</v>
      </c>
      <c r="H1596" s="94">
        <f t="shared" si="1"/>
        <v>10</v>
      </c>
    </row>
    <row r="1597" ht="15.75" customHeight="1">
      <c r="A1597" s="94" t="str">
        <f>IFERROR(__xludf.DUMMYFUNCTION("""COMPUTED_VALUE"""),"WS F1103")</f>
        <v>WS F1103</v>
      </c>
      <c r="B1597" s="94"/>
      <c r="C1597" s="94"/>
      <c r="D1597" s="431" t="str">
        <f>IFERROR(__xludf.DUMMYFUNCTION("""COMPUTED_VALUE"""),"1 WS F 1103 (Лот 286819)")</f>
        <v>1 WS F 1103 (Лот 286819)</v>
      </c>
      <c r="E1597" s="1436">
        <f>IFERROR(__xludf.DUMMYFUNCTION("""COMPUTED_VALUE"""),45931.0)</f>
        <v>45931</v>
      </c>
      <c r="F1597" s="1439">
        <f>IFERROR(__xludf.DUMMYFUNCTION("""COMPUTED_VALUE"""),45940.0)</f>
        <v>45940</v>
      </c>
      <c r="G1597" s="1430">
        <f>IFERROR(__xludf.DUMMYFUNCTION("""COMPUTED_VALUE"""),9.0)</f>
        <v>9</v>
      </c>
      <c r="H1597" s="94">
        <f t="shared" si="1"/>
        <v>10</v>
      </c>
    </row>
    <row r="1598" ht="15.75" customHeight="1">
      <c r="A1598" s="94" t="str">
        <f>IFERROR(__xludf.DUMMYFUNCTION("""COMPUTED_VALUE"""),"D2 503")</f>
        <v>D2 503</v>
      </c>
      <c r="B1598" s="94"/>
      <c r="C1598" s="94"/>
      <c r="D1598" s="431" t="str">
        <f>IFERROR(__xludf.DUMMYFUNCTION("""COMPUTED_VALUE"""),"2 Orbi D2 503 (Лот 291554)")</f>
        <v>2 Orbi D2 503 (Лот 291554)</v>
      </c>
      <c r="E1598" s="1436">
        <f>IFERROR(__xludf.DUMMYFUNCTION("""COMPUTED_VALUE"""),45931.0)</f>
        <v>45931</v>
      </c>
      <c r="F1598" s="1439">
        <f>IFERROR(__xludf.DUMMYFUNCTION("""COMPUTED_VALUE"""),45949.0)</f>
        <v>45949</v>
      </c>
      <c r="G1598" s="1430">
        <f>IFERROR(__xludf.DUMMYFUNCTION("""COMPUTED_VALUE"""),18.0)</f>
        <v>18</v>
      </c>
      <c r="H1598" s="94">
        <f t="shared" si="1"/>
        <v>10</v>
      </c>
    </row>
    <row r="1599" ht="15.75" customHeight="1">
      <c r="A1599" s="94" t="str">
        <f>IFERROR(__xludf.DUMMYFUNCTION("""COMPUTED_VALUE"""),"TGA8")</f>
        <v>TGA8</v>
      </c>
      <c r="B1599" s="94"/>
      <c r="C1599" s="94"/>
      <c r="D1599" s="431" t="str">
        <f>IFERROR(__xludf.DUMMYFUNCTION("""COMPUTED_VALUE"""),"6 TG Студия с видом на море А3, А5, А6, А8 (Лот 268012)")</f>
        <v>6 TG Студия с видом на море А3, А5, А6, А8 (Лот 268012)</v>
      </c>
      <c r="E1599" s="1436">
        <f>IFERROR(__xludf.DUMMYFUNCTION("""COMPUTED_VALUE"""),45931.0)</f>
        <v>45931</v>
      </c>
      <c r="F1599" s="1439">
        <f>IFERROR(__xludf.DUMMYFUNCTION("""COMPUTED_VALUE"""),45961.0)</f>
        <v>45961</v>
      </c>
      <c r="G1599" s="1430">
        <f>IFERROR(__xludf.DUMMYFUNCTION("""COMPUTED_VALUE"""),30.0)</f>
        <v>30</v>
      </c>
      <c r="H1599" s="94">
        <f t="shared" si="1"/>
        <v>10</v>
      </c>
    </row>
    <row r="1600" ht="15.75" customHeight="1">
      <c r="A1600" s="1164" t="str">
        <f>IFERROR(__xludf.DUMMYFUNCTION("""COMPUTED_VALUE"""),"WS E704")</f>
        <v>WS E704</v>
      </c>
      <c r="B1600" s="94"/>
      <c r="C1600" s="94"/>
      <c r="D1600" s="431" t="str">
        <f>IFERROR(__xludf.DUMMYFUNCTION("""COMPUTED_VALUE"""),"1 WS E 704 (Лот 233383)")</f>
        <v>1 WS E 704 (Лот 233383)</v>
      </c>
      <c r="E1600" s="1436">
        <f>IFERROR(__xludf.DUMMYFUNCTION("""COMPUTED_VALUE"""),45931.0)</f>
        <v>45931</v>
      </c>
      <c r="F1600" s="1436">
        <f>IFERROR(__xludf.DUMMYFUNCTION("""COMPUTED_VALUE"""),45934.0)</f>
        <v>45934</v>
      </c>
      <c r="G1600" s="1430">
        <f>IFERROR(__xludf.DUMMYFUNCTION("""COMPUTED_VALUE"""),3.0)</f>
        <v>3</v>
      </c>
      <c r="H1600" s="94">
        <f t="shared" si="1"/>
        <v>10</v>
      </c>
    </row>
    <row r="1601" ht="15.75" customHeight="1">
      <c r="A1601" s="1164" t="str">
        <f>IFERROR(__xludf.DUMMYFUNCTION("""COMPUTED_VALUE"""),"WS В 1510")</f>
        <v>WS В 1510</v>
      </c>
      <c r="B1601" s="94"/>
      <c r="C1601" s="94"/>
      <c r="D1601" s="431" t="str">
        <f>IFERROR(__xludf.DUMMYFUNCTION("""COMPUTED_VALUE"""),"1 WS B 1510 (Лот 233316)")</f>
        <v>1 WS B 1510 (Лот 233316)</v>
      </c>
      <c r="E1601" s="1436">
        <f>IFERROR(__xludf.DUMMYFUNCTION("""COMPUTED_VALUE"""),45931.0)</f>
        <v>45931</v>
      </c>
      <c r="F1601" s="1436">
        <f>IFERROR(__xludf.DUMMYFUNCTION("""COMPUTED_VALUE"""),45934.0)</f>
        <v>45934</v>
      </c>
      <c r="G1601" s="1430">
        <f>IFERROR(__xludf.DUMMYFUNCTION("""COMPUTED_VALUE"""),3.0)</f>
        <v>3</v>
      </c>
      <c r="H1601" s="94">
        <f t="shared" si="1"/>
        <v>10</v>
      </c>
    </row>
    <row r="1602" ht="15.75" customHeight="1">
      <c r="A1602" s="94" t="str">
        <f>IFERROR(__xludf.DUMMYFUNCTION("""COMPUTED_VALUE"""),"TGA3")</f>
        <v>TGA3</v>
      </c>
      <c r="B1602" s="94"/>
      <c r="C1602" s="94"/>
      <c r="D1602" s="431" t="str">
        <f>IFERROR(__xludf.DUMMYFUNCTION("""COMPUTED_VALUE"""),"6 TG Студия с видом на море А3, А5, А6, А8 (Лот 268012)")</f>
        <v>6 TG Студия с видом на море А3, А5, А6, А8 (Лот 268012)</v>
      </c>
      <c r="E1602" s="1436">
        <f>IFERROR(__xludf.DUMMYFUNCTION("""COMPUTED_VALUE"""),45931.0)</f>
        <v>45931</v>
      </c>
      <c r="F1602" s="1436">
        <f>IFERROR(__xludf.DUMMYFUNCTION("""COMPUTED_VALUE"""),45992.0)</f>
        <v>45992</v>
      </c>
      <c r="G1602" s="1430">
        <f>IFERROR(__xludf.DUMMYFUNCTION("""COMPUTED_VALUE"""),61.0)</f>
        <v>61</v>
      </c>
      <c r="H1602" s="94">
        <f t="shared" si="1"/>
        <v>10</v>
      </c>
    </row>
    <row r="1603" ht="15.75" customHeight="1">
      <c r="A1603" s="1164" t="str">
        <f>IFERROR(__xludf.DUMMYFUNCTION("""COMPUTED_VALUE"""),"WS В 1510")</f>
        <v>WS В 1510</v>
      </c>
      <c r="B1603" s="94"/>
      <c r="C1603" s="94"/>
      <c r="D1603" s="431" t="str">
        <f>IFERROR(__xludf.DUMMYFUNCTION("""COMPUTED_VALUE"""),"1 WS B 1510 (Лот 233316)")</f>
        <v>1 WS B 1510 (Лот 233316)</v>
      </c>
      <c r="E1603" s="1436">
        <f>IFERROR(__xludf.DUMMYFUNCTION("""COMPUTED_VALUE"""),45942.0)</f>
        <v>45942</v>
      </c>
      <c r="F1603" s="1439">
        <f>IFERROR(__xludf.DUMMYFUNCTION("""COMPUTED_VALUE"""),45973.0)</f>
        <v>45973</v>
      </c>
      <c r="G1603" s="1430">
        <f>IFERROR(__xludf.DUMMYFUNCTION("""COMPUTED_VALUE"""),31.0)</f>
        <v>31</v>
      </c>
      <c r="H1603" s="94">
        <f t="shared" si="1"/>
        <v>10</v>
      </c>
    </row>
    <row r="1604" ht="15.75" customHeight="1">
      <c r="A1604" s="1164" t="str">
        <f>IFERROR(__xludf.DUMMYFUNCTION("""COMPUTED_VALUE"""),"WS E704")</f>
        <v>WS E704</v>
      </c>
      <c r="B1604" s="94"/>
      <c r="C1604" s="94"/>
      <c r="D1604" s="431" t="str">
        <f>IFERROR(__xludf.DUMMYFUNCTION("""COMPUTED_VALUE"""),"1 WS E 704 (Лот 233383)")</f>
        <v>1 WS E 704 (Лот 233383)</v>
      </c>
      <c r="E1604" s="1436">
        <f>IFERROR(__xludf.DUMMYFUNCTION("""COMPUTED_VALUE"""),45942.0)</f>
        <v>45942</v>
      </c>
      <c r="F1604" s="1436">
        <f>IFERROR(__xludf.DUMMYFUNCTION("""COMPUTED_VALUE"""),45946.0)</f>
        <v>45946</v>
      </c>
      <c r="G1604" s="1430">
        <f>IFERROR(__xludf.DUMMYFUNCTION("""COMPUTED_VALUE"""),4.0)</f>
        <v>4</v>
      </c>
      <c r="H1604" s="94">
        <f t="shared" si="1"/>
        <v>10</v>
      </c>
    </row>
    <row r="1605" ht="15.75" customHeight="1">
      <c r="A1605" s="1164" t="str">
        <f>IFERROR(__xludf.DUMMYFUNCTION("""COMPUTED_VALUE"""),"WS F 907")</f>
        <v>WS F 907</v>
      </c>
      <c r="B1605" s="94"/>
      <c r="C1605" s="94"/>
      <c r="D1605" s="431" t="str">
        <f>IFERROR(__xludf.DUMMYFUNCTION("""COMPUTED_VALUE"""),"1 WS F 907 (Лот 233314)")</f>
        <v>1 WS F 907 (Лот 233314)</v>
      </c>
      <c r="E1605" s="1436">
        <f>IFERROR(__xludf.DUMMYFUNCTION("""COMPUTED_VALUE"""),45942.0)</f>
        <v>45942</v>
      </c>
      <c r="F1605" s="1436">
        <f>IFERROR(__xludf.DUMMYFUNCTION("""COMPUTED_VALUE"""),45946.0)</f>
        <v>45946</v>
      </c>
      <c r="G1605" s="1430">
        <f>IFERROR(__xludf.DUMMYFUNCTION("""COMPUTED_VALUE"""),4.0)</f>
        <v>4</v>
      </c>
      <c r="H1605" s="94">
        <f t="shared" si="1"/>
        <v>10</v>
      </c>
    </row>
    <row r="1606" ht="15.75" customHeight="1">
      <c r="A1606" s="94" t="str">
        <f>IFERROR(__xludf.DUMMYFUNCTION("""COMPUTED_VALUE"""),"PT2704")</f>
        <v>PT2704</v>
      </c>
      <c r="B1606" s="94"/>
      <c r="C1606" s="94"/>
      <c r="D1606" s="431" t="str">
        <f>IFERROR(__xludf.DUMMYFUNCTION("""COMPUTED_VALUE"""),"3 PB 2704 (Лот 265740)")</f>
        <v>3 PB 2704 (Лот 265740)</v>
      </c>
      <c r="E1606" s="1436">
        <f>IFERROR(__xludf.DUMMYFUNCTION("""COMPUTED_VALUE"""),45942.0)</f>
        <v>45942</v>
      </c>
      <c r="F1606" s="1439">
        <f>IFERROR(__xludf.DUMMYFUNCTION("""COMPUTED_VALUE"""),45943.0)</f>
        <v>45943</v>
      </c>
      <c r="G1606" s="1430">
        <f>IFERROR(__xludf.DUMMYFUNCTION("""COMPUTED_VALUE"""),1.0)</f>
        <v>1</v>
      </c>
      <c r="H1606" s="94">
        <f t="shared" si="1"/>
        <v>10</v>
      </c>
    </row>
    <row r="1607" ht="15.75" customHeight="1">
      <c r="A1607" s="1164" t="str">
        <f>IFERROR(__xludf.DUMMYFUNCTION("""COMPUTED_VALUE"""),"D2 3216")</f>
        <v>D2 3216</v>
      </c>
      <c r="B1607" s="94"/>
      <c r="C1607" s="94"/>
      <c r="D1607" s="431" t="str">
        <f>IFERROR(__xludf.DUMMYFUNCTION("""COMPUTED_VALUE"""),"2 Orbi D2 3216 (Лот 236836)")</f>
        <v>2 Orbi D2 3216 (Лот 236836)</v>
      </c>
      <c r="E1607" s="1436">
        <f>IFERROR(__xludf.DUMMYFUNCTION("""COMPUTED_VALUE"""),45941.0)</f>
        <v>45941</v>
      </c>
      <c r="F1607" s="1439">
        <f>IFERROR(__xludf.DUMMYFUNCTION("""COMPUTED_VALUE"""),46020.0)</f>
        <v>46020</v>
      </c>
      <c r="G1607" s="1430">
        <f>IFERROR(__xludf.DUMMYFUNCTION("""COMPUTED_VALUE"""),79.0)</f>
        <v>79</v>
      </c>
      <c r="H1607" s="94">
        <f t="shared" si="1"/>
        <v>10</v>
      </c>
    </row>
    <row r="1608" ht="15.75" customHeight="1">
      <c r="A1608" s="1164" t="str">
        <f>IFERROR(__xludf.DUMMYFUNCTION("""COMPUTED_VALUE"""),"BV1318")</f>
        <v>BV1318</v>
      </c>
      <c r="B1608" s="94"/>
      <c r="C1608" s="94"/>
      <c r="D1608" s="431" t="str">
        <f>IFERROR(__xludf.DUMMYFUNCTION("""COMPUTED_VALUE"""),"1 BV 1318 (Лот 234845)")</f>
        <v>1 BV 1318 (Лот 234845)</v>
      </c>
      <c r="E1608" s="1436">
        <f>IFERROR(__xludf.DUMMYFUNCTION("""COMPUTED_VALUE"""),45941.0)</f>
        <v>45941</v>
      </c>
      <c r="F1608" s="1436">
        <f>IFERROR(__xludf.DUMMYFUNCTION("""COMPUTED_VALUE"""),45947.0)</f>
        <v>45947</v>
      </c>
      <c r="G1608" s="1430">
        <f>IFERROR(__xludf.DUMMYFUNCTION("""COMPUTED_VALUE"""),6.0)</f>
        <v>6</v>
      </c>
      <c r="H1608" s="94">
        <f t="shared" si="1"/>
        <v>10</v>
      </c>
    </row>
    <row r="1609" ht="15.75" customHeight="1">
      <c r="A1609" s="1164" t="str">
        <f>IFERROR(__xludf.DUMMYFUNCTION("""COMPUTED_VALUE"""),"C 4245")</f>
        <v>C 4245</v>
      </c>
      <c r="B1609" s="94"/>
      <c r="C1609" s="94"/>
      <c r="D1609" s="431" t="str">
        <f>IFERROR(__xludf.DUMMYFUNCTION("""COMPUTED_VALUE"""),"2 Orbi C 4245 (Лот 233298)")</f>
        <v>2 Orbi C 4245 (Лот 233298)</v>
      </c>
      <c r="E1609" s="1436">
        <f>IFERROR(__xludf.DUMMYFUNCTION("""COMPUTED_VALUE"""),45941.0)</f>
        <v>45941</v>
      </c>
      <c r="F1609" s="1436">
        <f>IFERROR(__xludf.DUMMYFUNCTION("""COMPUTED_VALUE"""),45969.0)</f>
        <v>45969</v>
      </c>
      <c r="G1609" s="1430">
        <f>IFERROR(__xludf.DUMMYFUNCTION("""COMPUTED_VALUE"""),28.0)</f>
        <v>28</v>
      </c>
      <c r="H1609" s="94">
        <f t="shared" si="1"/>
        <v>10</v>
      </c>
    </row>
    <row r="1610" ht="15.75" customHeight="1">
      <c r="A1610" s="94" t="str">
        <f>IFERROR(__xludf.DUMMYFUNCTION("""COMPUTED_VALUE"""),"WS F1103")</f>
        <v>WS F1103</v>
      </c>
      <c r="B1610" s="94"/>
      <c r="C1610" s="94"/>
      <c r="D1610" s="431" t="str">
        <f>IFERROR(__xludf.DUMMYFUNCTION("""COMPUTED_VALUE"""),"1 WS F 1103 (Лот 286819)")</f>
        <v>1 WS F 1103 (Лот 286819)</v>
      </c>
      <c r="E1610" s="1436">
        <f>IFERROR(__xludf.DUMMYFUNCTION("""COMPUTED_VALUE"""),45941.0)</f>
        <v>45941</v>
      </c>
      <c r="F1610" s="1436">
        <f>IFERROR(__xludf.DUMMYFUNCTION("""COMPUTED_VALUE"""),45972.0)</f>
        <v>45972</v>
      </c>
      <c r="G1610" s="1430">
        <f>IFERROR(__xludf.DUMMYFUNCTION("""COMPUTED_VALUE"""),31.0)</f>
        <v>31</v>
      </c>
      <c r="H1610" s="94">
        <f t="shared" si="1"/>
        <v>10</v>
      </c>
    </row>
    <row r="1611" ht="15.75" customHeight="1">
      <c r="A1611" s="1164" t="str">
        <f>IFERROR(__xludf.DUMMYFUNCTION("""COMPUTED_VALUE"""),"WS A907")</f>
        <v>WS A907</v>
      </c>
      <c r="B1611" s="94"/>
      <c r="C1611" s="94"/>
      <c r="D1611" s="431" t="str">
        <f>IFERROR(__xludf.DUMMYFUNCTION("""COMPUTED_VALUE"""),"1 WS A 907 (Лот 233365)")</f>
        <v>1 WS A 907 (Лот 233365)</v>
      </c>
      <c r="E1611" s="1436">
        <f>IFERROR(__xludf.DUMMYFUNCTION("""COMPUTED_VALUE"""),45940.0)</f>
        <v>45940</v>
      </c>
      <c r="F1611" s="1436">
        <f>IFERROR(__xludf.DUMMYFUNCTION("""COMPUTED_VALUE"""),45947.0)</f>
        <v>45947</v>
      </c>
      <c r="G1611" s="1430">
        <f>IFERROR(__xludf.DUMMYFUNCTION("""COMPUTED_VALUE"""),7.0)</f>
        <v>7</v>
      </c>
      <c r="H1611" s="94">
        <f t="shared" si="1"/>
        <v>10</v>
      </c>
    </row>
    <row r="1612" ht="15.75" customHeight="1">
      <c r="A1612" s="94" t="str">
        <f>IFERROR(__xludf.DUMMYFUNCTION("""COMPUTED_VALUE"""),"PT2604")</f>
        <v>PT2604</v>
      </c>
      <c r="B1612" s="94"/>
      <c r="C1612" s="94"/>
      <c r="D1612" s="431" t="str">
        <f>IFERROR(__xludf.DUMMYFUNCTION("""COMPUTED_VALUE"""),"3 PB 2604 (Лот 265736)")</f>
        <v>3 PB 2604 (Лот 265736)</v>
      </c>
      <c r="E1612" s="1436">
        <f>IFERROR(__xludf.DUMMYFUNCTION("""COMPUTED_VALUE"""),45940.0)</f>
        <v>45940</v>
      </c>
      <c r="F1612" s="1436">
        <f>IFERROR(__xludf.DUMMYFUNCTION("""COMPUTED_VALUE"""),45943.0)</f>
        <v>45943</v>
      </c>
      <c r="G1612" s="1430">
        <f>IFERROR(__xludf.DUMMYFUNCTION("""COMPUTED_VALUE"""),3.0)</f>
        <v>3</v>
      </c>
      <c r="H1612" s="94">
        <f t="shared" si="1"/>
        <v>10</v>
      </c>
    </row>
    <row r="1613" ht="15.75" customHeight="1">
      <c r="A1613" s="94" t="str">
        <f>IFERROR(__xludf.DUMMYFUNCTION("""COMPUTED_VALUE"""),"NW 4-9")</f>
        <v>NW 4-9</v>
      </c>
      <c r="B1613" s="94"/>
      <c r="C1613" s="94"/>
      <c r="D1613" s="431" t="str">
        <f>IFERROR(__xludf.DUMMYFUNCTION("""COMPUTED_VALUE"""),"3 NW 409 (Лот 289895)")</f>
        <v>3 NW 409 (Лот 289895)</v>
      </c>
      <c r="E1613" s="1436">
        <f>IFERROR(__xludf.DUMMYFUNCTION("""COMPUTED_VALUE"""),45939.0)</f>
        <v>45939</v>
      </c>
      <c r="F1613" s="1439">
        <f>IFERROR(__xludf.DUMMYFUNCTION("""COMPUTED_VALUE"""),45967.0)</f>
        <v>45967</v>
      </c>
      <c r="G1613" s="1430">
        <f>IFERROR(__xludf.DUMMYFUNCTION("""COMPUTED_VALUE"""),28.0)</f>
        <v>28</v>
      </c>
      <c r="H1613" s="94">
        <f t="shared" si="1"/>
        <v>10</v>
      </c>
    </row>
    <row r="1614" ht="15.75" customHeight="1">
      <c r="A1614" s="94" t="str">
        <f>IFERROR(__xludf.DUMMYFUNCTION("""COMPUTED_VALUE"""),"PT2704")</f>
        <v>PT2704</v>
      </c>
      <c r="B1614" s="94"/>
      <c r="C1614" s="94"/>
      <c r="D1614" s="431" t="str">
        <f>IFERROR(__xludf.DUMMYFUNCTION("""COMPUTED_VALUE"""),"3 PB 2704 (Лот 265740)")</f>
        <v>3 PB 2704 (Лот 265740)</v>
      </c>
      <c r="E1614" s="1436">
        <f>IFERROR(__xludf.DUMMYFUNCTION("""COMPUTED_VALUE"""),45939.0)</f>
        <v>45939</v>
      </c>
      <c r="F1614" s="1436">
        <f>IFERROR(__xludf.DUMMYFUNCTION("""COMPUTED_VALUE"""),45942.0)</f>
        <v>45942</v>
      </c>
      <c r="G1614" s="1430">
        <f>IFERROR(__xludf.DUMMYFUNCTION("""COMPUTED_VALUE"""),3.0)</f>
        <v>3</v>
      </c>
      <c r="H1614" s="94">
        <f t="shared" si="1"/>
        <v>10</v>
      </c>
    </row>
    <row r="1615" ht="15.75" customHeight="1">
      <c r="A1615" s="94" t="str">
        <f>IFERROR(__xludf.DUMMYFUNCTION("""COMPUTED_VALUE"""),"PT2604")</f>
        <v>PT2604</v>
      </c>
      <c r="B1615" s="94"/>
      <c r="C1615" s="94"/>
      <c r="D1615" s="431" t="str">
        <f>IFERROR(__xludf.DUMMYFUNCTION("""COMPUTED_VALUE"""),"3 PB 2604 (Лот 265736)")</f>
        <v>3 PB 2604 (Лот 265736)</v>
      </c>
      <c r="E1615" s="1436">
        <f>IFERROR(__xludf.DUMMYFUNCTION("""COMPUTED_VALUE"""),45939.0)</f>
        <v>45939</v>
      </c>
      <c r="F1615" s="1439">
        <f>IFERROR(__xludf.DUMMYFUNCTION("""COMPUTED_VALUE"""),45940.0)</f>
        <v>45940</v>
      </c>
      <c r="G1615" s="1430">
        <f>IFERROR(__xludf.DUMMYFUNCTION("""COMPUTED_VALUE"""),1.0)</f>
        <v>1</v>
      </c>
      <c r="H1615" s="94">
        <f t="shared" si="1"/>
        <v>10</v>
      </c>
    </row>
    <row r="1616" ht="15.75" customHeight="1">
      <c r="A1616" s="1164" t="str">
        <f>IFERROR(__xludf.DUMMYFUNCTION("""COMPUTED_VALUE"""),"WS A 409")</f>
        <v>WS A 409</v>
      </c>
      <c r="B1616" s="94"/>
      <c r="C1616" s="94"/>
      <c r="D1616" s="431" t="str">
        <f>IFERROR(__xludf.DUMMYFUNCTION("""COMPUTED_VALUE"""),"1 WS A 409 (Лот 233355)")</f>
        <v>1 WS A 409 (Лот 233355)</v>
      </c>
      <c r="E1616" s="1436">
        <f>IFERROR(__xludf.DUMMYFUNCTION("""COMPUTED_VALUE"""),45939.0)</f>
        <v>45939</v>
      </c>
      <c r="F1616" s="1436">
        <f>IFERROR(__xludf.DUMMYFUNCTION("""COMPUTED_VALUE"""),45943.0)</f>
        <v>45943</v>
      </c>
      <c r="G1616" s="1430">
        <f>IFERROR(__xludf.DUMMYFUNCTION("""COMPUTED_VALUE"""),4.0)</f>
        <v>4</v>
      </c>
      <c r="H1616" s="94">
        <f t="shared" si="1"/>
        <v>10</v>
      </c>
    </row>
    <row r="1617" ht="15.75" customHeight="1">
      <c r="A1617" s="94" t="str">
        <f>IFERROR(__xludf.DUMMYFUNCTION("""COMPUTED_VALUE"""),"MZ 718")</f>
        <v>MZ 718</v>
      </c>
      <c r="B1617" s="94"/>
      <c r="C1617" s="94"/>
      <c r="D1617" s="431" t="str">
        <f>IFERROR(__xludf.DUMMYFUNCTION("""COMPUTED_VALUE"""),"3 MZ 718, 913 (Лот 269699)")</f>
        <v>3 MZ 718, 913 (Лот 269699)</v>
      </c>
      <c r="E1617" s="1436">
        <f>IFERROR(__xludf.DUMMYFUNCTION("""COMPUTED_VALUE"""),45939.0)</f>
        <v>45939</v>
      </c>
      <c r="F1617" s="1439">
        <f>IFERROR(__xludf.DUMMYFUNCTION("""COMPUTED_VALUE"""),45942.0)</f>
        <v>45942</v>
      </c>
      <c r="G1617" s="1430">
        <f>IFERROR(__xludf.DUMMYFUNCTION("""COMPUTED_VALUE"""),3.0)</f>
        <v>3</v>
      </c>
      <c r="H1617" s="94">
        <f t="shared" si="1"/>
        <v>10</v>
      </c>
    </row>
    <row r="1618" ht="15.75" customHeight="1">
      <c r="A1618" s="1164" t="str">
        <f>IFERROR(__xludf.DUMMYFUNCTION("""COMPUTED_VALUE"""),"WS В 212")</f>
        <v>WS В 212</v>
      </c>
      <c r="B1618" s="94"/>
      <c r="C1618" s="94"/>
      <c r="D1618" s="431" t="str">
        <f>IFERROR(__xludf.DUMMYFUNCTION("""COMPUTED_VALUE"""),"1 WS B 212 (Лот 233391)")</f>
        <v>1 WS B 212 (Лот 233391)</v>
      </c>
      <c r="E1618" s="1436">
        <f>IFERROR(__xludf.DUMMYFUNCTION("""COMPUTED_VALUE"""),45939.0)</f>
        <v>45939</v>
      </c>
      <c r="F1618" s="1436">
        <f>IFERROR(__xludf.DUMMYFUNCTION("""COMPUTED_VALUE"""),45946.0)</f>
        <v>45946</v>
      </c>
      <c r="G1618" s="1430">
        <f>IFERROR(__xludf.DUMMYFUNCTION("""COMPUTED_VALUE"""),7.0)</f>
        <v>7</v>
      </c>
      <c r="H1618" s="94">
        <f t="shared" si="1"/>
        <v>10</v>
      </c>
    </row>
    <row r="1619" ht="15.75" customHeight="1">
      <c r="A1619" s="94" t="str">
        <f>IFERROR(__xludf.DUMMYFUNCTION("""COMPUTED_VALUE"""),"Int 2612")</f>
        <v>Int 2612</v>
      </c>
      <c r="B1619" s="94"/>
      <c r="C1619" s="94"/>
      <c r="D1619" s="431" t="str">
        <f>IFERROR(__xludf.DUMMYFUNCTION("""COMPUTED_VALUE"""),"3 Int B 2612 (Лот 285149)")</f>
        <v>3 Int B 2612 (Лот 285149)</v>
      </c>
      <c r="E1619" s="1436">
        <f>IFERROR(__xludf.DUMMYFUNCTION("""COMPUTED_VALUE"""),45938.0)</f>
        <v>45938</v>
      </c>
      <c r="F1619" s="1436">
        <f>IFERROR(__xludf.DUMMYFUNCTION("""COMPUTED_VALUE"""),45942.0)</f>
        <v>45942</v>
      </c>
      <c r="G1619" s="1430">
        <f>IFERROR(__xludf.DUMMYFUNCTION("""COMPUTED_VALUE"""),4.0)</f>
        <v>4</v>
      </c>
      <c r="H1619" s="94">
        <f t="shared" si="1"/>
        <v>10</v>
      </c>
    </row>
    <row r="1620" ht="15.75" customHeight="1">
      <c r="A1620" s="94" t="str">
        <f>IFERROR(__xludf.DUMMYFUNCTION("""COMPUTED_VALUE"""),"MZ 913")</f>
        <v>MZ 913</v>
      </c>
      <c r="B1620" s="94"/>
      <c r="C1620" s="94"/>
      <c r="D1620" s="431" t="str">
        <f>IFERROR(__xludf.DUMMYFUNCTION("""COMPUTED_VALUE"""),"3 MZ 718, 913 (Лот 269699)")</f>
        <v>3 MZ 718, 913 (Лот 269699)</v>
      </c>
      <c r="E1620" s="1436">
        <f>IFERROR(__xludf.DUMMYFUNCTION("""COMPUTED_VALUE"""),45938.0)</f>
        <v>45938</v>
      </c>
      <c r="F1620" s="1436">
        <f>IFERROR(__xludf.DUMMYFUNCTION("""COMPUTED_VALUE"""),45941.0)</f>
        <v>45941</v>
      </c>
      <c r="G1620" s="1430">
        <f>IFERROR(__xludf.DUMMYFUNCTION("""COMPUTED_VALUE"""),3.0)</f>
        <v>3</v>
      </c>
      <c r="H1620" s="94">
        <f t="shared" si="1"/>
        <v>10</v>
      </c>
    </row>
    <row r="1621" ht="15.75" customHeight="1">
      <c r="A1621" s="1164" t="str">
        <f>IFERROR(__xludf.DUMMYFUNCTION("""COMPUTED_VALUE"""),"BV1318")</f>
        <v>BV1318</v>
      </c>
      <c r="B1621" s="94"/>
      <c r="C1621" s="94"/>
      <c r="D1621" s="431" t="str">
        <f>IFERROR(__xludf.DUMMYFUNCTION("""COMPUTED_VALUE"""),"1 BV 1318 (Лот 234845)")</f>
        <v>1 BV 1318 (Лот 234845)</v>
      </c>
      <c r="E1621" s="1436">
        <f>IFERROR(__xludf.DUMMYFUNCTION("""COMPUTED_VALUE"""),45938.0)</f>
        <v>45938</v>
      </c>
      <c r="F1621" s="1436">
        <f>IFERROR(__xludf.DUMMYFUNCTION("""COMPUTED_VALUE"""),45941.0)</f>
        <v>45941</v>
      </c>
      <c r="G1621" s="1430">
        <f>IFERROR(__xludf.DUMMYFUNCTION("""COMPUTED_VALUE"""),3.0)</f>
        <v>3</v>
      </c>
      <c r="H1621" s="94">
        <f t="shared" si="1"/>
        <v>10</v>
      </c>
    </row>
    <row r="1622" ht="15.75" customHeight="1">
      <c r="A1622" s="1164" t="str">
        <f>IFERROR(__xludf.DUMMYFUNCTION("""COMPUTED_VALUE"""),"WS F 907")</f>
        <v>WS F 907</v>
      </c>
      <c r="B1622" s="94"/>
      <c r="C1622" s="94"/>
      <c r="D1622" s="431" t="str">
        <f>IFERROR(__xludf.DUMMYFUNCTION("""COMPUTED_VALUE"""),"1 WS F 907 (Лот 233314)")</f>
        <v>1 WS F 907 (Лот 233314)</v>
      </c>
      <c r="E1622" s="1436">
        <f>IFERROR(__xludf.DUMMYFUNCTION("""COMPUTED_VALUE"""),45938.0)</f>
        <v>45938</v>
      </c>
      <c r="F1622" s="1439">
        <f>IFERROR(__xludf.DUMMYFUNCTION("""COMPUTED_VALUE"""),45941.0)</f>
        <v>45941</v>
      </c>
      <c r="G1622" s="1430">
        <f>IFERROR(__xludf.DUMMYFUNCTION("""COMPUTED_VALUE"""),3.0)</f>
        <v>3</v>
      </c>
      <c r="H1622" s="94">
        <f t="shared" si="1"/>
        <v>10</v>
      </c>
    </row>
    <row r="1623" ht="15.75" customHeight="1">
      <c r="A1623" s="1164" t="str">
        <f>IFERROR(__xludf.DUMMYFUNCTION("""COMPUTED_VALUE"""),"Вилла Ева")</f>
        <v>Вилла Ева</v>
      </c>
      <c r="B1623" s="94"/>
      <c r="C1623" s="94"/>
      <c r="D1623" s="431" t="str">
        <f>IFERROR(__xludf.DUMMYFUNCTION("""COMPUTED_VALUE"""),"Villa EVA (Лот 275315)")</f>
        <v>Villa EVA (Лот 275315)</v>
      </c>
      <c r="E1623" s="1436">
        <f>IFERROR(__xludf.DUMMYFUNCTION("""COMPUTED_VALUE"""),45937.0)</f>
        <v>45937</v>
      </c>
      <c r="F1623" s="1439">
        <f>IFERROR(__xludf.DUMMYFUNCTION("""COMPUTED_VALUE"""),45944.0)</f>
        <v>45944</v>
      </c>
      <c r="G1623" s="1430">
        <f>IFERROR(__xludf.DUMMYFUNCTION("""COMPUTED_VALUE"""),7.0)</f>
        <v>7</v>
      </c>
      <c r="H1623" s="94">
        <f t="shared" si="1"/>
        <v>10</v>
      </c>
    </row>
    <row r="1624" ht="15.75" customHeight="1">
      <c r="A1624" s="94" t="str">
        <f>IFERROR(__xludf.DUMMYFUNCTION("""COMPUTED_VALUE"""),"D1 3902")</f>
        <v>D1 3902</v>
      </c>
      <c r="B1624" s="94"/>
      <c r="C1624" s="94"/>
      <c r="D1624" s="431" t="str">
        <f>IFERROR(__xludf.DUMMYFUNCTION("""COMPUTED_VALUE"""),"2 Orbi D 3902 (Лот 293635)")</f>
        <v>2 Orbi D 3902 (Лот 293635)</v>
      </c>
      <c r="E1624" s="1436">
        <f>IFERROR(__xludf.DUMMYFUNCTION("""COMPUTED_VALUE"""),45936.0)</f>
        <v>45936</v>
      </c>
      <c r="F1624" s="1436">
        <f>IFERROR(__xludf.DUMMYFUNCTION("""COMPUTED_VALUE"""),45939.0)</f>
        <v>45939</v>
      </c>
      <c r="G1624" s="1430">
        <f>IFERROR(__xludf.DUMMYFUNCTION("""COMPUTED_VALUE"""),3.0)</f>
        <v>3</v>
      </c>
      <c r="H1624" s="94">
        <f t="shared" si="1"/>
        <v>10</v>
      </c>
    </row>
    <row r="1625" ht="15.75" customHeight="1">
      <c r="A1625" s="94" t="str">
        <f>IFERROR(__xludf.DUMMYFUNCTION("""COMPUTED_VALUE"""),"TGA1")</f>
        <v>TGA1</v>
      </c>
      <c r="B1625" s="94"/>
      <c r="C1625" s="94"/>
      <c r="D1625" s="431" t="str">
        <f>IFERROR(__xludf.DUMMYFUNCTION("""COMPUTED_VALUE"""),"6 TG С 2 сп. блок А (А1, А10) (Лот 268000)")</f>
        <v>6 TG С 2 сп. блок А (А1, А10) (Лот 268000)</v>
      </c>
      <c r="E1625" s="1436">
        <f>IFERROR(__xludf.DUMMYFUNCTION("""COMPUTED_VALUE"""),45936.0)</f>
        <v>45936</v>
      </c>
      <c r="F1625" s="1436">
        <f>IFERROR(__xludf.DUMMYFUNCTION("""COMPUTED_VALUE"""),45966.0)</f>
        <v>45966</v>
      </c>
      <c r="G1625" s="1430">
        <f>IFERROR(__xludf.DUMMYFUNCTION("""COMPUTED_VALUE"""),30.0)</f>
        <v>30</v>
      </c>
      <c r="H1625" s="94">
        <f t="shared" si="1"/>
        <v>10</v>
      </c>
    </row>
    <row r="1626" ht="15.75" customHeight="1">
      <c r="A1626" s="94" t="str">
        <f>IFERROR(__xludf.DUMMYFUNCTION("""COMPUTED_VALUE"""),"Polo 4-12")</f>
        <v>Polo 4-12</v>
      </c>
      <c r="B1626" s="94"/>
      <c r="C1626" s="94"/>
      <c r="D1626" s="94"/>
      <c r="E1626" s="1429">
        <f>IFERROR(__xludf.DUMMYFUNCTION("""COMPUTED_VALUE"""),45938.0)</f>
        <v>45938</v>
      </c>
      <c r="F1626" s="1429">
        <f>IFERROR(__xludf.DUMMYFUNCTION("""COMPUTED_VALUE"""),45968.0)</f>
        <v>45968</v>
      </c>
      <c r="G1626" s="1430">
        <f>IFERROR(__xludf.DUMMYFUNCTION("""COMPUTED_VALUE"""),30.0)</f>
        <v>30</v>
      </c>
      <c r="H1626" s="94">
        <f t="shared" si="1"/>
        <v>10</v>
      </c>
    </row>
    <row r="1627" ht="15.75" customHeight="1">
      <c r="A1627" s="94" t="str">
        <f>IFERROR(__xludf.DUMMYFUNCTION("""COMPUTED_VALUE"""),"Пиросмани 162")</f>
        <v>Пиросмани 162</v>
      </c>
      <c r="B1627" s="94"/>
      <c r="C1627" s="94"/>
      <c r="D1627" s="94"/>
      <c r="E1627" s="1429">
        <f>IFERROR(__xludf.DUMMYFUNCTION("""COMPUTED_VALUE"""),45940.0)</f>
        <v>45940</v>
      </c>
      <c r="F1627" s="1429">
        <f>IFERROR(__xludf.DUMMYFUNCTION("""COMPUTED_VALUE"""),45970.0)</f>
        <v>45970</v>
      </c>
      <c r="G1627" s="1430">
        <f>IFERROR(__xludf.DUMMYFUNCTION("""COMPUTED_VALUE"""),30.0)</f>
        <v>30</v>
      </c>
      <c r="H1627" s="94">
        <f t="shared" si="1"/>
        <v>10</v>
      </c>
    </row>
    <row r="1628" ht="15.75" customHeight="1">
      <c r="A1628" s="94" t="str">
        <f>IFERROR(__xludf.DUMMYFUNCTION("""COMPUTED_VALUE"""),"NA  316")</f>
        <v>NA  316</v>
      </c>
      <c r="B1628" s="94"/>
      <c r="C1628" s="94"/>
      <c r="D1628" s="94"/>
      <c r="E1628" s="2175">
        <f>IFERROR(__xludf.DUMMYFUNCTION("""COMPUTED_VALUE"""),45944.0)</f>
        <v>45944</v>
      </c>
      <c r="F1628" s="1435">
        <f>IFERROR(__xludf.DUMMYFUNCTION("""COMPUTED_VALUE"""),45974.0)</f>
        <v>45974</v>
      </c>
      <c r="G1628" s="1430">
        <f>IFERROR(__xludf.DUMMYFUNCTION("""COMPUTED_VALUE"""),30.0)</f>
        <v>30</v>
      </c>
      <c r="H1628" s="94">
        <f t="shared" si="1"/>
        <v>10</v>
      </c>
    </row>
    <row r="1629" ht="15.75" customHeight="1">
      <c r="A1629" s="94" t="str">
        <f>IFERROR(__xludf.DUMMYFUNCTION("""COMPUTED_VALUE"""),"PT2704")</f>
        <v>PT2704</v>
      </c>
      <c r="B1629" s="94"/>
      <c r="C1629" s="94"/>
      <c r="D1629" s="94" t="str">
        <f>IFERROR(__xludf.DUMMYFUNCTION("""COMPUTED_VALUE"""),"3 PB 2704 (Лот 265740)")</f>
        <v>3 PB 2704 (Лот 265740)</v>
      </c>
      <c r="E1629" s="1436">
        <f>IFERROR(__xludf.DUMMYFUNCTION("""COMPUTED_VALUE"""),45949.0)</f>
        <v>45949</v>
      </c>
      <c r="F1629" s="1439">
        <f>IFERROR(__xludf.DUMMYFUNCTION("""COMPUTED_VALUE"""),45952.0)</f>
        <v>45952</v>
      </c>
      <c r="G1629" s="1430">
        <f>IFERROR(__xludf.DUMMYFUNCTION("""COMPUTED_VALUE"""),3.0)</f>
        <v>3</v>
      </c>
      <c r="H1629" s="94">
        <f t="shared" si="1"/>
        <v>10</v>
      </c>
    </row>
    <row r="1630" ht="15.75" customHeight="1">
      <c r="A1630" s="94" t="str">
        <f>IFERROR(__xludf.DUMMYFUNCTION("""COMPUTED_VALUE"""),"TGB7")</f>
        <v>TGB7</v>
      </c>
      <c r="B1630" s="94"/>
      <c r="C1630" s="94"/>
      <c r="D1630" s="94" t="str">
        <f>IFERROR(__xludf.DUMMYFUNCTION("""COMPUTED_VALUE"""),"6 TG 1+1 Sunset (Б6, Б7) (Лот 268008)")</f>
        <v>6 TG 1+1 Sunset (Б6, Б7) (Лот 268008)</v>
      </c>
      <c r="E1630" s="1436">
        <f>IFERROR(__xludf.DUMMYFUNCTION("""COMPUTED_VALUE"""),45948.0)</f>
        <v>45948</v>
      </c>
      <c r="F1630" s="1436">
        <f>IFERROR(__xludf.DUMMYFUNCTION("""COMPUTED_VALUE"""),45953.0)</f>
        <v>45953</v>
      </c>
      <c r="G1630" s="1430">
        <f>IFERROR(__xludf.DUMMYFUNCTION("""COMPUTED_VALUE"""),5.0)</f>
        <v>5</v>
      </c>
      <c r="H1630" s="94">
        <f t="shared" si="1"/>
        <v>10</v>
      </c>
    </row>
    <row r="1631" ht="15.75" customHeight="1">
      <c r="A1631" s="1164" t="str">
        <f>IFERROR(__xludf.DUMMYFUNCTION("""COMPUTED_VALUE"""),"Вилла Ева")</f>
        <v>Вилла Ева</v>
      </c>
      <c r="B1631" s="94"/>
      <c r="C1631" s="94"/>
      <c r="D1631" s="94" t="str">
        <f>IFERROR(__xludf.DUMMYFUNCTION("""COMPUTED_VALUE"""),"Villa EVA (Лот 275315)")</f>
        <v>Villa EVA (Лот 275315)</v>
      </c>
      <c r="E1631" s="1436">
        <f>IFERROR(__xludf.DUMMYFUNCTION("""COMPUTED_VALUE"""),45949.0)</f>
        <v>45949</v>
      </c>
      <c r="F1631" s="1436">
        <f>IFERROR(__xludf.DUMMYFUNCTION("""COMPUTED_VALUE"""),45952.0)</f>
        <v>45952</v>
      </c>
      <c r="G1631" s="1430">
        <f>IFERROR(__xludf.DUMMYFUNCTION("""COMPUTED_VALUE"""),3.0)</f>
        <v>3</v>
      </c>
      <c r="H1631" s="94">
        <f t="shared" si="1"/>
        <v>10</v>
      </c>
    </row>
    <row r="1632" ht="15.75" customHeight="1">
      <c r="A1632" s="1164" t="str">
        <f>IFERROR(__xludf.DUMMYFUNCTION("""COMPUTED_VALUE"""),"Шар 2505")</f>
        <v>Шар 2505</v>
      </c>
      <c r="B1632" s="94"/>
      <c r="C1632" s="94"/>
      <c r="D1632" s="94" t="str">
        <f>IFERROR(__xludf.DUMMYFUNCTION("""COMPUTED_VALUE"""),"3 Sh8 2505 A (Лот 233423)")</f>
        <v>3 Sh8 2505 A (Лот 233423)</v>
      </c>
      <c r="E1632" s="1436">
        <f>IFERROR(__xludf.DUMMYFUNCTION("""COMPUTED_VALUE"""),45947.0)</f>
        <v>45947</v>
      </c>
      <c r="F1632" s="1436">
        <f>IFERROR(__xludf.DUMMYFUNCTION("""COMPUTED_VALUE"""),46000.0)</f>
        <v>46000</v>
      </c>
      <c r="G1632" s="1430">
        <f>IFERROR(__xludf.DUMMYFUNCTION("""COMPUTED_VALUE"""),53.0)</f>
        <v>53</v>
      </c>
      <c r="H1632" s="94">
        <f t="shared" si="1"/>
        <v>10</v>
      </c>
    </row>
    <row r="1633" ht="15.75" customHeight="1">
      <c r="A1633" s="94" t="str">
        <f>IFERROR(__xludf.DUMMYFUNCTION("""COMPUTED_VALUE"""),"MZ 718")</f>
        <v>MZ 718</v>
      </c>
      <c r="B1633" s="94"/>
      <c r="C1633" s="94"/>
      <c r="D1633" s="94" t="str">
        <f>IFERROR(__xludf.DUMMYFUNCTION("""COMPUTED_VALUE"""),"3 MZ 718, 913 (Лот 269699)")</f>
        <v>3 MZ 718, 913 (Лот 269699)</v>
      </c>
      <c r="E1633" s="1436">
        <f>IFERROR(__xludf.DUMMYFUNCTION("""COMPUTED_VALUE"""),45947.0)</f>
        <v>45947</v>
      </c>
      <c r="F1633" s="1439">
        <f>IFERROR(__xludf.DUMMYFUNCTION("""COMPUTED_VALUE"""),45951.0)</f>
        <v>45951</v>
      </c>
      <c r="G1633" s="1430">
        <f>IFERROR(__xludf.DUMMYFUNCTION("""COMPUTED_VALUE"""),4.0)</f>
        <v>4</v>
      </c>
      <c r="H1633" s="94">
        <f t="shared" si="1"/>
        <v>10</v>
      </c>
    </row>
    <row r="1634" ht="15.75" customHeight="1">
      <c r="A1634" s="1164" t="str">
        <f>IFERROR(__xludf.DUMMYFUNCTION("""COMPUTED_VALUE"""),"BV1318")</f>
        <v>BV1318</v>
      </c>
      <c r="B1634" s="94"/>
      <c r="C1634" s="94"/>
      <c r="D1634" s="94" t="str">
        <f>IFERROR(__xludf.DUMMYFUNCTION("""COMPUTED_VALUE"""),"1 BV 1318 (Лот 234845)")</f>
        <v>1 BV 1318 (Лот 234845)</v>
      </c>
      <c r="E1634" s="1436">
        <f>IFERROR(__xludf.DUMMYFUNCTION("""COMPUTED_VALUE"""),45947.0)</f>
        <v>45947</v>
      </c>
      <c r="F1634" s="1439">
        <f>IFERROR(__xludf.DUMMYFUNCTION("""COMPUTED_VALUE"""),45950.0)</f>
        <v>45950</v>
      </c>
      <c r="G1634" s="1430">
        <f>IFERROR(__xludf.DUMMYFUNCTION("""COMPUTED_VALUE"""),3.0)</f>
        <v>3</v>
      </c>
      <c r="H1634" s="94">
        <f t="shared" si="1"/>
        <v>10</v>
      </c>
    </row>
    <row r="1635" ht="15.75" customHeight="1">
      <c r="A1635" s="1164" t="str">
        <f>IFERROR(__xludf.DUMMYFUNCTION("""COMPUTED_VALUE"""),"WS E704")</f>
        <v>WS E704</v>
      </c>
      <c r="B1635" s="94"/>
      <c r="C1635" s="94"/>
      <c r="D1635" s="94" t="str">
        <f>IFERROR(__xludf.DUMMYFUNCTION("""COMPUTED_VALUE"""),"1 WS E 704 (Лот 233383)")</f>
        <v>1 WS E 704 (Лот 233383)</v>
      </c>
      <c r="E1635" s="1436">
        <f>IFERROR(__xludf.DUMMYFUNCTION("""COMPUTED_VALUE"""),45947.0)</f>
        <v>45947</v>
      </c>
      <c r="F1635" s="1436">
        <f>IFERROR(__xludf.DUMMYFUNCTION("""COMPUTED_VALUE"""),45962.0)</f>
        <v>45962</v>
      </c>
      <c r="G1635" s="1430">
        <f>IFERROR(__xludf.DUMMYFUNCTION("""COMPUTED_VALUE"""),15.0)</f>
        <v>15</v>
      </c>
      <c r="H1635" s="94">
        <f t="shared" si="1"/>
        <v>10</v>
      </c>
    </row>
    <row r="1636" ht="15.75" customHeight="1">
      <c r="A1636" s="94" t="str">
        <f>IFERROR(__xludf.DUMMYFUNCTION("""COMPUTED_VALUE"""),"CM 1604")</f>
        <v>CM 1604</v>
      </c>
      <c r="B1636" s="94"/>
      <c r="C1636" s="94"/>
      <c r="D1636" s="94" t="str">
        <f>IFERROR(__xludf.DUMMYFUNCTION("""COMPUTED_VALUE"""),"3 Mar 1604 (Лот 233303)")</f>
        <v>3 Mar 1604 (Лот 233303)</v>
      </c>
      <c r="E1636" s="1436">
        <f>IFERROR(__xludf.DUMMYFUNCTION("""COMPUTED_VALUE"""),45946.0)</f>
        <v>45946</v>
      </c>
      <c r="F1636" s="1436">
        <f>IFERROR(__xludf.DUMMYFUNCTION("""COMPUTED_VALUE"""),45949.0)</f>
        <v>45949</v>
      </c>
      <c r="G1636" s="1430">
        <f>IFERROR(__xludf.DUMMYFUNCTION("""COMPUTED_VALUE"""),3.0)</f>
        <v>3</v>
      </c>
      <c r="H1636" s="94">
        <f t="shared" si="1"/>
        <v>10</v>
      </c>
    </row>
    <row r="1637" ht="15.75" customHeight="1">
      <c r="A1637" s="94" t="str">
        <f>IFERROR(__xludf.DUMMYFUNCTION("""COMPUTED_VALUE"""),"PT2704")</f>
        <v>PT2704</v>
      </c>
      <c r="B1637" s="94"/>
      <c r="C1637" s="94"/>
      <c r="D1637" s="94" t="str">
        <f>IFERROR(__xludf.DUMMYFUNCTION("""COMPUTED_VALUE"""),"3 PB 2704 (Лот 265740)")</f>
        <v>3 PB 2704 (Лот 265740)</v>
      </c>
      <c r="E1637" s="1436">
        <f>IFERROR(__xludf.DUMMYFUNCTION("""COMPUTED_VALUE"""),45946.0)</f>
        <v>45946</v>
      </c>
      <c r="F1637" s="1436">
        <f>IFERROR(__xludf.DUMMYFUNCTION("""COMPUTED_VALUE"""),45949.0)</f>
        <v>45949</v>
      </c>
      <c r="G1637" s="1430">
        <f>IFERROR(__xludf.DUMMYFUNCTION("""COMPUTED_VALUE"""),3.0)</f>
        <v>3</v>
      </c>
      <c r="H1637" s="94">
        <f t="shared" si="1"/>
        <v>10</v>
      </c>
    </row>
    <row r="1638" ht="15.75" customHeight="1">
      <c r="A1638" s="1164" t="str">
        <f>IFERROR(__xludf.DUMMYFUNCTION("""COMPUTED_VALUE"""),"WS F 907")</f>
        <v>WS F 907</v>
      </c>
      <c r="B1638" s="94"/>
      <c r="C1638" s="94"/>
      <c r="D1638" s="94" t="str">
        <f>IFERROR(__xludf.DUMMYFUNCTION("""COMPUTED_VALUE"""),"1 WS F 907 (Лот 233314)")</f>
        <v>1 WS F 907 (Лот 233314)</v>
      </c>
      <c r="E1638" s="1436">
        <f>IFERROR(__xludf.DUMMYFUNCTION("""COMPUTED_VALUE"""),45946.0)</f>
        <v>45946</v>
      </c>
      <c r="F1638" s="1439">
        <f>IFERROR(__xludf.DUMMYFUNCTION("""COMPUTED_VALUE"""),45948.0)</f>
        <v>45948</v>
      </c>
      <c r="G1638" s="1430">
        <f>IFERROR(__xludf.DUMMYFUNCTION("""COMPUTED_VALUE"""),2.0)</f>
        <v>2</v>
      </c>
      <c r="H1638" s="94">
        <f t="shared" si="1"/>
        <v>10</v>
      </c>
    </row>
    <row r="1639" ht="15.75" customHeight="1">
      <c r="A1639" s="94" t="str">
        <f>IFERROR(__xludf.DUMMYFUNCTION("""COMPUTED_VALUE"""),"TGA6")</f>
        <v>TGA6</v>
      </c>
      <c r="B1639" s="94"/>
      <c r="C1639" s="94"/>
      <c r="D1639" s="94" t="str">
        <f>IFERROR(__xludf.DUMMYFUNCTION("""COMPUTED_VALUE"""),"6 TG Студия с видом на море А3, А5, А6, А8 (Лот 268012)")</f>
        <v>6 TG Студия с видом на море А3, А5, А6, А8 (Лот 268012)</v>
      </c>
      <c r="E1639" s="1436">
        <f>IFERROR(__xludf.DUMMYFUNCTION("""COMPUTED_VALUE"""),45945.0)</f>
        <v>45945</v>
      </c>
      <c r="F1639" s="1436">
        <f>IFERROR(__xludf.DUMMYFUNCTION("""COMPUTED_VALUE"""),45973.0)</f>
        <v>45973</v>
      </c>
      <c r="G1639" s="1430">
        <f>IFERROR(__xludf.DUMMYFUNCTION("""COMPUTED_VALUE"""),28.0)</f>
        <v>28</v>
      </c>
      <c r="H1639" s="94">
        <f t="shared" si="1"/>
        <v>10</v>
      </c>
    </row>
    <row r="1640" ht="15.75" customHeight="1">
      <c r="A1640" s="94" t="str">
        <f>IFERROR(__xludf.DUMMYFUNCTION("""COMPUTED_VALUE"""),"D1 3902")</f>
        <v>D1 3902</v>
      </c>
      <c r="B1640" s="94"/>
      <c r="C1640" s="94"/>
      <c r="D1640" s="94" t="str">
        <f>IFERROR(__xludf.DUMMYFUNCTION("""COMPUTED_VALUE"""),"2 Orbi D 3902 (Лот 293635)")</f>
        <v>2 Orbi D 3902 (Лот 293635)</v>
      </c>
      <c r="E1640" s="1436">
        <f>IFERROR(__xludf.DUMMYFUNCTION("""COMPUTED_VALUE"""),45945.0)</f>
        <v>45945</v>
      </c>
      <c r="F1640" s="1436">
        <f>IFERROR(__xludf.DUMMYFUNCTION("""COMPUTED_VALUE"""),45976.0)</f>
        <v>45976</v>
      </c>
      <c r="G1640" s="1430">
        <f>IFERROR(__xludf.DUMMYFUNCTION("""COMPUTED_VALUE"""),31.0)</f>
        <v>31</v>
      </c>
      <c r="H1640" s="94">
        <f t="shared" si="1"/>
        <v>10</v>
      </c>
    </row>
    <row r="1641" ht="15.75" customHeight="1">
      <c r="A1641" s="94" t="str">
        <f>IFERROR(__xludf.DUMMYFUNCTION("""COMPUTED_VALUE"""),"С 1125")</f>
        <v>С 1125</v>
      </c>
      <c r="B1641" s="94"/>
      <c r="C1641" s="94"/>
      <c r="D1641" s="94" t="str">
        <f>IFERROR(__xludf.DUMMYFUNCTION("""COMPUTED_VALUE"""),"2 Orbi C 1125 (Лот 233326)")</f>
        <v>2 Orbi C 1125 (Лот 233326)</v>
      </c>
      <c r="E1641" s="1436">
        <f>IFERROR(__xludf.DUMMYFUNCTION("""COMPUTED_VALUE"""),45945.0)</f>
        <v>45945</v>
      </c>
      <c r="F1641" s="1436">
        <f>IFERROR(__xludf.DUMMYFUNCTION("""COMPUTED_VALUE"""),45949.0)</f>
        <v>45949</v>
      </c>
      <c r="G1641" s="1430">
        <f>IFERROR(__xludf.DUMMYFUNCTION("""COMPUTED_VALUE"""),4.0)</f>
        <v>4</v>
      </c>
      <c r="H1641" s="94">
        <f t="shared" si="1"/>
        <v>10</v>
      </c>
    </row>
    <row r="1642" ht="15.75" customHeight="1">
      <c r="A1642" s="94" t="str">
        <f>IFERROR(__xludf.DUMMYFUNCTION("""COMPUTED_VALUE"""),"MZ 913")</f>
        <v>MZ 913</v>
      </c>
      <c r="B1642" s="94"/>
      <c r="C1642" s="94"/>
      <c r="D1642" s="94" t="str">
        <f>IFERROR(__xludf.DUMMYFUNCTION("""COMPUTED_VALUE"""),"3 MZ 718, 913 (Лот 269699)")</f>
        <v>3 MZ 718, 913 (Лот 269699)</v>
      </c>
      <c r="E1642" s="1436">
        <f>IFERROR(__xludf.DUMMYFUNCTION("""COMPUTED_VALUE"""),45944.0)</f>
        <v>45944</v>
      </c>
      <c r="F1642" s="1439">
        <f>IFERROR(__xludf.DUMMYFUNCTION("""COMPUTED_VALUE"""),45951.0)</f>
        <v>45951</v>
      </c>
      <c r="G1642" s="1430">
        <f>IFERROR(__xludf.DUMMYFUNCTION("""COMPUTED_VALUE"""),7.0)</f>
        <v>7</v>
      </c>
      <c r="H1642" s="94">
        <f t="shared" si="1"/>
        <v>10</v>
      </c>
    </row>
    <row r="1643" ht="15.75" customHeight="1">
      <c r="A1643" s="94" t="str">
        <f>IFERROR(__xludf.DUMMYFUNCTION("""COMPUTED_VALUE"""),"NW 3-7")</f>
        <v>NW 3-7</v>
      </c>
      <c r="B1643" s="94"/>
      <c r="C1643" s="94"/>
      <c r="D1643" s="94" t="str">
        <f>IFERROR(__xludf.DUMMYFUNCTION("""COMPUTED_VALUE"""),"3 NW 307 (Лот 289960)")</f>
        <v>3 NW 307 (Лот 289960)</v>
      </c>
      <c r="E1643" s="1436">
        <f>IFERROR(__xludf.DUMMYFUNCTION("""COMPUTED_VALUE"""),45944.0)</f>
        <v>45944</v>
      </c>
      <c r="F1643" s="1436">
        <f>IFERROR(__xludf.DUMMYFUNCTION("""COMPUTED_VALUE"""),45974.0)</f>
        <v>45974</v>
      </c>
      <c r="G1643" s="1430">
        <f>IFERROR(__xludf.DUMMYFUNCTION("""COMPUTED_VALUE"""),30.0)</f>
        <v>30</v>
      </c>
      <c r="H1643" s="94">
        <f t="shared" si="1"/>
        <v>10</v>
      </c>
    </row>
    <row r="1644" ht="15.75" customHeight="1">
      <c r="A1644" s="1164" t="str">
        <f>IFERROR(__xludf.DUMMYFUNCTION("""COMPUTED_VALUE"""),"С 2756")</f>
        <v>С 2756</v>
      </c>
      <c r="B1644" s="94"/>
      <c r="C1644" s="94"/>
      <c r="D1644" s="94" t="str">
        <f>IFERROR(__xludf.DUMMYFUNCTION("""COMPUTED_VALUE"""),"2 Orbi C 2756 (Лот 233325)")</f>
        <v>2 Orbi C 2756 (Лот 233325)</v>
      </c>
      <c r="E1644" s="1436">
        <f>IFERROR(__xludf.DUMMYFUNCTION("""COMPUTED_VALUE"""),45944.0)</f>
        <v>45944</v>
      </c>
      <c r="F1644" s="1436">
        <f>IFERROR(__xludf.DUMMYFUNCTION("""COMPUTED_VALUE"""),46004.0)</f>
        <v>46004</v>
      </c>
      <c r="G1644" s="1430">
        <f>IFERROR(__xludf.DUMMYFUNCTION("""COMPUTED_VALUE"""),60.0)</f>
        <v>60</v>
      </c>
      <c r="H1644" s="94">
        <f t="shared" si="1"/>
        <v>10</v>
      </c>
    </row>
    <row r="1645" ht="15.75" customHeight="1">
      <c r="A1645" s="94" t="str">
        <f>IFERROR(__xludf.DUMMYFUNCTION("""COMPUTED_VALUE"""),"NW 2-5")</f>
        <v>NW 2-5</v>
      </c>
      <c r="B1645" s="94"/>
      <c r="C1645" s="94"/>
      <c r="D1645" s="94" t="str">
        <f>IFERROR(__xludf.DUMMYFUNCTION("""COMPUTED_VALUE"""),"3 NW 205 (Лот 295811)")</f>
        <v>3 NW 205 (Лот 295811)</v>
      </c>
      <c r="E1645" s="1436">
        <f>IFERROR(__xludf.DUMMYFUNCTION("""COMPUTED_VALUE"""),45944.0)</f>
        <v>45944</v>
      </c>
      <c r="F1645" s="1439">
        <f>IFERROR(__xludf.DUMMYFUNCTION("""COMPUTED_VALUE"""),45974.0)</f>
        <v>45974</v>
      </c>
      <c r="G1645" s="1430">
        <f>IFERROR(__xludf.DUMMYFUNCTION("""COMPUTED_VALUE"""),30.0)</f>
        <v>30</v>
      </c>
      <c r="H1645" s="94">
        <f t="shared" si="1"/>
        <v>10</v>
      </c>
    </row>
    <row r="1646" ht="15.75" customHeight="1">
      <c r="A1646" s="1164" t="str">
        <f>IFERROR(__xludf.DUMMYFUNCTION("""COMPUTED_VALUE"""),"WS A 409")</f>
        <v>WS A 409</v>
      </c>
      <c r="B1646" s="94"/>
      <c r="C1646" s="94"/>
      <c r="D1646" s="94" t="str">
        <f>IFERROR(__xludf.DUMMYFUNCTION("""COMPUTED_VALUE"""),"1 WS A 409 (Лот 233355)")</f>
        <v>1 WS A 409 (Лот 233355)</v>
      </c>
      <c r="E1646" s="1436">
        <f>IFERROR(__xludf.DUMMYFUNCTION("""COMPUTED_VALUE"""),45944.0)</f>
        <v>45944</v>
      </c>
      <c r="F1646" s="1436">
        <f>IFERROR(__xludf.DUMMYFUNCTION("""COMPUTED_VALUE"""),45975.0)</f>
        <v>45975</v>
      </c>
      <c r="G1646" s="1430">
        <f>IFERROR(__xludf.DUMMYFUNCTION("""COMPUTED_VALUE"""),31.0)</f>
        <v>31</v>
      </c>
      <c r="H1646" s="94">
        <f t="shared" si="1"/>
        <v>10</v>
      </c>
    </row>
    <row r="1647" ht="15.75" customHeight="1">
      <c r="A1647" s="94" t="str">
        <f>IFERROR(__xludf.DUMMYFUNCTION("""COMPUTED_VALUE"""),"WS A805")</f>
        <v>WS A805</v>
      </c>
      <c r="B1647" s="94"/>
      <c r="C1647" s="94"/>
      <c r="D1647" s="94" t="str">
        <f>IFERROR(__xludf.DUMMYFUNCTION("""COMPUTED_VALUE"""),"1 WS A 805 (Лот 283869)")</f>
        <v>1 WS A 805 (Лот 283869)</v>
      </c>
      <c r="E1647" s="1436">
        <f>IFERROR(__xludf.DUMMYFUNCTION("""COMPUTED_VALUE"""),45943.0)</f>
        <v>45943</v>
      </c>
      <c r="F1647" s="1436">
        <f>IFERROR(__xludf.DUMMYFUNCTION("""COMPUTED_VALUE"""),45971.0)</f>
        <v>45971</v>
      </c>
      <c r="G1647" s="1430">
        <f>IFERROR(__xludf.DUMMYFUNCTION("""COMPUTED_VALUE"""),28.0)</f>
        <v>28</v>
      </c>
      <c r="H1647" s="94">
        <f t="shared" si="1"/>
        <v>10</v>
      </c>
    </row>
    <row r="1648" ht="15.75" customHeight="1">
      <c r="A1648" s="94" t="str">
        <f>IFERROR(__xludf.DUMMYFUNCTION("""COMPUTED_VALUE"""),"MZ 718")</f>
        <v>MZ 718</v>
      </c>
      <c r="B1648" s="94"/>
      <c r="C1648" s="94"/>
      <c r="D1648" s="94" t="str">
        <f>IFERROR(__xludf.DUMMYFUNCTION("""COMPUTED_VALUE"""),"3 MZ 718, 913 (Лот 269699)")</f>
        <v>3 MZ 718, 913 (Лот 269699)</v>
      </c>
      <c r="E1648" s="1436">
        <f>IFERROR(__xludf.DUMMYFUNCTION("""COMPUTED_VALUE"""),45943.0)</f>
        <v>45943</v>
      </c>
      <c r="F1648" s="1439">
        <f>IFERROR(__xludf.DUMMYFUNCTION("""COMPUTED_VALUE"""),45946.0)</f>
        <v>45946</v>
      </c>
      <c r="G1648" s="1430">
        <f>IFERROR(__xludf.DUMMYFUNCTION("""COMPUTED_VALUE"""),3.0)</f>
        <v>3</v>
      </c>
      <c r="H1648" s="94">
        <f t="shared" si="1"/>
        <v>10</v>
      </c>
    </row>
    <row r="1649" ht="15.75" customHeight="1">
      <c r="A1649" s="94" t="str">
        <f>IFERROR(__xludf.DUMMYFUNCTION("""COMPUTED_VALUE"""),"Int 2612")</f>
        <v>Int 2612</v>
      </c>
      <c r="B1649" s="94"/>
      <c r="C1649" s="94"/>
      <c r="D1649" s="94" t="str">
        <f>IFERROR(__xludf.DUMMYFUNCTION("""COMPUTED_VALUE"""),"3 Int B 2612 (Лот 285149)")</f>
        <v>3 Int B 2612 (Лот 285149)</v>
      </c>
      <c r="E1649" s="1436">
        <f>IFERROR(__xludf.DUMMYFUNCTION("""COMPUTED_VALUE"""),45943.0)</f>
        <v>45943</v>
      </c>
      <c r="F1649" s="1436">
        <f>IFERROR(__xludf.DUMMYFUNCTION("""COMPUTED_VALUE"""),45983.0)</f>
        <v>45983</v>
      </c>
      <c r="G1649" s="1430">
        <f>IFERROR(__xludf.DUMMYFUNCTION("""COMPUTED_VALUE"""),40.0)</f>
        <v>40</v>
      </c>
      <c r="H1649" s="94">
        <f t="shared" si="1"/>
        <v>10</v>
      </c>
    </row>
    <row r="1650" ht="15.75" customHeight="1">
      <c r="A1650" s="94" t="str">
        <f>IFERROR(__xludf.DUMMYFUNCTION("""COMPUTED_VALUE"""),"PT2704")</f>
        <v>PT2704</v>
      </c>
      <c r="B1650" s="94"/>
      <c r="C1650" s="94"/>
      <c r="D1650" s="94" t="str">
        <f>IFERROR(__xludf.DUMMYFUNCTION("""COMPUTED_VALUE"""),"3 PB 2704 (Лот 265740)")</f>
        <v>3 PB 2704 (Лот 265740)</v>
      </c>
      <c r="E1650" s="1436">
        <f>IFERROR(__xludf.DUMMYFUNCTION("""COMPUTED_VALUE"""),45943.0)</f>
        <v>45943</v>
      </c>
      <c r="F1650" s="1439">
        <f>IFERROR(__xludf.DUMMYFUNCTION("""COMPUTED_VALUE"""),45946.0)</f>
        <v>45946</v>
      </c>
      <c r="G1650" s="1430">
        <f>IFERROR(__xludf.DUMMYFUNCTION("""COMPUTED_VALUE"""),3.0)</f>
        <v>3</v>
      </c>
      <c r="H1650" s="94">
        <f t="shared" si="1"/>
        <v>10</v>
      </c>
    </row>
    <row r="1651" ht="15.75" customHeight="1">
      <c r="A1651" s="94" t="str">
        <f>IFERROR(__xludf.DUMMYFUNCTION("""COMPUTED_VALUE"""),"TG195")</f>
        <v>TG195</v>
      </c>
      <c r="B1651" s="94"/>
      <c r="C1651" s="94"/>
      <c r="D1651" s="94" t="str">
        <f>IFERROR(__xludf.DUMMYFUNCTION("""COMPUTED_VALUE"""),"4. TG 195 (Лот 297147)")</f>
        <v>4. TG 195 (Лот 297147)</v>
      </c>
      <c r="E1651" s="1436">
        <f>IFERROR(__xludf.DUMMYFUNCTION("""COMPUTED_VALUE"""),45956.0)</f>
        <v>45956</v>
      </c>
      <c r="F1651" s="1439">
        <f>IFERROR(__xludf.DUMMYFUNCTION("""COMPUTED_VALUE"""),45987.0)</f>
        <v>45987</v>
      </c>
      <c r="G1651" s="1430">
        <f>IFERROR(__xludf.DUMMYFUNCTION("""COMPUTED_VALUE"""),31.0)</f>
        <v>31</v>
      </c>
      <c r="H1651" s="94">
        <f t="shared" si="1"/>
        <v>10</v>
      </c>
    </row>
    <row r="1652" ht="15.75" customHeight="1">
      <c r="A1652" s="94" t="str">
        <f>IFERROR(__xludf.DUMMYFUNCTION("""COMPUTED_VALUE"""),"CM 1604")</f>
        <v>CM 1604</v>
      </c>
      <c r="B1652" s="94"/>
      <c r="C1652" s="94"/>
      <c r="D1652" s="94" t="str">
        <f>IFERROR(__xludf.DUMMYFUNCTION("""COMPUTED_VALUE"""),"3 Mar 1604 (Лот 233303)")</f>
        <v>3 Mar 1604 (Лот 233303)</v>
      </c>
      <c r="E1652" s="1436">
        <f>IFERROR(__xludf.DUMMYFUNCTION("""COMPUTED_VALUE"""),45955.0)</f>
        <v>45955</v>
      </c>
      <c r="F1652" s="1436">
        <f>IFERROR(__xludf.DUMMYFUNCTION("""COMPUTED_VALUE"""),45958.0)</f>
        <v>45958</v>
      </c>
      <c r="G1652" s="1430">
        <f>IFERROR(__xludf.DUMMYFUNCTION("""COMPUTED_VALUE"""),3.0)</f>
        <v>3</v>
      </c>
      <c r="H1652" s="94">
        <f t="shared" si="1"/>
        <v>10</v>
      </c>
    </row>
    <row r="1653" ht="15.75" customHeight="1">
      <c r="A1653" s="1164" t="str">
        <f>IFERROR(__xludf.DUMMYFUNCTION("""COMPUTED_VALUE"""),"Вилла Ева")</f>
        <v>Вилла Ева</v>
      </c>
      <c r="B1653" s="94"/>
      <c r="C1653" s="94"/>
      <c r="D1653" s="94" t="str">
        <f>IFERROR(__xludf.DUMMYFUNCTION("""COMPUTED_VALUE"""),"Villa EVA (Лот 275315)")</f>
        <v>Villa EVA (Лот 275315)</v>
      </c>
      <c r="E1653" s="1436">
        <f>IFERROR(__xludf.DUMMYFUNCTION("""COMPUTED_VALUE"""),45954.0)</f>
        <v>45954</v>
      </c>
      <c r="F1653" s="1436">
        <f>IFERROR(__xludf.DUMMYFUNCTION("""COMPUTED_VALUE"""),45959.0)</f>
        <v>45959</v>
      </c>
      <c r="G1653" s="1430">
        <f>IFERROR(__xludf.DUMMYFUNCTION("""COMPUTED_VALUE"""),5.0)</f>
        <v>5</v>
      </c>
      <c r="H1653" s="94">
        <f t="shared" si="1"/>
        <v>10</v>
      </c>
    </row>
    <row r="1654" ht="15.75" customHeight="1">
      <c r="A1654" s="94" t="str">
        <f>IFERROR(__xludf.DUMMYFUNCTION("""COMPUTED_VALUE"""),"TGA2")</f>
        <v>TGA2</v>
      </c>
      <c r="B1654" s="94"/>
      <c r="C1654" s="94"/>
      <c r="D1654" s="94" t="str">
        <f>IFERROR(__xludf.DUMMYFUNCTION("""COMPUTED_VALUE"""),"6 TG c 1 сп. блок А (А2, А4, А7, B8, A9) (Лот 263239)")</f>
        <v>6 TG c 1 сп. блок А (А2, А4, А7, B8, A9) (Лот 263239)</v>
      </c>
      <c r="E1654" s="1436">
        <f>IFERROR(__xludf.DUMMYFUNCTION("""COMPUTED_VALUE"""),45954.0)</f>
        <v>45954</v>
      </c>
      <c r="F1654" s="1439">
        <f>IFERROR(__xludf.DUMMYFUNCTION("""COMPUTED_VALUE"""),45967.0)</f>
        <v>45967</v>
      </c>
      <c r="G1654" s="1430">
        <f>IFERROR(__xludf.DUMMYFUNCTION("""COMPUTED_VALUE"""),13.0)</f>
        <v>13</v>
      </c>
      <c r="H1654" s="94">
        <f t="shared" si="1"/>
        <v>10</v>
      </c>
    </row>
    <row r="1655" ht="15.75" customHeight="1">
      <c r="A1655" s="94" t="str">
        <f>IFERROR(__xludf.DUMMYFUNCTION("""COMPUTED_VALUE"""),"MZ 718")</f>
        <v>MZ 718</v>
      </c>
      <c r="B1655" s="94"/>
      <c r="C1655" s="94"/>
      <c r="D1655" s="94" t="str">
        <f>IFERROR(__xludf.DUMMYFUNCTION("""COMPUTED_VALUE"""),"3 MZ 718, 913 (Лот 269699)")</f>
        <v>3 MZ 718, 913 (Лот 269699)</v>
      </c>
      <c r="E1655" s="1436">
        <f>IFERROR(__xludf.DUMMYFUNCTION("""COMPUTED_VALUE"""),45954.0)</f>
        <v>45954</v>
      </c>
      <c r="F1655" s="1436">
        <f>IFERROR(__xludf.DUMMYFUNCTION("""COMPUTED_VALUE"""),45957.0)</f>
        <v>45957</v>
      </c>
      <c r="G1655" s="1430">
        <f>IFERROR(__xludf.DUMMYFUNCTION("""COMPUTED_VALUE"""),3.0)</f>
        <v>3</v>
      </c>
      <c r="H1655" s="94">
        <f t="shared" si="1"/>
        <v>10</v>
      </c>
    </row>
    <row r="1656" ht="15.75" customHeight="1">
      <c r="A1656" s="94" t="str">
        <f>IFERROR(__xludf.DUMMYFUNCTION("""COMPUTED_VALUE"""),"2 BV A 0514 (Лот 311849)")</f>
        <v>2 BV A 0514 (Лот 311849)</v>
      </c>
      <c r="B1656" s="94"/>
      <c r="C1656" s="94"/>
      <c r="D1656" s="94" t="str">
        <f>IFERROR(__xludf.DUMMYFUNCTION("""COMPUTED_VALUE"""),"1 BV A 0514 (Лот 311849)")</f>
        <v>1 BV A 0514 (Лот 311849)</v>
      </c>
      <c r="E1656" s="1436">
        <f>IFERROR(__xludf.DUMMYFUNCTION("""COMPUTED_VALUE"""),45953.0)</f>
        <v>45953</v>
      </c>
      <c r="F1656" s="1436">
        <f>IFERROR(__xludf.DUMMYFUNCTION("""COMPUTED_VALUE"""),45984.0)</f>
        <v>45984</v>
      </c>
      <c r="G1656" s="1430">
        <f>IFERROR(__xludf.DUMMYFUNCTION("""COMPUTED_VALUE"""),31.0)</f>
        <v>31</v>
      </c>
      <c r="H1656" s="94">
        <f t="shared" si="1"/>
        <v>10</v>
      </c>
    </row>
    <row r="1657" ht="15.75" customHeight="1">
      <c r="A1657" s="1164" t="str">
        <f>IFERROR(__xludf.DUMMYFUNCTION("""COMPUTED_VALUE"""),"WS В 212")</f>
        <v>WS В 212</v>
      </c>
      <c r="B1657" s="94"/>
      <c r="C1657" s="94"/>
      <c r="D1657" s="94" t="str">
        <f>IFERROR(__xludf.DUMMYFUNCTION("""COMPUTED_VALUE"""),"1 WS B 212 (Лот 233391)")</f>
        <v>1 WS B 212 (Лот 233391)</v>
      </c>
      <c r="E1657" s="1436">
        <f>IFERROR(__xludf.DUMMYFUNCTION("""COMPUTED_VALUE"""),45952.0)</f>
        <v>45952</v>
      </c>
      <c r="F1657" s="1439">
        <f>IFERROR(__xludf.DUMMYFUNCTION("""COMPUTED_VALUE"""),45963.0)</f>
        <v>45963</v>
      </c>
      <c r="G1657" s="1430">
        <f>IFERROR(__xludf.DUMMYFUNCTION("""COMPUTED_VALUE"""),11.0)</f>
        <v>11</v>
      </c>
      <c r="H1657" s="94">
        <f t="shared" si="1"/>
        <v>10</v>
      </c>
    </row>
    <row r="1658" ht="15.75" customHeight="1">
      <c r="A1658" s="94" t="str">
        <f>IFERROR(__xludf.DUMMYFUNCTION("""COMPUTED_VALUE"""),"С 1125")</f>
        <v>С 1125</v>
      </c>
      <c r="B1658" s="94"/>
      <c r="C1658" s="94"/>
      <c r="D1658" s="94" t="str">
        <f>IFERROR(__xludf.DUMMYFUNCTION("""COMPUTED_VALUE"""),"2 Orbi C 1125 (Лот 233326)")</f>
        <v>2 Orbi C 1125 (Лот 233326)</v>
      </c>
      <c r="E1658" s="1436">
        <f>IFERROR(__xludf.DUMMYFUNCTION("""COMPUTED_VALUE"""),45952.0)</f>
        <v>45952</v>
      </c>
      <c r="F1658" s="1436">
        <f>IFERROR(__xludf.DUMMYFUNCTION("""COMPUTED_VALUE"""),45980.0)</f>
        <v>45980</v>
      </c>
      <c r="G1658" s="1430">
        <f>IFERROR(__xludf.DUMMYFUNCTION("""COMPUTED_VALUE"""),28.0)</f>
        <v>28</v>
      </c>
      <c r="H1658" s="94">
        <f t="shared" si="1"/>
        <v>10</v>
      </c>
    </row>
    <row r="1659" ht="15.75" customHeight="1">
      <c r="A1659" s="94" t="str">
        <f>IFERROR(__xludf.DUMMYFUNCTION("""COMPUTED_VALUE"""),"CM 1304")</f>
        <v>CM 1304</v>
      </c>
      <c r="B1659" s="94"/>
      <c r="C1659" s="94"/>
      <c r="D1659" s="94" t="str">
        <f>IFERROR(__xludf.DUMMYFUNCTION("""COMPUTED_VALUE"""),"3 Mar 1304 (Лот 311875)")</f>
        <v>3 Mar 1304 (Лот 311875)</v>
      </c>
      <c r="E1659" s="1436">
        <f>IFERROR(__xludf.DUMMYFUNCTION("""COMPUTED_VALUE"""),45952.0)</f>
        <v>45952</v>
      </c>
      <c r="F1659" s="1436">
        <f>IFERROR(__xludf.DUMMYFUNCTION("""COMPUTED_VALUE"""),45956.0)</f>
        <v>45956</v>
      </c>
      <c r="G1659" s="1430">
        <f>IFERROR(__xludf.DUMMYFUNCTION("""COMPUTED_VALUE"""),4.0)</f>
        <v>4</v>
      </c>
      <c r="H1659" s="94">
        <f t="shared" si="1"/>
        <v>10</v>
      </c>
    </row>
    <row r="1660" ht="15.75" customHeight="1">
      <c r="A1660" s="94" t="str">
        <f>IFERROR(__xludf.DUMMYFUNCTION("""COMPUTED_VALUE"""),"MZ 913")</f>
        <v>MZ 913</v>
      </c>
      <c r="B1660" s="94"/>
      <c r="C1660" s="94"/>
      <c r="D1660" s="94" t="str">
        <f>IFERROR(__xludf.DUMMYFUNCTION("""COMPUTED_VALUE"""),"3 MZ 718, 913 (Лот 269699)")</f>
        <v>3 MZ 718, 913 (Лот 269699)</v>
      </c>
      <c r="E1660" s="1436">
        <f>IFERROR(__xludf.DUMMYFUNCTION("""COMPUTED_VALUE"""),45951.0)</f>
        <v>45951</v>
      </c>
      <c r="F1660" s="1436">
        <f>IFERROR(__xludf.DUMMYFUNCTION("""COMPUTED_VALUE"""),45954.0)</f>
        <v>45954</v>
      </c>
      <c r="G1660" s="1430">
        <f>IFERROR(__xludf.DUMMYFUNCTION("""COMPUTED_VALUE"""),3.0)</f>
        <v>3</v>
      </c>
      <c r="H1660" s="94">
        <f t="shared" si="1"/>
        <v>10</v>
      </c>
    </row>
    <row r="1661" ht="15.75" customHeight="1">
      <c r="A1661" s="1164" t="str">
        <f>IFERROR(__xludf.DUMMYFUNCTION("""COMPUTED_VALUE"""),"WS A907")</f>
        <v>WS A907</v>
      </c>
      <c r="B1661" s="94"/>
      <c r="C1661" s="94"/>
      <c r="D1661" s="94" t="str">
        <f>IFERROR(__xludf.DUMMYFUNCTION("""COMPUTED_VALUE"""),"1 WS A 907 (Лот 233365)")</f>
        <v>1 WS A 907 (Лот 233365)</v>
      </c>
      <c r="E1661" s="1436">
        <f>IFERROR(__xludf.DUMMYFUNCTION("""COMPUTED_VALUE"""),45951.0)</f>
        <v>45951</v>
      </c>
      <c r="F1661" s="1439">
        <f>IFERROR(__xludf.DUMMYFUNCTION("""COMPUTED_VALUE"""),45961.0)</f>
        <v>45961</v>
      </c>
      <c r="G1661" s="1430">
        <f>IFERROR(__xludf.DUMMYFUNCTION("""COMPUTED_VALUE"""),10.0)</f>
        <v>10</v>
      </c>
      <c r="H1661" s="94">
        <f t="shared" si="1"/>
        <v>10</v>
      </c>
    </row>
    <row r="1662" ht="15.75" customHeight="1">
      <c r="A1662" s="94" t="str">
        <f>IFERROR(__xludf.DUMMYFUNCTION("""COMPUTED_VALUE"""),"CM 1604")</f>
        <v>CM 1604</v>
      </c>
      <c r="B1662" s="94"/>
      <c r="C1662" s="94"/>
      <c r="D1662" s="94" t="str">
        <f>IFERROR(__xludf.DUMMYFUNCTION("""COMPUTED_VALUE"""),"3 Mar 1604 (Лот 233303)")</f>
        <v>3 Mar 1604 (Лот 233303)</v>
      </c>
      <c r="E1662" s="1436">
        <f>IFERROR(__xludf.DUMMYFUNCTION("""COMPUTED_VALUE"""),45950.0)</f>
        <v>45950</v>
      </c>
      <c r="F1662" s="1439">
        <f>IFERROR(__xludf.DUMMYFUNCTION("""COMPUTED_VALUE"""),45953.0)</f>
        <v>45953</v>
      </c>
      <c r="G1662" s="1430">
        <f>IFERROR(__xludf.DUMMYFUNCTION("""COMPUTED_VALUE"""),3.0)</f>
        <v>3</v>
      </c>
      <c r="H1662" s="94">
        <f t="shared" si="1"/>
        <v>10</v>
      </c>
    </row>
    <row r="1663" ht="15.75" customHeight="1">
      <c r="A1663" s="94" t="str">
        <f>IFERROR(__xludf.DUMMYFUNCTION("""COMPUTED_VALUE"""),"шартава 16/18")</f>
        <v>шартава 16/18</v>
      </c>
      <c r="B1663" s="94"/>
      <c r="C1663" s="94"/>
      <c r="D1663" s="94"/>
      <c r="E1663" s="1429">
        <f>IFERROR(__xludf.DUMMYFUNCTION("""COMPUTED_VALUE"""),45955.0)</f>
        <v>45955</v>
      </c>
      <c r="F1663" s="1436">
        <f>IFERROR(__xludf.DUMMYFUNCTION("""COMPUTED_VALUE"""),45985.0)</f>
        <v>45985</v>
      </c>
      <c r="G1663" s="1430">
        <f>IFERROR(__xludf.DUMMYFUNCTION("""COMPUTED_VALUE"""),30.0)</f>
        <v>30</v>
      </c>
      <c r="H1663" s="94">
        <f t="shared" si="1"/>
        <v>10</v>
      </c>
    </row>
    <row r="1664" ht="15.75" customHeight="1">
      <c r="A1664" s="94" t="str">
        <f>IFERROR(__xludf.DUMMYFUNCTION("""COMPUTED_VALUE"""),"Pollo 2-2")</f>
        <v>Pollo 2-2</v>
      </c>
      <c r="B1664" s="94"/>
      <c r="C1664" s="94"/>
      <c r="D1664" s="94"/>
      <c r="E1664" s="1429">
        <f>IFERROR(__xludf.DUMMYFUNCTION("""COMPUTED_VALUE"""),45958.0)</f>
        <v>45958</v>
      </c>
      <c r="F1664" s="1429">
        <f>IFERROR(__xludf.DUMMYFUNCTION("""COMPUTED_VALUE"""),45988.0)</f>
        <v>45988</v>
      </c>
      <c r="G1664" s="1430">
        <f>IFERROR(__xludf.DUMMYFUNCTION("""COMPUTED_VALUE"""),30.0)</f>
        <v>30</v>
      </c>
      <c r="H1664" s="94">
        <f t="shared" si="1"/>
        <v>10</v>
      </c>
    </row>
    <row r="1665" ht="15.75" customHeight="1">
      <c r="A1665" s="94" t="str">
        <f>IFERROR(__xludf.DUMMYFUNCTION("""COMPUTED_VALUE"""),"CM 1604")</f>
        <v>CM 1604</v>
      </c>
      <c r="B1665" s="94"/>
      <c r="C1665" s="94"/>
      <c r="D1665" s="431" t="str">
        <f>IFERROR(__xludf.DUMMYFUNCTION("""COMPUTED_VALUE"""),"3 Mar 1604 (Лот 233303)")</f>
        <v>3 Mar 1604 (Лот 233303)</v>
      </c>
      <c r="E1665" s="1436">
        <f>IFERROR(__xludf.DUMMYFUNCTION("""COMPUTED_VALUE"""),45963.0)</f>
        <v>45963</v>
      </c>
      <c r="F1665" s="1439">
        <f>IFERROR(__xludf.DUMMYFUNCTION("""COMPUTED_VALUE"""),46008.0)</f>
        <v>46008</v>
      </c>
      <c r="G1665" s="1430">
        <f>IFERROR(__xludf.DUMMYFUNCTION("""COMPUTED_VALUE"""),45.0)</f>
        <v>45</v>
      </c>
      <c r="H1665" s="94">
        <f t="shared" si="1"/>
        <v>11</v>
      </c>
    </row>
    <row r="1666" ht="15.75" customHeight="1">
      <c r="A1666" s="1164" t="str">
        <f>IFERROR(__xludf.DUMMYFUNCTION("""COMPUTED_VALUE"""),"WS В 212")</f>
        <v>WS В 212</v>
      </c>
      <c r="B1666" s="94"/>
      <c r="C1666" s="94"/>
      <c r="D1666" s="431" t="str">
        <f>IFERROR(__xludf.DUMMYFUNCTION("""COMPUTED_VALUE"""),"1 WS B 212 (Лот 233391)")</f>
        <v>1 WS B 212 (Лот 233391)</v>
      </c>
      <c r="E1666" s="1436">
        <f>IFERROR(__xludf.DUMMYFUNCTION("""COMPUTED_VALUE"""),45963.0)</f>
        <v>45963</v>
      </c>
      <c r="F1666" s="1436">
        <f>IFERROR(__xludf.DUMMYFUNCTION("""COMPUTED_VALUE"""),45995.0)</f>
        <v>45995</v>
      </c>
      <c r="G1666" s="1430">
        <f>IFERROR(__xludf.DUMMYFUNCTION("""COMPUTED_VALUE"""),32.0)</f>
        <v>32</v>
      </c>
      <c r="H1666" s="94">
        <f t="shared" si="1"/>
        <v>11</v>
      </c>
    </row>
    <row r="1667" ht="15.75" customHeight="1">
      <c r="A1667" s="1164" t="str">
        <f>IFERROR(__xludf.DUMMYFUNCTION("""COMPUTED_VALUE"""),"DL 11-1305")</f>
        <v>DL 11-1305</v>
      </c>
      <c r="B1667" s="94"/>
      <c r="C1667" s="94"/>
      <c r="D1667" s="431" t="str">
        <f>IFERROR(__xludf.DUMMYFUNCTION("""COMPUTED_VALUE"""),"4 DL 11 - 1305 (1+1) (Лот 234970)")</f>
        <v>4 DL 11 - 1305 (1+1) (Лот 234970)</v>
      </c>
      <c r="E1667" s="1436">
        <f>IFERROR(__xludf.DUMMYFUNCTION("""COMPUTED_VALUE"""),45963.0)</f>
        <v>45963</v>
      </c>
      <c r="F1667" s="1436">
        <f>IFERROR(__xludf.DUMMYFUNCTION("""COMPUTED_VALUE"""),45991.0)</f>
        <v>45991</v>
      </c>
      <c r="G1667" s="1430">
        <f>IFERROR(__xludf.DUMMYFUNCTION("""COMPUTED_VALUE"""),28.0)</f>
        <v>28</v>
      </c>
      <c r="H1667" s="94">
        <f t="shared" si="1"/>
        <v>11</v>
      </c>
    </row>
    <row r="1668" ht="15.75" customHeight="1">
      <c r="A1668" s="1164" t="str">
        <f>IFERROR(__xludf.DUMMYFUNCTION("""COMPUTED_VALUE"""),"DL 4-09")</f>
        <v>DL 4-09</v>
      </c>
      <c r="B1668" s="94"/>
      <c r="C1668" s="94"/>
      <c r="D1668" s="431" t="str">
        <f>IFERROR(__xludf.DUMMYFUNCTION("""COMPUTED_VALUE"""),"4 DL 4 - 09 (Лот 233385)")</f>
        <v>4 DL 4 - 09 (Лот 233385)</v>
      </c>
      <c r="E1668" s="1436">
        <f>IFERROR(__xludf.DUMMYFUNCTION("""COMPUTED_VALUE"""),45963.0)</f>
        <v>45963</v>
      </c>
      <c r="F1668" s="1439">
        <f>IFERROR(__xludf.DUMMYFUNCTION("""COMPUTED_VALUE"""),45966.0)</f>
        <v>45966</v>
      </c>
      <c r="G1668" s="1430">
        <f>IFERROR(__xludf.DUMMYFUNCTION("""COMPUTED_VALUE"""),3.0)</f>
        <v>3</v>
      </c>
      <c r="H1668" s="94">
        <f t="shared" si="1"/>
        <v>11</v>
      </c>
    </row>
    <row r="1669" ht="15.75" customHeight="1">
      <c r="A1669" s="1164" t="str">
        <f>IFERROR(__xludf.DUMMYFUNCTION("""COMPUTED_VALUE"""),"WS E704")</f>
        <v>WS E704</v>
      </c>
      <c r="B1669" s="94"/>
      <c r="C1669" s="94"/>
      <c r="D1669" s="431" t="str">
        <f>IFERROR(__xludf.DUMMYFUNCTION("""COMPUTED_VALUE"""),"1 WS E 704 (Лот 233383)")</f>
        <v>1 WS E 704 (Лот 233383)</v>
      </c>
      <c r="E1669" s="1436">
        <f>IFERROR(__xludf.DUMMYFUNCTION("""COMPUTED_VALUE"""),45962.0)</f>
        <v>45962</v>
      </c>
      <c r="F1669" s="1436">
        <f>IFERROR(__xludf.DUMMYFUNCTION("""COMPUTED_VALUE"""),45996.0)</f>
        <v>45996</v>
      </c>
      <c r="G1669" s="1430">
        <f>IFERROR(__xludf.DUMMYFUNCTION("""COMPUTED_VALUE"""),34.0)</f>
        <v>34</v>
      </c>
      <c r="H1669" s="94">
        <f t="shared" si="1"/>
        <v>11</v>
      </c>
    </row>
    <row r="1670" ht="15.75" customHeight="1">
      <c r="A1670" s="94" t="str">
        <f>IFERROR(__xludf.DUMMYFUNCTION("""COMPUTED_VALUE"""),"PT2704")</f>
        <v>PT2704</v>
      </c>
      <c r="B1670" s="94"/>
      <c r="C1670" s="94"/>
      <c r="D1670" s="431" t="str">
        <f>IFERROR(__xludf.DUMMYFUNCTION("""COMPUTED_VALUE"""),"3 PB 2704 (Лот 265740)")</f>
        <v>3 PB 2704 (Лот 265740)</v>
      </c>
      <c r="E1670" s="1436">
        <f>IFERROR(__xludf.DUMMYFUNCTION("""COMPUTED_VALUE"""),45962.0)</f>
        <v>45962</v>
      </c>
      <c r="F1670" s="1436">
        <f>IFERROR(__xludf.DUMMYFUNCTION("""COMPUTED_VALUE"""),45966.0)</f>
        <v>45966</v>
      </c>
      <c r="G1670" s="1430">
        <f>IFERROR(__xludf.DUMMYFUNCTION("""COMPUTED_VALUE"""),4.0)</f>
        <v>4</v>
      </c>
      <c r="H1670" s="94">
        <f t="shared" si="1"/>
        <v>11</v>
      </c>
    </row>
    <row r="1671" ht="15.75" customHeight="1">
      <c r="A1671" s="1164" t="str">
        <f>IFERROR(__xludf.DUMMYFUNCTION("""COMPUTED_VALUE"""),"Steps1123")</f>
        <v>Steps1123</v>
      </c>
      <c r="B1671" s="94"/>
      <c r="C1671" s="94"/>
      <c r="D1671" s="431" t="str">
        <f>IFERROR(__xludf.DUMMYFUNCTION("""COMPUTED_VALUE"""),"1. Steps 1123 (Лот 247443)")</f>
        <v>1. Steps 1123 (Лот 247443)</v>
      </c>
      <c r="E1671" s="1436">
        <f>IFERROR(__xludf.DUMMYFUNCTION("""COMPUTED_VALUE"""),45962.0)</f>
        <v>45962</v>
      </c>
      <c r="F1671" s="1436">
        <f>IFERROR(__xludf.DUMMYFUNCTION("""COMPUTED_VALUE"""),45991.0)</f>
        <v>45991</v>
      </c>
      <c r="G1671" s="1430">
        <f>IFERROR(__xludf.DUMMYFUNCTION("""COMPUTED_VALUE"""),29.0)</f>
        <v>29</v>
      </c>
      <c r="H1671" s="94">
        <f t="shared" si="1"/>
        <v>11</v>
      </c>
    </row>
    <row r="1672" ht="15.75" customHeight="1">
      <c r="A1672" s="1164" t="str">
        <f>IFERROR(__xludf.DUMMYFUNCTION("""COMPUTED_VALUE"""),"WS Е804")</f>
        <v>WS Е804</v>
      </c>
      <c r="B1672" s="94"/>
      <c r="C1672" s="94"/>
      <c r="D1672" s="431" t="str">
        <f>IFERROR(__xludf.DUMMYFUNCTION("""COMPUTED_VALUE"""),"1 WS E 804 (Лот 233350)")</f>
        <v>1 WS E 804 (Лот 233350)</v>
      </c>
      <c r="E1672" s="1436">
        <f>IFERROR(__xludf.DUMMYFUNCTION("""COMPUTED_VALUE"""),45962.0)</f>
        <v>45962</v>
      </c>
      <c r="F1672" s="1436">
        <f>IFERROR(__xludf.DUMMYFUNCTION("""COMPUTED_VALUE"""),45966.0)</f>
        <v>45966</v>
      </c>
      <c r="G1672" s="1430">
        <f>IFERROR(__xludf.DUMMYFUNCTION("""COMPUTED_VALUE"""),4.0)</f>
        <v>4</v>
      </c>
      <c r="H1672" s="94">
        <f t="shared" si="1"/>
        <v>11</v>
      </c>
    </row>
    <row r="1673" ht="15.75" customHeight="1">
      <c r="A1673" s="94" t="str">
        <f>IFERROR(__xludf.DUMMYFUNCTION("""COMPUTED_VALUE"""),"NW 2-5")</f>
        <v>NW 2-5</v>
      </c>
      <c r="B1673" s="94"/>
      <c r="C1673" s="94"/>
      <c r="D1673" s="431" t="str">
        <f>IFERROR(__xludf.DUMMYFUNCTION("""COMPUTED_VALUE"""),"3 NW 205 (Лот 295811)")</f>
        <v>3 NW 205 (Лот 295811)</v>
      </c>
      <c r="E1673" s="1436">
        <f>IFERROR(__xludf.DUMMYFUNCTION("""COMPUTED_VALUE"""),45962.0)</f>
        <v>45962</v>
      </c>
      <c r="F1673" s="1436">
        <f>IFERROR(__xludf.DUMMYFUNCTION("""COMPUTED_VALUE"""),45991.0)</f>
        <v>45991</v>
      </c>
      <c r="G1673" s="1430">
        <f>IFERROR(__xludf.DUMMYFUNCTION("""COMPUTED_VALUE"""),29.0)</f>
        <v>29</v>
      </c>
      <c r="H1673" s="94">
        <f t="shared" si="1"/>
        <v>11</v>
      </c>
    </row>
    <row r="1674" ht="15.75" customHeight="1">
      <c r="A1674" s="94" t="str">
        <f>IFERROR(__xludf.DUMMYFUNCTION("""COMPUTED_VALUE"""),"TGB11")</f>
        <v>TGB11</v>
      </c>
      <c r="B1674" s="94"/>
      <c r="C1674" s="94"/>
      <c r="D1674" s="431" t="str">
        <f>IFERROR(__xludf.DUMMYFUNCTION("""COMPUTED_VALUE"""),"6 TG 2+1 с террасой (B 11) (Лот 268004)")</f>
        <v>6 TG 2+1 с террасой (B 11) (Лот 268004)</v>
      </c>
      <c r="E1674" s="1436">
        <f>IFERROR(__xludf.DUMMYFUNCTION("""COMPUTED_VALUE"""),45962.0)</f>
        <v>45962</v>
      </c>
      <c r="F1674" s="1439">
        <f>IFERROR(__xludf.DUMMYFUNCTION("""COMPUTED_VALUE"""),45992.0)</f>
        <v>45992</v>
      </c>
      <c r="G1674" s="1430">
        <f>IFERROR(__xludf.DUMMYFUNCTION("""COMPUTED_VALUE"""),30.0)</f>
        <v>30</v>
      </c>
      <c r="H1674" s="94">
        <f t="shared" si="1"/>
        <v>11</v>
      </c>
    </row>
    <row r="1675" ht="15.75" customHeight="1">
      <c r="A1675" s="94" t="str">
        <f>IFERROR(__xludf.DUMMYFUNCTION("""COMPUTED_VALUE"""),"MZ 913")</f>
        <v>MZ 913</v>
      </c>
      <c r="B1675" s="94"/>
      <c r="C1675" s="94"/>
      <c r="D1675" s="431" t="str">
        <f>IFERROR(__xludf.DUMMYFUNCTION("""COMPUTED_VALUE"""),"3 MZ 718, 913 (Лот 269699)")</f>
        <v>3 MZ 718, 913 (Лот 269699)</v>
      </c>
      <c r="E1675" s="1436">
        <f>IFERROR(__xludf.DUMMYFUNCTION("""COMPUTED_VALUE"""),45961.0)</f>
        <v>45961</v>
      </c>
      <c r="F1675" s="1436">
        <f>IFERROR(__xludf.DUMMYFUNCTION("""COMPUTED_VALUE"""),45969.0)</f>
        <v>45969</v>
      </c>
      <c r="G1675" s="1430">
        <f>IFERROR(__xludf.DUMMYFUNCTION("""COMPUTED_VALUE"""),8.0)</f>
        <v>8</v>
      </c>
      <c r="H1675" s="94">
        <f t="shared" si="1"/>
        <v>10</v>
      </c>
    </row>
    <row r="1676" ht="15.75" customHeight="1">
      <c r="A1676" s="94" t="str">
        <f>IFERROR(__xludf.DUMMYFUNCTION("""COMPUTED_VALUE"""),"TGA9")</f>
        <v>TGA9</v>
      </c>
      <c r="B1676" s="94"/>
      <c r="C1676" s="94"/>
      <c r="D1676" s="431" t="str">
        <f>IFERROR(__xludf.DUMMYFUNCTION("""COMPUTED_VALUE"""),"6 TG c 1 сп. блок А (А2, А4, А7, B8, A9) (Лот 263239)")</f>
        <v>6 TG c 1 сп. блок А (А2, А4, А7, B8, A9) (Лот 263239)</v>
      </c>
      <c r="E1676" s="1436">
        <f>IFERROR(__xludf.DUMMYFUNCTION("""COMPUTED_VALUE"""),45961.0)</f>
        <v>45961</v>
      </c>
      <c r="F1676" s="1436">
        <f>IFERROR(__xludf.DUMMYFUNCTION("""COMPUTED_VALUE"""),46032.0)</f>
        <v>46032</v>
      </c>
      <c r="G1676" s="1430">
        <f>IFERROR(__xludf.DUMMYFUNCTION("""COMPUTED_VALUE"""),71.0)</f>
        <v>71</v>
      </c>
      <c r="H1676" s="94">
        <f t="shared" si="1"/>
        <v>10</v>
      </c>
    </row>
    <row r="1677" ht="15.75" customHeight="1">
      <c r="A1677" s="94" t="str">
        <f>IFERROR(__xludf.DUMMYFUNCTION("""COMPUTED_VALUE"""),"DL7-16")</f>
        <v>DL7-16</v>
      </c>
      <c r="B1677" s="94"/>
      <c r="C1677" s="94"/>
      <c r="D1677" s="431" t="str">
        <f>IFERROR(__xludf.DUMMYFUNCTION("""COMPUTED_VALUE"""),"4 DL 7 - 16 (2+1) (Лот 284225)")</f>
        <v>4 DL 7 - 16 (2+1) (Лот 284225)</v>
      </c>
      <c r="E1677" s="1436">
        <f>IFERROR(__xludf.DUMMYFUNCTION("""COMPUTED_VALUE"""),45961.0)</f>
        <v>45961</v>
      </c>
      <c r="F1677" s="1439">
        <f>IFERROR(__xludf.DUMMYFUNCTION("""COMPUTED_VALUE"""),45970.0)</f>
        <v>45970</v>
      </c>
      <c r="G1677" s="1430">
        <f>IFERROR(__xludf.DUMMYFUNCTION("""COMPUTED_VALUE"""),9.0)</f>
        <v>9</v>
      </c>
      <c r="H1677" s="94">
        <f t="shared" si="1"/>
        <v>10</v>
      </c>
    </row>
    <row r="1678" ht="15.75" customHeight="1">
      <c r="A1678" s="1164" t="str">
        <f>IFERROR(__xludf.DUMMYFUNCTION("""COMPUTED_VALUE"""),"DL14-1405")</f>
        <v>DL14-1405</v>
      </c>
      <c r="B1678" s="94"/>
      <c r="C1678" s="94"/>
      <c r="D1678" s="431" t="str">
        <f>IFERROR(__xludf.DUMMYFUNCTION("""COMPUTED_VALUE"""),"4 DL 14 - 1405 (1+1) (Лот 233395)")</f>
        <v>4 DL 14 - 1405 (1+1) (Лот 233395)</v>
      </c>
      <c r="E1678" s="1439">
        <f>IFERROR(__xludf.DUMMYFUNCTION("""COMPUTED_VALUE"""),45961.0)</f>
        <v>45961</v>
      </c>
      <c r="F1678" s="1439">
        <f>IFERROR(__xludf.DUMMYFUNCTION("""COMPUTED_VALUE"""),45989.0)</f>
        <v>45989</v>
      </c>
      <c r="G1678" s="1430">
        <f>IFERROR(__xludf.DUMMYFUNCTION("""COMPUTED_VALUE"""),28.0)</f>
        <v>28</v>
      </c>
      <c r="H1678" s="94">
        <f t="shared" si="1"/>
        <v>10</v>
      </c>
    </row>
    <row r="1679" ht="15.75" customHeight="1">
      <c r="A1679" s="94" t="str">
        <f>IFERROR(__xludf.DUMMYFUNCTION("""COMPUTED_VALUE"""),"PT2604")</f>
        <v>PT2604</v>
      </c>
      <c r="B1679" s="94"/>
      <c r="C1679" s="94"/>
      <c r="D1679" s="431" t="str">
        <f>IFERROR(__xludf.DUMMYFUNCTION("""COMPUTED_VALUE"""),"3 PB 2604 (Лот 265736)")</f>
        <v>3 PB 2604 (Лот 265736)</v>
      </c>
      <c r="E1679" s="1439">
        <f>IFERROR(__xludf.DUMMYFUNCTION("""COMPUTED_VALUE"""),45961.0)</f>
        <v>45961</v>
      </c>
      <c r="F1679" s="1436">
        <f>IFERROR(__xludf.DUMMYFUNCTION("""COMPUTED_VALUE"""),45968.0)</f>
        <v>45968</v>
      </c>
      <c r="G1679" s="1430">
        <f>IFERROR(__xludf.DUMMYFUNCTION("""COMPUTED_VALUE"""),7.0)</f>
        <v>7</v>
      </c>
      <c r="H1679" s="94">
        <f t="shared" si="1"/>
        <v>10</v>
      </c>
    </row>
    <row r="1680" ht="15.75" customHeight="1">
      <c r="A1680" s="94" t="str">
        <f>IFERROR(__xludf.DUMMYFUNCTION("""COMPUTED_VALUE"""),"D1 3902")</f>
        <v>D1 3902</v>
      </c>
      <c r="B1680" s="94"/>
      <c r="C1680" s="94"/>
      <c r="D1680" s="431" t="str">
        <f>IFERROR(__xludf.DUMMYFUNCTION("""COMPUTED_VALUE"""),"2 Orbi D 3902 (Лот 293635)")</f>
        <v>2 Orbi D 3902 (Лот 293635)</v>
      </c>
      <c r="E1680" s="1439">
        <f>IFERROR(__xludf.DUMMYFUNCTION("""COMPUTED_VALUE"""),45961.0)</f>
        <v>45961</v>
      </c>
      <c r="F1680" s="1436">
        <f>IFERROR(__xludf.DUMMYFUNCTION("""COMPUTED_VALUE"""),45963.0)</f>
        <v>45963</v>
      </c>
      <c r="G1680" s="1430">
        <f>IFERROR(__xludf.DUMMYFUNCTION("""COMPUTED_VALUE"""),2.0)</f>
        <v>2</v>
      </c>
      <c r="H1680" s="94">
        <f t="shared" si="1"/>
        <v>10</v>
      </c>
    </row>
    <row r="1681" ht="15.75" customHeight="1">
      <c r="A1681" s="94" t="str">
        <f>IFERROR(__xludf.DUMMYFUNCTION("""COMPUTED_VALUE"""),"CM 1604")</f>
        <v>CM 1604</v>
      </c>
      <c r="B1681" s="94"/>
      <c r="C1681" s="94"/>
      <c r="D1681" s="431" t="str">
        <f>IFERROR(__xludf.DUMMYFUNCTION("""COMPUTED_VALUE"""),"3 Mar 1604 (Лот 233303)")</f>
        <v>3 Mar 1604 (Лот 233303)</v>
      </c>
      <c r="E1681" s="1439">
        <f>IFERROR(__xludf.DUMMYFUNCTION("""COMPUTED_VALUE"""),45960.0)</f>
        <v>45960</v>
      </c>
      <c r="F1681" s="1436">
        <f>IFERROR(__xludf.DUMMYFUNCTION("""COMPUTED_VALUE"""),45963.0)</f>
        <v>45963</v>
      </c>
      <c r="G1681" s="1430">
        <f>IFERROR(__xludf.DUMMYFUNCTION("""COMPUTED_VALUE"""),3.0)</f>
        <v>3</v>
      </c>
      <c r="H1681" s="94">
        <f t="shared" si="1"/>
        <v>10</v>
      </c>
    </row>
    <row r="1682" ht="15.75" customHeight="1">
      <c r="A1682" s="1164" t="str">
        <f>IFERROR(__xludf.DUMMYFUNCTION("""COMPUTED_VALUE"""),"WS A 608")</f>
        <v>WS A 608</v>
      </c>
      <c r="B1682" s="94"/>
      <c r="C1682" s="94"/>
      <c r="D1682" s="431" t="str">
        <f>IFERROR(__xludf.DUMMYFUNCTION("""COMPUTED_VALUE"""),"1 WS A 608 (Лот 233370)")</f>
        <v>1 WS A 608 (Лот 233370)</v>
      </c>
      <c r="E1682" s="1439">
        <f>IFERROR(__xludf.DUMMYFUNCTION("""COMPUTED_VALUE"""),45960.0)</f>
        <v>45960</v>
      </c>
      <c r="F1682" s="1439">
        <f>IFERROR(__xludf.DUMMYFUNCTION("""COMPUTED_VALUE"""),45991.0)</f>
        <v>45991</v>
      </c>
      <c r="G1682" s="1430">
        <f>IFERROR(__xludf.DUMMYFUNCTION("""COMPUTED_VALUE"""),31.0)</f>
        <v>31</v>
      </c>
      <c r="H1682" s="94">
        <f t="shared" si="1"/>
        <v>10</v>
      </c>
    </row>
    <row r="1683" ht="15.75" customHeight="1">
      <c r="A1683" s="94" t="str">
        <f>IFERROR(__xludf.DUMMYFUNCTION("""COMPUTED_VALUE"""),"MZ 718")</f>
        <v>MZ 718</v>
      </c>
      <c r="B1683" s="94"/>
      <c r="C1683" s="94"/>
      <c r="D1683" s="431" t="str">
        <f>IFERROR(__xludf.DUMMYFUNCTION("""COMPUTED_VALUE"""),"3 MZ 718, 913 (Лот 269699)")</f>
        <v>3 MZ 718, 913 (Лот 269699)</v>
      </c>
      <c r="E1683" s="1439">
        <f>IFERROR(__xludf.DUMMYFUNCTION("""COMPUTED_VALUE"""),45960.0)</f>
        <v>45960</v>
      </c>
      <c r="F1683" s="1436">
        <f>IFERROR(__xludf.DUMMYFUNCTION("""COMPUTED_VALUE"""),45964.0)</f>
        <v>45964</v>
      </c>
      <c r="G1683" s="1430">
        <f>IFERROR(__xludf.DUMMYFUNCTION("""COMPUTED_VALUE"""),4.0)</f>
        <v>4</v>
      </c>
      <c r="H1683" s="94">
        <f t="shared" si="1"/>
        <v>10</v>
      </c>
    </row>
    <row r="1684" ht="15.75" customHeight="1">
      <c r="A1684" s="94" t="str">
        <f>IFERROR(__xludf.DUMMYFUNCTION("""COMPUTED_VALUE"""),"PT2704")</f>
        <v>PT2704</v>
      </c>
      <c r="B1684" s="94"/>
      <c r="C1684" s="94"/>
      <c r="D1684" s="431" t="str">
        <f>IFERROR(__xludf.DUMMYFUNCTION("""COMPUTED_VALUE"""),"3 PB 2704 (Лот 265740)")</f>
        <v>3 PB 2704 (Лот 265740)</v>
      </c>
      <c r="E1684" s="1439">
        <f>IFERROR(__xludf.DUMMYFUNCTION("""COMPUTED_VALUE"""),45959.0)</f>
        <v>45959</v>
      </c>
      <c r="F1684" s="1436">
        <f>IFERROR(__xludf.DUMMYFUNCTION("""COMPUTED_VALUE"""),45962.0)</f>
        <v>45962</v>
      </c>
      <c r="G1684" s="1430">
        <f>IFERROR(__xludf.DUMMYFUNCTION("""COMPUTED_VALUE"""),3.0)</f>
        <v>3</v>
      </c>
      <c r="H1684" s="94">
        <f t="shared" si="1"/>
        <v>10</v>
      </c>
    </row>
    <row r="1685" ht="15.75" customHeight="1">
      <c r="A1685" s="1164" t="str">
        <f>IFERROR(__xludf.DUMMYFUNCTION("""COMPUTED_VALUE"""),"BV1318")</f>
        <v>BV1318</v>
      </c>
      <c r="B1685" s="94"/>
      <c r="C1685" s="94"/>
      <c r="D1685" s="431" t="str">
        <f>IFERROR(__xludf.DUMMYFUNCTION("""COMPUTED_VALUE"""),"1 BV 1318 (Лот 234845)")</f>
        <v>1 BV 1318 (Лот 234845)</v>
      </c>
      <c r="E1685" s="1439">
        <f>IFERROR(__xludf.DUMMYFUNCTION("""COMPUTED_VALUE"""),45959.0)</f>
        <v>45959</v>
      </c>
      <c r="F1685" s="1436">
        <f>IFERROR(__xludf.DUMMYFUNCTION("""COMPUTED_VALUE"""),45965.0)</f>
        <v>45965</v>
      </c>
      <c r="G1685" s="1430">
        <f>IFERROR(__xludf.DUMMYFUNCTION("""COMPUTED_VALUE"""),6.0)</f>
        <v>6</v>
      </c>
      <c r="H1685" s="94">
        <f t="shared" si="1"/>
        <v>10</v>
      </c>
    </row>
    <row r="1686" ht="15.75" customHeight="1">
      <c r="A1686" s="94" t="str">
        <f>IFERROR(__xludf.DUMMYFUNCTION("""COMPUTED_VALUE"""),"CM 1304")</f>
        <v>CM 1304</v>
      </c>
      <c r="B1686" s="94"/>
      <c r="C1686" s="94"/>
      <c r="D1686" s="431" t="str">
        <f>IFERROR(__xludf.DUMMYFUNCTION("""COMPUTED_VALUE"""),"3 Mar 1304 (Лот 311875)")</f>
        <v>3 Mar 1304 (Лот 311875)</v>
      </c>
      <c r="E1686" s="1439">
        <f>IFERROR(__xludf.DUMMYFUNCTION("""COMPUTED_VALUE"""),45959.0)</f>
        <v>45959</v>
      </c>
      <c r="F1686" s="1439">
        <f>IFERROR(__xludf.DUMMYFUNCTION("""COMPUTED_VALUE"""),45975.0)</f>
        <v>45975</v>
      </c>
      <c r="G1686" s="1430">
        <f>IFERROR(__xludf.DUMMYFUNCTION("""COMPUTED_VALUE"""),16.0)</f>
        <v>16</v>
      </c>
      <c r="H1686" s="94">
        <f t="shared" si="1"/>
        <v>10</v>
      </c>
    </row>
    <row r="1687" ht="15.75" customHeight="1">
      <c r="A1687" s="94" t="str">
        <f>IFERROR(__xludf.DUMMYFUNCTION("""COMPUTED_VALUE"""),"Polo 4-12")</f>
        <v>Polo 4-12</v>
      </c>
      <c r="B1687" s="94"/>
      <c r="C1687" s="94"/>
      <c r="D1687" s="94"/>
      <c r="E1687" s="1429">
        <f>IFERROR(__xludf.DUMMYFUNCTION("""COMPUTED_VALUE"""),45969.0)</f>
        <v>45969</v>
      </c>
      <c r="F1687" s="1429">
        <f>IFERROR(__xludf.DUMMYFUNCTION("""COMPUTED_VALUE"""),45998.0)</f>
        <v>45998</v>
      </c>
      <c r="G1687" s="1430">
        <f>IFERROR(__xludf.DUMMYFUNCTION("""COMPUTED_VALUE"""),29.0)</f>
        <v>29</v>
      </c>
      <c r="H1687" s="94">
        <f t="shared" si="1"/>
        <v>11</v>
      </c>
    </row>
    <row r="1688" ht="15.75" customHeight="1">
      <c r="A1688" s="94" t="str">
        <f>IFERROR(__xludf.DUMMYFUNCTION("""COMPUTED_VALUE"""),"MZ 913")</f>
        <v>MZ 913</v>
      </c>
      <c r="B1688" s="94"/>
      <c r="C1688" s="94"/>
      <c r="D1688" s="431" t="str">
        <f>IFERROR(__xludf.DUMMYFUNCTION("""COMPUTED_VALUE"""),"3 MZ 718, 913 (Лот 269699)")</f>
        <v>3 MZ 718, 913 (Лот 269699)</v>
      </c>
      <c r="E1688" s="1436">
        <f>IFERROR(__xludf.DUMMYFUNCTION("""COMPUTED_VALUE"""),45970.0)</f>
        <v>45970</v>
      </c>
      <c r="F1688" s="1439">
        <f>IFERROR(__xludf.DUMMYFUNCTION("""COMPUTED_VALUE"""),46000.0)</f>
        <v>46000</v>
      </c>
      <c r="G1688" s="1430">
        <f>IFERROR(__xludf.DUMMYFUNCTION("""COMPUTED_VALUE"""),30.0)</f>
        <v>30</v>
      </c>
      <c r="H1688" s="94">
        <f t="shared" si="1"/>
        <v>11</v>
      </c>
    </row>
    <row r="1689" ht="15.75" customHeight="1">
      <c r="A1689" s="1164" t="str">
        <f>IFERROR(__xludf.DUMMYFUNCTION("""COMPUTED_VALUE"""),"CM 1606")</f>
        <v>CM 1606</v>
      </c>
      <c r="B1689" s="94"/>
      <c r="C1689" s="94"/>
      <c r="D1689" s="431" t="str">
        <f>IFERROR(__xludf.DUMMYFUNCTION("""COMPUTED_VALUE"""),"3 Mar 1606 (Лот 233302)")</f>
        <v>3 Mar 1606 (Лот 233302)</v>
      </c>
      <c r="E1689" s="1436">
        <f>IFERROR(__xludf.DUMMYFUNCTION("""COMPUTED_VALUE"""),45970.0)</f>
        <v>45970</v>
      </c>
      <c r="F1689" s="1436">
        <f>IFERROR(__xludf.DUMMYFUNCTION("""COMPUTED_VALUE"""),45998.0)</f>
        <v>45998</v>
      </c>
      <c r="G1689" s="1430">
        <f>IFERROR(__xludf.DUMMYFUNCTION("""COMPUTED_VALUE"""),28.0)</f>
        <v>28</v>
      </c>
      <c r="H1689" s="94">
        <f t="shared" si="1"/>
        <v>11</v>
      </c>
    </row>
    <row r="1690" ht="15.75" customHeight="1">
      <c r="A1690" s="94" t="str">
        <f>IFERROR(__xludf.DUMMYFUNCTION("""COMPUTED_VALUE"""),"D1 3902")</f>
        <v>D1 3902</v>
      </c>
      <c r="B1690" s="94"/>
      <c r="C1690" s="94"/>
      <c r="D1690" s="431" t="str">
        <f>IFERROR(__xludf.DUMMYFUNCTION("""COMPUTED_VALUE"""),"2 Orbi D 3902 (Лот 293635)")</f>
        <v>2 Orbi D 3902 (Лот 293635)</v>
      </c>
      <c r="E1690" s="1436">
        <f>IFERROR(__xludf.DUMMYFUNCTION("""COMPUTED_VALUE"""),45970.0)</f>
        <v>45970</v>
      </c>
      <c r="F1690" s="1436">
        <f>IFERROR(__xludf.DUMMYFUNCTION("""COMPUTED_VALUE"""),45974.0)</f>
        <v>45974</v>
      </c>
      <c r="G1690" s="1430">
        <f>IFERROR(__xludf.DUMMYFUNCTION("""COMPUTED_VALUE"""),4.0)</f>
        <v>4</v>
      </c>
      <c r="H1690" s="94">
        <f t="shared" si="1"/>
        <v>11</v>
      </c>
    </row>
    <row r="1691" ht="15.75" customHeight="1">
      <c r="A1691" s="94" t="str">
        <f>IFERROR(__xludf.DUMMYFUNCTION("""COMPUTED_VALUE"""),"D2 503")</f>
        <v>D2 503</v>
      </c>
      <c r="B1691" s="94"/>
      <c r="C1691" s="94"/>
      <c r="D1691" s="431" t="str">
        <f>IFERROR(__xludf.DUMMYFUNCTION("""COMPUTED_VALUE"""),"2 Orbi D2 503 (Лот 291554)")</f>
        <v>2 Orbi D2 503 (Лот 291554)</v>
      </c>
      <c r="E1691" s="1436">
        <f>IFERROR(__xludf.DUMMYFUNCTION("""COMPUTED_VALUE"""),45969.0)</f>
        <v>45969</v>
      </c>
      <c r="F1691" s="1436">
        <f>IFERROR(__xludf.DUMMYFUNCTION("""COMPUTED_VALUE"""),45998.0)</f>
        <v>45998</v>
      </c>
      <c r="G1691" s="1430">
        <f>IFERROR(__xludf.DUMMYFUNCTION("""COMPUTED_VALUE"""),29.0)</f>
        <v>29</v>
      </c>
      <c r="H1691" s="94">
        <f t="shared" si="1"/>
        <v>11</v>
      </c>
    </row>
    <row r="1692" ht="15.75" customHeight="1">
      <c r="A1692" s="94" t="str">
        <f>IFERROR(__xludf.DUMMYFUNCTION("""COMPUTED_VALUE"""),"PT2604")</f>
        <v>PT2604</v>
      </c>
      <c r="B1692" s="94"/>
      <c r="C1692" s="94"/>
      <c r="D1692" s="431" t="str">
        <f>IFERROR(__xludf.DUMMYFUNCTION("""COMPUTED_VALUE"""),"3 PB 2604 (Лот 265736)")</f>
        <v>3 PB 2604 (Лот 265736)</v>
      </c>
      <c r="E1692" s="1436">
        <f>IFERROR(__xludf.DUMMYFUNCTION("""COMPUTED_VALUE"""),45969.0)</f>
        <v>45969</v>
      </c>
      <c r="F1692" s="1439">
        <f>IFERROR(__xludf.DUMMYFUNCTION("""COMPUTED_VALUE"""),45974.0)</f>
        <v>45974</v>
      </c>
      <c r="G1692" s="1430">
        <f>IFERROR(__xludf.DUMMYFUNCTION("""COMPUTED_VALUE"""),5.0)</f>
        <v>5</v>
      </c>
      <c r="H1692" s="94">
        <f t="shared" si="1"/>
        <v>11</v>
      </c>
    </row>
    <row r="1693" ht="15.75" customHeight="1">
      <c r="A1693" s="1164" t="str">
        <f>IFERROR(__xludf.DUMMYFUNCTION("""COMPUTED_VALUE"""),"WS A907")</f>
        <v>WS A907</v>
      </c>
      <c r="B1693" s="94"/>
      <c r="C1693" s="94"/>
      <c r="D1693" s="431" t="str">
        <f>IFERROR(__xludf.DUMMYFUNCTION("""COMPUTED_VALUE"""),"1 WS A 907 (Лот 233365)")</f>
        <v>1 WS A 907 (Лот 233365)</v>
      </c>
      <c r="E1693" s="1436">
        <f>IFERROR(__xludf.DUMMYFUNCTION("""COMPUTED_VALUE"""),45969.0)</f>
        <v>45969</v>
      </c>
      <c r="F1693" s="1436">
        <f>IFERROR(__xludf.DUMMYFUNCTION("""COMPUTED_VALUE"""),45972.0)</f>
        <v>45972</v>
      </c>
      <c r="G1693" s="1430">
        <f>IFERROR(__xludf.DUMMYFUNCTION("""COMPUTED_VALUE"""),3.0)</f>
        <v>3</v>
      </c>
      <c r="H1693" s="94">
        <f t="shared" si="1"/>
        <v>11</v>
      </c>
    </row>
    <row r="1694" ht="15.75" customHeight="1">
      <c r="A1694" s="1164" t="str">
        <f>IFERROR(__xludf.DUMMYFUNCTION("""COMPUTED_VALUE"""),"WS В 503")</f>
        <v>WS В 503</v>
      </c>
      <c r="B1694" s="94"/>
      <c r="C1694" s="94"/>
      <c r="D1694" s="431" t="str">
        <f>IFERROR(__xludf.DUMMYFUNCTION("""COMPUTED_VALUE"""),"1 WS B 503 (Лот 233403)")</f>
        <v>1 WS B 503 (Лот 233403)</v>
      </c>
      <c r="E1694" s="1436">
        <f>IFERROR(__xludf.DUMMYFUNCTION("""COMPUTED_VALUE"""),45967.0)</f>
        <v>45967</v>
      </c>
      <c r="F1694" s="1436">
        <f>IFERROR(__xludf.DUMMYFUNCTION("""COMPUTED_VALUE"""),45991.0)</f>
        <v>45991</v>
      </c>
      <c r="G1694" s="1430">
        <f>IFERROR(__xludf.DUMMYFUNCTION("""COMPUTED_VALUE"""),24.0)</f>
        <v>24</v>
      </c>
      <c r="H1694" s="94">
        <f t="shared" si="1"/>
        <v>11</v>
      </c>
    </row>
    <row r="1695" ht="15.75" customHeight="1">
      <c r="A1695" s="94" t="str">
        <f>IFERROR(__xludf.DUMMYFUNCTION("""COMPUTED_VALUE"""),"PT2704")</f>
        <v>PT2704</v>
      </c>
      <c r="B1695" s="94"/>
      <c r="C1695" s="94"/>
      <c r="D1695" s="431" t="str">
        <f>IFERROR(__xludf.DUMMYFUNCTION("""COMPUTED_VALUE"""),"3 PB 2704 (Лот 265740)")</f>
        <v>3 PB 2704 (Лот 265740)</v>
      </c>
      <c r="E1695" s="1436">
        <f>IFERROR(__xludf.DUMMYFUNCTION("""COMPUTED_VALUE"""),45966.0)</f>
        <v>45966</v>
      </c>
      <c r="F1695" s="1436">
        <f>IFERROR(__xludf.DUMMYFUNCTION("""COMPUTED_VALUE"""),45969.0)</f>
        <v>45969</v>
      </c>
      <c r="G1695" s="1430">
        <f>IFERROR(__xludf.DUMMYFUNCTION("""COMPUTED_VALUE"""),3.0)</f>
        <v>3</v>
      </c>
      <c r="H1695" s="94">
        <f t="shared" si="1"/>
        <v>11</v>
      </c>
    </row>
    <row r="1696" ht="15.75" customHeight="1">
      <c r="A1696" s="1164" t="str">
        <f>IFERROR(__xludf.DUMMYFUNCTION("""COMPUTED_VALUE"""),"BV1318")</f>
        <v>BV1318</v>
      </c>
      <c r="B1696" s="94"/>
      <c r="C1696" s="94"/>
      <c r="D1696" s="431" t="str">
        <f>IFERROR(__xludf.DUMMYFUNCTION("""COMPUTED_VALUE"""),"1 BV 1318 (Лот 234845)")</f>
        <v>1 BV 1318 (Лот 234845)</v>
      </c>
      <c r="E1696" s="1436">
        <f>IFERROR(__xludf.DUMMYFUNCTION("""COMPUTED_VALUE"""),45966.0)</f>
        <v>45966</v>
      </c>
      <c r="F1696" s="1436">
        <f>IFERROR(__xludf.DUMMYFUNCTION("""COMPUTED_VALUE"""),45969.0)</f>
        <v>45969</v>
      </c>
      <c r="G1696" s="1430">
        <f>IFERROR(__xludf.DUMMYFUNCTION("""COMPUTED_VALUE"""),3.0)</f>
        <v>3</v>
      </c>
      <c r="H1696" s="94">
        <f t="shared" si="1"/>
        <v>11</v>
      </c>
    </row>
    <row r="1697" ht="15.75" customHeight="1">
      <c r="A1697" s="94" t="str">
        <f>IFERROR(__xludf.DUMMYFUNCTION("""COMPUTED_VALUE"""),"TGA1")</f>
        <v>TGA1</v>
      </c>
      <c r="B1697" s="94"/>
      <c r="C1697" s="94"/>
      <c r="D1697" s="431" t="str">
        <f>IFERROR(__xludf.DUMMYFUNCTION("""COMPUTED_VALUE"""),"6 TG С 2 сп. блок А (А1, А10) (Лот 268000)")</f>
        <v>6 TG С 2 сп. блок А (А1, А10) (Лот 268000)</v>
      </c>
      <c r="E1697" s="1436">
        <f>IFERROR(__xludf.DUMMYFUNCTION("""COMPUTED_VALUE"""),45966.0)</f>
        <v>45966</v>
      </c>
      <c r="F1697" s="1436">
        <f>IFERROR(__xludf.DUMMYFUNCTION("""COMPUTED_VALUE"""),45996.0)</f>
        <v>45996</v>
      </c>
      <c r="G1697" s="1430">
        <f>IFERROR(__xludf.DUMMYFUNCTION("""COMPUTED_VALUE"""),30.0)</f>
        <v>30</v>
      </c>
      <c r="H1697" s="94">
        <f t="shared" si="1"/>
        <v>11</v>
      </c>
    </row>
    <row r="1698" ht="15.75" customHeight="1">
      <c r="A1698" s="1164" t="str">
        <f>IFERROR(__xludf.DUMMYFUNCTION("""COMPUTED_VALUE"""),"CM 1606")</f>
        <v>CM 1606</v>
      </c>
      <c r="B1698" s="94"/>
      <c r="C1698" s="94"/>
      <c r="D1698" s="431" t="str">
        <f>IFERROR(__xludf.DUMMYFUNCTION("""COMPUTED_VALUE"""),"3 Mar 1606 (Лот 233302)")</f>
        <v>3 Mar 1606 (Лот 233302)</v>
      </c>
      <c r="E1698" s="1436">
        <f>IFERROR(__xludf.DUMMYFUNCTION("""COMPUTED_VALUE"""),45965.0)</f>
        <v>45965</v>
      </c>
      <c r="F1698" s="1436">
        <f>IFERROR(__xludf.DUMMYFUNCTION("""COMPUTED_VALUE"""),45968.0)</f>
        <v>45968</v>
      </c>
      <c r="G1698" s="1430">
        <f>IFERROR(__xludf.DUMMYFUNCTION("""COMPUTED_VALUE"""),3.0)</f>
        <v>3</v>
      </c>
      <c r="H1698" s="94">
        <f t="shared" si="1"/>
        <v>11</v>
      </c>
    </row>
    <row r="1699" ht="15.75" customHeight="1">
      <c r="A1699" s="94" t="str">
        <f>IFERROR(__xludf.DUMMYFUNCTION("""COMPUTED_VALUE"""),"MZ 718")</f>
        <v>MZ 718</v>
      </c>
      <c r="B1699" s="94"/>
      <c r="C1699" s="94"/>
      <c r="D1699" s="431" t="str">
        <f>IFERROR(__xludf.DUMMYFUNCTION("""COMPUTED_VALUE"""),"3 MZ 718, 913 (Лот 269699)")</f>
        <v>3 MZ 718, 913 (Лот 269699)</v>
      </c>
      <c r="E1699" s="1436">
        <f>IFERROR(__xludf.DUMMYFUNCTION("""COMPUTED_VALUE"""),45965.0)</f>
        <v>45965</v>
      </c>
      <c r="F1699" s="1439">
        <f>IFERROR(__xludf.DUMMYFUNCTION("""COMPUTED_VALUE"""),45995.0)</f>
        <v>45995</v>
      </c>
      <c r="G1699" s="1430">
        <f>IFERROR(__xludf.DUMMYFUNCTION("""COMPUTED_VALUE"""),30.0)</f>
        <v>30</v>
      </c>
      <c r="H1699" s="94">
        <f t="shared" si="1"/>
        <v>11</v>
      </c>
    </row>
    <row r="1700" ht="15.75" customHeight="1">
      <c r="A1700" s="1164" t="str">
        <f>IFERROR(__xludf.DUMMYFUNCTION("""COMPUTED_VALUE"""),"WS F 907")</f>
        <v>WS F 907</v>
      </c>
      <c r="B1700" s="94"/>
      <c r="C1700" s="94"/>
      <c r="D1700" s="431" t="str">
        <f>IFERROR(__xludf.DUMMYFUNCTION("""COMPUTED_VALUE"""),"1 WS F 907 (Лот 233314)")</f>
        <v>1 WS F 907 (Лот 233314)</v>
      </c>
      <c r="E1700" s="1436">
        <f>IFERROR(__xludf.DUMMYFUNCTION("""COMPUTED_VALUE"""),45964.0)</f>
        <v>45964</v>
      </c>
      <c r="F1700" s="1436">
        <f>IFERROR(__xludf.DUMMYFUNCTION("""COMPUTED_VALUE"""),45970.0)</f>
        <v>45970</v>
      </c>
      <c r="G1700" s="1430">
        <f>IFERROR(__xludf.DUMMYFUNCTION("""COMPUTED_VALUE"""),6.0)</f>
        <v>6</v>
      </c>
      <c r="H1700" s="94">
        <f t="shared" si="1"/>
        <v>11</v>
      </c>
    </row>
    <row r="1701" ht="15.75" customHeight="1">
      <c r="A1701" s="94" t="str">
        <f>IFERROR(__xludf.DUMMYFUNCTION("""COMPUTED_VALUE"""),"А 4049")</f>
        <v>А 4049</v>
      </c>
      <c r="B1701" s="94"/>
      <c r="C1701" s="94"/>
      <c r="D1701" s="431" t="str">
        <f>IFERROR(__xludf.DUMMYFUNCTION("""COMPUTED_VALUE"""),"2 Orbi A 4049 (Лот 233324)")</f>
        <v>2 Orbi A 4049 (Лот 233324)</v>
      </c>
      <c r="E1701" s="1436">
        <f>IFERROR(__xludf.DUMMYFUNCTION("""COMPUTED_VALUE"""),45964.0)</f>
        <v>45964</v>
      </c>
      <c r="F1701" s="1436">
        <f>IFERROR(__xludf.DUMMYFUNCTION("""COMPUTED_VALUE"""),45993.0)</f>
        <v>45993</v>
      </c>
      <c r="G1701" s="1430">
        <f>IFERROR(__xludf.DUMMYFUNCTION("""COMPUTED_VALUE"""),29.0)</f>
        <v>29</v>
      </c>
      <c r="H1701" s="94">
        <f t="shared" si="1"/>
        <v>11</v>
      </c>
    </row>
    <row r="1702" ht="15.75" customHeight="1">
      <c r="A1702" s="94" t="str">
        <f>IFERROR(__xludf.DUMMYFUNCTION("""COMPUTED_VALUE"""),"Пиросмани 162")</f>
        <v>Пиросмани 162</v>
      </c>
      <c r="B1702" s="94"/>
      <c r="C1702" s="94"/>
      <c r="D1702" s="94"/>
      <c r="E1702" s="1429">
        <f>IFERROR(__xludf.DUMMYFUNCTION("""COMPUTED_VALUE"""),45971.0)</f>
        <v>45971</v>
      </c>
      <c r="F1702" s="1429">
        <f>IFERROR(__xludf.DUMMYFUNCTION("""COMPUTED_VALUE"""),46000.0)</f>
        <v>46000</v>
      </c>
      <c r="G1702" s="1430">
        <f>IFERROR(__xludf.DUMMYFUNCTION("""COMPUTED_VALUE"""),29.0)</f>
        <v>29</v>
      </c>
      <c r="H1702" s="94">
        <f t="shared" si="1"/>
        <v>11</v>
      </c>
    </row>
    <row r="1703" ht="15.75" customHeight="1">
      <c r="A1703" s="94" t="str">
        <f>IFERROR(__xludf.DUMMYFUNCTION("""COMPUTED_VALUE"""),"NA  316")</f>
        <v>NA  316</v>
      </c>
      <c r="B1703" s="94"/>
      <c r="C1703" s="94"/>
      <c r="D1703" s="94"/>
      <c r="E1703" s="1433">
        <f>IFERROR(__xludf.DUMMYFUNCTION("""COMPUTED_VALUE"""),45975.0)</f>
        <v>45975</v>
      </c>
      <c r="F1703" s="1435">
        <f>IFERROR(__xludf.DUMMYFUNCTION("""COMPUTED_VALUE"""),46004.0)</f>
        <v>46004</v>
      </c>
      <c r="G1703" s="1430">
        <f>IFERROR(__xludf.DUMMYFUNCTION("""COMPUTED_VALUE"""),29.0)</f>
        <v>29</v>
      </c>
      <c r="H1703" s="94">
        <f t="shared" si="1"/>
        <v>11</v>
      </c>
    </row>
    <row r="1704" ht="15.75" customHeight="1">
      <c r="A1704" s="94" t="str">
        <f>IFERROR(__xludf.DUMMYFUNCTION("""COMPUTED_VALUE"""),"D1 3902")</f>
        <v>D1 3902</v>
      </c>
      <c r="B1704" s="94"/>
      <c r="C1704" s="94"/>
      <c r="D1704" s="431" t="str">
        <f>IFERROR(__xludf.DUMMYFUNCTION("""COMPUTED_VALUE"""),"2 Orbi D 3902 (Лот 293635)")</f>
        <v>2 Orbi D 3902 (Лот 293635)</v>
      </c>
      <c r="E1704" s="1436">
        <f>IFERROR(__xludf.DUMMYFUNCTION("""COMPUTED_VALUE"""),45977.0)</f>
        <v>45977</v>
      </c>
      <c r="F1704" s="1439">
        <f>IFERROR(__xludf.DUMMYFUNCTION("""COMPUTED_VALUE"""),45979.0)</f>
        <v>45979</v>
      </c>
      <c r="G1704" s="1430">
        <f>IFERROR(__xludf.DUMMYFUNCTION("""COMPUTED_VALUE"""),2.0)</f>
        <v>2</v>
      </c>
      <c r="H1704" s="94">
        <f t="shared" si="1"/>
        <v>11</v>
      </c>
    </row>
    <row r="1705" ht="15.75" customHeight="1">
      <c r="A1705" s="1164" t="str">
        <f>IFERROR(__xludf.DUMMYFUNCTION("""COMPUTED_VALUE"""),"BV1318")</f>
        <v>BV1318</v>
      </c>
      <c r="B1705" s="94"/>
      <c r="C1705" s="94"/>
      <c r="D1705" s="431" t="str">
        <f>IFERROR(__xludf.DUMMYFUNCTION("""COMPUTED_VALUE"""),"1 BV 1318 (Лот 234845)")</f>
        <v>1 BV 1318 (Лот 234845)</v>
      </c>
      <c r="E1705" s="1436">
        <f>IFERROR(__xludf.DUMMYFUNCTION("""COMPUTED_VALUE"""),45976.0)</f>
        <v>45976</v>
      </c>
      <c r="F1705" s="1436">
        <f>IFERROR(__xludf.DUMMYFUNCTION("""COMPUTED_VALUE"""),45978.0)</f>
        <v>45978</v>
      </c>
      <c r="G1705" s="1430">
        <f>IFERROR(__xludf.DUMMYFUNCTION("""COMPUTED_VALUE"""),2.0)</f>
        <v>2</v>
      </c>
      <c r="H1705" s="94">
        <f t="shared" si="1"/>
        <v>11</v>
      </c>
    </row>
    <row r="1706" ht="15.75" customHeight="1">
      <c r="A1706" s="94" t="str">
        <f>IFERROR(__xludf.DUMMYFUNCTION("""COMPUTED_VALUE"""),"DL7-16")</f>
        <v>DL7-16</v>
      </c>
      <c r="B1706" s="94"/>
      <c r="C1706" s="94"/>
      <c r="D1706" s="431" t="str">
        <f>IFERROR(__xludf.DUMMYFUNCTION("""COMPUTED_VALUE"""),"4 DL 7 - 16 (2+1) (Лот 284225)")</f>
        <v>4 DL 7 - 16 (2+1) (Лот 284225)</v>
      </c>
      <c r="E1706" s="1436">
        <f>IFERROR(__xludf.DUMMYFUNCTION("""COMPUTED_VALUE"""),45976.0)</f>
        <v>45976</v>
      </c>
      <c r="F1706" s="1436">
        <f>IFERROR(__xludf.DUMMYFUNCTION("""COMPUTED_VALUE"""),46022.0)</f>
        <v>46022</v>
      </c>
      <c r="G1706" s="1430">
        <f>IFERROR(__xludf.DUMMYFUNCTION("""COMPUTED_VALUE"""),46.0)</f>
        <v>46</v>
      </c>
      <c r="H1706" s="94">
        <f t="shared" si="1"/>
        <v>11</v>
      </c>
    </row>
    <row r="1707" ht="15.75" customHeight="1">
      <c r="A1707" s="94" t="str">
        <f>IFERROR(__xludf.DUMMYFUNCTION("""COMPUTED_VALUE"""),"PT2604")</f>
        <v>PT2604</v>
      </c>
      <c r="B1707" s="94"/>
      <c r="C1707" s="94"/>
      <c r="D1707" s="431" t="str">
        <f>IFERROR(__xludf.DUMMYFUNCTION("""COMPUTED_VALUE"""),"3 PB 2604 (Лот 265736)")</f>
        <v>3 PB 2604 (Лот 265736)</v>
      </c>
      <c r="E1707" s="1436">
        <f>IFERROR(__xludf.DUMMYFUNCTION("""COMPUTED_VALUE"""),45976.0)</f>
        <v>45976</v>
      </c>
      <c r="F1707" s="1439">
        <f>IFERROR(__xludf.DUMMYFUNCTION("""COMPUTED_VALUE"""),45983.0)</f>
        <v>45983</v>
      </c>
      <c r="G1707" s="1430">
        <f>IFERROR(__xludf.DUMMYFUNCTION("""COMPUTED_VALUE"""),7.0)</f>
        <v>7</v>
      </c>
      <c r="H1707" s="94">
        <f t="shared" si="1"/>
        <v>11</v>
      </c>
    </row>
    <row r="1708" ht="15.75" customHeight="1">
      <c r="A1708" s="94" t="str">
        <f>IFERROR(__xludf.DUMMYFUNCTION("""COMPUTED_VALUE"""),"TGA3")</f>
        <v>TGA3</v>
      </c>
      <c r="B1708" s="94"/>
      <c r="C1708" s="94"/>
      <c r="D1708" s="431" t="str">
        <f>IFERROR(__xludf.DUMMYFUNCTION("""COMPUTED_VALUE"""),"6 TG Студия с видом на море А3, А5, А6, А8 (Лот 268012)")</f>
        <v>6 TG Студия с видом на море А3, А5, А6, А8 (Лот 268012)</v>
      </c>
      <c r="E1708" s="1436">
        <f>IFERROR(__xludf.DUMMYFUNCTION("""COMPUTED_VALUE"""),45976.0)</f>
        <v>45976</v>
      </c>
      <c r="F1708" s="1439">
        <f>IFERROR(__xludf.DUMMYFUNCTION("""COMPUTED_VALUE"""),46006.0)</f>
        <v>46006</v>
      </c>
      <c r="G1708" s="1430">
        <f>IFERROR(__xludf.DUMMYFUNCTION("""COMPUTED_VALUE"""),30.0)</f>
        <v>30</v>
      </c>
      <c r="H1708" s="94">
        <f t="shared" si="1"/>
        <v>11</v>
      </c>
    </row>
    <row r="1709" ht="15.75" customHeight="1">
      <c r="A1709" s="94" t="str">
        <f>IFERROR(__xludf.DUMMYFUNCTION("""COMPUTED_VALUE"""),"CM 1304")</f>
        <v>CM 1304</v>
      </c>
      <c r="B1709" s="94"/>
      <c r="C1709" s="94"/>
      <c r="D1709" s="431" t="str">
        <f>IFERROR(__xludf.DUMMYFUNCTION("""COMPUTED_VALUE"""),"3 Mar 1304 (Лот 311875)")</f>
        <v>3 Mar 1304 (Лот 311875)</v>
      </c>
      <c r="E1709" s="1436">
        <f>IFERROR(__xludf.DUMMYFUNCTION("""COMPUTED_VALUE"""),45975.0)</f>
        <v>45975</v>
      </c>
      <c r="F1709" s="1436">
        <f>IFERROR(__xludf.DUMMYFUNCTION("""COMPUTED_VALUE"""),45978.0)</f>
        <v>45978</v>
      </c>
      <c r="G1709" s="1430">
        <f>IFERROR(__xludf.DUMMYFUNCTION("""COMPUTED_VALUE"""),3.0)</f>
        <v>3</v>
      </c>
      <c r="H1709" s="94">
        <f t="shared" si="1"/>
        <v>11</v>
      </c>
    </row>
    <row r="1710" ht="15.75" customHeight="1">
      <c r="A1710" s="94" t="str">
        <f>IFERROR(__xludf.DUMMYFUNCTION("""COMPUTED_VALUE"""),"NW 3-7")</f>
        <v>NW 3-7</v>
      </c>
      <c r="B1710" s="94"/>
      <c r="C1710" s="94"/>
      <c r="D1710" s="431" t="str">
        <f>IFERROR(__xludf.DUMMYFUNCTION("""COMPUTED_VALUE"""),"3 NW 307 (Лот 289960)")</f>
        <v>3 NW 307 (Лот 289960)</v>
      </c>
      <c r="E1710" s="1436">
        <f>IFERROR(__xludf.DUMMYFUNCTION("""COMPUTED_VALUE"""),45975.0)</f>
        <v>45975</v>
      </c>
      <c r="F1710" s="1436">
        <f>IFERROR(__xludf.DUMMYFUNCTION("""COMPUTED_VALUE"""),46005.0)</f>
        <v>46005</v>
      </c>
      <c r="G1710" s="1430">
        <f>IFERROR(__xludf.DUMMYFUNCTION("""COMPUTED_VALUE"""),30.0)</f>
        <v>30</v>
      </c>
      <c r="H1710" s="94">
        <f t="shared" si="1"/>
        <v>11</v>
      </c>
    </row>
    <row r="1711" ht="15.75" customHeight="1">
      <c r="A1711" s="94" t="str">
        <f>IFERROR(__xludf.DUMMYFUNCTION("""COMPUTED_VALUE"""),"D1 3902")</f>
        <v>D1 3902</v>
      </c>
      <c r="B1711" s="94"/>
      <c r="C1711" s="94"/>
      <c r="D1711" s="431" t="str">
        <f>IFERROR(__xludf.DUMMYFUNCTION("""COMPUTED_VALUE"""),"2 Orbi D 3902 (Лот 293635)")</f>
        <v>2 Orbi D 3902 (Лот 293635)</v>
      </c>
      <c r="E1711" s="1436">
        <f>IFERROR(__xludf.DUMMYFUNCTION("""COMPUTED_VALUE"""),45974.0)</f>
        <v>45974</v>
      </c>
      <c r="F1711" s="1436">
        <f>IFERROR(__xludf.DUMMYFUNCTION("""COMPUTED_VALUE"""),45977.0)</f>
        <v>45977</v>
      </c>
      <c r="G1711" s="1430">
        <f>IFERROR(__xludf.DUMMYFUNCTION("""COMPUTED_VALUE"""),3.0)</f>
        <v>3</v>
      </c>
      <c r="H1711" s="94">
        <f t="shared" si="1"/>
        <v>11</v>
      </c>
    </row>
    <row r="1712" ht="15.75" customHeight="1">
      <c r="A1712" s="1164" t="str">
        <f>IFERROR(__xludf.DUMMYFUNCTION("""COMPUTED_VALUE"""),"BV1318")</f>
        <v>BV1318</v>
      </c>
      <c r="B1712" s="94"/>
      <c r="C1712" s="94"/>
      <c r="D1712" s="431" t="str">
        <f>IFERROR(__xludf.DUMMYFUNCTION("""COMPUTED_VALUE"""),"1 BV 1318 (Лот 234845)")</f>
        <v>1 BV 1318 (Лот 234845)</v>
      </c>
      <c r="E1712" s="1436">
        <f>IFERROR(__xludf.DUMMYFUNCTION("""COMPUTED_VALUE"""),45973.0)</f>
        <v>45973</v>
      </c>
      <c r="F1712" s="1439">
        <f>IFERROR(__xludf.DUMMYFUNCTION("""COMPUTED_VALUE"""),45976.0)</f>
        <v>45976</v>
      </c>
      <c r="G1712" s="1430">
        <f>IFERROR(__xludf.DUMMYFUNCTION("""COMPUTED_VALUE"""),3.0)</f>
        <v>3</v>
      </c>
      <c r="H1712" s="94">
        <f t="shared" si="1"/>
        <v>11</v>
      </c>
    </row>
    <row r="1713" ht="15.75" customHeight="1">
      <c r="A1713" s="1164" t="str">
        <f>IFERROR(__xludf.DUMMYFUNCTION("""COMPUTED_VALUE"""),"D2 1625")</f>
        <v>D2 1625</v>
      </c>
      <c r="B1713" s="94"/>
      <c r="C1713" s="94"/>
      <c r="D1713" s="431" t="str">
        <f>IFERROR(__xludf.DUMMYFUNCTION("""COMPUTED_VALUE"""),"2 Orbi D2 1625 (Лот 233308)")</f>
        <v>2 Orbi D2 1625 (Лот 233308)</v>
      </c>
      <c r="E1713" s="1436">
        <f>IFERROR(__xludf.DUMMYFUNCTION("""COMPUTED_VALUE"""),45973.0)</f>
        <v>45973</v>
      </c>
      <c r="F1713" s="1436">
        <f>IFERROR(__xludf.DUMMYFUNCTION("""COMPUTED_VALUE"""),45976.0)</f>
        <v>45976</v>
      </c>
      <c r="G1713" s="1430">
        <f>IFERROR(__xludf.DUMMYFUNCTION("""COMPUTED_VALUE"""),3.0)</f>
        <v>3</v>
      </c>
      <c r="H1713" s="94">
        <f t="shared" si="1"/>
        <v>11</v>
      </c>
    </row>
    <row r="1714" ht="15.75" customHeight="1">
      <c r="A1714" s="94" t="str">
        <f>IFERROR(__xludf.DUMMYFUNCTION("""COMPUTED_VALUE"""),"TGA8")</f>
        <v>TGA8</v>
      </c>
      <c r="B1714" s="94"/>
      <c r="C1714" s="94"/>
      <c r="D1714" s="431" t="str">
        <f>IFERROR(__xludf.DUMMYFUNCTION("""COMPUTED_VALUE"""),"6 TG Студия с видом на море А3, А5, А6, А8 (Лот 268012)")</f>
        <v>6 TG Студия с видом на море А3, А5, А6, А8 (Лот 268012)</v>
      </c>
      <c r="E1714" s="1436">
        <f>IFERROR(__xludf.DUMMYFUNCTION("""COMPUTED_VALUE"""),45973.0)</f>
        <v>45973</v>
      </c>
      <c r="F1714" s="1436">
        <f>IFERROR(__xludf.DUMMYFUNCTION("""COMPUTED_VALUE"""),46004.0)</f>
        <v>46004</v>
      </c>
      <c r="G1714" s="1430">
        <f>IFERROR(__xludf.DUMMYFUNCTION("""COMPUTED_VALUE"""),31.0)</f>
        <v>31</v>
      </c>
      <c r="H1714" s="94">
        <f t="shared" si="1"/>
        <v>11</v>
      </c>
    </row>
    <row r="1715" ht="15.75" customHeight="1">
      <c r="A1715" s="94" t="str">
        <f>IFERROR(__xludf.DUMMYFUNCTION("""COMPUTED_VALUE"""),"WS F1103")</f>
        <v>WS F1103</v>
      </c>
      <c r="B1715" s="94"/>
      <c r="C1715" s="94"/>
      <c r="D1715" s="431" t="str">
        <f>IFERROR(__xludf.DUMMYFUNCTION("""COMPUTED_VALUE"""),"1 WS F 1103 (Лот 286819)")</f>
        <v>1 WS F 1103 (Лот 286819)</v>
      </c>
      <c r="E1715" s="1436">
        <f>IFERROR(__xludf.DUMMYFUNCTION("""COMPUTED_VALUE"""),45973.0)</f>
        <v>45973</v>
      </c>
      <c r="F1715" s="1436">
        <f>IFERROR(__xludf.DUMMYFUNCTION("""COMPUTED_VALUE"""),46001.0)</f>
        <v>46001</v>
      </c>
      <c r="G1715" s="1430">
        <f>IFERROR(__xludf.DUMMYFUNCTION("""COMPUTED_VALUE"""),28.0)</f>
        <v>28</v>
      </c>
      <c r="H1715" s="94">
        <f t="shared" si="1"/>
        <v>11</v>
      </c>
    </row>
    <row r="1716" ht="15.75" customHeight="1">
      <c r="A1716" s="94" t="str">
        <f>IFERROR(__xludf.DUMMYFUNCTION("""COMPUTED_VALUE"""),"PT2704")</f>
        <v>PT2704</v>
      </c>
      <c r="B1716" s="94"/>
      <c r="C1716" s="94"/>
      <c r="D1716" s="431" t="str">
        <f>IFERROR(__xludf.DUMMYFUNCTION("""COMPUTED_VALUE"""),"3 PB 2704 (Лот 265740)")</f>
        <v>3 PB 2704 (Лот 265740)</v>
      </c>
      <c r="E1716" s="1436">
        <f>IFERROR(__xludf.DUMMYFUNCTION("""COMPUTED_VALUE"""),45972.0)</f>
        <v>45972</v>
      </c>
      <c r="F1716" s="1439">
        <f>IFERROR(__xludf.DUMMYFUNCTION("""COMPUTED_VALUE"""),45975.0)</f>
        <v>45975</v>
      </c>
      <c r="G1716" s="1430">
        <f>IFERROR(__xludf.DUMMYFUNCTION("""COMPUTED_VALUE"""),3.0)</f>
        <v>3</v>
      </c>
      <c r="H1716" s="94">
        <f t="shared" si="1"/>
        <v>11</v>
      </c>
    </row>
    <row r="1717" ht="15.75" customHeight="1">
      <c r="A1717" s="1164" t="str">
        <f>IFERROR(__xludf.DUMMYFUNCTION("""COMPUTED_VALUE"""),"C 4245")</f>
        <v>C 4245</v>
      </c>
      <c r="B1717" s="94"/>
      <c r="C1717" s="94"/>
      <c r="D1717" s="431" t="str">
        <f>IFERROR(__xludf.DUMMYFUNCTION("""COMPUTED_VALUE"""),"2 Orbi C 4245 (Лот 233298)")</f>
        <v>2 Orbi C 4245 (Лот 233298)</v>
      </c>
      <c r="E1717" s="1436">
        <f>IFERROR(__xludf.DUMMYFUNCTION("""COMPUTED_VALUE"""),45972.0)</f>
        <v>45972</v>
      </c>
      <c r="F1717" s="1436">
        <f>IFERROR(__xludf.DUMMYFUNCTION("""COMPUTED_VALUE"""),46002.0)</f>
        <v>46002</v>
      </c>
      <c r="G1717" s="1430">
        <f>IFERROR(__xludf.DUMMYFUNCTION("""COMPUTED_VALUE"""),30.0)</f>
        <v>30</v>
      </c>
      <c r="H1717" s="94">
        <f t="shared" si="1"/>
        <v>11</v>
      </c>
    </row>
    <row r="1718" ht="15.75" customHeight="1">
      <c r="A1718" s="1164" t="str">
        <f>IFERROR(__xludf.DUMMYFUNCTION("""COMPUTED_VALUE"""),"WS F 907")</f>
        <v>WS F 907</v>
      </c>
      <c r="B1718" s="94"/>
      <c r="C1718" s="94"/>
      <c r="D1718" s="431" t="str">
        <f>IFERROR(__xludf.DUMMYFUNCTION("""COMPUTED_VALUE"""),"1 WS F 907 (Лот 233314)")</f>
        <v>1 WS F 907 (Лот 233314)</v>
      </c>
      <c r="E1718" s="1436">
        <f>IFERROR(__xludf.DUMMYFUNCTION("""COMPUTED_VALUE"""),45971.0)</f>
        <v>45971</v>
      </c>
      <c r="F1718" s="1436">
        <f>IFERROR(__xludf.DUMMYFUNCTION("""COMPUTED_VALUE"""),45974.0)</f>
        <v>45974</v>
      </c>
      <c r="G1718" s="1430">
        <f>IFERROR(__xludf.DUMMYFUNCTION("""COMPUTED_VALUE"""),3.0)</f>
        <v>3</v>
      </c>
      <c r="H1718" s="94">
        <f t="shared" si="1"/>
        <v>11</v>
      </c>
    </row>
    <row r="1719" ht="15.75" customHeight="1">
      <c r="A1719" s="1164" t="str">
        <f>IFERROR(__xludf.DUMMYFUNCTION("""COMPUTED_VALUE"""),"Int 2905")</f>
        <v>Int 2905</v>
      </c>
      <c r="B1719" s="94"/>
      <c r="C1719" s="94"/>
      <c r="D1719" s="431" t="str">
        <f>IFERROR(__xludf.DUMMYFUNCTION("""COMPUTED_VALUE"""),"3.Inturist 2905 (Лот 233347)")</f>
        <v>3.Inturist 2905 (Лот 233347)</v>
      </c>
      <c r="E1719" s="1436">
        <f>IFERROR(__xludf.DUMMYFUNCTION("""COMPUTED_VALUE"""),45984.0)</f>
        <v>45984</v>
      </c>
      <c r="F1719" s="1439">
        <f>IFERROR(__xludf.DUMMYFUNCTION("""COMPUTED_VALUE"""),46035.0)</f>
        <v>46035</v>
      </c>
      <c r="G1719" s="1430">
        <f>IFERROR(__xludf.DUMMYFUNCTION("""COMPUTED_VALUE"""),51.0)</f>
        <v>51</v>
      </c>
      <c r="H1719" s="94">
        <f t="shared" si="1"/>
        <v>11</v>
      </c>
    </row>
    <row r="1720" ht="15.75" customHeight="1">
      <c r="A1720" s="94" t="str">
        <f>IFERROR(__xludf.DUMMYFUNCTION("""COMPUTED_VALUE"""),"MZ А 1113")</f>
        <v>MZ А 1113</v>
      </c>
      <c r="B1720" s="94"/>
      <c r="C1720" s="94"/>
      <c r="D1720" s="431" t="str">
        <f>IFERROR(__xludf.DUMMYFUNCTION("""COMPUTED_VALUE"""),"3 MZ A 1113 (Лот 314964)")</f>
        <v>3 MZ A 1113 (Лот 314964)</v>
      </c>
      <c r="E1720" s="1436">
        <f>IFERROR(__xludf.DUMMYFUNCTION("""COMPUTED_VALUE"""),45984.0)</f>
        <v>45984</v>
      </c>
      <c r="F1720" s="1439">
        <f>IFERROR(__xludf.DUMMYFUNCTION("""COMPUTED_VALUE"""),45989.0)</f>
        <v>45989</v>
      </c>
      <c r="G1720" s="1430">
        <f>IFERROR(__xludf.DUMMYFUNCTION("""COMPUTED_VALUE"""),5.0)</f>
        <v>5</v>
      </c>
      <c r="H1720" s="94">
        <f t="shared" si="1"/>
        <v>11</v>
      </c>
    </row>
    <row r="1721" ht="15.75" customHeight="1">
      <c r="A1721" s="1164" t="str">
        <f>IFERROR(__xludf.DUMMYFUNCTION("""COMPUTED_VALUE"""),"WS F 907")</f>
        <v>WS F 907</v>
      </c>
      <c r="B1721" s="94"/>
      <c r="C1721" s="94"/>
      <c r="D1721" s="431" t="str">
        <f>IFERROR(__xludf.DUMMYFUNCTION("""COMPUTED_VALUE"""),"1 WS F 907 (Лот 233314)")</f>
        <v>1 WS F 907 (Лот 233314)</v>
      </c>
      <c r="E1721" s="1436">
        <f>IFERROR(__xludf.DUMMYFUNCTION("""COMPUTED_VALUE"""),45984.0)</f>
        <v>45984</v>
      </c>
      <c r="F1721" s="1439">
        <f>IFERROR(__xludf.DUMMYFUNCTION("""COMPUTED_VALUE"""),46014.0)</f>
        <v>46014</v>
      </c>
      <c r="G1721" s="1430">
        <f>IFERROR(__xludf.DUMMYFUNCTION("""COMPUTED_VALUE"""),30.0)</f>
        <v>30</v>
      </c>
      <c r="H1721" s="94">
        <f t="shared" si="1"/>
        <v>11</v>
      </c>
    </row>
    <row r="1722" ht="15.75" customHeight="1">
      <c r="A1722" s="94" t="str">
        <f>IFERROR(__xludf.DUMMYFUNCTION("""COMPUTED_VALUE"""),"CM 1304")</f>
        <v>CM 1304</v>
      </c>
      <c r="B1722" s="94"/>
      <c r="C1722" s="94"/>
      <c r="D1722" s="431" t="str">
        <f>IFERROR(__xludf.DUMMYFUNCTION("""COMPUTED_VALUE"""),"3 Mar 1304 (Лот 311875)")</f>
        <v>3 Mar 1304 (Лот 311875)</v>
      </c>
      <c r="E1722" s="1436">
        <f>IFERROR(__xludf.DUMMYFUNCTION("""COMPUTED_VALUE"""),45983.0)</f>
        <v>45983</v>
      </c>
      <c r="F1722" s="1436">
        <f>IFERROR(__xludf.DUMMYFUNCTION("""COMPUTED_VALUE"""),45989.0)</f>
        <v>45989</v>
      </c>
      <c r="G1722" s="1430">
        <f>IFERROR(__xludf.DUMMYFUNCTION("""COMPUTED_VALUE"""),6.0)</f>
        <v>6</v>
      </c>
      <c r="H1722" s="94">
        <f t="shared" si="1"/>
        <v>11</v>
      </c>
    </row>
    <row r="1723" ht="15.75" customHeight="1">
      <c r="A1723" s="94" t="str">
        <f>IFERROR(__xludf.DUMMYFUNCTION("""COMPUTED_VALUE"""),"D1 3902")</f>
        <v>D1 3902</v>
      </c>
      <c r="B1723" s="94"/>
      <c r="C1723" s="94"/>
      <c r="D1723" s="431" t="str">
        <f>IFERROR(__xludf.DUMMYFUNCTION("""COMPUTED_VALUE"""),"2 Orbi D 3902 (Лот 293635)")</f>
        <v>2 Orbi D 3902 (Лот 293635)</v>
      </c>
      <c r="E1723" s="1436">
        <f>IFERROR(__xludf.DUMMYFUNCTION("""COMPUTED_VALUE"""),45980.0)</f>
        <v>45980</v>
      </c>
      <c r="F1723" s="1439">
        <f>IFERROR(__xludf.DUMMYFUNCTION("""COMPUTED_VALUE"""),45982.0)</f>
        <v>45982</v>
      </c>
      <c r="G1723" s="1430">
        <f>IFERROR(__xludf.DUMMYFUNCTION("""COMPUTED_VALUE"""),2.0)</f>
        <v>2</v>
      </c>
      <c r="H1723" s="94">
        <f t="shared" si="1"/>
        <v>11</v>
      </c>
    </row>
    <row r="1724" ht="15.75" customHeight="1">
      <c r="A1724" s="94" t="str">
        <f>IFERROR(__xludf.DUMMYFUNCTION("""COMPUTED_VALUE"""),"CM 1327")</f>
        <v>CM 1327</v>
      </c>
      <c r="B1724" s="94"/>
      <c r="C1724" s="94"/>
      <c r="D1724" s="431" t="str">
        <f>IFERROR(__xludf.DUMMYFUNCTION("""COMPUTED_VALUE"""),"3 Mar 1327 (Лот 318467)")</f>
        <v>3 Mar 1327 (Лот 318467)</v>
      </c>
      <c r="E1724" s="1436">
        <f>IFERROR(__xludf.DUMMYFUNCTION("""COMPUTED_VALUE"""),45983.0)</f>
        <v>45983</v>
      </c>
      <c r="F1724" s="1439">
        <f>IFERROR(__xludf.DUMMYFUNCTION("""COMPUTED_VALUE"""),46004.0)</f>
        <v>46004</v>
      </c>
      <c r="G1724" s="1430">
        <f>IFERROR(__xludf.DUMMYFUNCTION("""COMPUTED_VALUE"""),21.0)</f>
        <v>21</v>
      </c>
      <c r="H1724" s="94">
        <f t="shared" si="1"/>
        <v>11</v>
      </c>
    </row>
    <row r="1725" ht="15.75" customHeight="1">
      <c r="A1725" s="94" t="str">
        <f>IFERROR(__xludf.DUMMYFUNCTION("""COMPUTED_VALUE"""),"PT2704")</f>
        <v>PT2704</v>
      </c>
      <c r="B1725" s="94"/>
      <c r="C1725" s="94"/>
      <c r="D1725" s="431" t="str">
        <f>IFERROR(__xludf.DUMMYFUNCTION("""COMPUTED_VALUE"""),"3 PB 2704 (Лот 265740)")</f>
        <v>3 PB 2704 (Лот 265740)</v>
      </c>
      <c r="E1725" s="1436">
        <f>IFERROR(__xludf.DUMMYFUNCTION("""COMPUTED_VALUE"""),45979.0)</f>
        <v>45979</v>
      </c>
      <c r="F1725" s="1436">
        <f>IFERROR(__xludf.DUMMYFUNCTION("""COMPUTED_VALUE"""),45985.0)</f>
        <v>45985</v>
      </c>
      <c r="G1725" s="1430">
        <f>IFERROR(__xludf.DUMMYFUNCTION("""COMPUTED_VALUE"""),6.0)</f>
        <v>6</v>
      </c>
      <c r="H1725" s="94">
        <f t="shared" si="1"/>
        <v>11</v>
      </c>
    </row>
    <row r="1726" ht="15.75" customHeight="1">
      <c r="A1726" s="1164" t="str">
        <f>IFERROR(__xludf.DUMMYFUNCTION("""COMPUTED_VALUE"""),"WS В 1510")</f>
        <v>WS В 1510</v>
      </c>
      <c r="B1726" s="94"/>
      <c r="C1726" s="94"/>
      <c r="D1726" s="431" t="str">
        <f>IFERROR(__xludf.DUMMYFUNCTION("""COMPUTED_VALUE"""),"1 WS B 1510 (Лот 233316)")</f>
        <v>1 WS B 1510 (Лот 233316)</v>
      </c>
      <c r="E1726" s="1436">
        <f>IFERROR(__xludf.DUMMYFUNCTION("""COMPUTED_VALUE"""),45978.0)</f>
        <v>45978</v>
      </c>
      <c r="F1726" s="1436">
        <f>IFERROR(__xludf.DUMMYFUNCTION("""COMPUTED_VALUE"""),46008.0)</f>
        <v>46008</v>
      </c>
      <c r="G1726" s="1430">
        <f>IFERROR(__xludf.DUMMYFUNCTION("""COMPUTED_VALUE"""),30.0)</f>
        <v>30</v>
      </c>
      <c r="H1726" s="94">
        <f t="shared" si="1"/>
        <v>11</v>
      </c>
    </row>
    <row r="1727" ht="15.75" customHeight="1">
      <c r="A1727" s="1164" t="str">
        <f>IFERROR(__xludf.DUMMYFUNCTION("""COMPUTED_VALUE"""),"BV1318")</f>
        <v>BV1318</v>
      </c>
      <c r="B1727" s="94"/>
      <c r="C1727" s="94"/>
      <c r="D1727" s="431" t="str">
        <f>IFERROR(__xludf.DUMMYFUNCTION("""COMPUTED_VALUE"""),"1 BV 1318 (Лот 234845)")</f>
        <v>1 BV 1318 (Лот 234845)</v>
      </c>
      <c r="E1727" s="1436">
        <f>IFERROR(__xludf.DUMMYFUNCTION("""COMPUTED_VALUE"""),45978.0)</f>
        <v>45978</v>
      </c>
      <c r="F1727" s="1439">
        <f>IFERROR(__xludf.DUMMYFUNCTION("""COMPUTED_VALUE"""),45984.0)</f>
        <v>45984</v>
      </c>
      <c r="G1727" s="1430">
        <f>IFERROR(__xludf.DUMMYFUNCTION("""COMPUTED_VALUE"""),6.0)</f>
        <v>6</v>
      </c>
      <c r="H1727" s="94">
        <f t="shared" si="1"/>
        <v>11</v>
      </c>
    </row>
    <row r="1728" ht="15.75" customHeight="1">
      <c r="A1728" s="94" t="str">
        <f>IFERROR(__xludf.DUMMYFUNCTION("""COMPUTED_VALUE"""),"MZ А 1113")</f>
        <v>MZ А 1113</v>
      </c>
      <c r="B1728" s="94"/>
      <c r="C1728" s="94"/>
      <c r="D1728" s="431" t="str">
        <f>IFERROR(__xludf.DUMMYFUNCTION("""COMPUTED_VALUE"""),"3 MZ A 1113 (Лот 314964)")</f>
        <v>3 MZ A 1113 (Лот 314964)</v>
      </c>
      <c r="E1728" s="1436">
        <f>IFERROR(__xludf.DUMMYFUNCTION("""COMPUTED_VALUE"""),45978.0)</f>
        <v>45978</v>
      </c>
      <c r="F1728" s="1436">
        <f>IFERROR(__xludf.DUMMYFUNCTION("""COMPUTED_VALUE"""),45983.0)</f>
        <v>45983</v>
      </c>
      <c r="G1728" s="1430">
        <f>IFERROR(__xludf.DUMMYFUNCTION("""COMPUTED_VALUE"""),5.0)</f>
        <v>5</v>
      </c>
      <c r="H1728" s="94">
        <f t="shared" si="1"/>
        <v>11</v>
      </c>
    </row>
    <row r="1729" ht="15.75" customHeight="1">
      <c r="A1729" s="94" t="str">
        <f>IFERROR(__xludf.DUMMYFUNCTION("""COMPUTED_VALUE"""),"TGB7")</f>
        <v>TGB7</v>
      </c>
      <c r="B1729" s="94"/>
      <c r="C1729" s="94"/>
      <c r="D1729" s="431" t="str">
        <f>IFERROR(__xludf.DUMMYFUNCTION("""COMPUTED_VALUE"""),"6 TG 1+1 Sunset (Б6, Б7) (Лот 268008)")</f>
        <v>6 TG 1+1 Sunset (Б6, Б7) (Лот 268008)</v>
      </c>
      <c r="E1729" s="1436">
        <f>IFERROR(__xludf.DUMMYFUNCTION("""COMPUTED_VALUE"""),45978.0)</f>
        <v>45978</v>
      </c>
      <c r="F1729" s="1436">
        <f>IFERROR(__xludf.DUMMYFUNCTION("""COMPUTED_VALUE"""),45981.0)</f>
        <v>45981</v>
      </c>
      <c r="G1729" s="1430">
        <f>IFERROR(__xludf.DUMMYFUNCTION("""COMPUTED_VALUE"""),3.0)</f>
        <v>3</v>
      </c>
      <c r="H1729" s="94">
        <f t="shared" si="1"/>
        <v>11</v>
      </c>
    </row>
    <row r="1730" ht="15.75" customHeight="1">
      <c r="A1730" s="1164" t="str">
        <f>IFERROR(__xludf.DUMMYFUNCTION("""COMPUTED_VALUE"""),"Steps1123")</f>
        <v>Steps1123</v>
      </c>
      <c r="B1730" s="94"/>
      <c r="C1730" s="94"/>
      <c r="D1730" s="431" t="str">
        <f>IFERROR(__xludf.DUMMYFUNCTION("""COMPUTED_VALUE"""),"1. Steps 1123 (Лот 247443)")</f>
        <v>1. Steps 1123 (Лот 247443)</v>
      </c>
      <c r="E1730" s="1436">
        <f>IFERROR(__xludf.DUMMYFUNCTION("""COMPUTED_VALUE"""),45991.0)</f>
        <v>45991</v>
      </c>
      <c r="F1730" s="1439">
        <f>IFERROR(__xludf.DUMMYFUNCTION("""COMPUTED_VALUE"""),46371.0)</f>
        <v>46371</v>
      </c>
      <c r="G1730" s="1430">
        <f>IFERROR(__xludf.DUMMYFUNCTION("""COMPUTED_VALUE"""),380.0)</f>
        <v>380</v>
      </c>
      <c r="H1730" s="94">
        <f t="shared" si="1"/>
        <v>11</v>
      </c>
    </row>
    <row r="1731" ht="15.75" customHeight="1">
      <c r="A1731" s="431" t="str">
        <f>IFERROR(__xludf.DUMMYFUNCTION("""COMPUTED_VALUE"""),"7 Pr- 181 (Лот 233318)")</f>
        <v>7 Pr- 181 (Лот 233318)</v>
      </c>
      <c r="B1731" s="94"/>
      <c r="C1731" s="94"/>
      <c r="D1731" s="431" t="str">
        <f>IFERROR(__xludf.DUMMYFUNCTION("""COMPUTED_VALUE"""),"7 Pr- 181 (Лот 233318)")</f>
        <v>7 Pr- 181 (Лот 233318)</v>
      </c>
      <c r="E1731" s="1436">
        <f>IFERROR(__xludf.DUMMYFUNCTION("""COMPUTED_VALUE"""),45991.0)</f>
        <v>45991</v>
      </c>
      <c r="F1731" s="1436">
        <f>IFERROR(__xludf.DUMMYFUNCTION("""COMPUTED_VALUE"""),46026.0)</f>
        <v>46026</v>
      </c>
      <c r="G1731" s="1430">
        <f>IFERROR(__xludf.DUMMYFUNCTION("""COMPUTED_VALUE"""),35.0)</f>
        <v>35</v>
      </c>
      <c r="H1731" s="94">
        <f t="shared" si="1"/>
        <v>11</v>
      </c>
    </row>
    <row r="1732" ht="15.75" customHeight="1">
      <c r="A1732" s="1164" t="str">
        <f>IFERROR(__xludf.DUMMYFUNCTION("""COMPUTED_VALUE"""),"DL 11-1305")</f>
        <v>DL 11-1305</v>
      </c>
      <c r="B1732" s="94"/>
      <c r="C1732" s="94"/>
      <c r="D1732" s="431" t="str">
        <f>IFERROR(__xludf.DUMMYFUNCTION("""COMPUTED_VALUE"""),"4 DL 11 - 1305 (1+1) (Лот 234970)")</f>
        <v>4 DL 11 - 1305 (1+1) (Лот 234970)</v>
      </c>
      <c r="E1732" s="1436">
        <f>IFERROR(__xludf.DUMMYFUNCTION("""COMPUTED_VALUE"""),45991.0)</f>
        <v>45991</v>
      </c>
      <c r="F1732" s="1436">
        <f>IFERROR(__xludf.DUMMYFUNCTION("""COMPUTED_VALUE"""),45992.0)</f>
        <v>45992</v>
      </c>
      <c r="G1732" s="1430">
        <f>IFERROR(__xludf.DUMMYFUNCTION("""COMPUTED_VALUE"""),1.0)</f>
        <v>1</v>
      </c>
      <c r="H1732" s="94">
        <f t="shared" si="1"/>
        <v>11</v>
      </c>
    </row>
    <row r="1733" ht="15.75" customHeight="1">
      <c r="A1733" s="94" t="str">
        <f>IFERROR(__xludf.DUMMYFUNCTION("""COMPUTED_VALUE"""),"CM 1304")</f>
        <v>CM 1304</v>
      </c>
      <c r="B1733" s="94"/>
      <c r="C1733" s="94"/>
      <c r="D1733" s="431" t="str">
        <f>IFERROR(__xludf.DUMMYFUNCTION("""COMPUTED_VALUE"""),"3 Mar 1304 (Лот 311875)")</f>
        <v>3 Mar 1304 (Лот 311875)</v>
      </c>
      <c r="E1733" s="1436">
        <f>IFERROR(__xludf.DUMMYFUNCTION("""COMPUTED_VALUE"""),45990.0)</f>
        <v>45990</v>
      </c>
      <c r="F1733" s="1436">
        <f>IFERROR(__xludf.DUMMYFUNCTION("""COMPUTED_VALUE"""),45992.0)</f>
        <v>45992</v>
      </c>
      <c r="G1733" s="1430">
        <f>IFERROR(__xludf.DUMMYFUNCTION("""COMPUTED_VALUE"""),2.0)</f>
        <v>2</v>
      </c>
      <c r="H1733" s="94">
        <f t="shared" si="1"/>
        <v>11</v>
      </c>
    </row>
    <row r="1734" ht="15.75" customHeight="1">
      <c r="A1734" s="94" t="str">
        <f>IFERROR(__xludf.DUMMYFUNCTION("""COMPUTED_VALUE"""),"MZ А 1113")</f>
        <v>MZ А 1113</v>
      </c>
      <c r="B1734" s="94"/>
      <c r="C1734" s="94"/>
      <c r="D1734" s="431" t="str">
        <f>IFERROR(__xludf.DUMMYFUNCTION("""COMPUTED_VALUE"""),"3 MZ A 1113 (Лот 314964)")</f>
        <v>3 MZ A 1113 (Лот 314964)</v>
      </c>
      <c r="E1734" s="1436">
        <f>IFERROR(__xludf.DUMMYFUNCTION("""COMPUTED_VALUE"""),45990.0)</f>
        <v>45990</v>
      </c>
      <c r="F1734" s="1439">
        <f>IFERROR(__xludf.DUMMYFUNCTION("""COMPUTED_VALUE"""),45992.0)</f>
        <v>45992</v>
      </c>
      <c r="G1734" s="1430">
        <f>IFERROR(__xludf.DUMMYFUNCTION("""COMPUTED_VALUE"""),2.0)</f>
        <v>2</v>
      </c>
      <c r="H1734" s="94">
        <f t="shared" si="1"/>
        <v>11</v>
      </c>
    </row>
    <row r="1735" ht="15.75" customHeight="1">
      <c r="A1735" s="94" t="str">
        <f>IFERROR(__xludf.DUMMYFUNCTION("""COMPUTED_VALUE"""),"D1 3902")</f>
        <v>D1 3902</v>
      </c>
      <c r="B1735" s="94"/>
      <c r="C1735" s="94"/>
      <c r="D1735" s="431" t="str">
        <f>IFERROR(__xludf.DUMMYFUNCTION("""COMPUTED_VALUE"""),"2 Orbi D 3902 (Лот 293635)")</f>
        <v>2 Orbi D 3902 (Лот 293635)</v>
      </c>
      <c r="E1735" s="1436">
        <f>IFERROR(__xludf.DUMMYFUNCTION("""COMPUTED_VALUE"""),45990.0)</f>
        <v>45990</v>
      </c>
      <c r="F1735" s="1439">
        <f>IFERROR(__xludf.DUMMYFUNCTION("""COMPUTED_VALUE"""),45994.0)</f>
        <v>45994</v>
      </c>
      <c r="G1735" s="1430">
        <f>IFERROR(__xludf.DUMMYFUNCTION("""COMPUTED_VALUE"""),4.0)</f>
        <v>4</v>
      </c>
      <c r="H1735" s="94">
        <f t="shared" si="1"/>
        <v>11</v>
      </c>
    </row>
    <row r="1736" ht="15.75" customHeight="1">
      <c r="A1736" s="94" t="str">
        <f>IFERROR(__xludf.DUMMYFUNCTION("""COMPUTED_VALUE"""),"PT2604")</f>
        <v>PT2604</v>
      </c>
      <c r="B1736" s="94"/>
      <c r="C1736" s="94"/>
      <c r="D1736" s="431" t="str">
        <f>IFERROR(__xludf.DUMMYFUNCTION("""COMPUTED_VALUE"""),"3 PB 2604 (Лот 265736)")</f>
        <v>3 PB 2604 (Лот 265736)</v>
      </c>
      <c r="E1736" s="1436">
        <f>IFERROR(__xludf.DUMMYFUNCTION("""COMPUTED_VALUE"""),45990.0)</f>
        <v>45990</v>
      </c>
      <c r="F1736" s="1436">
        <f>IFERROR(__xludf.DUMMYFUNCTION("""COMPUTED_VALUE"""),45992.0)</f>
        <v>45992</v>
      </c>
      <c r="G1736" s="1430">
        <f>IFERROR(__xludf.DUMMYFUNCTION("""COMPUTED_VALUE"""),2.0)</f>
        <v>2</v>
      </c>
      <c r="H1736" s="94">
        <f t="shared" si="1"/>
        <v>11</v>
      </c>
    </row>
    <row r="1737" ht="15.75" customHeight="1">
      <c r="A1737" s="94" t="str">
        <f>IFERROR(__xludf.DUMMYFUNCTION("""COMPUTED_VALUE"""),"Int 2612")</f>
        <v>Int 2612</v>
      </c>
      <c r="B1737" s="94"/>
      <c r="C1737" s="94"/>
      <c r="D1737" s="431" t="str">
        <f>IFERROR(__xludf.DUMMYFUNCTION("""COMPUTED_VALUE"""),"3 Int B 2612 (Лот 285149)")</f>
        <v>3 Int B 2612 (Лот 285149)</v>
      </c>
      <c r="E1737" s="1436">
        <f>IFERROR(__xludf.DUMMYFUNCTION("""COMPUTED_VALUE"""),45990.0)</f>
        <v>45990</v>
      </c>
      <c r="F1737" s="1436">
        <f>IFERROR(__xludf.DUMMYFUNCTION("""COMPUTED_VALUE"""),45993.0)</f>
        <v>45993</v>
      </c>
      <c r="G1737" s="1430">
        <f>IFERROR(__xludf.DUMMYFUNCTION("""COMPUTED_VALUE"""),3.0)</f>
        <v>3</v>
      </c>
      <c r="H1737" s="94">
        <f t="shared" si="1"/>
        <v>11</v>
      </c>
    </row>
    <row r="1738" ht="15.75" customHeight="1">
      <c r="A1738" s="94" t="str">
        <f>IFERROR(__xludf.DUMMYFUNCTION("""COMPUTED_VALUE"""),"С 1125")</f>
        <v>С 1125</v>
      </c>
      <c r="B1738" s="94"/>
      <c r="C1738" s="94"/>
      <c r="D1738" s="431" t="str">
        <f>IFERROR(__xludf.DUMMYFUNCTION("""COMPUTED_VALUE"""),"2 Orbi C 1125 (Лот 233326)")</f>
        <v>2 Orbi C 1125 (Лот 233326)</v>
      </c>
      <c r="E1738" s="1436">
        <f>IFERROR(__xludf.DUMMYFUNCTION("""COMPUTED_VALUE"""),45990.0)</f>
        <v>45990</v>
      </c>
      <c r="F1738" s="1436">
        <f>IFERROR(__xludf.DUMMYFUNCTION("""COMPUTED_VALUE"""),46033.0)</f>
        <v>46033</v>
      </c>
      <c r="G1738" s="1430">
        <f>IFERROR(__xludf.DUMMYFUNCTION("""COMPUTED_VALUE"""),43.0)</f>
        <v>43</v>
      </c>
      <c r="H1738" s="94">
        <f t="shared" si="1"/>
        <v>11</v>
      </c>
    </row>
    <row r="1739" ht="15.75" customHeight="1">
      <c r="A1739" s="94" t="str">
        <f>IFERROR(__xludf.DUMMYFUNCTION("""COMPUTED_VALUE"""),"PT2704")</f>
        <v>PT2704</v>
      </c>
      <c r="B1739" s="94"/>
      <c r="C1739" s="94"/>
      <c r="D1739" s="431" t="str">
        <f>IFERROR(__xludf.DUMMYFUNCTION("""COMPUTED_VALUE"""),"3 PB 2704 (Лот 265740)")</f>
        <v>3 PB 2704 (Лот 265740)</v>
      </c>
      <c r="E1739" s="1436">
        <f>IFERROR(__xludf.DUMMYFUNCTION("""COMPUTED_VALUE"""),45989.0)</f>
        <v>45989</v>
      </c>
      <c r="F1739" s="1439">
        <f>IFERROR(__xludf.DUMMYFUNCTION("""COMPUTED_VALUE"""),45993.0)</f>
        <v>45993</v>
      </c>
      <c r="G1739" s="1430">
        <f>IFERROR(__xludf.DUMMYFUNCTION("""COMPUTED_VALUE"""),4.0)</f>
        <v>4</v>
      </c>
      <c r="H1739" s="94">
        <f t="shared" si="1"/>
        <v>11</v>
      </c>
    </row>
    <row r="1740" ht="15.75" customHeight="1">
      <c r="A1740" s="1164" t="str">
        <f>IFERROR(__xludf.DUMMYFUNCTION("""COMPUTED_VALUE"""),"CM 1931")</f>
        <v>CM 1931</v>
      </c>
      <c r="B1740" s="94"/>
      <c r="C1740" s="94"/>
      <c r="D1740" s="431" t="str">
        <f>IFERROR(__xludf.DUMMYFUNCTION("""COMPUTED_VALUE"""),"3 Mar 1931 (Лот 233381)")</f>
        <v>3 Mar 1931 (Лот 233381)</v>
      </c>
      <c r="E1740" s="1436">
        <f>IFERROR(__xludf.DUMMYFUNCTION("""COMPUTED_VALUE"""),45988.0)</f>
        <v>45988</v>
      </c>
      <c r="F1740" s="1436">
        <f>IFERROR(__xludf.DUMMYFUNCTION("""COMPUTED_VALUE"""),45991.0)</f>
        <v>45991</v>
      </c>
      <c r="G1740" s="1430">
        <f>IFERROR(__xludf.DUMMYFUNCTION("""COMPUTED_VALUE"""),3.0)</f>
        <v>3</v>
      </c>
      <c r="H1740" s="94">
        <f t="shared" si="1"/>
        <v>11</v>
      </c>
    </row>
    <row r="1741" ht="15.75" customHeight="1">
      <c r="A1741" s="94" t="str">
        <f>IFERROR(__xludf.DUMMYFUNCTION("""COMPUTED_VALUE"""),"D1 3902")</f>
        <v>D1 3902</v>
      </c>
      <c r="B1741" s="94"/>
      <c r="C1741" s="94"/>
      <c r="D1741" s="431" t="str">
        <f>IFERROR(__xludf.DUMMYFUNCTION("""COMPUTED_VALUE"""),"2 Orbi D 3902 (Лот 293635)")</f>
        <v>2 Orbi D 3902 (Лот 293635)</v>
      </c>
      <c r="E1741" s="1436">
        <f>IFERROR(__xludf.DUMMYFUNCTION("""COMPUTED_VALUE"""),45988.0)</f>
        <v>45988</v>
      </c>
      <c r="F1741" s="1436">
        <f>IFERROR(__xludf.DUMMYFUNCTION("""COMPUTED_VALUE"""),45990.0)</f>
        <v>45990</v>
      </c>
      <c r="G1741" s="1430">
        <f>IFERROR(__xludf.DUMMYFUNCTION("""COMPUTED_VALUE"""),2.0)</f>
        <v>2</v>
      </c>
      <c r="H1741" s="94">
        <f t="shared" si="1"/>
        <v>11</v>
      </c>
    </row>
    <row r="1742" ht="15.75" customHeight="1">
      <c r="A1742" s="94" t="str">
        <f>IFERROR(__xludf.DUMMYFUNCTION("""COMPUTED_VALUE"""),"TG195")</f>
        <v>TG195</v>
      </c>
      <c r="B1742" s="94"/>
      <c r="C1742" s="94"/>
      <c r="D1742" s="431" t="str">
        <f>IFERROR(__xludf.DUMMYFUNCTION("""COMPUTED_VALUE"""),"4. TG 195 (Лот 297147)")</f>
        <v>4. TG 195 (Лот 297147)</v>
      </c>
      <c r="E1742" s="1436">
        <f>IFERROR(__xludf.DUMMYFUNCTION("""COMPUTED_VALUE"""),45987.0)</f>
        <v>45987</v>
      </c>
      <c r="F1742" s="1436">
        <f>IFERROR(__xludf.DUMMYFUNCTION("""COMPUTED_VALUE"""),46017.0)</f>
        <v>46017</v>
      </c>
      <c r="G1742" s="1430">
        <f>IFERROR(__xludf.DUMMYFUNCTION("""COMPUTED_VALUE"""),30.0)</f>
        <v>30</v>
      </c>
      <c r="H1742" s="94">
        <f t="shared" si="1"/>
        <v>11</v>
      </c>
    </row>
    <row r="1743" ht="15.75" customHeight="1">
      <c r="A1743" s="94" t="str">
        <f>IFERROR(__xludf.DUMMYFUNCTION("""COMPUTED_VALUE"""),"PT2704")</f>
        <v>PT2704</v>
      </c>
      <c r="B1743" s="94"/>
      <c r="C1743" s="94"/>
      <c r="D1743" s="431" t="str">
        <f>IFERROR(__xludf.DUMMYFUNCTION("""COMPUTED_VALUE"""),"3 PB 2704 (Лот 265740)")</f>
        <v>3 PB 2704 (Лот 265740)</v>
      </c>
      <c r="E1743" s="1439">
        <f>IFERROR(__xludf.DUMMYFUNCTION("""COMPUTED_VALUE"""),45986.0)</f>
        <v>45986</v>
      </c>
      <c r="F1743" s="1439">
        <f>IFERROR(__xludf.DUMMYFUNCTION("""COMPUTED_VALUE"""),45989.0)</f>
        <v>45989</v>
      </c>
      <c r="G1743" s="1430">
        <f>IFERROR(__xludf.DUMMYFUNCTION("""COMPUTED_VALUE"""),3.0)</f>
        <v>3</v>
      </c>
      <c r="H1743" s="94">
        <f t="shared" si="1"/>
        <v>11</v>
      </c>
    </row>
    <row r="1744" ht="15.75" customHeight="1">
      <c r="A1744" s="94" t="str">
        <f>IFERROR(__xludf.DUMMYFUNCTION("""COMPUTED_VALUE"""),"Int 2612")</f>
        <v>Int 2612</v>
      </c>
      <c r="B1744" s="94"/>
      <c r="C1744" s="94"/>
      <c r="D1744" s="431" t="str">
        <f>IFERROR(__xludf.DUMMYFUNCTION("""COMPUTED_VALUE"""),"3 Int B 2612 (Лот 285149)")</f>
        <v>3 Int B 2612 (Лот 285149)</v>
      </c>
      <c r="E1744" s="1439">
        <f>IFERROR(__xludf.DUMMYFUNCTION("""COMPUTED_VALUE"""),45985.0)</f>
        <v>45985</v>
      </c>
      <c r="F1744" s="1436">
        <f>IFERROR(__xludf.DUMMYFUNCTION("""COMPUTED_VALUE"""),45989.0)</f>
        <v>45989</v>
      </c>
      <c r="G1744" s="1430">
        <f>IFERROR(__xludf.DUMMYFUNCTION("""COMPUTED_VALUE"""),4.0)</f>
        <v>4</v>
      </c>
      <c r="H1744" s="94">
        <f t="shared" si="1"/>
        <v>11</v>
      </c>
    </row>
    <row r="1745" ht="15.75" customHeight="1">
      <c r="A1745" s="94" t="str">
        <f>IFERROR(__xludf.DUMMYFUNCTION("""COMPUTED_VALUE"""),"шартава 16/18")</f>
        <v>шартава 16/18</v>
      </c>
      <c r="B1745" s="94"/>
      <c r="C1745" s="94"/>
      <c r="D1745" s="94"/>
      <c r="E1745" s="1429">
        <f>IFERROR(__xludf.DUMMYFUNCTION("""COMPUTED_VALUE"""),45986.0)</f>
        <v>45986</v>
      </c>
      <c r="F1745" s="1436">
        <f>IFERROR(__xludf.DUMMYFUNCTION("""COMPUTED_VALUE"""),46015.0)</f>
        <v>46015</v>
      </c>
      <c r="G1745" s="1430">
        <f>IFERROR(__xludf.DUMMYFUNCTION("""COMPUTED_VALUE"""),29.0)</f>
        <v>29</v>
      </c>
      <c r="H1745" s="94">
        <f t="shared" si="1"/>
        <v>11</v>
      </c>
    </row>
    <row r="1746" ht="15.75" customHeight="1">
      <c r="A1746" s="94" t="str">
        <f>IFERROR(__xludf.DUMMYFUNCTION("""COMPUTED_VALUE"""),"Pollo 2-2")</f>
        <v>Pollo 2-2</v>
      </c>
      <c r="B1746" s="94"/>
      <c r="C1746" s="94"/>
      <c r="D1746" s="94"/>
      <c r="E1746" s="1429">
        <f>IFERROR(__xludf.DUMMYFUNCTION("""COMPUTED_VALUE"""),45989.0)</f>
        <v>45989</v>
      </c>
      <c r="F1746" s="1429">
        <f>IFERROR(__xludf.DUMMYFUNCTION("""COMPUTED_VALUE"""),46018.0)</f>
        <v>46018</v>
      </c>
      <c r="G1746" s="1430">
        <f>IFERROR(__xludf.DUMMYFUNCTION("""COMPUTED_VALUE"""),29.0)</f>
        <v>29</v>
      </c>
      <c r="H1746" s="94">
        <f t="shared" si="1"/>
        <v>11</v>
      </c>
    </row>
    <row r="1747" ht="15.75" customHeight="1">
      <c r="A1747" s="94" t="str">
        <f>IFERROR(__xludf.DUMMYFUNCTION("""COMPUTED_VALUE"""),"D1 3902")</f>
        <v>D1 3902</v>
      </c>
      <c r="B1747" s="94"/>
      <c r="C1747" s="94"/>
      <c r="D1747" s="431" t="str">
        <f>IFERROR(__xludf.DUMMYFUNCTION("""COMPUTED_VALUE"""),"2 Orbi D 3902 (Лот 293635)")</f>
        <v>2 Orbi D 3902 (Лот 293635)</v>
      </c>
      <c r="E1747" s="1436">
        <f>IFERROR(__xludf.DUMMYFUNCTION("""COMPUTED_VALUE"""),45998.0)</f>
        <v>45998</v>
      </c>
      <c r="F1747" s="1439">
        <f>IFERROR(__xludf.DUMMYFUNCTION("""COMPUTED_VALUE"""),46000.0)</f>
        <v>46000</v>
      </c>
      <c r="G1747" s="1430">
        <f>IFERROR(__xludf.DUMMYFUNCTION("""COMPUTED_VALUE"""),2.0)</f>
        <v>2</v>
      </c>
      <c r="H1747" s="94">
        <f t="shared" si="1"/>
        <v>12</v>
      </c>
    </row>
    <row r="1748" ht="15.75" customHeight="1">
      <c r="A1748" s="94" t="str">
        <f>IFERROR(__xludf.DUMMYFUNCTION("""COMPUTED_VALUE"""),"2 BV A 0514 (Лот 311849)")</f>
        <v>2 BV A 0514 (Лот 311849)</v>
      </c>
      <c r="B1748" s="94"/>
      <c r="C1748" s="94"/>
      <c r="D1748" s="431" t="str">
        <f>IFERROR(__xludf.DUMMYFUNCTION("""COMPUTED_VALUE"""),"1 BV A 0514 (Лот 311849)")</f>
        <v>1 BV A 0514 (Лот 311849)</v>
      </c>
      <c r="E1748" s="1436">
        <f>IFERROR(__xludf.DUMMYFUNCTION("""COMPUTED_VALUE"""),45997.0)</f>
        <v>45997</v>
      </c>
      <c r="F1748" s="1436">
        <f>IFERROR(__xludf.DUMMYFUNCTION("""COMPUTED_VALUE"""),45999.0)</f>
        <v>45999</v>
      </c>
      <c r="G1748" s="1430">
        <f>IFERROR(__xludf.DUMMYFUNCTION("""COMPUTED_VALUE"""),2.0)</f>
        <v>2</v>
      </c>
      <c r="H1748" s="94">
        <f t="shared" si="1"/>
        <v>12</v>
      </c>
    </row>
    <row r="1749" ht="15.75" customHeight="1">
      <c r="A1749" s="94" t="str">
        <f>IFERROR(__xludf.DUMMYFUNCTION("""COMPUTED_VALUE"""),"CM 1304")</f>
        <v>CM 1304</v>
      </c>
      <c r="B1749" s="94"/>
      <c r="C1749" s="94"/>
      <c r="D1749" s="431" t="str">
        <f>IFERROR(__xludf.DUMMYFUNCTION("""COMPUTED_VALUE"""),"3 Mar 1304 (Лот 311875)")</f>
        <v>3 Mar 1304 (Лот 311875)</v>
      </c>
      <c r="E1749" s="1436">
        <f>IFERROR(__xludf.DUMMYFUNCTION("""COMPUTED_VALUE"""),45997.0)</f>
        <v>45997</v>
      </c>
      <c r="F1749" s="1436">
        <f>IFERROR(__xludf.DUMMYFUNCTION("""COMPUTED_VALUE"""),46003.0)</f>
        <v>46003</v>
      </c>
      <c r="G1749" s="1430">
        <f>IFERROR(__xludf.DUMMYFUNCTION("""COMPUTED_VALUE"""),6.0)</f>
        <v>6</v>
      </c>
      <c r="H1749" s="94">
        <f t="shared" si="1"/>
        <v>12</v>
      </c>
    </row>
    <row r="1750" ht="15.75" customHeight="1">
      <c r="A1750" s="94" t="str">
        <f>IFERROR(__xludf.DUMMYFUNCTION("""COMPUTED_VALUE"""),"TGA1")</f>
        <v>TGA1</v>
      </c>
      <c r="B1750" s="94"/>
      <c r="C1750" s="94"/>
      <c r="D1750" s="431" t="str">
        <f>IFERROR(__xludf.DUMMYFUNCTION("""COMPUTED_VALUE"""),"6 TG С 2 сп. блок А (А1, А10) (Лот 268000)")</f>
        <v>6 TG С 2 сп. блок А (А1, А10) (Лот 268000)</v>
      </c>
      <c r="E1750" s="1436">
        <f>IFERROR(__xludf.DUMMYFUNCTION("""COMPUTED_VALUE"""),45996.0)</f>
        <v>45996</v>
      </c>
      <c r="F1750" s="1436">
        <f>IFERROR(__xludf.DUMMYFUNCTION("""COMPUTED_VALUE"""),46027.0)</f>
        <v>46027</v>
      </c>
      <c r="G1750" s="1430">
        <f>IFERROR(__xludf.DUMMYFUNCTION("""COMPUTED_VALUE"""),31.0)</f>
        <v>31</v>
      </c>
      <c r="H1750" s="94">
        <f t="shared" si="1"/>
        <v>12</v>
      </c>
    </row>
    <row r="1751" ht="15.75" customHeight="1">
      <c r="A1751" s="94" t="str">
        <f>IFERROR(__xludf.DUMMYFUNCTION("""COMPUTED_VALUE"""),"PT2604")</f>
        <v>PT2604</v>
      </c>
      <c r="B1751" s="94"/>
      <c r="C1751" s="94"/>
      <c r="D1751" s="431" t="str">
        <f>IFERROR(__xludf.DUMMYFUNCTION("""COMPUTED_VALUE"""),"3 PB 2604 (Лот 265736)")</f>
        <v>3 PB 2604 (Лот 265736)</v>
      </c>
      <c r="E1751" s="1436">
        <f>IFERROR(__xludf.DUMMYFUNCTION("""COMPUTED_VALUE"""),45996.0)</f>
        <v>45996</v>
      </c>
      <c r="F1751" s="1439">
        <f>IFERROR(__xludf.DUMMYFUNCTION("""COMPUTED_VALUE"""),46008.0)</f>
        <v>46008</v>
      </c>
      <c r="G1751" s="1430">
        <f>IFERROR(__xludf.DUMMYFUNCTION("""COMPUTED_VALUE"""),12.0)</f>
        <v>12</v>
      </c>
      <c r="H1751" s="94">
        <f t="shared" si="1"/>
        <v>12</v>
      </c>
    </row>
    <row r="1752" ht="15.75" customHeight="1">
      <c r="A1752" s="94" t="str">
        <f>IFERROR(__xludf.DUMMYFUNCTION("""COMPUTED_VALUE"""),"TGA3")</f>
        <v>TGA3</v>
      </c>
      <c r="B1752" s="94"/>
      <c r="C1752" s="94"/>
      <c r="D1752" s="431" t="str">
        <f>IFERROR(__xludf.DUMMYFUNCTION("""COMPUTED_VALUE"""),"6 TG Студия с видом на море А3, А5, А6, А8 (Лот 268012)")</f>
        <v>6 TG Студия с видом на море А3, А5, А6, А8 (Лот 268012)</v>
      </c>
      <c r="E1752" s="1436">
        <f>IFERROR(__xludf.DUMMYFUNCTION("""COMPUTED_VALUE"""),45996.0)</f>
        <v>45996</v>
      </c>
      <c r="F1752" s="1439">
        <f>IFERROR(__xludf.DUMMYFUNCTION("""COMPUTED_VALUE"""),46027.0)</f>
        <v>46027</v>
      </c>
      <c r="G1752" s="1430">
        <f>IFERROR(__xludf.DUMMYFUNCTION("""COMPUTED_VALUE"""),31.0)</f>
        <v>31</v>
      </c>
      <c r="H1752" s="94">
        <f t="shared" si="1"/>
        <v>12</v>
      </c>
    </row>
    <row r="1753" ht="15.75" customHeight="1">
      <c r="A1753" s="94" t="str">
        <f>IFERROR(__xludf.DUMMYFUNCTION("""COMPUTED_VALUE"""),"MZ 718")</f>
        <v>MZ 718</v>
      </c>
      <c r="B1753" s="94"/>
      <c r="C1753" s="94"/>
      <c r="D1753" s="431" t="str">
        <f>IFERROR(__xludf.DUMMYFUNCTION("""COMPUTED_VALUE"""),"3 MZ 718, 913 (Лот 269699)")</f>
        <v>3 MZ 718, 913 (Лот 269699)</v>
      </c>
      <c r="E1753" s="1436">
        <f>IFERROR(__xludf.DUMMYFUNCTION("""COMPUTED_VALUE"""),45995.0)</f>
        <v>45995</v>
      </c>
      <c r="F1753" s="1436">
        <f>IFERROR(__xludf.DUMMYFUNCTION("""COMPUTED_VALUE"""),46011.0)</f>
        <v>46011</v>
      </c>
      <c r="G1753" s="1430">
        <f>IFERROR(__xludf.DUMMYFUNCTION("""COMPUTED_VALUE"""),16.0)</f>
        <v>16</v>
      </c>
      <c r="H1753" s="94">
        <f t="shared" si="1"/>
        <v>12</v>
      </c>
    </row>
    <row r="1754" ht="15.75" customHeight="1">
      <c r="A1754" s="94" t="str">
        <f>IFERROR(__xludf.DUMMYFUNCTION("""COMPUTED_VALUE"""),"TGA2")</f>
        <v>TGA2</v>
      </c>
      <c r="B1754" s="94"/>
      <c r="C1754" s="94"/>
      <c r="D1754" s="431" t="str">
        <f>IFERROR(__xludf.DUMMYFUNCTION("""COMPUTED_VALUE"""),"6 TG c 1 сп. блок А (А2, А4, А7, B8, A9) (Лот 263239)")</f>
        <v>6 TG c 1 сп. блок А (А2, А4, А7, B8, A9) (Лот 263239)</v>
      </c>
      <c r="E1754" s="1436">
        <f>IFERROR(__xludf.DUMMYFUNCTION("""COMPUTED_VALUE"""),45995.0)</f>
        <v>45995</v>
      </c>
      <c r="F1754" s="1436">
        <f>IFERROR(__xludf.DUMMYFUNCTION("""COMPUTED_VALUE"""),46000.0)</f>
        <v>46000</v>
      </c>
      <c r="G1754" s="1430">
        <f>IFERROR(__xludf.DUMMYFUNCTION("""COMPUTED_VALUE"""),5.0)</f>
        <v>5</v>
      </c>
      <c r="H1754" s="94">
        <f t="shared" si="1"/>
        <v>12</v>
      </c>
    </row>
    <row r="1755" ht="15.75" customHeight="1">
      <c r="A1755" s="94" t="str">
        <f>IFERROR(__xludf.DUMMYFUNCTION("""COMPUTED_VALUE"""),"D1 3902")</f>
        <v>D1 3902</v>
      </c>
      <c r="B1755" s="94"/>
      <c r="C1755" s="94"/>
      <c r="D1755" s="431" t="str">
        <f>IFERROR(__xludf.DUMMYFUNCTION("""COMPUTED_VALUE"""),"2 Orbi D 3902 (Лот 293635)")</f>
        <v>2 Orbi D 3902 (Лот 293635)</v>
      </c>
      <c r="E1755" s="1436">
        <f>IFERROR(__xludf.DUMMYFUNCTION("""COMPUTED_VALUE"""),45995.0)</f>
        <v>45995</v>
      </c>
      <c r="F1755" s="1436">
        <f>IFERROR(__xludf.DUMMYFUNCTION("""COMPUTED_VALUE"""),45997.0)</f>
        <v>45997</v>
      </c>
      <c r="G1755" s="1430">
        <f>IFERROR(__xludf.DUMMYFUNCTION("""COMPUTED_VALUE"""),2.0)</f>
        <v>2</v>
      </c>
      <c r="H1755" s="94">
        <f t="shared" si="1"/>
        <v>12</v>
      </c>
    </row>
    <row r="1756" ht="15.75" customHeight="1">
      <c r="A1756" s="94" t="str">
        <f>IFERROR(__xludf.DUMMYFUNCTION("""COMPUTED_VALUE"""),"PT2704")</f>
        <v>PT2704</v>
      </c>
      <c r="B1756" s="94"/>
      <c r="C1756" s="94"/>
      <c r="D1756" s="431" t="str">
        <f>IFERROR(__xludf.DUMMYFUNCTION("""COMPUTED_VALUE"""),"3 PB 2704 (Лот 265740)")</f>
        <v>3 PB 2704 (Лот 265740)</v>
      </c>
      <c r="E1756" s="1436">
        <f>IFERROR(__xludf.DUMMYFUNCTION("""COMPUTED_VALUE"""),45994.0)</f>
        <v>45994</v>
      </c>
      <c r="F1756" s="1439">
        <f>IFERROR(__xludf.DUMMYFUNCTION("""COMPUTED_VALUE"""),45997.0)</f>
        <v>45997</v>
      </c>
      <c r="G1756" s="1430">
        <f>IFERROR(__xludf.DUMMYFUNCTION("""COMPUTED_VALUE"""),3.0)</f>
        <v>3</v>
      </c>
      <c r="H1756" s="94">
        <f t="shared" si="1"/>
        <v>12</v>
      </c>
    </row>
    <row r="1757" ht="15.75" customHeight="1">
      <c r="A1757" s="1164" t="str">
        <f>IFERROR(__xludf.DUMMYFUNCTION("""COMPUTED_VALUE"""),"WS A 409")</f>
        <v>WS A 409</v>
      </c>
      <c r="B1757" s="94"/>
      <c r="C1757" s="94"/>
      <c r="D1757" s="431" t="str">
        <f>IFERROR(__xludf.DUMMYFUNCTION("""COMPUTED_VALUE"""),"1 WS A 409 (Лот 233355)")</f>
        <v>1 WS A 409 (Лот 233355)</v>
      </c>
      <c r="E1757" s="1436">
        <f>IFERROR(__xludf.DUMMYFUNCTION("""COMPUTED_VALUE"""),45994.0)</f>
        <v>45994</v>
      </c>
      <c r="F1757" s="1436">
        <f>IFERROR(__xludf.DUMMYFUNCTION("""COMPUTED_VALUE"""),46025.0)</f>
        <v>46025</v>
      </c>
      <c r="G1757" s="1430">
        <f>IFERROR(__xludf.DUMMYFUNCTION("""COMPUTED_VALUE"""),31.0)</f>
        <v>31</v>
      </c>
      <c r="H1757" s="94">
        <f t="shared" si="1"/>
        <v>12</v>
      </c>
    </row>
    <row r="1758" ht="15.75" customHeight="1">
      <c r="A1758" s="94" t="str">
        <f>IFERROR(__xludf.DUMMYFUNCTION("""COMPUTED_VALUE"""),"MZ 1408")</f>
        <v>MZ 1408</v>
      </c>
      <c r="B1758" s="94"/>
      <c r="C1758" s="94"/>
      <c r="D1758" s="431" t="str">
        <f>IFERROR(__xludf.DUMMYFUNCTION("""COMPUTED_VALUE"""),"3 MZ 1408 (Лот 289834)")</f>
        <v>3 MZ 1408 (Лот 289834)</v>
      </c>
      <c r="E1758" s="1436">
        <f>IFERROR(__xludf.DUMMYFUNCTION("""COMPUTED_VALUE"""),45993.0)</f>
        <v>45993</v>
      </c>
      <c r="F1758" s="1436">
        <f>IFERROR(__xludf.DUMMYFUNCTION("""COMPUTED_VALUE"""),46022.0)</f>
        <v>46022</v>
      </c>
      <c r="G1758" s="1430">
        <f>IFERROR(__xludf.DUMMYFUNCTION("""COMPUTED_VALUE"""),29.0)</f>
        <v>29</v>
      </c>
      <c r="H1758" s="94">
        <f t="shared" si="1"/>
        <v>12</v>
      </c>
    </row>
    <row r="1759" ht="15.75" customHeight="1">
      <c r="A1759" s="94" t="str">
        <f>IFERROR(__xludf.DUMMYFUNCTION("""COMPUTED_VALUE"""),"TGA3")</f>
        <v>TGA3</v>
      </c>
      <c r="B1759" s="94"/>
      <c r="C1759" s="94"/>
      <c r="D1759" s="431" t="str">
        <f>IFERROR(__xludf.DUMMYFUNCTION("""COMPUTED_VALUE"""),"6 TG Студия с видом на море А3, А5, А6, А8 (Лот 268012)")</f>
        <v>6 TG Студия с видом на море А3, А5, А6, А8 (Лот 268012)</v>
      </c>
      <c r="E1759" s="1439">
        <f>IFERROR(__xludf.DUMMYFUNCTION("""COMPUTED_VALUE"""),45993.0)</f>
        <v>45993</v>
      </c>
      <c r="F1759" s="1439">
        <f>IFERROR(__xludf.DUMMYFUNCTION("""COMPUTED_VALUE"""),45995.0)</f>
        <v>45995</v>
      </c>
      <c r="G1759" s="1430">
        <f>IFERROR(__xludf.DUMMYFUNCTION("""COMPUTED_VALUE"""),2.0)</f>
        <v>2</v>
      </c>
      <c r="H1759" s="94">
        <f t="shared" si="1"/>
        <v>12</v>
      </c>
    </row>
    <row r="1760" ht="15.75" customHeight="1">
      <c r="A1760" s="431" t="str">
        <f>IFERROR(__xludf.DUMMYFUNCTION("""COMPUTED_VALUE"""),"1. WH 176 (Лот 318650)")</f>
        <v>1. WH 176 (Лот 318650)</v>
      </c>
      <c r="B1760" s="94"/>
      <c r="C1760" s="94"/>
      <c r="D1760" s="431" t="str">
        <f>IFERROR(__xludf.DUMMYFUNCTION("""COMPUTED_VALUE"""),"1. WH 176 (Лот 318650)")</f>
        <v>1. WH 176 (Лот 318650)</v>
      </c>
      <c r="E1760" s="1439">
        <f>IFERROR(__xludf.DUMMYFUNCTION("""COMPUTED_VALUE"""),45993.0)</f>
        <v>45993</v>
      </c>
      <c r="F1760" s="1436">
        <f>IFERROR(__xludf.DUMMYFUNCTION("""COMPUTED_VALUE"""),46001.0)</f>
        <v>46001</v>
      </c>
      <c r="G1760" s="1430">
        <f>IFERROR(__xludf.DUMMYFUNCTION("""COMPUTED_VALUE"""),8.0)</f>
        <v>8</v>
      </c>
      <c r="H1760" s="94">
        <f t="shared" si="1"/>
        <v>12</v>
      </c>
    </row>
    <row r="1761" ht="15.75" customHeight="1">
      <c r="A1761" s="94" t="str">
        <f>IFERROR(__xludf.DUMMYFUNCTION("""COMPUTED_VALUE"""),"NW 2-5")</f>
        <v>NW 2-5</v>
      </c>
      <c r="B1761" s="94"/>
      <c r="C1761" s="94"/>
      <c r="D1761" s="431" t="str">
        <f>IFERROR(__xludf.DUMMYFUNCTION("""COMPUTED_VALUE"""),"3 NW 205 (Лот 295811)")</f>
        <v>3 NW 205 (Лот 295811)</v>
      </c>
      <c r="E1761" s="1439">
        <f>IFERROR(__xludf.DUMMYFUNCTION("""COMPUTED_VALUE"""),45992.0)</f>
        <v>45992</v>
      </c>
      <c r="F1761" s="1436">
        <f>IFERROR(__xludf.DUMMYFUNCTION("""COMPUTED_VALUE"""),46022.0)</f>
        <v>46022</v>
      </c>
      <c r="G1761" s="1430">
        <f>IFERROR(__xludf.DUMMYFUNCTION("""COMPUTED_VALUE"""),30.0)</f>
        <v>30</v>
      </c>
      <c r="H1761" s="94">
        <f t="shared" si="1"/>
        <v>12</v>
      </c>
    </row>
    <row r="1762" ht="15.75" customHeight="1">
      <c r="A1762" s="94" t="str">
        <f>IFERROR(__xludf.DUMMYFUNCTION("""COMPUTED_VALUE"""),"TGB3")</f>
        <v>TGB3</v>
      </c>
      <c r="B1762" s="94"/>
      <c r="C1762" s="94"/>
      <c r="D1762" s="431" t="str">
        <f>IFERROR(__xludf.DUMMYFUNCTION("""COMPUTED_VALUE"""),"6 TG Студии эконом блок Б (Б2, Б3, Б4) (Лот 268016)")</f>
        <v>6 TG Студии эконом блок Б (Б2, Б3, Б4) (Лот 268016)</v>
      </c>
      <c r="E1762" s="1439">
        <f>IFERROR(__xludf.DUMMYFUNCTION("""COMPUTED_VALUE"""),45992.0)</f>
        <v>45992</v>
      </c>
      <c r="F1762" s="1436">
        <f>IFERROR(__xludf.DUMMYFUNCTION("""COMPUTED_VALUE"""),46022.0)</f>
        <v>46022</v>
      </c>
      <c r="G1762" s="1430">
        <f>IFERROR(__xludf.DUMMYFUNCTION("""COMPUTED_VALUE"""),30.0)</f>
        <v>30</v>
      </c>
      <c r="H1762" s="94">
        <f t="shared" si="1"/>
        <v>12</v>
      </c>
    </row>
    <row r="1763" ht="15.75" customHeight="1">
      <c r="A1763" s="94" t="str">
        <f>IFERROR(__xludf.DUMMYFUNCTION("""COMPUTED_VALUE"""),"Polo 4-12")</f>
        <v>Polo 4-12</v>
      </c>
      <c r="B1763" s="94"/>
      <c r="C1763" s="94"/>
      <c r="D1763" s="94"/>
      <c r="E1763" s="1429">
        <f>IFERROR(__xludf.DUMMYFUNCTION("""COMPUTED_VALUE"""),45999.0)</f>
        <v>45999</v>
      </c>
      <c r="F1763" s="1429">
        <f>IFERROR(__xludf.DUMMYFUNCTION("""COMPUTED_VALUE"""),46029.0)</f>
        <v>46029</v>
      </c>
      <c r="G1763" s="1430">
        <f>IFERROR(__xludf.DUMMYFUNCTION("""COMPUTED_VALUE"""),31.0)</f>
        <v>31</v>
      </c>
      <c r="H1763" s="94">
        <f t="shared" si="1"/>
        <v>12</v>
      </c>
    </row>
    <row r="1764" ht="15.75" customHeight="1">
      <c r="A1764" s="94" t="str">
        <f>IFERROR(__xludf.DUMMYFUNCTION("""COMPUTED_VALUE"""),"D2 503")</f>
        <v>D2 503</v>
      </c>
      <c r="B1764" s="94"/>
      <c r="C1764" s="94"/>
      <c r="D1764" s="94" t="str">
        <f>IFERROR(__xludf.DUMMYFUNCTION("""COMPUTED_VALUE"""),"2 Orbi D2 503 (Лот 291554)")</f>
        <v>2 Orbi D2 503 (Лот 291554)</v>
      </c>
      <c r="E1764" s="1436">
        <f>IFERROR(__xludf.DUMMYFUNCTION("""COMPUTED_VALUE"""),45999.0)</f>
        <v>45999</v>
      </c>
      <c r="F1764" s="1436">
        <f>IFERROR(__xludf.DUMMYFUNCTION("""COMPUTED_VALUE"""),46029.0)</f>
        <v>46029</v>
      </c>
      <c r="G1764" s="1430">
        <f>IFERROR(__xludf.DUMMYFUNCTION("""COMPUTED_VALUE"""),31.0)</f>
        <v>31</v>
      </c>
      <c r="H1764" s="94">
        <f t="shared" si="1"/>
        <v>12</v>
      </c>
    </row>
    <row r="1765" ht="15.75" customHeight="1">
      <c r="A1765" s="94" t="str">
        <f>IFERROR(__xludf.DUMMYFUNCTION("""COMPUTED_VALUE"""),"NA  316")</f>
        <v>NA  316</v>
      </c>
      <c r="B1765" s="94"/>
      <c r="C1765" s="94"/>
      <c r="D1765" s="94"/>
      <c r="E1765" s="1433">
        <f>IFERROR(__xludf.DUMMYFUNCTION("""COMPUTED_VALUE"""),46005.0)</f>
        <v>46005</v>
      </c>
      <c r="F1765" s="1435">
        <f>IFERROR(__xludf.DUMMYFUNCTION("""COMPUTED_VALUE"""),46035.0)</f>
        <v>46035</v>
      </c>
      <c r="G1765" s="1430">
        <f>IFERROR(__xludf.DUMMYFUNCTION("""COMPUTED_VALUE"""),29.0)</f>
        <v>29</v>
      </c>
      <c r="H1765" s="94">
        <f t="shared" si="1"/>
        <v>12</v>
      </c>
    </row>
    <row r="1766" ht="15.75" customHeight="1">
      <c r="A1766" s="1164" t="str">
        <f>IFERROR(__xludf.DUMMYFUNCTION("""COMPUTED_VALUE"""),"WS В 212")</f>
        <v>WS В 212</v>
      </c>
      <c r="B1766" s="94"/>
      <c r="C1766" s="94"/>
      <c r="D1766" s="431" t="str">
        <f>IFERROR(__xludf.DUMMYFUNCTION("""COMPUTED_VALUE"""),"1 WS B 212 (Лот 233391)")</f>
        <v>1 WS B 212 (Лот 233391)</v>
      </c>
      <c r="E1766" s="1436">
        <f>IFERROR(__xludf.DUMMYFUNCTION("""COMPUTED_VALUE"""),46005.0)</f>
        <v>46005</v>
      </c>
      <c r="F1766" s="1439">
        <f>IFERROR(__xludf.DUMMYFUNCTION("""COMPUTED_VALUE"""),46036.0)</f>
        <v>46036</v>
      </c>
      <c r="G1766" s="1430">
        <f>IFERROR(__xludf.DUMMYFUNCTION("""COMPUTED_VALUE"""),31.0)</f>
        <v>31</v>
      </c>
      <c r="H1766" s="94">
        <f t="shared" si="1"/>
        <v>12</v>
      </c>
    </row>
    <row r="1767" ht="15.75" customHeight="1">
      <c r="A1767" s="94" t="str">
        <f>IFERROR(__xludf.DUMMYFUNCTION("""COMPUTED_VALUE"""),"TGA8")</f>
        <v>TGA8</v>
      </c>
      <c r="B1767" s="94"/>
      <c r="C1767" s="94"/>
      <c r="D1767" s="431" t="str">
        <f>IFERROR(__xludf.DUMMYFUNCTION("""COMPUTED_VALUE"""),"6 TG Студия с видом на море А3, А5, А6, А8 (Лот 268012)")</f>
        <v>6 TG Студия с видом на море А3, А5, А6, А8 (Лот 268012)</v>
      </c>
      <c r="E1767" s="1436">
        <f>IFERROR(__xludf.DUMMYFUNCTION("""COMPUTED_VALUE"""),46004.0)</f>
        <v>46004</v>
      </c>
      <c r="F1767" s="1436">
        <f>IFERROR(__xludf.DUMMYFUNCTION("""COMPUTED_VALUE"""),46026.0)</f>
        <v>46026</v>
      </c>
      <c r="G1767" s="1430">
        <f>IFERROR(__xludf.DUMMYFUNCTION("""COMPUTED_VALUE"""),22.0)</f>
        <v>22</v>
      </c>
    </row>
    <row r="1768" ht="15.75" customHeight="1">
      <c r="A1768" s="1164" t="str">
        <f>IFERROR(__xludf.DUMMYFUNCTION("""COMPUTED_VALUE"""),"WS В 503")</f>
        <v>WS В 503</v>
      </c>
      <c r="B1768" s="94"/>
      <c r="C1768" s="94"/>
      <c r="D1768" s="431" t="str">
        <f>IFERROR(__xludf.DUMMYFUNCTION("""COMPUTED_VALUE"""),"1 WS B 503 (Лот 233403)")</f>
        <v>1 WS B 503 (Лот 233403)</v>
      </c>
      <c r="E1768" s="1436">
        <f>IFERROR(__xludf.DUMMYFUNCTION("""COMPUTED_VALUE"""),46002.0)</f>
        <v>46002</v>
      </c>
      <c r="F1768" s="1436">
        <f>IFERROR(__xludf.DUMMYFUNCTION("""COMPUTED_VALUE"""),46010.0)</f>
        <v>46010</v>
      </c>
      <c r="G1768" s="1430">
        <f>IFERROR(__xludf.DUMMYFUNCTION("""COMPUTED_VALUE"""),8.0)</f>
        <v>8</v>
      </c>
    </row>
    <row r="1769" ht="15.75" customHeight="1">
      <c r="A1769" s="431" t="str">
        <f>IFERROR(__xludf.DUMMYFUNCTION("""COMPUTED_VALUE"""),"1. WH 176 (Лот 318650)")</f>
        <v>1. WH 176 (Лот 318650)</v>
      </c>
      <c r="B1769" s="94"/>
      <c r="C1769" s="94"/>
      <c r="D1769" s="431" t="str">
        <f>IFERROR(__xludf.DUMMYFUNCTION("""COMPUTED_VALUE"""),"1. WH 176 (Лот 318650)")</f>
        <v>1. WH 176 (Лот 318650)</v>
      </c>
      <c r="E1769" s="1436">
        <f>IFERROR(__xludf.DUMMYFUNCTION("""COMPUTED_VALUE"""),46002.0)</f>
        <v>46002</v>
      </c>
      <c r="F1769" s="1439">
        <f>IFERROR(__xludf.DUMMYFUNCTION("""COMPUTED_VALUE"""),46008.0)</f>
        <v>46008</v>
      </c>
      <c r="G1769" s="1430">
        <f>IFERROR(__xludf.DUMMYFUNCTION("""COMPUTED_VALUE"""),6.0)</f>
        <v>6</v>
      </c>
    </row>
    <row r="1770" ht="15.75" customHeight="1">
      <c r="A1770" s="94" t="str">
        <f>IFERROR(__xludf.DUMMYFUNCTION("""COMPUTED_VALUE"""),"Пиросмани 162")</f>
        <v>Пиросмани 162</v>
      </c>
      <c r="B1770" s="94"/>
      <c r="C1770" s="94"/>
      <c r="D1770" s="94"/>
      <c r="E1770" s="1429">
        <f>IFERROR(__xludf.DUMMYFUNCTION("""COMPUTED_VALUE"""),46001.0)</f>
        <v>46001</v>
      </c>
      <c r="F1770" s="1429">
        <f>IFERROR(__xludf.DUMMYFUNCTION("""COMPUTED_VALUE"""),46031.0)</f>
        <v>46031</v>
      </c>
      <c r="G1770" s="1430">
        <f>IFERROR(__xludf.DUMMYFUNCTION("""COMPUTED_VALUE"""),30.0)</f>
        <v>30</v>
      </c>
    </row>
    <row r="1771" ht="15.75" customHeight="1">
      <c r="A1771" s="94" t="str">
        <f>IFERROR(__xludf.DUMMYFUNCTION("""COMPUTED_VALUE"""),"PT2704")</f>
        <v>PT2704</v>
      </c>
      <c r="B1771" s="94"/>
      <c r="C1771" s="94"/>
      <c r="D1771" s="431" t="str">
        <f>IFERROR(__xludf.DUMMYFUNCTION("""COMPUTED_VALUE"""),"3 PB 2704 (Лот 265740)")</f>
        <v>3 PB 2704 (Лот 265740)</v>
      </c>
      <c r="E1771" s="1436">
        <f>IFERROR(__xludf.DUMMYFUNCTION("""COMPUTED_VALUE"""),46001.0)</f>
        <v>46001</v>
      </c>
      <c r="F1771" s="1439">
        <f>IFERROR(__xludf.DUMMYFUNCTION("""COMPUTED_VALUE"""),46006.0)</f>
        <v>46006</v>
      </c>
      <c r="G1771" s="1430">
        <f>IFERROR(__xludf.DUMMYFUNCTION("""COMPUTED_VALUE"""),5.0)</f>
        <v>5</v>
      </c>
    </row>
    <row r="1772" ht="15.75" customHeight="1">
      <c r="A1772" s="94" t="str">
        <f>IFERROR(__xludf.DUMMYFUNCTION("""COMPUTED_VALUE"""),"D1 3902")</f>
        <v>D1 3902</v>
      </c>
      <c r="B1772" s="94"/>
      <c r="C1772" s="94"/>
      <c r="D1772" s="431" t="str">
        <f>IFERROR(__xludf.DUMMYFUNCTION("""COMPUTED_VALUE"""),"2 Orbi D 3902 (Лот 293635)")</f>
        <v>2 Orbi D 3902 (Лот 293635)</v>
      </c>
      <c r="E1772" s="1436">
        <f>IFERROR(__xludf.DUMMYFUNCTION("""COMPUTED_VALUE"""),46000.0)</f>
        <v>46000</v>
      </c>
      <c r="F1772" s="1436">
        <f>IFERROR(__xludf.DUMMYFUNCTION("""COMPUTED_VALUE"""),46002.0)</f>
        <v>46002</v>
      </c>
      <c r="G1772" s="1430">
        <f>IFERROR(__xludf.DUMMYFUNCTION("""COMPUTED_VALUE"""),2.0)</f>
        <v>2</v>
      </c>
    </row>
    <row r="1773" ht="15.75" customHeight="1">
      <c r="A1773" s="1164" t="str">
        <f>IFERROR(__xludf.DUMMYFUNCTION("""COMPUTED_VALUE"""),"CM 1931")</f>
        <v>CM 1931</v>
      </c>
      <c r="B1773" s="94"/>
      <c r="C1773" s="94"/>
      <c r="D1773" s="431" t="str">
        <f>IFERROR(__xludf.DUMMYFUNCTION("""COMPUTED_VALUE"""),"3 Mar 1931 (Лот 233381)")</f>
        <v>3 Mar 1931 (Лот 233381)</v>
      </c>
      <c r="E1773" s="1436">
        <f>IFERROR(__xludf.DUMMYFUNCTION("""COMPUTED_VALUE"""),45999.0)</f>
        <v>45999</v>
      </c>
      <c r="F1773" s="1439">
        <f>IFERROR(__xludf.DUMMYFUNCTION("""COMPUTED_VALUE"""),46002.0)</f>
        <v>46002</v>
      </c>
      <c r="G1773" s="1430">
        <f>IFERROR(__xludf.DUMMYFUNCTION("""COMPUTED_VALUE"""),3.0)</f>
        <v>3</v>
      </c>
    </row>
    <row r="1774" ht="15.75" customHeight="1">
      <c r="A1774" s="1164" t="str">
        <f>IFERROR(__xludf.DUMMYFUNCTION("""COMPUTED_VALUE"""),"D2 1625")</f>
        <v>D2 1625</v>
      </c>
      <c r="B1774" s="94"/>
      <c r="C1774" s="94"/>
      <c r="D1774" s="431" t="str">
        <f>IFERROR(__xludf.DUMMYFUNCTION("""COMPUTED_VALUE"""),"2 Orbi D2 1625 (Лот 233308)")</f>
        <v>2 Orbi D2 1625 (Лот 233308)</v>
      </c>
      <c r="E1774" s="1436">
        <f>IFERROR(__xludf.DUMMYFUNCTION("""COMPUTED_VALUE"""),45999.0)</f>
        <v>45999</v>
      </c>
      <c r="F1774" s="1436">
        <f>IFERROR(__xludf.DUMMYFUNCTION("""COMPUTED_VALUE"""),46006.0)</f>
        <v>46006</v>
      </c>
      <c r="G1774" s="1430">
        <f>IFERROR(__xludf.DUMMYFUNCTION("""COMPUTED_VALUE"""),7.0)</f>
        <v>7</v>
      </c>
    </row>
    <row r="1775" ht="15.75" customHeight="1">
      <c r="A1775" s="1164" t="str">
        <f>IFERROR(__xludf.DUMMYFUNCTION("""COMPUTED_VALUE"""),"WS E 1202")</f>
        <v>WS E 1202</v>
      </c>
      <c r="B1775" s="94"/>
      <c r="C1775" s="94"/>
      <c r="D1775" s="431" t="str">
        <f>IFERROR(__xludf.DUMMYFUNCTION("""COMPUTED_VALUE"""),"1 WS E 1202 (Лот 233379)")</f>
        <v>1 WS E 1202 (Лот 233379)</v>
      </c>
      <c r="E1775" s="1436">
        <f>IFERROR(__xludf.DUMMYFUNCTION("""COMPUTED_VALUE"""),46012.0)</f>
        <v>46012</v>
      </c>
      <c r="F1775" s="1436">
        <f>IFERROR(__xludf.DUMMYFUNCTION("""COMPUTED_VALUE"""),46019.0)</f>
        <v>46019</v>
      </c>
      <c r="G1775" s="1430">
        <f>IFERROR(__xludf.DUMMYFUNCTION("""COMPUTED_VALUE"""),7.0)</f>
        <v>7</v>
      </c>
    </row>
    <row r="1776" ht="15.75" customHeight="1">
      <c r="A1776" s="94" t="str">
        <f>IFERROR(__xludf.DUMMYFUNCTION("""COMPUTED_VALUE"""),"PT2604")</f>
        <v>PT2604</v>
      </c>
      <c r="B1776" s="94"/>
      <c r="C1776" s="94"/>
      <c r="D1776" s="431" t="str">
        <f>IFERROR(__xludf.DUMMYFUNCTION("""COMPUTED_VALUE"""),"3 PB 2604 (Лот 265736)")</f>
        <v>3 PB 2604 (Лот 265736)</v>
      </c>
      <c r="E1776" s="1436">
        <f>IFERROR(__xludf.DUMMYFUNCTION("""COMPUTED_VALUE"""),46012.0)</f>
        <v>46012</v>
      </c>
      <c r="F1776" s="1436">
        <f>IFERROR(__xludf.DUMMYFUNCTION("""COMPUTED_VALUE"""),46018.0)</f>
        <v>46018</v>
      </c>
      <c r="G1776" s="1430">
        <f>IFERROR(__xludf.DUMMYFUNCTION("""COMPUTED_VALUE"""),6.0)</f>
        <v>6</v>
      </c>
    </row>
    <row r="1777" ht="15.75" customHeight="1">
      <c r="A1777" s="431" t="str">
        <f>IFERROR(__xludf.DUMMYFUNCTION("""COMPUTED_VALUE"""),"1 OBT 2906 (Лот 322761)")</f>
        <v>1 OBT 2906 (Лот 322761)</v>
      </c>
      <c r="B1777" s="94"/>
      <c r="C1777" s="94"/>
      <c r="D1777" s="431" t="str">
        <f>IFERROR(__xludf.DUMMYFUNCTION("""COMPUTED_VALUE"""),"1 OBT 2906 (Лот 322761)")</f>
        <v>1 OBT 2906 (Лот 322761)</v>
      </c>
      <c r="E1777" s="1436">
        <f>IFERROR(__xludf.DUMMYFUNCTION("""COMPUTED_VALUE"""),46012.0)</f>
        <v>46012</v>
      </c>
      <c r="F1777" s="1439">
        <f>IFERROR(__xludf.DUMMYFUNCTION("""COMPUTED_VALUE"""),46018.0)</f>
        <v>46018</v>
      </c>
      <c r="G1777" s="1430">
        <f>IFERROR(__xludf.DUMMYFUNCTION("""COMPUTED_VALUE"""),6.0)</f>
        <v>6</v>
      </c>
    </row>
    <row r="1778" ht="15.75" customHeight="1">
      <c r="A1778" s="431" t="str">
        <f>IFERROR(__xludf.DUMMYFUNCTION("""COMPUTED_VALUE"""),"3 DZ 12 (Лот 322676)")</f>
        <v>3 DZ 12 (Лот 322676)</v>
      </c>
      <c r="B1778" s="94"/>
      <c r="C1778" s="94"/>
      <c r="D1778" s="431" t="str">
        <f>IFERROR(__xludf.DUMMYFUNCTION("""COMPUTED_VALUE"""),"3 DZ 12 (Лот 322676)")</f>
        <v>3 DZ 12 (Лот 322676)</v>
      </c>
      <c r="E1778" s="1436">
        <f>IFERROR(__xludf.DUMMYFUNCTION("""COMPUTED_VALUE"""),46012.0)</f>
        <v>46012</v>
      </c>
      <c r="F1778" s="1439">
        <f>IFERROR(__xludf.DUMMYFUNCTION("""COMPUTED_VALUE"""),46019.0)</f>
        <v>46019</v>
      </c>
      <c r="G1778" s="1430">
        <f>IFERROR(__xludf.DUMMYFUNCTION("""COMPUTED_VALUE"""),7.0)</f>
        <v>7</v>
      </c>
    </row>
    <row r="1779" ht="15.75" customHeight="1">
      <c r="A1779" s="94" t="str">
        <f>IFERROR(__xludf.DUMMYFUNCTION("""COMPUTED_VALUE"""),"MZ 718")</f>
        <v>MZ 718</v>
      </c>
      <c r="B1779" s="94"/>
      <c r="C1779" s="94"/>
      <c r="D1779" s="431" t="str">
        <f>IFERROR(__xludf.DUMMYFUNCTION("""COMPUTED_VALUE"""),"3 MZ 718, 913 (Лот 269699)")</f>
        <v>3 MZ 718, 913 (Лот 269699)</v>
      </c>
      <c r="E1779" s="1436">
        <f>IFERROR(__xludf.DUMMYFUNCTION("""COMPUTED_VALUE"""),46011.0)</f>
        <v>46011</v>
      </c>
      <c r="F1779" s="1436">
        <f>IFERROR(__xludf.DUMMYFUNCTION("""COMPUTED_VALUE"""),46039.0)</f>
        <v>46039</v>
      </c>
      <c r="G1779" s="1430">
        <f>IFERROR(__xludf.DUMMYFUNCTION("""COMPUTED_VALUE"""),28.0)</f>
        <v>28</v>
      </c>
    </row>
    <row r="1780" ht="15.75" customHeight="1">
      <c r="A1780" s="94" t="str">
        <f>IFERROR(__xludf.DUMMYFUNCTION("""COMPUTED_VALUE"""),"MZ 913")</f>
        <v>MZ 913</v>
      </c>
      <c r="B1780" s="94"/>
      <c r="C1780" s="94"/>
      <c r="D1780" s="431" t="str">
        <f>IFERROR(__xludf.DUMMYFUNCTION("""COMPUTED_VALUE"""),"3 MZ 718, 913 (Лот 269699)")</f>
        <v>3 MZ 718, 913 (Лот 269699)</v>
      </c>
      <c r="E1780" s="1436">
        <f>IFERROR(__xludf.DUMMYFUNCTION("""COMPUTED_VALUE"""),46011.0)</f>
        <v>46011</v>
      </c>
      <c r="F1780" s="1436">
        <f>IFERROR(__xludf.DUMMYFUNCTION("""COMPUTED_VALUE"""),46016.0)</f>
        <v>46016</v>
      </c>
      <c r="G1780" s="1430">
        <f>IFERROR(__xludf.DUMMYFUNCTION("""COMPUTED_VALUE"""),5.0)</f>
        <v>5</v>
      </c>
    </row>
    <row r="1781" ht="15.75" customHeight="1">
      <c r="A1781" s="94" t="str">
        <f>IFERROR(__xludf.DUMMYFUNCTION("""COMPUTED_VALUE"""),"2 BV A 0514 (Лот 311849)")</f>
        <v>2 BV A 0514 (Лот 311849)</v>
      </c>
      <c r="B1781" s="94"/>
      <c r="C1781" s="94"/>
      <c r="D1781" s="431" t="str">
        <f>IFERROR(__xludf.DUMMYFUNCTION("""COMPUTED_VALUE"""),"1 BV A 0514 (Лот 311849)")</f>
        <v>1 BV A 0514 (Лот 311849)</v>
      </c>
      <c r="E1781" s="1436">
        <f>IFERROR(__xludf.DUMMYFUNCTION("""COMPUTED_VALUE"""),46011.0)</f>
        <v>46011</v>
      </c>
      <c r="F1781" s="1436">
        <f>IFERROR(__xludf.DUMMYFUNCTION("""COMPUTED_VALUE"""),46013.0)</f>
        <v>46013</v>
      </c>
      <c r="G1781" s="1430">
        <f>IFERROR(__xludf.DUMMYFUNCTION("""COMPUTED_VALUE"""),2.0)</f>
        <v>2</v>
      </c>
    </row>
    <row r="1782" ht="15.75" customHeight="1">
      <c r="A1782" s="1164" t="str">
        <f>IFERROR(__xludf.DUMMYFUNCTION("""COMPUTED_VALUE"""),"Шар 2505")</f>
        <v>Шар 2505</v>
      </c>
      <c r="B1782" s="94"/>
      <c r="C1782" s="94"/>
      <c r="D1782" s="431" t="str">
        <f>IFERROR(__xludf.DUMMYFUNCTION("""COMPUTED_VALUE"""),"3 Sh8 2505 A (Лот 233423)")</f>
        <v>3 Sh8 2505 A (Лот 233423)</v>
      </c>
      <c r="E1782" s="1436">
        <f>IFERROR(__xludf.DUMMYFUNCTION("""COMPUTED_VALUE"""),46011.0)</f>
        <v>46011</v>
      </c>
      <c r="F1782" s="1436">
        <f>IFERROR(__xludf.DUMMYFUNCTION("""COMPUTED_VALUE"""),46042.0)</f>
        <v>46042</v>
      </c>
      <c r="G1782" s="1430">
        <f>IFERROR(__xludf.DUMMYFUNCTION("""COMPUTED_VALUE"""),31.0)</f>
        <v>31</v>
      </c>
    </row>
    <row r="1783" ht="15.75" customHeight="1">
      <c r="A1783" s="94" t="str">
        <f>IFERROR(__xludf.DUMMYFUNCTION("""COMPUTED_VALUE"""),"D1 3902")</f>
        <v>D1 3902</v>
      </c>
      <c r="B1783" s="94"/>
      <c r="C1783" s="94"/>
      <c r="D1783" s="431" t="str">
        <f>IFERROR(__xludf.DUMMYFUNCTION("""COMPUTED_VALUE"""),"2 Orbi D 3902 (Лот 293635)")</f>
        <v>2 Orbi D 3902 (Лот 293635)</v>
      </c>
      <c r="E1783" s="1439">
        <f>IFERROR(__xludf.DUMMYFUNCTION("""COMPUTED_VALUE"""),46010.0)</f>
        <v>46010</v>
      </c>
      <c r="F1783" s="1439">
        <f>IFERROR(__xludf.DUMMYFUNCTION("""COMPUTED_VALUE"""),46017.0)</f>
        <v>46017</v>
      </c>
      <c r="G1783" s="1430">
        <f>IFERROR(__xludf.DUMMYFUNCTION("""COMPUTED_VALUE"""),7.0)</f>
        <v>7</v>
      </c>
    </row>
    <row r="1784" ht="15.75" customHeight="1">
      <c r="A1784" s="431" t="str">
        <f>IFERROR(__xludf.DUMMYFUNCTION("""COMPUTED_VALUE"""),"3. BG 227 (Лот 322491)")</f>
        <v>3. BG 227 (Лот 322491)</v>
      </c>
      <c r="B1784" s="94"/>
      <c r="C1784" s="94"/>
      <c r="D1784" s="431" t="str">
        <f>IFERROR(__xludf.DUMMYFUNCTION("""COMPUTED_VALUE"""),"3. BG 227 (Лот 322491)")</f>
        <v>3. BG 227 (Лот 322491)</v>
      </c>
      <c r="E1784" s="1439">
        <f>IFERROR(__xludf.DUMMYFUNCTION("""COMPUTED_VALUE"""),46010.0)</f>
        <v>46010</v>
      </c>
      <c r="F1784" s="1436">
        <f>IFERROR(__xludf.DUMMYFUNCTION("""COMPUTED_VALUE"""),46041.0)</f>
        <v>46041</v>
      </c>
      <c r="G1784" s="1430">
        <f>IFERROR(__xludf.DUMMYFUNCTION("""COMPUTED_VALUE"""),31.0)</f>
        <v>31</v>
      </c>
    </row>
    <row r="1785" ht="15.75" customHeight="1">
      <c r="A1785" s="1164" t="str">
        <f>IFERROR(__xludf.DUMMYFUNCTION("""COMPUTED_VALUE"""),"CM 1931")</f>
        <v>CM 1931</v>
      </c>
      <c r="B1785" s="94"/>
      <c r="C1785" s="94"/>
      <c r="D1785" s="431" t="str">
        <f>IFERROR(__xludf.DUMMYFUNCTION("""COMPUTED_VALUE"""),"3 Mar 1931 (Лот 233381)")</f>
        <v>3 Mar 1931 (Лот 233381)</v>
      </c>
      <c r="E1785" s="1439">
        <f>IFERROR(__xludf.DUMMYFUNCTION("""COMPUTED_VALUE"""),46009.0)</f>
        <v>46009</v>
      </c>
      <c r="F1785" s="1439">
        <f>IFERROR(__xludf.DUMMYFUNCTION("""COMPUTED_VALUE"""),46012.0)</f>
        <v>46012</v>
      </c>
      <c r="G1785" s="1430">
        <f>IFERROR(__xludf.DUMMYFUNCTION("""COMPUTED_VALUE"""),3.0)</f>
        <v>3</v>
      </c>
    </row>
    <row r="1786" ht="15.75" customHeight="1">
      <c r="A1786" s="94" t="str">
        <f>IFERROR(__xludf.DUMMYFUNCTION("""COMPUTED_VALUE"""),"CM 1604")</f>
        <v>CM 1604</v>
      </c>
      <c r="B1786" s="94"/>
      <c r="C1786" s="94"/>
      <c r="D1786" s="431" t="str">
        <f>IFERROR(__xludf.DUMMYFUNCTION("""COMPUTED_VALUE"""),"3 Mar 1604 (Лот 233303)")</f>
        <v>3 Mar 1604 (Лот 233303)</v>
      </c>
      <c r="E1786" s="1439">
        <f>IFERROR(__xludf.DUMMYFUNCTION("""COMPUTED_VALUE"""),46008.0)</f>
        <v>46008</v>
      </c>
      <c r="F1786" s="1436">
        <f>IFERROR(__xludf.DUMMYFUNCTION("""COMPUTED_VALUE"""),46039.0)</f>
        <v>46039</v>
      </c>
      <c r="G1786" s="1430">
        <f>IFERROR(__xludf.DUMMYFUNCTION("""COMPUTED_VALUE"""),31.0)</f>
        <v>31</v>
      </c>
    </row>
    <row r="1787" ht="15.75" customHeight="1">
      <c r="A1787" s="1164" t="str">
        <f>IFERROR(__xludf.DUMMYFUNCTION("""COMPUTED_VALUE"""),"WS E 1202")</f>
        <v>WS E 1202</v>
      </c>
      <c r="B1787" s="94"/>
      <c r="C1787" s="94"/>
      <c r="D1787" s="431" t="str">
        <f>IFERROR(__xludf.DUMMYFUNCTION("""COMPUTED_VALUE"""),"1 WS E 1202 (Лот 233379)")</f>
        <v>1 WS E 1202 (Лот 233379)</v>
      </c>
      <c r="E1787" s="1439">
        <f>IFERROR(__xludf.DUMMYFUNCTION("""COMPUTED_VALUE"""),46008.0)</f>
        <v>46008</v>
      </c>
      <c r="F1787" s="1439">
        <f>IFERROR(__xludf.DUMMYFUNCTION("""COMPUTED_VALUE"""),46012.0)</f>
        <v>46012</v>
      </c>
      <c r="G1787" s="1430">
        <f>IFERROR(__xludf.DUMMYFUNCTION("""COMPUTED_VALUE"""),4.0)</f>
        <v>4</v>
      </c>
    </row>
    <row r="1788" ht="15.75" customHeight="1">
      <c r="A1788" s="94" t="str">
        <f>IFERROR(__xludf.DUMMYFUNCTION("""COMPUTED_VALUE"""),"Int 2612")</f>
        <v>Int 2612</v>
      </c>
      <c r="B1788" s="94"/>
      <c r="C1788" s="94"/>
      <c r="D1788" s="431" t="str">
        <f>IFERROR(__xludf.DUMMYFUNCTION("""COMPUTED_VALUE"""),"3 Int B 2612 (Лот 285149)")</f>
        <v>3 Int B 2612 (Лот 285149)</v>
      </c>
      <c r="E1788" s="1439">
        <f>IFERROR(__xludf.DUMMYFUNCTION("""COMPUTED_VALUE"""),46008.0)</f>
        <v>46008</v>
      </c>
      <c r="F1788" s="1439">
        <f>IFERROR(__xludf.DUMMYFUNCTION("""COMPUTED_VALUE"""),46015.0)</f>
        <v>46015</v>
      </c>
      <c r="G1788" s="1430">
        <f>IFERROR(__xludf.DUMMYFUNCTION("""COMPUTED_VALUE"""),7.0)</f>
        <v>7</v>
      </c>
    </row>
    <row r="1789" ht="15.75" customHeight="1">
      <c r="A1789" s="1164" t="str">
        <f>IFERROR(__xludf.DUMMYFUNCTION("""COMPUTED_VALUE"""),"D2 1625")</f>
        <v>D2 1625</v>
      </c>
      <c r="B1789" s="94"/>
      <c r="C1789" s="94"/>
      <c r="D1789" s="431" t="str">
        <f>IFERROR(__xludf.DUMMYFUNCTION("""COMPUTED_VALUE"""),"2 Orbi D2 1625 (Лот 233308)")</f>
        <v>2 Orbi D2 1625 (Лот 233308)</v>
      </c>
      <c r="E1789" s="1439">
        <f>IFERROR(__xludf.DUMMYFUNCTION("""COMPUTED_VALUE"""),46008.0)</f>
        <v>46008</v>
      </c>
      <c r="F1789" s="1436">
        <f>IFERROR(__xludf.DUMMYFUNCTION("""COMPUTED_VALUE"""),46039.0)</f>
        <v>46039</v>
      </c>
      <c r="G1789" s="1430">
        <f>IFERROR(__xludf.DUMMYFUNCTION("""COMPUTED_VALUE"""),31.0)</f>
        <v>31</v>
      </c>
    </row>
    <row r="1790" ht="15.75" customHeight="1">
      <c r="A1790" s="1164" t="str">
        <f>IFERROR(__xludf.DUMMYFUNCTION("""COMPUTED_VALUE"""),"BV1318")</f>
        <v>BV1318</v>
      </c>
      <c r="B1790" s="94"/>
      <c r="C1790" s="94"/>
      <c r="D1790" s="431" t="str">
        <f>IFERROR(__xludf.DUMMYFUNCTION("""COMPUTED_VALUE"""),"1 BV 1318 (Лот 234845)")</f>
        <v>1 BV 1318 (Лот 234845)</v>
      </c>
      <c r="E1790" s="1439">
        <f>IFERROR(__xludf.DUMMYFUNCTION("""COMPUTED_VALUE"""),46008.0)</f>
        <v>46008</v>
      </c>
      <c r="F1790" s="1439">
        <f>IFERROR(__xludf.DUMMYFUNCTION("""COMPUTED_VALUE"""),46014.0)</f>
        <v>46014</v>
      </c>
      <c r="G1790" s="1430">
        <f>IFERROR(__xludf.DUMMYFUNCTION("""COMPUTED_VALUE"""),6.0)</f>
        <v>6</v>
      </c>
    </row>
    <row r="1791" ht="15.75" customHeight="1">
      <c r="A1791" s="431" t="str">
        <f>IFERROR(__xludf.DUMMYFUNCTION("""COMPUTED_VALUE"""),"3 DZ 12 (Лот 322676)")</f>
        <v>3 DZ 12 (Лот 322676)</v>
      </c>
      <c r="B1791" s="94"/>
      <c r="C1791" s="94"/>
      <c r="D1791" s="431" t="str">
        <f>IFERROR(__xludf.DUMMYFUNCTION("""COMPUTED_VALUE"""),"3 DZ 12 (Лот 322676)")</f>
        <v>3 DZ 12 (Лот 322676)</v>
      </c>
      <c r="E1791" s="1439">
        <f>IFERROR(__xludf.DUMMYFUNCTION("""COMPUTED_VALUE"""),46008.0)</f>
        <v>46008</v>
      </c>
      <c r="F1791" s="1439">
        <f>IFERROR(__xludf.DUMMYFUNCTION("""COMPUTED_VALUE"""),46011.0)</f>
        <v>46011</v>
      </c>
      <c r="G1791" s="1430">
        <f>IFERROR(__xludf.DUMMYFUNCTION("""COMPUTED_VALUE"""),3.0)</f>
        <v>3</v>
      </c>
    </row>
    <row r="1792" ht="15.75" customHeight="1">
      <c r="A1792" s="94" t="str">
        <f>IFERROR(__xludf.DUMMYFUNCTION("""COMPUTED_VALUE"""),"MZ А 1113")</f>
        <v>MZ А 1113</v>
      </c>
      <c r="B1792" s="94"/>
      <c r="C1792" s="94"/>
      <c r="D1792" s="431" t="str">
        <f>IFERROR(__xludf.DUMMYFUNCTION("""COMPUTED_VALUE"""),"3 MZ A 1113 (Лот 314964)")</f>
        <v>3 MZ A 1113 (Лот 314964)</v>
      </c>
      <c r="E1792" s="1439">
        <f>IFERROR(__xludf.DUMMYFUNCTION("""COMPUTED_VALUE"""),46007.0)</f>
        <v>46007</v>
      </c>
      <c r="F1792" s="1436">
        <f>IFERROR(__xludf.DUMMYFUNCTION("""COMPUTED_VALUE"""),46037.0)</f>
        <v>46037</v>
      </c>
      <c r="G1792" s="1430">
        <f>IFERROR(__xludf.DUMMYFUNCTION("""COMPUTED_VALUE"""),30.0)</f>
        <v>30</v>
      </c>
    </row>
    <row r="1793" ht="15.75" customHeight="1">
      <c r="A1793" s="94" t="str">
        <f>IFERROR(__xludf.DUMMYFUNCTION("""COMPUTED_VALUE"""),"NW 3-7")</f>
        <v>NW 3-7</v>
      </c>
      <c r="B1793" s="94"/>
      <c r="C1793" s="94"/>
      <c r="D1793" s="431" t="str">
        <f>IFERROR(__xludf.DUMMYFUNCTION("""COMPUTED_VALUE"""),"3 NW 307 (Лот 289960)")</f>
        <v>3 NW 307 (Лот 289960)</v>
      </c>
      <c r="E1793" s="1436">
        <f>IFERROR(__xludf.DUMMYFUNCTION("""COMPUTED_VALUE"""),46005.0)</f>
        <v>46005</v>
      </c>
      <c r="F1793" s="1436">
        <f>IFERROR(__xludf.DUMMYFUNCTION("""COMPUTED_VALUE"""),46036.0)</f>
        <v>46036</v>
      </c>
      <c r="G1793" s="1430">
        <f>IFERROR(__xludf.DUMMYFUNCTION("""COMPUTED_VALUE"""),31.0)</f>
        <v>31</v>
      </c>
    </row>
    <row r="1794" ht="15.75" customHeight="1">
      <c r="A1794" s="94" t="str">
        <f>IFERROR(__xludf.DUMMYFUNCTION("""COMPUTED_VALUE"""),"2 BV A 0514 (Лот 311849)")</f>
        <v>2 BV A 0514 (Лот 311849)</v>
      </c>
      <c r="B1794" s="94"/>
      <c r="C1794" s="94"/>
      <c r="D1794" s="431" t="str">
        <f>IFERROR(__xludf.DUMMYFUNCTION("""COMPUTED_VALUE"""),"1 BV A 0514 (Лот 311849)")</f>
        <v>1 BV A 0514 (Лот 311849)</v>
      </c>
      <c r="E1794" s="1436">
        <f>IFERROR(__xludf.DUMMYFUNCTION("""COMPUTED_VALUE"""),46006.0)</f>
        <v>46006</v>
      </c>
      <c r="F1794" s="1436">
        <f>IFERROR(__xludf.DUMMYFUNCTION("""COMPUTED_VALUE"""),46010.0)</f>
        <v>46010</v>
      </c>
      <c r="G1794" s="1430">
        <f>IFERROR(__xludf.DUMMYFUNCTION("""COMPUTED_VALUE"""),4.0)</f>
        <v>4</v>
      </c>
    </row>
    <row r="1795" ht="15.75" customHeight="1">
      <c r="A1795" s="94" t="str">
        <f>IFERROR(__xludf.DUMMYFUNCTION("""COMPUTED_VALUE"""),"MZ 718")</f>
        <v>MZ 718</v>
      </c>
      <c r="B1795" s="94"/>
      <c r="C1795" s="94"/>
      <c r="D1795" s="431" t="str">
        <f>IFERROR(__xludf.DUMMYFUNCTION("""COMPUTED_VALUE"""),"3 MZ 718, 913 (Лот 269699)")</f>
        <v>3 MZ 718, 913 (Лот 269699)</v>
      </c>
      <c r="E1795" s="1439">
        <f>IFERROR(__xludf.DUMMYFUNCTION("""COMPUTED_VALUE"""),46006.0)</f>
        <v>46006</v>
      </c>
      <c r="F1795" s="1439">
        <f>IFERROR(__xludf.DUMMYFUNCTION("""COMPUTED_VALUE"""),46011.0)</f>
        <v>46011</v>
      </c>
      <c r="G1795" s="1430">
        <f>IFERROR(__xludf.DUMMYFUNCTION("""COMPUTED_VALUE"""),5.0)</f>
        <v>5</v>
      </c>
    </row>
    <row r="1796" ht="15.75" customHeight="1">
      <c r="A1796" s="94" t="str">
        <f>IFERROR(__xludf.DUMMYFUNCTION("""COMPUTED_VALUE"""),"шартава 16/18")</f>
        <v>шартава 16/18</v>
      </c>
      <c r="B1796" s="94"/>
      <c r="C1796" s="94"/>
      <c r="D1796" s="94"/>
      <c r="E1796" s="1429">
        <f>IFERROR(__xludf.DUMMYFUNCTION("""COMPUTED_VALUE"""),46016.0)</f>
        <v>46016</v>
      </c>
      <c r="F1796" s="1436">
        <f>IFERROR(__xludf.DUMMYFUNCTION("""COMPUTED_VALUE"""),46046.0)</f>
        <v>46046</v>
      </c>
      <c r="G1796" s="1430">
        <f>IFERROR(__xludf.DUMMYFUNCTION("""COMPUTED_VALUE"""),30.0)</f>
        <v>30</v>
      </c>
    </row>
    <row r="1797" ht="15.75" customHeight="1">
      <c r="A1797" s="94" t="str">
        <f>IFERROR(__xludf.DUMMYFUNCTION("""COMPUTED_VALUE"""),"Pollo 2-2")</f>
        <v>Pollo 2-2</v>
      </c>
      <c r="B1797" s="94"/>
      <c r="C1797" s="94"/>
      <c r="D1797" s="94"/>
      <c r="E1797" s="1429">
        <f>IFERROR(__xludf.DUMMYFUNCTION("""COMPUTED_VALUE"""),46019.0)</f>
        <v>46019</v>
      </c>
      <c r="F1797" s="1429">
        <f>IFERROR(__xludf.DUMMYFUNCTION("""COMPUTED_VALUE"""),46049.0)</f>
        <v>46049</v>
      </c>
      <c r="G1797" s="1430">
        <f>IFERROR(__xludf.DUMMYFUNCTION("""COMPUTED_VALUE"""),30.0)</f>
        <v>30</v>
      </c>
    </row>
    <row r="1798" ht="15.75" customHeight="1">
      <c r="A1798" s="1164" t="str">
        <f>IFERROR(__xludf.DUMMYFUNCTION("""COMPUTED_VALUE"""),"WS A907")</f>
        <v>WS A907</v>
      </c>
      <c r="B1798" s="94"/>
      <c r="C1798" s="94"/>
      <c r="D1798" s="431" t="str">
        <f>IFERROR(__xludf.DUMMYFUNCTION("""COMPUTED_VALUE"""),"1 WS A 907 (Лот 233365)")</f>
        <v>1 WS A 907 (Лот 233365)</v>
      </c>
      <c r="E1798" s="1436">
        <f>IFERROR(__xludf.DUMMYFUNCTION("""COMPUTED_VALUE"""),46022.0)</f>
        <v>46022</v>
      </c>
      <c r="F1798" s="1436">
        <f>IFERROR(__xludf.DUMMYFUNCTION("""COMPUTED_VALUE"""),46026.0)</f>
        <v>46026</v>
      </c>
      <c r="G1798" s="1430">
        <f>IFERROR(__xludf.DUMMYFUNCTION("""COMPUTED_VALUE"""),4.0)</f>
        <v>4</v>
      </c>
    </row>
    <row r="1799" ht="15.75" customHeight="1">
      <c r="A1799" s="94" t="str">
        <f>IFERROR(__xludf.DUMMYFUNCTION("""COMPUTED_VALUE"""),"DL 14-516")</f>
        <v>DL 14-516</v>
      </c>
      <c r="B1799" s="94"/>
      <c r="C1799" s="94"/>
      <c r="D1799" s="94"/>
      <c r="E1799" s="1436">
        <f>IFERROR(__xludf.DUMMYFUNCTION("""COMPUTED_VALUE"""),46022.0)</f>
        <v>46022</v>
      </c>
      <c r="F1799" s="1439">
        <f>IFERROR(__xludf.DUMMYFUNCTION("""COMPUTED_VALUE"""),46025.0)</f>
        <v>46025</v>
      </c>
      <c r="G1799" s="1430">
        <f>IFERROR(__xludf.DUMMYFUNCTION("""COMPUTED_VALUE"""),3.0)</f>
        <v>3</v>
      </c>
    </row>
    <row r="1800" ht="15.75" customHeight="1">
      <c r="A1800" s="1164" t="str">
        <f>IFERROR(__xludf.DUMMYFUNCTION("""COMPUTED_VALUE"""),"CM 1931")</f>
        <v>CM 1931</v>
      </c>
      <c r="B1800" s="94"/>
      <c r="C1800" s="94"/>
      <c r="D1800" s="431" t="str">
        <f>IFERROR(__xludf.DUMMYFUNCTION("""COMPUTED_VALUE"""),"3 Mar 1931 (Лот 233381)")</f>
        <v>3 Mar 1931 (Лот 233381)</v>
      </c>
      <c r="E1800" s="1436">
        <f>IFERROR(__xludf.DUMMYFUNCTION("""COMPUTED_VALUE"""),46022.0)</f>
        <v>46022</v>
      </c>
      <c r="F1800" s="1439">
        <f>IFERROR(__xludf.DUMMYFUNCTION("""COMPUTED_VALUE"""),46025.0)</f>
        <v>46025</v>
      </c>
      <c r="G1800" s="1430">
        <f>IFERROR(__xludf.DUMMYFUNCTION("""COMPUTED_VALUE"""),3.0)</f>
        <v>3</v>
      </c>
    </row>
    <row r="1801" ht="15.75" customHeight="1">
      <c r="A1801" s="94" t="str">
        <f>IFERROR(__xludf.DUMMYFUNCTION("""COMPUTED_VALUE"""),"D1 3902")</f>
        <v>D1 3902</v>
      </c>
      <c r="B1801" s="94"/>
      <c r="C1801" s="94"/>
      <c r="D1801" s="431" t="str">
        <f>IFERROR(__xludf.DUMMYFUNCTION("""COMPUTED_VALUE"""),"2 Orbi D 3902 (Лот 293635)")</f>
        <v>2 Orbi D 3902 (Лот 293635)</v>
      </c>
      <c r="E1801" s="1436">
        <f>IFERROR(__xludf.DUMMYFUNCTION("""COMPUTED_VALUE"""),46021.0)</f>
        <v>46021</v>
      </c>
      <c r="F1801" s="1436">
        <f>IFERROR(__xludf.DUMMYFUNCTION("""COMPUTED_VALUE"""),46026.0)</f>
        <v>46026</v>
      </c>
      <c r="G1801" s="1430">
        <f>IFERROR(__xludf.DUMMYFUNCTION("""COMPUTED_VALUE"""),5.0)</f>
        <v>5</v>
      </c>
    </row>
    <row r="1802" ht="15.75" customHeight="1">
      <c r="A1802" s="431" t="str">
        <f>IFERROR(__xludf.DUMMYFUNCTION("""COMPUTED_VALUE"""),"1 WS B 807 (Лот 317903)")</f>
        <v>1 WS B 807 (Лот 317903)</v>
      </c>
      <c r="B1802" s="94"/>
      <c r="C1802" s="94"/>
      <c r="D1802" s="431" t="str">
        <f>IFERROR(__xludf.DUMMYFUNCTION("""COMPUTED_VALUE"""),"1 WS B 807 (Лот 317903)")</f>
        <v>1 WS B 807 (Лот 317903)</v>
      </c>
      <c r="E1802" s="1436">
        <f>IFERROR(__xludf.DUMMYFUNCTION("""COMPUTED_VALUE"""),46021.0)</f>
        <v>46021</v>
      </c>
      <c r="F1802" s="1436">
        <f>IFERROR(__xludf.DUMMYFUNCTION("""COMPUTED_VALUE"""),46024.0)</f>
        <v>46024</v>
      </c>
      <c r="G1802" s="1430">
        <f>IFERROR(__xludf.DUMMYFUNCTION("""COMPUTED_VALUE"""),3.0)</f>
        <v>3</v>
      </c>
    </row>
    <row r="1803" ht="15.75" customHeight="1">
      <c r="A1803" s="94" t="str">
        <f>IFERROR(__xludf.DUMMYFUNCTION("""COMPUTED_VALUE"""),"PT2604")</f>
        <v>PT2604</v>
      </c>
      <c r="B1803" s="94"/>
      <c r="C1803" s="94"/>
      <c r="D1803" s="431" t="str">
        <f>IFERROR(__xludf.DUMMYFUNCTION("""COMPUTED_VALUE"""),"3 PB 2604 (Лот 265736)")</f>
        <v>3 PB 2604 (Лот 265736)</v>
      </c>
      <c r="E1803" s="1436">
        <f>IFERROR(__xludf.DUMMYFUNCTION("""COMPUTED_VALUE"""),46021.0)</f>
        <v>46021</v>
      </c>
      <c r="F1803" s="1439">
        <f>IFERROR(__xludf.DUMMYFUNCTION("""COMPUTED_VALUE"""),46023.0)</f>
        <v>46023</v>
      </c>
      <c r="G1803" s="1430">
        <f>IFERROR(__xludf.DUMMYFUNCTION("""COMPUTED_VALUE"""),2.0)</f>
        <v>2</v>
      </c>
    </row>
    <row r="1804" ht="15.75" customHeight="1">
      <c r="A1804" s="1164" t="str">
        <f>IFERROR(__xludf.DUMMYFUNCTION("""COMPUTED_VALUE"""),"CM 1606")</f>
        <v>CM 1606</v>
      </c>
      <c r="B1804" s="94"/>
      <c r="C1804" s="94"/>
      <c r="D1804" s="431" t="str">
        <f>IFERROR(__xludf.DUMMYFUNCTION("""COMPUTED_VALUE"""),"3 Mar 1606 (Лот 233302)")</f>
        <v>3 Mar 1606 (Лот 233302)</v>
      </c>
      <c r="E1804" s="1436">
        <f>IFERROR(__xludf.DUMMYFUNCTION("""COMPUTED_VALUE"""),46021.0)</f>
        <v>46021</v>
      </c>
      <c r="F1804" s="1436">
        <f>IFERROR(__xludf.DUMMYFUNCTION("""COMPUTED_VALUE"""),46024.0)</f>
        <v>46024</v>
      </c>
      <c r="G1804" s="1430">
        <f>IFERROR(__xludf.DUMMYFUNCTION("""COMPUTED_VALUE"""),3.0)</f>
        <v>3</v>
      </c>
    </row>
    <row r="1805" ht="15.75" customHeight="1">
      <c r="A1805" s="1164" t="str">
        <f>IFERROR(__xludf.DUMMYFUNCTION("""COMPUTED_VALUE"""),"BV1318")</f>
        <v>BV1318</v>
      </c>
      <c r="B1805" s="94"/>
      <c r="C1805" s="94"/>
      <c r="D1805" s="431" t="str">
        <f>IFERROR(__xludf.DUMMYFUNCTION("""COMPUTED_VALUE"""),"1 BV 1318 (Лот 234845)")</f>
        <v>1 BV 1318 (Лот 234845)</v>
      </c>
      <c r="E1805" s="1439">
        <f>IFERROR(__xludf.DUMMYFUNCTION("""COMPUTED_VALUE"""),46021.0)</f>
        <v>46021</v>
      </c>
      <c r="F1805" s="1439">
        <f>IFERROR(__xludf.DUMMYFUNCTION("""COMPUTED_VALUE"""),46029.0)</f>
        <v>46029</v>
      </c>
      <c r="G1805" s="1430">
        <f>IFERROR(__xludf.DUMMYFUNCTION("""COMPUTED_VALUE"""),8.0)</f>
        <v>8</v>
      </c>
    </row>
    <row r="1806" ht="15.75" customHeight="1">
      <c r="A1806" s="94" t="str">
        <f>IFERROR(__xludf.DUMMYFUNCTION("""COMPUTED_VALUE"""),"С 1443")</f>
        <v>С 1443</v>
      </c>
      <c r="B1806" s="94"/>
      <c r="C1806" s="94"/>
      <c r="D1806" s="94"/>
      <c r="E1806" s="1439">
        <f>IFERROR(__xludf.DUMMYFUNCTION("""COMPUTED_VALUE"""),46021.0)</f>
        <v>46021</v>
      </c>
      <c r="F1806" s="1436">
        <f>IFERROR(__xludf.DUMMYFUNCTION("""COMPUTED_VALUE"""),46025.0)</f>
        <v>46025</v>
      </c>
      <c r="G1806" s="1430">
        <f>IFERROR(__xludf.DUMMYFUNCTION("""COMPUTED_VALUE"""),4.0)</f>
        <v>4</v>
      </c>
    </row>
    <row r="1807" ht="15.75" customHeight="1">
      <c r="A1807" s="431" t="str">
        <f>IFERROR(__xludf.DUMMYFUNCTION("""COMPUTED_VALUE"""),"1 OBT 2906 (Лот 322761)")</f>
        <v>1 OBT 2906 (Лот 322761)</v>
      </c>
      <c r="B1807" s="94"/>
      <c r="C1807" s="94"/>
      <c r="D1807" s="431" t="str">
        <f>IFERROR(__xludf.DUMMYFUNCTION("""COMPUTED_VALUE"""),"1 OBT 2906 (Лот 322761)")</f>
        <v>1 OBT 2906 (Лот 322761)</v>
      </c>
      <c r="E1807" s="1439">
        <f>IFERROR(__xludf.DUMMYFUNCTION("""COMPUTED_VALUE"""),46021.0)</f>
        <v>46021</v>
      </c>
      <c r="F1807" s="1436">
        <f>IFERROR(__xludf.DUMMYFUNCTION("""COMPUTED_VALUE"""),46025.0)</f>
        <v>46025</v>
      </c>
      <c r="G1807" s="1430">
        <f>IFERROR(__xludf.DUMMYFUNCTION("""COMPUTED_VALUE"""),4.0)</f>
        <v>4</v>
      </c>
    </row>
    <row r="1808" ht="15.75" customHeight="1">
      <c r="A1808" s="431" t="str">
        <f>IFERROR(__xludf.DUMMYFUNCTION("""COMPUTED_VALUE"""),"1 WS F 1008 (Лот 320906)")</f>
        <v>1 WS F 1008 (Лот 320906)</v>
      </c>
      <c r="B1808" s="94"/>
      <c r="C1808" s="94"/>
      <c r="D1808" s="431" t="str">
        <f>IFERROR(__xludf.DUMMYFUNCTION("""COMPUTED_VALUE"""),"1 WS F 1008 (Лот 320906)")</f>
        <v>1 WS F 1008 (Лот 320906)</v>
      </c>
      <c r="E1808" s="1439">
        <f>IFERROR(__xludf.DUMMYFUNCTION("""COMPUTED_VALUE"""),46021.0)</f>
        <v>46021</v>
      </c>
      <c r="F1808" s="1436">
        <f>IFERROR(__xludf.DUMMYFUNCTION("""COMPUTED_VALUE"""),46025.0)</f>
        <v>46025</v>
      </c>
      <c r="G1808" s="1430">
        <f>IFERROR(__xludf.DUMMYFUNCTION("""COMPUTED_VALUE"""),4.0)</f>
        <v>4</v>
      </c>
    </row>
    <row r="1809" ht="15.75" customHeight="1">
      <c r="A1809" s="94" t="str">
        <f>IFERROR(__xludf.DUMMYFUNCTION("""COMPUTED_VALUE"""),"PT2704")</f>
        <v>PT2704</v>
      </c>
      <c r="B1809" s="94"/>
      <c r="C1809" s="94"/>
      <c r="D1809" s="431" t="str">
        <f>IFERROR(__xludf.DUMMYFUNCTION("""COMPUTED_VALUE"""),"3 PB 2704 (Лот 265740)")</f>
        <v>3 PB 2704 (Лот 265740)</v>
      </c>
      <c r="E1809" s="1439">
        <f>IFERROR(__xludf.DUMMYFUNCTION("""COMPUTED_VALUE"""),46020.0)</f>
        <v>46020</v>
      </c>
      <c r="F1809" s="1436">
        <f>IFERROR(__xludf.DUMMYFUNCTION("""COMPUTED_VALUE"""),46024.0)</f>
        <v>46024</v>
      </c>
      <c r="G1809" s="1430">
        <f>IFERROR(__xludf.DUMMYFUNCTION("""COMPUTED_VALUE"""),4.0)</f>
        <v>4</v>
      </c>
    </row>
    <row r="1810" ht="15.75" customHeight="1">
      <c r="A1810" s="1164" t="str">
        <f>IFERROR(__xludf.DUMMYFUNCTION("""COMPUTED_VALUE"""),"D 1321")</f>
        <v>D 1321</v>
      </c>
      <c r="B1810" s="94"/>
      <c r="C1810" s="94"/>
      <c r="D1810" s="431" t="str">
        <f>IFERROR(__xludf.DUMMYFUNCTION("""COMPUTED_VALUE"""),"2 Orbi D 1321 (Лот 233321)")</f>
        <v>2 Orbi D 1321 (Лот 233321)</v>
      </c>
      <c r="E1810" s="1439">
        <f>IFERROR(__xludf.DUMMYFUNCTION("""COMPUTED_VALUE"""),46020.0)</f>
        <v>46020</v>
      </c>
      <c r="F1810" s="1436">
        <f>IFERROR(__xludf.DUMMYFUNCTION("""COMPUTED_VALUE"""),46024.0)</f>
        <v>46024</v>
      </c>
      <c r="G1810" s="1430">
        <f>IFERROR(__xludf.DUMMYFUNCTION("""COMPUTED_VALUE"""),4.0)</f>
        <v>4</v>
      </c>
    </row>
    <row r="1811" ht="15.75" customHeight="1">
      <c r="A1811" s="1164" t="str">
        <f>IFERROR(__xludf.DUMMYFUNCTION("""COMPUTED_VALUE"""),"Вилла Ева")</f>
        <v>Вилла Ева</v>
      </c>
      <c r="B1811" s="94"/>
      <c r="C1811" s="94"/>
      <c r="D1811" s="431" t="str">
        <f>IFERROR(__xludf.DUMMYFUNCTION("""COMPUTED_VALUE"""),"Villa EVA (Лот 275315)")</f>
        <v>Villa EVA (Лот 275315)</v>
      </c>
      <c r="E1811" s="1439">
        <f>IFERROR(__xludf.DUMMYFUNCTION("""COMPUTED_VALUE"""),46020.0)</f>
        <v>46020</v>
      </c>
      <c r="F1811" s="1439">
        <f>IFERROR(__xludf.DUMMYFUNCTION("""COMPUTED_VALUE"""),46025.0)</f>
        <v>46025</v>
      </c>
      <c r="G1811" s="1430">
        <f>IFERROR(__xludf.DUMMYFUNCTION("""COMPUTED_VALUE"""),5.0)</f>
        <v>5</v>
      </c>
    </row>
    <row r="1812" ht="15.75" customHeight="1">
      <c r="A1812" s="1164" t="str">
        <f>IFERROR(__xludf.DUMMYFUNCTION("""COMPUTED_VALUE"""),"WS В 503")</f>
        <v>WS В 503</v>
      </c>
      <c r="B1812" s="94"/>
      <c r="C1812" s="94"/>
      <c r="D1812" s="431" t="str">
        <f>IFERROR(__xludf.DUMMYFUNCTION("""COMPUTED_VALUE"""),"1 WS B 503 (Лот 233403)")</f>
        <v>1 WS B 503 (Лот 233403)</v>
      </c>
      <c r="E1812" s="1439">
        <f>IFERROR(__xludf.DUMMYFUNCTION("""COMPUTED_VALUE"""),46020.0)</f>
        <v>46020</v>
      </c>
      <c r="F1812" s="1436">
        <f>IFERROR(__xludf.DUMMYFUNCTION("""COMPUTED_VALUE"""),46021.0)</f>
        <v>46021</v>
      </c>
      <c r="G1812" s="1430">
        <f>IFERROR(__xludf.DUMMYFUNCTION("""COMPUTED_VALUE"""),1.0)</f>
        <v>1</v>
      </c>
    </row>
    <row r="1813" ht="15.75" customHeight="1">
      <c r="A1813" s="431" t="str">
        <f>IFERROR(__xludf.DUMMYFUNCTION("""COMPUTED_VALUE"""),"3 DZ 12 (Лот 322676)")</f>
        <v>3 DZ 12 (Лот 322676)</v>
      </c>
      <c r="B1813" s="94"/>
      <c r="C1813" s="94"/>
      <c r="D1813" s="431" t="str">
        <f>IFERROR(__xludf.DUMMYFUNCTION("""COMPUTED_VALUE"""),"3 DZ 12 (Лот 322676)")</f>
        <v>3 DZ 12 (Лот 322676)</v>
      </c>
      <c r="E1813" s="1439">
        <f>IFERROR(__xludf.DUMMYFUNCTION("""COMPUTED_VALUE"""),46020.0)</f>
        <v>46020</v>
      </c>
      <c r="F1813" s="1436">
        <f>IFERROR(__xludf.DUMMYFUNCTION("""COMPUTED_VALUE"""),46024.0)</f>
        <v>46024</v>
      </c>
      <c r="G1813" s="1430">
        <f>IFERROR(__xludf.DUMMYFUNCTION("""COMPUTED_VALUE"""),4.0)</f>
        <v>4</v>
      </c>
    </row>
    <row r="1814" ht="15.75" customHeight="1">
      <c r="A1814" s="431" t="str">
        <f>IFERROR(__xludf.DUMMYFUNCTION("""COMPUTED_VALUE"""),"1 OBT 2910 (Лот 322757)")</f>
        <v>1 OBT 2910 (Лот 322757)</v>
      </c>
      <c r="B1814" s="94"/>
      <c r="C1814" s="94"/>
      <c r="D1814" s="431" t="str">
        <f>IFERROR(__xludf.DUMMYFUNCTION("""COMPUTED_VALUE"""),"1 OBT 2910 (Лот 322757)")</f>
        <v>1 OBT 2910 (Лот 322757)</v>
      </c>
      <c r="E1814" s="1439">
        <f>IFERROR(__xludf.DUMMYFUNCTION("""COMPUTED_VALUE"""),46020.0)</f>
        <v>46020</v>
      </c>
      <c r="F1814" s="1436">
        <f>IFERROR(__xludf.DUMMYFUNCTION("""COMPUTED_VALUE"""),46054.0)</f>
        <v>46054</v>
      </c>
      <c r="G1814" s="1430">
        <f>IFERROR(__xludf.DUMMYFUNCTION("""COMPUTED_VALUE"""),34.0)</f>
        <v>34</v>
      </c>
    </row>
    <row r="1815" ht="15.75" customHeight="1">
      <c r="A1815" s="1164" t="str">
        <f>IFERROR(__xludf.DUMMYFUNCTION("""COMPUTED_VALUE"""),"D2 3216")</f>
        <v>D2 3216</v>
      </c>
      <c r="B1815" s="94"/>
      <c r="C1815" s="94"/>
      <c r="D1815" s="431" t="str">
        <f>IFERROR(__xludf.DUMMYFUNCTION("""COMPUTED_VALUE"""),"2 Orbi D2 3216 (Лот 236836)")</f>
        <v>2 Orbi D2 3216 (Лот 236836)</v>
      </c>
      <c r="E1815" s="1439">
        <f>IFERROR(__xludf.DUMMYFUNCTION("""COMPUTED_VALUE"""),46020.0)</f>
        <v>46020</v>
      </c>
      <c r="F1815" s="1436">
        <f>IFERROR(__xludf.DUMMYFUNCTION("""COMPUTED_VALUE"""),46024.0)</f>
        <v>46024</v>
      </c>
      <c r="G1815" s="1430">
        <f>IFERROR(__xludf.DUMMYFUNCTION("""COMPUTED_VALUE"""),4.0)</f>
        <v>4</v>
      </c>
    </row>
    <row r="1816" ht="15.75" customHeight="1">
      <c r="A1816" s="1164" t="str">
        <f>IFERROR(__xludf.DUMMYFUNCTION("""COMPUTED_VALUE"""),"WS E 1202")</f>
        <v>WS E 1202</v>
      </c>
      <c r="B1816" s="94"/>
      <c r="C1816" s="94"/>
      <c r="D1816" s="431" t="str">
        <f>IFERROR(__xludf.DUMMYFUNCTION("""COMPUTED_VALUE"""),"1 WS E 1202 (Лот 233379)")</f>
        <v>1 WS E 1202 (Лот 233379)</v>
      </c>
      <c r="E1816" s="1439">
        <f>IFERROR(__xludf.DUMMYFUNCTION("""COMPUTED_VALUE"""),46019.0)</f>
        <v>46019</v>
      </c>
      <c r="F1816" s="1436">
        <f>IFERROR(__xludf.DUMMYFUNCTION("""COMPUTED_VALUE"""),46030.0)</f>
        <v>46030</v>
      </c>
      <c r="G1816" s="1430">
        <f>IFERROR(__xludf.DUMMYFUNCTION("""COMPUTED_VALUE"""),11.0)</f>
        <v>11</v>
      </c>
    </row>
    <row r="1817" ht="15.75" customHeight="1">
      <c r="A1817" s="94" t="str">
        <f>IFERROR(__xludf.DUMMYFUNCTION("""COMPUTED_VALUE"""),"MZ 718")</f>
        <v>MZ 718</v>
      </c>
      <c r="B1817" s="94"/>
      <c r="C1817" s="94"/>
      <c r="D1817" s="431" t="str">
        <f>IFERROR(__xludf.DUMMYFUNCTION("""COMPUTED_VALUE"""),"3 MZ 718, 913 (Лот 269699)")</f>
        <v>3 MZ 718, 913 (Лот 269699)</v>
      </c>
      <c r="E1817" s="1439">
        <f>IFERROR(__xludf.DUMMYFUNCTION("""COMPUTED_VALUE"""),46019.0)</f>
        <v>46019</v>
      </c>
      <c r="F1817" s="1439">
        <f>IFERROR(__xludf.DUMMYFUNCTION("""COMPUTED_VALUE"""),46022.0)</f>
        <v>46022</v>
      </c>
      <c r="G1817" s="1430">
        <f>IFERROR(__xludf.DUMMYFUNCTION("""COMPUTED_VALUE"""),3.0)</f>
        <v>3</v>
      </c>
    </row>
    <row r="1818" ht="15.75" customHeight="1">
      <c r="A1818" s="94" t="str">
        <f>IFERROR(__xludf.DUMMYFUNCTION("""COMPUTED_VALUE"""),"WS F1103")</f>
        <v>WS F1103</v>
      </c>
      <c r="B1818" s="94"/>
      <c r="C1818" s="94"/>
      <c r="D1818" s="431" t="str">
        <f>IFERROR(__xludf.DUMMYFUNCTION("""COMPUTED_VALUE"""),"1 WS F 1103 (Лот 286819)")</f>
        <v>1 WS F 1103 (Лот 286819)</v>
      </c>
      <c r="E1818" s="1439">
        <f>IFERROR(__xludf.DUMMYFUNCTION("""COMPUTED_VALUE"""),46019.0)</f>
        <v>46019</v>
      </c>
      <c r="F1818" s="1439">
        <f>IFERROR(__xludf.DUMMYFUNCTION("""COMPUTED_VALUE"""),46023.0)</f>
        <v>46023</v>
      </c>
      <c r="G1818" s="1430">
        <f>IFERROR(__xludf.DUMMYFUNCTION("""COMPUTED_VALUE"""),4.0)</f>
        <v>4</v>
      </c>
    </row>
    <row r="1819" ht="15.75" customHeight="1">
      <c r="A1819" s="94" t="str">
        <f>IFERROR(__xludf.DUMMYFUNCTION("""COMPUTED_VALUE"""),"2 BV A 0514 (Лот 311849)")</f>
        <v>2 BV A 0514 (Лот 311849)</v>
      </c>
      <c r="B1819" s="94"/>
      <c r="C1819" s="94"/>
      <c r="D1819" s="431" t="str">
        <f>IFERROR(__xludf.DUMMYFUNCTION("""COMPUTED_VALUE"""),"1 BV A 0514 (Лот 311849)")</f>
        <v>1 BV A 0514 (Лот 311849)</v>
      </c>
      <c r="E1819" s="1439">
        <f>IFERROR(__xludf.DUMMYFUNCTION("""COMPUTED_VALUE"""),46019.0)</f>
        <v>46019</v>
      </c>
      <c r="F1819" s="1436">
        <f>IFERROR(__xludf.DUMMYFUNCTION("""COMPUTED_VALUE"""),46024.0)</f>
        <v>46024</v>
      </c>
      <c r="G1819" s="1430">
        <f>IFERROR(__xludf.DUMMYFUNCTION("""COMPUTED_VALUE"""),5.0)</f>
        <v>5</v>
      </c>
    </row>
    <row r="1820" ht="15.75" customHeight="1">
      <c r="A1820" s="1164" t="str">
        <f>IFERROR(__xludf.DUMMYFUNCTION("""COMPUTED_VALUE"""),"WS E704")</f>
        <v>WS E704</v>
      </c>
      <c r="B1820" s="94"/>
      <c r="C1820" s="94"/>
      <c r="D1820" s="431" t="str">
        <f>IFERROR(__xludf.DUMMYFUNCTION("""COMPUTED_VALUE"""),"1 WS E 704 (Лот 233383)")</f>
        <v>1 WS E 704 (Лот 233383)</v>
      </c>
      <c r="E1820" s="1439">
        <f>IFERROR(__xludf.DUMMYFUNCTION("""COMPUTED_VALUE"""),46019.0)</f>
        <v>46019</v>
      </c>
      <c r="F1820" s="1436">
        <f>IFERROR(__xludf.DUMMYFUNCTION("""COMPUTED_VALUE"""),46026.0)</f>
        <v>46026</v>
      </c>
      <c r="G1820" s="1430">
        <f>IFERROR(__xludf.DUMMYFUNCTION("""COMPUTED_VALUE"""),7.0)</f>
        <v>7</v>
      </c>
    </row>
    <row r="1821" ht="15.75" customHeight="1">
      <c r="A1821" s="431" t="str">
        <f>IFERROR(__xludf.DUMMYFUNCTION("""COMPUTED_VALUE"""),"1. WH 176 (Лот 318650)")</f>
        <v>1. WH 176 (Лот 318650)</v>
      </c>
      <c r="B1821" s="94"/>
      <c r="C1821" s="94"/>
      <c r="D1821" s="431" t="str">
        <f>IFERROR(__xludf.DUMMYFUNCTION("""COMPUTED_VALUE"""),"1. WH 176 (Лот 318650)")</f>
        <v>1. WH 176 (Лот 318650)</v>
      </c>
      <c r="E1821" s="1439">
        <f>IFERROR(__xludf.DUMMYFUNCTION("""COMPUTED_VALUE"""),46019.0)</f>
        <v>46019</v>
      </c>
      <c r="F1821" s="1436">
        <f>IFERROR(__xludf.DUMMYFUNCTION("""COMPUTED_VALUE"""),46025.0)</f>
        <v>46025</v>
      </c>
      <c r="G1821" s="1430">
        <f>IFERROR(__xludf.DUMMYFUNCTION("""COMPUTED_VALUE"""),6.0)</f>
        <v>6</v>
      </c>
    </row>
    <row r="1822" ht="15.75" customHeight="1">
      <c r="A1822" s="94" t="str">
        <f>IFERROR(__xludf.DUMMYFUNCTION("""COMPUTED_VALUE"""),"DL14-1405")</f>
        <v>DL14-1405</v>
      </c>
      <c r="B1822" s="94"/>
      <c r="C1822" s="94"/>
      <c r="D1822" s="94"/>
      <c r="E1822" s="1439">
        <f>IFERROR(__xludf.DUMMYFUNCTION("""COMPUTED_VALUE"""),46019.0)</f>
        <v>46019</v>
      </c>
      <c r="F1822" s="1436">
        <f>IFERROR(__xludf.DUMMYFUNCTION("""COMPUTED_VALUE"""),46053.0)</f>
        <v>46053</v>
      </c>
      <c r="G1822" s="1430">
        <f>IFERROR(__xludf.DUMMYFUNCTION("""COMPUTED_VALUE"""),34.0)</f>
        <v>34</v>
      </c>
    </row>
    <row r="1823" ht="15.75" customHeight="1">
      <c r="A1823" s="94" t="str">
        <f>IFERROR(__xludf.DUMMYFUNCTION("""COMPUTED_VALUE"""),"Int 2612")</f>
        <v>Int 2612</v>
      </c>
      <c r="B1823" s="94"/>
      <c r="C1823" s="94"/>
      <c r="D1823" s="431" t="str">
        <f>IFERROR(__xludf.DUMMYFUNCTION("""COMPUTED_VALUE"""),"3 Int B 2612 (Лот 285149)")</f>
        <v>3 Int B 2612 (Лот 285149)</v>
      </c>
      <c r="E1823" s="1439">
        <f>IFERROR(__xludf.DUMMYFUNCTION("""COMPUTED_VALUE"""),46018.0)</f>
        <v>46018</v>
      </c>
      <c r="F1823" s="1436">
        <f>IFERROR(__xludf.DUMMYFUNCTION("""COMPUTED_VALUE"""),46025.0)</f>
        <v>46025</v>
      </c>
      <c r="G1823" s="1430">
        <f>IFERROR(__xludf.DUMMYFUNCTION("""COMPUTED_VALUE"""),7.0)</f>
        <v>7</v>
      </c>
    </row>
    <row r="1824" ht="15.75" customHeight="1">
      <c r="A1824" s="431" t="str">
        <f>IFERROR(__xludf.DUMMYFUNCTION("""COMPUTED_VALUE"""),"1 OBT 2906 (Лот 322761)")</f>
        <v>1 OBT 2906 (Лот 322761)</v>
      </c>
      <c r="B1824" s="94"/>
      <c r="C1824" s="94"/>
      <c r="D1824" s="431" t="str">
        <f>IFERROR(__xludf.DUMMYFUNCTION("""COMPUTED_VALUE"""),"1 OBT 2906 (Лот 322761)")</f>
        <v>1 OBT 2906 (Лот 322761)</v>
      </c>
      <c r="E1824" s="1439">
        <f>IFERROR(__xludf.DUMMYFUNCTION("""COMPUTED_VALUE"""),46018.0)</f>
        <v>46018</v>
      </c>
      <c r="F1824" s="1436">
        <f>IFERROR(__xludf.DUMMYFUNCTION("""COMPUTED_VALUE"""),46019.0)</f>
        <v>46019</v>
      </c>
      <c r="G1824" s="1430">
        <f>IFERROR(__xludf.DUMMYFUNCTION("""COMPUTED_VALUE"""),1.0)</f>
        <v>1</v>
      </c>
    </row>
    <row r="1825" ht="15.75" customHeight="1">
      <c r="A1825" s="431" t="str">
        <f>IFERROR(__xludf.DUMMYFUNCTION("""COMPUTED_VALUE"""),"1 BV C 137 (Лот 325548)")</f>
        <v>1 BV C 137 (Лот 325548)</v>
      </c>
      <c r="B1825" s="94"/>
      <c r="C1825" s="94"/>
      <c r="D1825" s="431" t="str">
        <f>IFERROR(__xludf.DUMMYFUNCTION("""COMPUTED_VALUE"""),"1 BV C 137 (Лот 325548)")</f>
        <v>1 BV C 137 (Лот 325548)</v>
      </c>
      <c r="E1825" s="1439">
        <f>IFERROR(__xludf.DUMMYFUNCTION("""COMPUTED_VALUE"""),46018.0)</f>
        <v>46018</v>
      </c>
      <c r="F1825" s="1436">
        <f>IFERROR(__xludf.DUMMYFUNCTION("""COMPUTED_VALUE"""),46035.0)</f>
        <v>46035</v>
      </c>
      <c r="G1825" s="1430">
        <f>IFERROR(__xludf.DUMMYFUNCTION("""COMPUTED_VALUE"""),17.0)</f>
        <v>17</v>
      </c>
    </row>
    <row r="1826" ht="15.75" customHeight="1">
      <c r="A1826" s="94" t="str">
        <f>IFERROR(__xludf.DUMMYFUNCTION("""COMPUTED_VALUE"""),"TG195")</f>
        <v>TG195</v>
      </c>
      <c r="B1826" s="94"/>
      <c r="C1826" s="94"/>
      <c r="D1826" s="431" t="str">
        <f>IFERROR(__xludf.DUMMYFUNCTION("""COMPUTED_VALUE"""),"4. TG 195 (Лот 297147)")</f>
        <v>4. TG 195 (Лот 297147)</v>
      </c>
      <c r="E1826" s="1439">
        <f>IFERROR(__xludf.DUMMYFUNCTION("""COMPUTED_VALUE"""),46017.0)</f>
        <v>46017</v>
      </c>
      <c r="F1826" s="1437">
        <f>IFERROR(__xludf.DUMMYFUNCTION("""COMPUTED_VALUE"""),46048.0)</f>
        <v>46048</v>
      </c>
      <c r="G1826" s="1430">
        <f>IFERROR(__xludf.DUMMYFUNCTION("""COMPUTED_VALUE"""),31.0)</f>
        <v>31</v>
      </c>
    </row>
    <row r="1827" ht="15.75" customHeight="1">
      <c r="A1827" s="1164" t="str">
        <f>IFERROR(__xludf.DUMMYFUNCTION("""COMPUTED_VALUE"""),"CM 1606")</f>
        <v>CM 1606</v>
      </c>
      <c r="B1827" s="94"/>
      <c r="C1827" s="94"/>
      <c r="D1827" s="431" t="str">
        <f>IFERROR(__xludf.DUMMYFUNCTION("""COMPUTED_VALUE"""),"3 Mar 1606 (Лот 233302)")</f>
        <v>3 Mar 1606 (Лот 233302)</v>
      </c>
      <c r="E1827" s="1439">
        <f>IFERROR(__xludf.DUMMYFUNCTION("""COMPUTED_VALUE"""),46017.0)</f>
        <v>46017</v>
      </c>
      <c r="F1827" s="1436">
        <f>IFERROR(__xludf.DUMMYFUNCTION("""COMPUTED_VALUE"""),46021.0)</f>
        <v>46021</v>
      </c>
      <c r="G1827" s="1430">
        <f>IFERROR(__xludf.DUMMYFUNCTION("""COMPUTED_VALUE"""),4.0)</f>
        <v>4</v>
      </c>
    </row>
    <row r="1828" ht="15.75" customHeight="1">
      <c r="A1828" s="94" t="str">
        <f>IFERROR(__xludf.DUMMYFUNCTION("""COMPUTED_VALUE"""),"CM 1327")</f>
        <v>CM 1327</v>
      </c>
      <c r="B1828" s="94"/>
      <c r="C1828" s="94"/>
      <c r="D1828" s="431" t="str">
        <f>IFERROR(__xludf.DUMMYFUNCTION("""COMPUTED_VALUE"""),"3 Mar 1327 (Лот 318467)")</f>
        <v>3 Mar 1327 (Лот 318467)</v>
      </c>
      <c r="E1828" s="1439">
        <f>IFERROR(__xludf.DUMMYFUNCTION("""COMPUTED_VALUE"""),46017.0)</f>
        <v>46017</v>
      </c>
      <c r="F1828" s="1436">
        <f>IFERROR(__xludf.DUMMYFUNCTION("""COMPUTED_VALUE"""),46021.0)</f>
        <v>46021</v>
      </c>
      <c r="G1828" s="1430">
        <f>IFERROR(__xludf.DUMMYFUNCTION("""COMPUTED_VALUE"""),4.0)</f>
        <v>4</v>
      </c>
    </row>
    <row r="1829" ht="15.75" customHeight="1">
      <c r="A1829" s="1164" t="str">
        <f>IFERROR(__xludf.DUMMYFUNCTION("""COMPUTED_VALUE"""),"WS В 1510")</f>
        <v>WS В 1510</v>
      </c>
      <c r="B1829" s="94"/>
      <c r="C1829" s="94"/>
      <c r="D1829" s="431" t="str">
        <f>IFERROR(__xludf.DUMMYFUNCTION("""COMPUTED_VALUE"""),"1 WS B 1510 (Лот 233316)")</f>
        <v>1 WS B 1510 (Лот 233316)</v>
      </c>
      <c r="E1829" s="1439">
        <f>IFERROR(__xludf.DUMMYFUNCTION("""COMPUTED_VALUE"""),46017.0)</f>
        <v>46017</v>
      </c>
      <c r="F1829" s="1436">
        <f>IFERROR(__xludf.DUMMYFUNCTION("""COMPUTED_VALUE"""),46024.0)</f>
        <v>46024</v>
      </c>
      <c r="G1829" s="1430">
        <f>IFERROR(__xludf.DUMMYFUNCTION("""COMPUTED_VALUE"""),7.0)</f>
        <v>7</v>
      </c>
    </row>
    <row r="1830" ht="15.75" customHeight="1">
      <c r="A1830" s="94" t="str">
        <f>IFERROR(__xludf.DUMMYFUNCTION("""COMPUTED_VALUE"""),"TGA2")</f>
        <v>TGA2</v>
      </c>
      <c r="B1830" s="94"/>
      <c r="C1830" s="94"/>
      <c r="D1830" s="431" t="str">
        <f>IFERROR(__xludf.DUMMYFUNCTION("""COMPUTED_VALUE"""),"6 TG c 1 сп. блок А (А2, А4, А7, B8, A9) (Лот 263239)")</f>
        <v>6 TG c 1 сп. блок А (А2, А4, А7, B8, A9) (Лот 263239)</v>
      </c>
      <c r="E1830" s="1439">
        <f>IFERROR(__xludf.DUMMYFUNCTION("""COMPUTED_VALUE"""),46015.0)</f>
        <v>46015</v>
      </c>
      <c r="F1830" s="1439">
        <f>IFERROR(__xludf.DUMMYFUNCTION("""COMPUTED_VALUE"""),46018.0)</f>
        <v>46018</v>
      </c>
      <c r="G1830" s="1430">
        <f>IFERROR(__xludf.DUMMYFUNCTION("""COMPUTED_VALUE"""),3.0)</f>
        <v>3</v>
      </c>
    </row>
    <row r="1831" ht="15.75" customHeight="1">
      <c r="A1831" s="1164" t="str">
        <f>IFERROR(__xludf.DUMMYFUNCTION("""COMPUTED_VALUE"""),"WS F 907")</f>
        <v>WS F 907</v>
      </c>
      <c r="B1831" s="94"/>
      <c r="C1831" s="94"/>
      <c r="D1831" s="431" t="str">
        <f>IFERROR(__xludf.DUMMYFUNCTION("""COMPUTED_VALUE"""),"1 WS F 907 (Лот 233314)")</f>
        <v>1 WS F 907 (Лот 233314)</v>
      </c>
      <c r="E1831" s="1439">
        <f>IFERROR(__xludf.DUMMYFUNCTION("""COMPUTED_VALUE"""),46014.0)</f>
        <v>46014</v>
      </c>
      <c r="F1831" s="1436">
        <f>IFERROR(__xludf.DUMMYFUNCTION("""COMPUTED_VALUE"""),46044.0)</f>
        <v>46044</v>
      </c>
      <c r="G1831" s="1430">
        <f>IFERROR(__xludf.DUMMYFUNCTION("""COMPUTED_VALUE"""),30.0)</f>
        <v>30</v>
      </c>
    </row>
    <row r="1832" ht="15.75" customHeight="1">
      <c r="A1832" s="1164" t="str">
        <f>IFERROR(__xludf.DUMMYFUNCTION("""COMPUTED_VALUE"""),"WS В 503")</f>
        <v>WS В 503</v>
      </c>
      <c r="B1832" s="94"/>
      <c r="C1832" s="94"/>
      <c r="D1832" s="431" t="str">
        <f>IFERROR(__xludf.DUMMYFUNCTION("""COMPUTED_VALUE"""),"1 WS B 503 (Лот 233403)")</f>
        <v>1 WS B 503 (Лот 233403)</v>
      </c>
      <c r="E1832" s="1439">
        <f>IFERROR(__xludf.DUMMYFUNCTION("""COMPUTED_VALUE"""),46014.0)</f>
        <v>46014</v>
      </c>
      <c r="F1832" s="1439">
        <f>IFERROR(__xludf.DUMMYFUNCTION("""COMPUTED_VALUE"""),46018.0)</f>
        <v>46018</v>
      </c>
      <c r="G1832" s="1430">
        <f>IFERROR(__xludf.DUMMYFUNCTION("""COMPUTED_VALUE"""),4.0)</f>
        <v>4</v>
      </c>
    </row>
    <row r="1833" ht="15.75" customHeight="1">
      <c r="A1833" s="1164" t="str">
        <f>IFERROR(__xludf.DUMMYFUNCTION("""COMPUTED_VALUE"""),"Steps1123")</f>
        <v>Steps1123</v>
      </c>
      <c r="B1833" s="94"/>
      <c r="C1833" s="94"/>
      <c r="D1833" s="431" t="str">
        <f>IFERROR(__xludf.DUMMYFUNCTION("""COMPUTED_VALUE"""),"1. Steps 1123 (Лот 247443)")</f>
        <v>1. Steps 1123 (Лот 247443)</v>
      </c>
      <c r="E1833" s="1439">
        <f>IFERROR(__xludf.DUMMYFUNCTION("""COMPUTED_VALUE"""),46014.0)</f>
        <v>46014</v>
      </c>
      <c r="F1833" s="1436">
        <f>IFERROR(__xludf.DUMMYFUNCTION("""COMPUTED_VALUE"""),46045.0)</f>
        <v>46045</v>
      </c>
      <c r="G1833" s="1430">
        <f>IFERROR(__xludf.DUMMYFUNCTION("""COMPUTED_VALUE"""),31.0)</f>
        <v>31</v>
      </c>
    </row>
    <row r="1834" ht="15.75" customHeight="1">
      <c r="A1834" s="94" t="str">
        <f>IFERROR(__xludf.DUMMYFUNCTION("""COMPUTED_VALUE"""),"CM 1304")</f>
        <v>CM 1304</v>
      </c>
      <c r="B1834" s="94"/>
      <c r="C1834" s="94"/>
      <c r="D1834" s="431" t="str">
        <f>IFERROR(__xludf.DUMMYFUNCTION("""COMPUTED_VALUE"""),"3 Mar 1304 (Лот 311875)")</f>
        <v>3 Mar 1304 (Лот 311875)</v>
      </c>
      <c r="E1834" s="1439">
        <f>IFERROR(__xludf.DUMMYFUNCTION("""COMPUTED_VALUE"""),46013.0)</f>
        <v>46013</v>
      </c>
      <c r="F1834" s="1436">
        <f>IFERROR(__xludf.DUMMYFUNCTION("""COMPUTED_VALUE"""),46025.0)</f>
        <v>46025</v>
      </c>
      <c r="G1834" s="1430">
        <f>IFERROR(__xludf.DUMMYFUNCTION("""COMPUTED_VALUE"""),12.0)</f>
        <v>12</v>
      </c>
    </row>
    <row r="1835" ht="15.75" customHeight="1">
      <c r="A1835" s="94" t="str">
        <f>IFERROR(__xludf.DUMMYFUNCTION("""COMPUTED_VALUE"""),"WS F1103")</f>
        <v>WS F1103</v>
      </c>
      <c r="B1835" s="94"/>
      <c r="C1835" s="94"/>
      <c r="D1835" s="431" t="str">
        <f>IFERROR(__xludf.DUMMYFUNCTION("""COMPUTED_VALUE"""),"1 WS F 1103 (Лот 286819)")</f>
        <v>1 WS F 1103 (Лот 286819)</v>
      </c>
      <c r="E1835" s="1439">
        <f>IFERROR(__xludf.DUMMYFUNCTION("""COMPUTED_VALUE"""),46013.0)</f>
        <v>46013</v>
      </c>
      <c r="F1835" s="1439">
        <f>IFERROR(__xludf.DUMMYFUNCTION("""COMPUTED_VALUE"""),46014.0)</f>
        <v>46014</v>
      </c>
      <c r="G1835" s="1430">
        <f>IFERROR(__xludf.DUMMYFUNCTION("""COMPUTED_VALUE"""),1.0)</f>
        <v>1</v>
      </c>
    </row>
    <row r="1836" ht="15.75" customHeight="1">
      <c r="A1836" s="94" t="str">
        <f>IFERROR(__xludf.DUMMYFUNCTION("""COMPUTED_VALUE"""),"4. DL 13 - 1006 (Лот 299723)")</f>
        <v>4. DL 13 - 1006 (Лот 299723)</v>
      </c>
      <c r="B1836" s="94"/>
      <c r="C1836" s="94"/>
      <c r="D1836" s="94" t="str">
        <f>IFERROR(__xludf.DUMMYFUNCTION("""COMPUTED_VALUE"""),"4 DL 13 - 1006 (1+1) (Лот 299723)")</f>
        <v>4 DL 13 - 1006 (1+1) (Лот 299723)</v>
      </c>
      <c r="E1836" s="1436">
        <f>IFERROR(__xludf.DUMMYFUNCTION("""COMPUTED_VALUE"""),46026.0)</f>
        <v>46026</v>
      </c>
      <c r="F1836" s="1436">
        <f>IFERROR(__xludf.DUMMYFUNCTION("""COMPUTED_VALUE"""),46036.0)</f>
        <v>46036</v>
      </c>
      <c r="G1836" s="1430">
        <f>IFERROR(__xludf.DUMMYFUNCTION("""COMPUTED_VALUE"""),10.0)</f>
        <v>10</v>
      </c>
    </row>
    <row r="1837" ht="15.75" customHeight="1">
      <c r="A1837" s="94" t="str">
        <f>IFERROR(__xludf.DUMMYFUNCTION("""COMPUTED_VALUE"""),"4 DL 13 - 1106 (1+1) (Лот 300824)")</f>
        <v>4 DL 13 - 1106 (1+1) (Лот 300824)</v>
      </c>
      <c r="B1837" s="94"/>
      <c r="C1837" s="94"/>
      <c r="D1837" s="94" t="str">
        <f>IFERROR(__xludf.DUMMYFUNCTION("""COMPUTED_VALUE"""),"4 DL 13 - 1106 (1+1) (Лот 300824)")</f>
        <v>4 DL 13 - 1106 (1+1) (Лот 300824)</v>
      </c>
      <c r="E1837" s="1436">
        <f>IFERROR(__xludf.DUMMYFUNCTION("""COMPUTED_VALUE"""),46026.0)</f>
        <v>46026</v>
      </c>
      <c r="F1837" s="1436">
        <f>IFERROR(__xludf.DUMMYFUNCTION("""COMPUTED_VALUE"""),46036.0)</f>
        <v>46036</v>
      </c>
      <c r="G1837" s="1430">
        <f>IFERROR(__xludf.DUMMYFUNCTION("""COMPUTED_VALUE"""),10.0)</f>
        <v>10</v>
      </c>
    </row>
    <row r="1838" ht="15.75" customHeight="1">
      <c r="A1838" s="431" t="str">
        <f>IFERROR(__xludf.DUMMYFUNCTION("""COMPUTED_VALUE"""),"1 OBT 2906 (Лот 322761)")</f>
        <v>1 OBT 2906 (Лот 322761)</v>
      </c>
      <c r="B1838" s="94"/>
      <c r="C1838" s="94"/>
      <c r="D1838" s="94" t="str">
        <f>IFERROR(__xludf.DUMMYFUNCTION("""COMPUTED_VALUE"""),"1 OBT 2906 (Лот 322761)")</f>
        <v>1 OBT 2906 (Лот 322761)</v>
      </c>
      <c r="E1838" s="1436">
        <f>IFERROR(__xludf.DUMMYFUNCTION("""COMPUTED_VALUE"""),46026.0)</f>
        <v>46026</v>
      </c>
      <c r="F1838" s="1439">
        <f>IFERROR(__xludf.DUMMYFUNCTION("""COMPUTED_VALUE"""),46031.0)</f>
        <v>46031</v>
      </c>
      <c r="G1838" s="1430">
        <f>IFERROR(__xludf.DUMMYFUNCTION("""COMPUTED_VALUE"""),5.0)</f>
        <v>5</v>
      </c>
    </row>
    <row r="1839" ht="15.75" customHeight="1">
      <c r="A1839" s="94" t="str">
        <f>IFERROR(__xludf.DUMMYFUNCTION("""COMPUTED_VALUE"""),"D1 3902")</f>
        <v>D1 3902</v>
      </c>
      <c r="B1839" s="94"/>
      <c r="C1839" s="94"/>
      <c r="D1839" s="94" t="str">
        <f>IFERROR(__xludf.DUMMYFUNCTION("""COMPUTED_VALUE"""),"2 Orbi D 3902 (Лот 293635)")</f>
        <v>2 Orbi D 3902 (Лот 293635)</v>
      </c>
      <c r="E1839" s="1436">
        <f>IFERROR(__xludf.DUMMYFUNCTION("""COMPUTED_VALUE"""),46026.0)</f>
        <v>46026</v>
      </c>
      <c r="F1839" s="1436">
        <f>IFERROR(__xludf.DUMMYFUNCTION("""COMPUTED_VALUE"""),46030.0)</f>
        <v>46030</v>
      </c>
      <c r="G1839" s="1430">
        <f>IFERROR(__xludf.DUMMYFUNCTION("""COMPUTED_VALUE"""),4.0)</f>
        <v>4</v>
      </c>
    </row>
    <row r="1840" ht="15.75" customHeight="1">
      <c r="A1840" s="94" t="str">
        <f>IFERROR(__xludf.DUMMYFUNCTION("""COMPUTED_VALUE"""),"TGA3")</f>
        <v>TGA3</v>
      </c>
      <c r="B1840" s="94"/>
      <c r="C1840" s="94"/>
      <c r="D1840" s="94" t="str">
        <f>IFERROR(__xludf.DUMMYFUNCTION("""COMPUTED_VALUE"""),"6 TG Студия с видом на море А3, А5, А6, А8 (Лот 268012)")</f>
        <v>6 TG Студия с видом на море А3, А5, А6, А8 (Лот 268012)</v>
      </c>
      <c r="E1840" s="1436">
        <f>IFERROR(__xludf.DUMMYFUNCTION("""COMPUTED_VALUE"""),46026.0)</f>
        <v>46026</v>
      </c>
      <c r="F1840" s="1436">
        <f>IFERROR(__xludf.DUMMYFUNCTION("""COMPUTED_VALUE"""),46055.0)</f>
        <v>46055</v>
      </c>
      <c r="G1840" s="1430">
        <f>IFERROR(__xludf.DUMMYFUNCTION("""COMPUTED_VALUE"""),29.0)</f>
        <v>29</v>
      </c>
    </row>
    <row r="1841" ht="15.75" customHeight="1">
      <c r="A1841" s="94" t="str">
        <f>IFERROR(__xludf.DUMMYFUNCTION("""COMPUTED_VALUE"""),"CM 1304")</f>
        <v>CM 1304</v>
      </c>
      <c r="B1841" s="94"/>
      <c r="C1841" s="94"/>
      <c r="D1841" s="94" t="str">
        <f>IFERROR(__xludf.DUMMYFUNCTION("""COMPUTED_VALUE"""),"3 Mar 1304 (Лот 311875)")</f>
        <v>3 Mar 1304 (Лот 311875)</v>
      </c>
      <c r="E1841" s="1436">
        <f>IFERROR(__xludf.DUMMYFUNCTION("""COMPUTED_VALUE"""),46025.0)</f>
        <v>46025</v>
      </c>
      <c r="F1841" s="1439">
        <f>IFERROR(__xludf.DUMMYFUNCTION("""COMPUTED_VALUE"""),46028.0)</f>
        <v>46028</v>
      </c>
      <c r="G1841" s="1430">
        <f>IFERROR(__xludf.DUMMYFUNCTION("""COMPUTED_VALUE"""),3.0)</f>
        <v>3</v>
      </c>
    </row>
    <row r="1842" ht="15.75" customHeight="1">
      <c r="A1842" s="1164" t="str">
        <f>IFERROR(__xludf.DUMMYFUNCTION("""COMPUTED_VALUE"""),"WS A 409")</f>
        <v>WS A 409</v>
      </c>
      <c r="B1842" s="94"/>
      <c r="C1842" s="94"/>
      <c r="D1842" s="94" t="str">
        <f>IFERROR(__xludf.DUMMYFUNCTION("""COMPUTED_VALUE"""),"1 WS A 409 (Лот 233355)")</f>
        <v>1 WS A 409 (Лот 233355)</v>
      </c>
      <c r="E1842" s="1436">
        <f>IFERROR(__xludf.DUMMYFUNCTION("""COMPUTED_VALUE"""),46025.0)</f>
        <v>46025</v>
      </c>
      <c r="F1842" s="1436">
        <f>IFERROR(__xludf.DUMMYFUNCTION("""COMPUTED_VALUE"""),46028.0)</f>
        <v>46028</v>
      </c>
      <c r="G1842" s="1430">
        <f>IFERROR(__xludf.DUMMYFUNCTION("""COMPUTED_VALUE"""),3.0)</f>
        <v>3</v>
      </c>
    </row>
    <row r="1843" ht="15.75" customHeight="1">
      <c r="A1843" s="94" t="str">
        <f>IFERROR(__xludf.DUMMYFUNCTION("""COMPUTED_VALUE"""),"CM 1327")</f>
        <v>CM 1327</v>
      </c>
      <c r="B1843" s="94"/>
      <c r="C1843" s="94"/>
      <c r="D1843" s="94" t="str">
        <f>IFERROR(__xludf.DUMMYFUNCTION("""COMPUTED_VALUE"""),"3 Mar 1327 (Лот 318467)")</f>
        <v>3 Mar 1327 (Лот 318467)</v>
      </c>
      <c r="E1843" s="1439">
        <f>IFERROR(__xludf.DUMMYFUNCTION("""COMPUTED_VALUE"""),46024.0)</f>
        <v>46024</v>
      </c>
      <c r="F1843" s="1436">
        <f>IFERROR(__xludf.DUMMYFUNCTION("""COMPUTED_VALUE"""),46028.0)</f>
        <v>46028</v>
      </c>
      <c r="G1843" s="1430">
        <f>IFERROR(__xludf.DUMMYFUNCTION("""COMPUTED_VALUE"""),4.0)</f>
        <v>4</v>
      </c>
    </row>
    <row r="1844" ht="15.75" customHeight="1">
      <c r="A1844" s="1164" t="str">
        <f>IFERROR(__xludf.DUMMYFUNCTION("""COMPUTED_VALUE"""),"CM 1606")</f>
        <v>CM 1606</v>
      </c>
      <c r="B1844" s="94"/>
      <c r="C1844" s="94"/>
      <c r="D1844" s="94" t="str">
        <f>IFERROR(__xludf.DUMMYFUNCTION("""COMPUTED_VALUE"""),"3 Mar 1606 (Лот 233302)")</f>
        <v>3 Mar 1606 (Лот 233302)</v>
      </c>
      <c r="E1844" s="1439">
        <f>IFERROR(__xludf.DUMMYFUNCTION("""COMPUTED_VALUE"""),46024.0)</f>
        <v>46024</v>
      </c>
      <c r="F1844" s="1439">
        <f>IFERROR(__xludf.DUMMYFUNCTION("""COMPUTED_VALUE"""),46029.0)</f>
        <v>46029</v>
      </c>
      <c r="G1844" s="1430">
        <f>IFERROR(__xludf.DUMMYFUNCTION("""COMPUTED_VALUE"""),5.0)</f>
        <v>5</v>
      </c>
    </row>
    <row r="1845" ht="15.75" customHeight="1">
      <c r="A1845" s="1164" t="str">
        <f>IFERROR(__xludf.DUMMYFUNCTION("""COMPUTED_VALUE"""),"WS В 1510")</f>
        <v>WS В 1510</v>
      </c>
      <c r="B1845" s="94"/>
      <c r="C1845" s="94"/>
      <c r="D1845" s="94" t="str">
        <f>IFERROR(__xludf.DUMMYFUNCTION("""COMPUTED_VALUE"""),"1 WS B 1510 (Лот 233316)")</f>
        <v>1 WS B 1510 (Лот 233316)</v>
      </c>
      <c r="E1845" s="1439">
        <f>IFERROR(__xludf.DUMMYFUNCTION("""COMPUTED_VALUE"""),46024.0)</f>
        <v>46024</v>
      </c>
      <c r="F1845" s="1436">
        <f>IFERROR(__xludf.DUMMYFUNCTION("""COMPUTED_VALUE"""),46026.0)</f>
        <v>46026</v>
      </c>
      <c r="G1845" s="1430">
        <f>IFERROR(__xludf.DUMMYFUNCTION("""COMPUTED_VALUE"""),2.0)</f>
        <v>2</v>
      </c>
    </row>
    <row r="1846" ht="15.75" customHeight="1">
      <c r="A1846" s="94" t="str">
        <f>IFERROR(__xludf.DUMMYFUNCTION("""COMPUTED_VALUE"""),"2 BV A 0514 (Лот 311849)")</f>
        <v>2 BV A 0514 (Лот 311849)</v>
      </c>
      <c r="B1846" s="94"/>
      <c r="C1846" s="94"/>
      <c r="D1846" s="94" t="str">
        <f>IFERROR(__xludf.DUMMYFUNCTION("""COMPUTED_VALUE"""),"1 BV A 0514 (Лот 311849)")</f>
        <v>1 BV A 0514 (Лот 311849)</v>
      </c>
      <c r="E1846" s="1439">
        <f>IFERROR(__xludf.DUMMYFUNCTION("""COMPUTED_VALUE"""),46024.0)</f>
        <v>46024</v>
      </c>
      <c r="F1846" s="1436">
        <f>IFERROR(__xludf.DUMMYFUNCTION("""COMPUTED_VALUE"""),46026.0)</f>
        <v>46026</v>
      </c>
      <c r="G1846" s="1430">
        <f>IFERROR(__xludf.DUMMYFUNCTION("""COMPUTED_VALUE"""),2.0)</f>
        <v>2</v>
      </c>
    </row>
    <row r="1847" ht="15.75" customHeight="1">
      <c r="A1847" s="94" t="str">
        <f>IFERROR(__xludf.DUMMYFUNCTION("""COMPUTED_VALUE"""),"NW 2-5")</f>
        <v>NW 2-5</v>
      </c>
      <c r="B1847" s="94"/>
      <c r="C1847" s="94"/>
      <c r="D1847" s="431" t="str">
        <f>IFERROR(__xludf.DUMMYFUNCTION("""COMPUTED_VALUE"""),"3 NW 205 (Лот 295811)")</f>
        <v>3 NW 205 (Лот 295811)</v>
      </c>
      <c r="E1847" s="1439">
        <f>IFERROR(__xludf.DUMMYFUNCTION("""COMPUTED_VALUE"""),46023.0)</f>
        <v>46023</v>
      </c>
      <c r="F1847" s="1436">
        <f>IFERROR(__xludf.DUMMYFUNCTION("""COMPUTED_VALUE"""),46053.0)</f>
        <v>46053</v>
      </c>
      <c r="G1847" s="1430">
        <f>IFERROR(__xludf.DUMMYFUNCTION("""COMPUTED_VALUE"""),30.0)</f>
        <v>30</v>
      </c>
    </row>
    <row r="1848" ht="15.75" customHeight="1">
      <c r="A1848" s="94" t="str">
        <f>IFERROR(__xludf.DUMMYFUNCTION("""COMPUTED_VALUE"""),"TGB3")</f>
        <v>TGB3</v>
      </c>
      <c r="B1848" s="94"/>
      <c r="C1848" s="94"/>
      <c r="D1848" s="431" t="str">
        <f>IFERROR(__xludf.DUMMYFUNCTION("""COMPUTED_VALUE"""),"6 TG Студии эконом блок Б (Б2, Б3, Б4) (Лот 268016)")</f>
        <v>6 TG Студии эконом блок Б (Б2, Б3, Б4) (Лот 268016)</v>
      </c>
      <c r="E1848" s="1439">
        <f>IFERROR(__xludf.DUMMYFUNCTION("""COMPUTED_VALUE"""),46023.0)</f>
        <v>46023</v>
      </c>
      <c r="F1848" s="1436">
        <f>IFERROR(__xludf.DUMMYFUNCTION("""COMPUTED_VALUE"""),46053.0)</f>
        <v>46053</v>
      </c>
      <c r="G1848" s="1430">
        <f>IFERROR(__xludf.DUMMYFUNCTION("""COMPUTED_VALUE"""),30.0)</f>
        <v>30</v>
      </c>
    </row>
    <row r="1849" ht="15.75" customHeight="1">
      <c r="A1849" s="94" t="str">
        <f>IFERROR(__xludf.DUMMYFUNCTION("""COMPUTED_VALUE"""),"DL7-16")</f>
        <v>DL7-16</v>
      </c>
      <c r="B1849" s="94"/>
      <c r="C1849" s="94"/>
      <c r="D1849" s="94"/>
      <c r="E1849" s="1439">
        <f>IFERROR(__xludf.DUMMYFUNCTION("""COMPUTED_VALUE"""),46023.0)</f>
        <v>46023</v>
      </c>
      <c r="F1849" s="1439">
        <f>IFERROR(__xludf.DUMMYFUNCTION("""COMPUTED_VALUE"""),46053.0)</f>
        <v>46053</v>
      </c>
      <c r="G1849" s="1430">
        <f>IFERROR(__xludf.DUMMYFUNCTION("""COMPUTED_VALUE"""),30.0)</f>
        <v>30</v>
      </c>
    </row>
    <row r="1850" ht="15.75" customHeight="1">
      <c r="A1850" s="1164" t="str">
        <f>IFERROR(__xludf.DUMMYFUNCTION("""COMPUTED_VALUE"""),"WS A 608")</f>
        <v>WS A 608</v>
      </c>
      <c r="B1850" s="94"/>
      <c r="C1850" s="94"/>
      <c r="D1850" s="94" t="str">
        <f>IFERROR(__xludf.DUMMYFUNCTION("""COMPUTED_VALUE"""),"1 WS A 608 (Лот 233370)")</f>
        <v>1 WS A 608 (Лот 233370)</v>
      </c>
      <c r="E1850" s="1439">
        <f>IFERROR(__xludf.DUMMYFUNCTION("""COMPUTED_VALUE"""),46023.0)</f>
        <v>46023</v>
      </c>
      <c r="F1850" s="1439">
        <f>IFERROR(__xludf.DUMMYFUNCTION("""COMPUTED_VALUE"""),46026.0)</f>
        <v>46026</v>
      </c>
      <c r="G1850" s="1430">
        <f>IFERROR(__xludf.DUMMYFUNCTION("""COMPUTED_VALUE"""),3.0)</f>
        <v>3</v>
      </c>
    </row>
    <row r="1851" ht="15.75" customHeight="1">
      <c r="A1851" s="94" t="str">
        <f>IFERROR(__xludf.DUMMYFUNCTION("""COMPUTED_VALUE"""),"Pollo 3-5")</f>
        <v>Pollo 3-5</v>
      </c>
      <c r="B1851" s="94"/>
      <c r="C1851" s="94"/>
      <c r="D1851" s="94"/>
      <c r="E1851" s="1429">
        <f>IFERROR(__xludf.DUMMYFUNCTION("""COMPUTED_VALUE"""),46032.0)</f>
        <v>46032</v>
      </c>
      <c r="F1851" s="1429">
        <f>IFERROR(__xludf.DUMMYFUNCTION("""COMPUTED_VALUE"""),46062.0)</f>
        <v>46062</v>
      </c>
      <c r="G1851" s="1430">
        <f>IFERROR(__xludf.DUMMYFUNCTION("""COMPUTED_VALUE"""),30.0)</f>
        <v>30</v>
      </c>
    </row>
    <row r="1852" ht="15.75" customHeight="1">
      <c r="A1852" s="94" t="str">
        <f>IFERROR(__xludf.DUMMYFUNCTION("""COMPUTED_VALUE"""),"Пиросмани 162")</f>
        <v>Пиросмани 162</v>
      </c>
      <c r="B1852" s="94"/>
      <c r="C1852" s="94"/>
      <c r="D1852" s="94"/>
      <c r="E1852" s="1429">
        <f>IFERROR(__xludf.DUMMYFUNCTION("""COMPUTED_VALUE"""),46032.0)</f>
        <v>46032</v>
      </c>
      <c r="F1852" s="1429">
        <f>IFERROR(__xludf.DUMMYFUNCTION("""COMPUTED_VALUE"""),46062.0)</f>
        <v>46062</v>
      </c>
      <c r="G1852" s="1430">
        <f>IFERROR(__xludf.DUMMYFUNCTION("""COMPUTED_VALUE"""),30.0)</f>
        <v>30</v>
      </c>
    </row>
    <row r="1853" ht="15.75" customHeight="1">
      <c r="A1853" s="94" t="str">
        <f>IFERROR(__xludf.DUMMYFUNCTION("""COMPUTED_VALUE"""),"D2 503")</f>
        <v>D2 503</v>
      </c>
      <c r="B1853" s="94"/>
      <c r="C1853" s="94"/>
      <c r="D1853" s="431" t="str">
        <f>IFERROR(__xludf.DUMMYFUNCTION("""COMPUTED_VALUE"""),"2 Orbi D2 503 (Лот 291554)")</f>
        <v>2 Orbi D2 503 (Лот 291554)</v>
      </c>
      <c r="E1853" s="1436">
        <f>IFERROR(__xludf.DUMMYFUNCTION("""COMPUTED_VALUE"""),46030.0)</f>
        <v>46030</v>
      </c>
      <c r="F1853" s="1436">
        <f>IFERROR(__xludf.DUMMYFUNCTION("""COMPUTED_VALUE"""),46060.0)</f>
        <v>46060</v>
      </c>
      <c r="G1853" s="1430">
        <f>IFERROR(__xludf.DUMMYFUNCTION("""COMPUTED_VALUE"""),30.0)</f>
        <v>30</v>
      </c>
    </row>
    <row r="1854" ht="15.75" customHeight="1">
      <c r="A1854" s="94" t="str">
        <f>IFERROR(__xludf.DUMMYFUNCTION("""COMPUTED_VALUE"""),"TGA9")</f>
        <v>TGA9</v>
      </c>
      <c r="B1854" s="94"/>
      <c r="C1854" s="94"/>
      <c r="D1854" s="94"/>
      <c r="E1854" s="1436">
        <f>IFERROR(__xludf.DUMMYFUNCTION("""COMPUTED_VALUE"""),46033.0)</f>
        <v>46033</v>
      </c>
      <c r="F1854" s="1436">
        <f>IFERROR(__xludf.DUMMYFUNCTION("""COMPUTED_VALUE"""),46092.0)</f>
        <v>46092</v>
      </c>
      <c r="G1854" s="1430">
        <f>IFERROR(__xludf.DUMMYFUNCTION("""COMPUTED_VALUE"""),59.0)</f>
        <v>59</v>
      </c>
    </row>
    <row r="1855" ht="15.75" customHeight="1">
      <c r="A1855" s="431" t="str">
        <f>IFERROR(__xludf.DUMMYFUNCTION("""COMPUTED_VALUE"""),"1 BV A 147 (Лот 325731)")</f>
        <v>1 BV A 147 (Лот 325731)</v>
      </c>
      <c r="B1855" s="94"/>
      <c r="C1855" s="94"/>
      <c r="D1855" s="431" t="str">
        <f>IFERROR(__xludf.DUMMYFUNCTION("""COMPUTED_VALUE"""),"1 BV A 147 (Лот 325731)")</f>
        <v>1 BV A 147 (Лот 325731)</v>
      </c>
      <c r="E1855" s="1436">
        <f>IFERROR(__xludf.DUMMYFUNCTION("""COMPUTED_VALUE"""),46033.0)</f>
        <v>46033</v>
      </c>
      <c r="F1855" s="1436">
        <f>IFERROR(__xludf.DUMMYFUNCTION("""COMPUTED_VALUE"""),46040.0)</f>
        <v>46040</v>
      </c>
      <c r="G1855" s="1430">
        <f>IFERROR(__xludf.DUMMYFUNCTION("""COMPUTED_VALUE"""),7.0)</f>
        <v>7</v>
      </c>
    </row>
    <row r="1856" ht="15.75" customHeight="1">
      <c r="A1856" s="1164" t="str">
        <f>IFERROR(__xludf.DUMMYFUNCTION("""COMPUTED_VALUE"""),"D 1321")</f>
        <v>D 1321</v>
      </c>
      <c r="B1856" s="94"/>
      <c r="C1856" s="94"/>
      <c r="D1856" s="431" t="str">
        <f>IFERROR(__xludf.DUMMYFUNCTION("""COMPUTED_VALUE"""),"2 Orbi D 1321 (Лот 233321)")</f>
        <v>2 Orbi D 1321 (Лот 233321)</v>
      </c>
      <c r="E1856" s="1436">
        <f>IFERROR(__xludf.DUMMYFUNCTION("""COMPUTED_VALUE"""),46032.0)</f>
        <v>46032</v>
      </c>
      <c r="F1856" s="1439">
        <f>IFERROR(__xludf.DUMMYFUNCTION("""COMPUTED_VALUE"""),46060.0)</f>
        <v>46060</v>
      </c>
      <c r="G1856" s="1430">
        <f>IFERROR(__xludf.DUMMYFUNCTION("""COMPUTED_VALUE"""),28.0)</f>
        <v>28</v>
      </c>
    </row>
    <row r="1857" ht="15.75" customHeight="1">
      <c r="A1857" s="1164" t="str">
        <f>IFERROR(__xludf.DUMMYFUNCTION("""COMPUTED_VALUE"""),"BV1318")</f>
        <v>BV1318</v>
      </c>
      <c r="B1857" s="94"/>
      <c r="C1857" s="94"/>
      <c r="D1857" s="431" t="str">
        <f>IFERROR(__xludf.DUMMYFUNCTION("""COMPUTED_VALUE"""),"1 BV 1318 (Лот 234845)")</f>
        <v>1 BV 1318 (Лот 234845)</v>
      </c>
      <c r="E1857" s="1436">
        <f>IFERROR(__xludf.DUMMYFUNCTION("""COMPUTED_VALUE"""),46032.0)</f>
        <v>46032</v>
      </c>
      <c r="F1857" s="1436">
        <f>IFERROR(__xludf.DUMMYFUNCTION("""COMPUTED_VALUE"""),46067.0)</f>
        <v>46067</v>
      </c>
      <c r="G1857" s="1430">
        <f>IFERROR(__xludf.DUMMYFUNCTION("""COMPUTED_VALUE"""),35.0)</f>
        <v>35</v>
      </c>
    </row>
    <row r="1858" ht="15.75" customHeight="1">
      <c r="A1858" s="94" t="str">
        <f>IFERROR(__xludf.DUMMYFUNCTION("""COMPUTED_VALUE"""),"CM 1304")</f>
        <v>CM 1304</v>
      </c>
      <c r="B1858" s="94"/>
      <c r="C1858" s="94"/>
      <c r="D1858" s="431" t="str">
        <f>IFERROR(__xludf.DUMMYFUNCTION("""COMPUTED_VALUE"""),"3 Mar 1304 (Лот 311875)")</f>
        <v>3 Mar 1304 (Лот 311875)</v>
      </c>
      <c r="E1858" s="1436">
        <f>IFERROR(__xludf.DUMMYFUNCTION("""COMPUTED_VALUE"""),46031.0)</f>
        <v>46031</v>
      </c>
      <c r="F1858" s="1436">
        <f>IFERROR(__xludf.DUMMYFUNCTION("""COMPUTED_VALUE"""),46062.0)</f>
        <v>46062</v>
      </c>
      <c r="G1858" s="1430">
        <f>IFERROR(__xludf.DUMMYFUNCTION("""COMPUTED_VALUE"""),31.0)</f>
        <v>31</v>
      </c>
    </row>
    <row r="1859" ht="15.75" customHeight="1">
      <c r="A1859" s="94" t="str">
        <f>IFERROR(__xludf.DUMMYFUNCTION("""COMPUTED_VALUE"""),"2 BV A 0514 (Лот 311849)")</f>
        <v>2 BV A 0514 (Лот 311849)</v>
      </c>
      <c r="B1859" s="94"/>
      <c r="C1859" s="94"/>
      <c r="D1859" s="431" t="str">
        <f>IFERROR(__xludf.DUMMYFUNCTION("""COMPUTED_VALUE"""),"1 BV A 0514 (Лот 311849)")</f>
        <v>1 BV A 0514 (Лот 311849)</v>
      </c>
      <c r="E1859" s="1436">
        <f>IFERROR(__xludf.DUMMYFUNCTION("""COMPUTED_VALUE"""),46030.0)</f>
        <v>46030</v>
      </c>
      <c r="F1859" s="1439">
        <f>IFERROR(__xludf.DUMMYFUNCTION("""COMPUTED_VALUE"""),46041.0)</f>
        <v>46041</v>
      </c>
      <c r="G1859" s="1430">
        <f>IFERROR(__xludf.DUMMYFUNCTION("""COMPUTED_VALUE"""),11.0)</f>
        <v>11</v>
      </c>
    </row>
    <row r="1860" ht="15.75" customHeight="1">
      <c r="A1860" s="431" t="str">
        <f>IFERROR(__xludf.DUMMYFUNCTION("""COMPUTED_VALUE"""),"3 DZ 12 (Лот 322676)")</f>
        <v>3 DZ 12 (Лот 322676)</v>
      </c>
      <c r="B1860" s="94"/>
      <c r="C1860" s="94"/>
      <c r="D1860" s="431" t="str">
        <f>IFERROR(__xludf.DUMMYFUNCTION("""COMPUTED_VALUE"""),"3 DZ 12 (Лот 322676)")</f>
        <v>3 DZ 12 (Лот 322676)</v>
      </c>
      <c r="E1860" s="1436">
        <f>IFERROR(__xludf.DUMMYFUNCTION("""COMPUTED_VALUE"""),46030.0)</f>
        <v>46030</v>
      </c>
      <c r="F1860" s="1436">
        <f>IFERROR(__xludf.DUMMYFUNCTION("""COMPUTED_VALUE"""),46038.0)</f>
        <v>46038</v>
      </c>
      <c r="G1860" s="1430">
        <f>IFERROR(__xludf.DUMMYFUNCTION("""COMPUTED_VALUE"""),8.0)</f>
        <v>8</v>
      </c>
    </row>
    <row r="1861" ht="15.75" customHeight="1">
      <c r="A1861" s="1164" t="str">
        <f>IFERROR(__xludf.DUMMYFUNCTION("""COMPUTED_VALUE"""),"WS A907")</f>
        <v>WS A907</v>
      </c>
      <c r="B1861" s="94"/>
      <c r="C1861" s="94"/>
      <c r="D1861" s="431" t="str">
        <f>IFERROR(__xludf.DUMMYFUNCTION("""COMPUTED_VALUE"""),"1 WS A 907 (Лот 233365)")</f>
        <v>1 WS A 907 (Лот 233365)</v>
      </c>
      <c r="E1861" s="1439">
        <f>IFERROR(__xludf.DUMMYFUNCTION("""COMPUTED_VALUE"""),46030.0)</f>
        <v>46030</v>
      </c>
      <c r="F1861" s="1439">
        <f>IFERROR(__xludf.DUMMYFUNCTION("""COMPUTED_VALUE"""),46033.0)</f>
        <v>46033</v>
      </c>
      <c r="G1861" s="1430">
        <f>IFERROR(__xludf.DUMMYFUNCTION("""COMPUTED_VALUE"""),3.0)</f>
        <v>3</v>
      </c>
    </row>
    <row r="1862" ht="15.75" customHeight="1">
      <c r="A1862" s="94" t="str">
        <f>IFERROR(__xludf.DUMMYFUNCTION("""COMPUTED_VALUE"""),"MZ 1408")</f>
        <v>MZ 1408</v>
      </c>
      <c r="B1862" s="94"/>
      <c r="C1862" s="94"/>
      <c r="D1862" s="431" t="str">
        <f>IFERROR(__xludf.DUMMYFUNCTION("""COMPUTED_VALUE"""),"3 MZ 1408 (Лот 289834)")</f>
        <v>3 MZ 1408 (Лот 289834)</v>
      </c>
      <c r="E1862" s="1439">
        <f>IFERROR(__xludf.DUMMYFUNCTION("""COMPUTED_VALUE"""),46029.0)</f>
        <v>46029</v>
      </c>
      <c r="F1862" s="1436">
        <f>IFERROR(__xludf.DUMMYFUNCTION("""COMPUTED_VALUE"""),46073.0)</f>
        <v>46073</v>
      </c>
      <c r="G1862" s="1430">
        <f>IFERROR(__xludf.DUMMYFUNCTION("""COMPUTED_VALUE"""),44.0)</f>
        <v>44</v>
      </c>
    </row>
    <row r="1863" ht="15.75" customHeight="1">
      <c r="A1863" s="431" t="str">
        <f>IFERROR(__xludf.DUMMYFUNCTION("""COMPUTED_VALUE"""),"1 BV A 145 (Лот 325580)")</f>
        <v>1 BV A 145 (Лот 325580)</v>
      </c>
      <c r="B1863" s="94"/>
      <c r="C1863" s="94"/>
      <c r="D1863" s="431" t="str">
        <f>IFERROR(__xludf.DUMMYFUNCTION("""COMPUTED_VALUE"""),"1 BV A 145 (Лот 325580)")</f>
        <v>1 BV A 145 (Лот 325580)</v>
      </c>
      <c r="E1863" s="1439">
        <f>IFERROR(__xludf.DUMMYFUNCTION("""COMPUTED_VALUE"""),46029.0)</f>
        <v>46029</v>
      </c>
      <c r="F1863" s="1436">
        <f>IFERROR(__xludf.DUMMYFUNCTION("""COMPUTED_VALUE"""),46060.0)</f>
        <v>46060</v>
      </c>
      <c r="G1863" s="1430">
        <f>IFERROR(__xludf.DUMMYFUNCTION("""COMPUTED_VALUE"""),31.0)</f>
        <v>31</v>
      </c>
    </row>
    <row r="1864" ht="15.75" customHeight="1">
      <c r="A1864" s="94" t="str">
        <f>IFERROR(__xludf.DUMMYFUNCTION("""COMPUTED_VALUE"""),"Int 2612")</f>
        <v>Int 2612</v>
      </c>
      <c r="B1864" s="94"/>
      <c r="C1864" s="94"/>
      <c r="D1864" s="431" t="str">
        <f>IFERROR(__xludf.DUMMYFUNCTION("""COMPUTED_VALUE"""),"3 Int B 2612 (Лот 285149)")</f>
        <v>3 Int B 2612 (Лот 285149)</v>
      </c>
      <c r="E1864" s="1439">
        <f>IFERROR(__xludf.DUMMYFUNCTION("""COMPUTED_VALUE"""),46028.0)</f>
        <v>46028</v>
      </c>
      <c r="F1864" s="1436">
        <f>IFERROR(__xludf.DUMMYFUNCTION("""COMPUTED_VALUE"""),46061.0)</f>
        <v>46061</v>
      </c>
      <c r="G1864" s="1430">
        <f>IFERROR(__xludf.DUMMYFUNCTION("""COMPUTED_VALUE"""),33.0)</f>
        <v>33</v>
      </c>
    </row>
    <row r="1865" ht="15.75" customHeight="1">
      <c r="A1865" s="1164" t="str">
        <f>IFERROR(__xludf.DUMMYFUNCTION("""COMPUTED_VALUE"""),"WS E704")</f>
        <v>WS E704</v>
      </c>
      <c r="B1865" s="94"/>
      <c r="C1865" s="94"/>
      <c r="D1865" s="431" t="str">
        <f>IFERROR(__xludf.DUMMYFUNCTION("""COMPUTED_VALUE"""),"1 WS E 704 (Лот 233383)")</f>
        <v>1 WS E 704 (Лот 233383)</v>
      </c>
      <c r="E1865" s="1439">
        <f>IFERROR(__xludf.DUMMYFUNCTION("""COMPUTED_VALUE"""),46028.0)</f>
        <v>46028</v>
      </c>
      <c r="F1865" s="1436">
        <f>IFERROR(__xludf.DUMMYFUNCTION("""COMPUTED_VALUE"""),46059.0)</f>
        <v>46059</v>
      </c>
      <c r="G1865" s="1430">
        <f>IFERROR(__xludf.DUMMYFUNCTION("""COMPUTED_VALUE"""),31.0)</f>
        <v>31</v>
      </c>
    </row>
    <row r="1866" ht="15.75" customHeight="1">
      <c r="A1866" s="1164" t="str">
        <f>IFERROR(__xludf.DUMMYFUNCTION("""COMPUTED_VALUE"""),"WS Е804")</f>
        <v>WS Е804</v>
      </c>
      <c r="B1866" s="94"/>
      <c r="C1866" s="94"/>
      <c r="D1866" s="431" t="str">
        <f>IFERROR(__xludf.DUMMYFUNCTION("""COMPUTED_VALUE"""),"1 WS E 804 (Лот 233350)")</f>
        <v>1 WS E 804 (Лот 233350)</v>
      </c>
      <c r="E1866" s="1439">
        <f>IFERROR(__xludf.DUMMYFUNCTION("""COMPUTED_VALUE"""),46028.0)</f>
        <v>46028</v>
      </c>
      <c r="F1866" s="1439">
        <f>IFERROR(__xludf.DUMMYFUNCTION("""COMPUTED_VALUE"""),46059.0)</f>
        <v>46059</v>
      </c>
      <c r="G1866" s="1430">
        <f>IFERROR(__xludf.DUMMYFUNCTION("""COMPUTED_VALUE"""),31.0)</f>
        <v>31</v>
      </c>
    </row>
    <row r="1867" ht="15.75" customHeight="1">
      <c r="A1867" s="94" t="str">
        <f>IFERROR(__xludf.DUMMYFUNCTION("""COMPUTED_VALUE"""),"CM 1327")</f>
        <v>CM 1327</v>
      </c>
      <c r="B1867" s="94"/>
      <c r="C1867" s="94"/>
      <c r="D1867" s="431" t="str">
        <f>IFERROR(__xludf.DUMMYFUNCTION("""COMPUTED_VALUE"""),"3 Mar 1327 (Лот 318467)")</f>
        <v>3 Mar 1327 (Лот 318467)</v>
      </c>
      <c r="E1867" s="1436">
        <f>IFERROR(__xludf.DUMMYFUNCTION("""COMPUTED_VALUE"""),46028.0)</f>
        <v>46028</v>
      </c>
      <c r="F1867" s="1436">
        <f>IFERROR(__xludf.DUMMYFUNCTION("""COMPUTED_VALUE"""),46033.0)</f>
        <v>46033</v>
      </c>
      <c r="G1867" s="1430">
        <f>IFERROR(__xludf.DUMMYFUNCTION("""COMPUTED_VALUE"""),5.0)</f>
        <v>5</v>
      </c>
    </row>
    <row r="1868" ht="15.75" customHeight="1">
      <c r="A1868" s="94" t="str">
        <f>IFERROR(__xludf.DUMMYFUNCTION("""COMPUTED_VALUE"""),"PT2704")</f>
        <v>PT2704</v>
      </c>
      <c r="B1868" s="94"/>
      <c r="C1868" s="94"/>
      <c r="D1868" s="431" t="str">
        <f>IFERROR(__xludf.DUMMYFUNCTION("""COMPUTED_VALUE"""),"3 PB 2704 (Лот 265740)")</f>
        <v>3 PB 2704 (Лот 265740)</v>
      </c>
      <c r="E1868" s="1436">
        <f>IFERROR(__xludf.DUMMYFUNCTION("""COMPUTED_VALUE"""),46027.0)</f>
        <v>46027</v>
      </c>
      <c r="F1868" s="1436">
        <f>IFERROR(__xludf.DUMMYFUNCTION("""COMPUTED_VALUE"""),46034.0)</f>
        <v>46034</v>
      </c>
      <c r="G1868" s="1430">
        <f>IFERROR(__xludf.DUMMYFUNCTION("""COMPUTED_VALUE"""),7.0)</f>
        <v>7</v>
      </c>
    </row>
    <row r="1869" ht="15.75" customHeight="1">
      <c r="A1869" s="431" t="str">
        <f>IFERROR(__xludf.DUMMYFUNCTION("""COMPUTED_VALUE"""),"1. WH 176 (Лот 318650)")</f>
        <v>1. WH 176 (Лот 318650)</v>
      </c>
      <c r="B1869" s="94"/>
      <c r="C1869" s="94"/>
      <c r="D1869" s="431" t="str">
        <f>IFERROR(__xludf.DUMMYFUNCTION("""COMPUTED_VALUE"""),"1. WH 176 (Лот 318650)")</f>
        <v>1. WH 176 (Лот 318650)</v>
      </c>
      <c r="E1869" s="1436">
        <f>IFERROR(__xludf.DUMMYFUNCTION("""COMPUTED_VALUE"""),46027.0)</f>
        <v>46027</v>
      </c>
      <c r="F1869" s="1436">
        <f>IFERROR(__xludf.DUMMYFUNCTION("""COMPUTED_VALUE"""),46045.0)</f>
        <v>46045</v>
      </c>
      <c r="G1869" s="1430">
        <f>IFERROR(__xludf.DUMMYFUNCTION("""COMPUTED_VALUE"""),18.0)</f>
        <v>18</v>
      </c>
    </row>
    <row r="1870" ht="15.75" customHeight="1">
      <c r="A1870" s="94" t="str">
        <f>IFERROR(__xludf.DUMMYFUNCTION("""COMPUTED_VALUE"""),"NA  316")</f>
        <v>NA  316</v>
      </c>
      <c r="B1870" s="94"/>
      <c r="C1870" s="94"/>
      <c r="D1870" s="94"/>
      <c r="E1870" s="1433">
        <f>IFERROR(__xludf.DUMMYFUNCTION("""COMPUTED_VALUE"""),46036.0)</f>
        <v>46036</v>
      </c>
      <c r="F1870" s="1435">
        <f>IFERROR(__xludf.DUMMYFUNCTION("""COMPUTED_VALUE"""),46066.0)</f>
        <v>46066</v>
      </c>
      <c r="G1870" s="1430">
        <f>IFERROR(__xludf.DUMMYFUNCTION("""COMPUTED_VALUE"""),30.0)</f>
        <v>30</v>
      </c>
    </row>
    <row r="1871" ht="15.75" customHeight="1">
      <c r="A1871" s="94" t="str">
        <f>IFERROR(__xludf.DUMMYFUNCTION("""COMPUTED_VALUE"""),"MZ А 1113")</f>
        <v>MZ А 1113</v>
      </c>
      <c r="B1871" s="94"/>
      <c r="C1871" s="94"/>
      <c r="D1871" s="431" t="str">
        <f>IFERROR(__xludf.DUMMYFUNCTION("""COMPUTED_VALUE"""),"3 MZ A 1113 (Лот 314964)")</f>
        <v>3 MZ A 1113 (Лот 314964)</v>
      </c>
      <c r="E1871" s="1439">
        <f>IFERROR(__xludf.DUMMYFUNCTION("""COMPUTED_VALUE"""),46038.0)</f>
        <v>46038</v>
      </c>
      <c r="F1871" s="1436">
        <f>IFERROR(__xludf.DUMMYFUNCTION("""COMPUTED_VALUE"""),46068.0)</f>
        <v>46068</v>
      </c>
      <c r="G1871" s="1430">
        <f>IFERROR(__xludf.DUMMYFUNCTION("""COMPUTED_VALUE"""),30.0)</f>
        <v>30</v>
      </c>
    </row>
    <row r="1872" ht="15.75" customHeight="1">
      <c r="A1872" s="431" t="str">
        <f>IFERROR(__xludf.DUMMYFUNCTION("""COMPUTED_VALUE"""),"1 BV A 147 (Лот 325731)")</f>
        <v>1 BV A 147 (Лот 325731)</v>
      </c>
      <c r="B1872" s="94"/>
      <c r="C1872" s="94"/>
      <c r="D1872" s="431" t="str">
        <f>IFERROR(__xludf.DUMMYFUNCTION("""COMPUTED_VALUE"""),"1 BV A 147 (Лот 325731)")</f>
        <v>1 BV A 147 (Лот 325731)</v>
      </c>
      <c r="E1872" s="1436">
        <f>IFERROR(__xludf.DUMMYFUNCTION("""COMPUTED_VALUE"""),46040.0)</f>
        <v>46040</v>
      </c>
      <c r="F1872" s="1436">
        <f>IFERROR(__xludf.DUMMYFUNCTION("""COMPUTED_VALUE"""),46042.0)</f>
        <v>46042</v>
      </c>
      <c r="G1872" s="1430">
        <f>IFERROR(__xludf.DUMMYFUNCTION("""COMPUTED_VALUE"""),2.0)</f>
        <v>2</v>
      </c>
    </row>
    <row r="1873" ht="15.75" customHeight="1">
      <c r="A1873" s="94" t="str">
        <f>IFERROR(__xludf.DUMMYFUNCTION("""COMPUTED_VALUE"""),"PT2704")</f>
        <v>PT2704</v>
      </c>
      <c r="B1873" s="94"/>
      <c r="C1873" s="94"/>
      <c r="D1873" s="431" t="str">
        <f>IFERROR(__xludf.DUMMYFUNCTION("""COMPUTED_VALUE"""),"3 PB 2704 (Лот 265740)")</f>
        <v>3 PB 2704 (Лот 265740)</v>
      </c>
      <c r="E1873" s="1436">
        <f>IFERROR(__xludf.DUMMYFUNCTION("""COMPUTED_VALUE"""),46040.0)</f>
        <v>46040</v>
      </c>
      <c r="F1873" s="1436">
        <f>IFERROR(__xludf.DUMMYFUNCTION("""COMPUTED_VALUE"""),46045.0)</f>
        <v>46045</v>
      </c>
      <c r="G1873" s="1430">
        <f>IFERROR(__xludf.DUMMYFUNCTION("""COMPUTED_VALUE"""),5.0)</f>
        <v>5</v>
      </c>
    </row>
    <row r="1874" ht="15.75" customHeight="1">
      <c r="A1874" s="431" t="str">
        <f>IFERROR(__xludf.DUMMYFUNCTION("""COMPUTED_VALUE"""),"1 BV C 137 (Лот 325548)")</f>
        <v>1 BV C 137 (Лот 325548)</v>
      </c>
      <c r="B1874" s="94"/>
      <c r="C1874" s="94"/>
      <c r="D1874" s="431" t="str">
        <f>IFERROR(__xludf.DUMMYFUNCTION("""COMPUTED_VALUE"""),"1 BV C 137 (Лот 325548)")</f>
        <v>1 BV C 137 (Лот 325548)</v>
      </c>
      <c r="E1874" s="1436">
        <f>IFERROR(__xludf.DUMMYFUNCTION("""COMPUTED_VALUE"""),46040.0)</f>
        <v>46040</v>
      </c>
      <c r="F1874" s="1439">
        <f>IFERROR(__xludf.DUMMYFUNCTION("""COMPUTED_VALUE"""),46043.0)</f>
        <v>46043</v>
      </c>
      <c r="G1874" s="1430">
        <f>IFERROR(__xludf.DUMMYFUNCTION("""COMPUTED_VALUE"""),3.0)</f>
        <v>3</v>
      </c>
    </row>
    <row r="1875" ht="15.75" customHeight="1">
      <c r="A1875" s="431" t="str">
        <f>IFERROR(__xludf.DUMMYFUNCTION("""COMPUTED_VALUE"""),"3 MZ 511 (Лот 325023)")</f>
        <v>3 MZ 511 (Лот 325023)</v>
      </c>
      <c r="B1875" s="94"/>
      <c r="C1875" s="94"/>
      <c r="D1875" s="431" t="str">
        <f>IFERROR(__xludf.DUMMYFUNCTION("""COMPUTED_VALUE"""),"3 MZ 511 (Лот 325023)")</f>
        <v>3 MZ 511 (Лот 325023)</v>
      </c>
      <c r="E1875" s="1436">
        <f>IFERROR(__xludf.DUMMYFUNCTION("""COMPUTED_VALUE"""),46040.0)</f>
        <v>46040</v>
      </c>
      <c r="F1875" s="1436">
        <f>IFERROR(__xludf.DUMMYFUNCTION("""COMPUTED_VALUE"""),46068.0)</f>
        <v>46068</v>
      </c>
      <c r="G1875" s="1430">
        <f>IFERROR(__xludf.DUMMYFUNCTION("""COMPUTED_VALUE"""),28.0)</f>
        <v>28</v>
      </c>
    </row>
    <row r="1876" ht="15.75" customHeight="1">
      <c r="A1876" s="94" t="str">
        <f>IFERROR(__xludf.DUMMYFUNCTION("""COMPUTED_VALUE"""),"D2 1625")</f>
        <v>D2 1625</v>
      </c>
      <c r="B1876" s="94"/>
      <c r="C1876" s="94"/>
      <c r="D1876" s="94"/>
      <c r="E1876" s="1436">
        <f>IFERROR(__xludf.DUMMYFUNCTION("""COMPUTED_VALUE"""),46040.0)</f>
        <v>46040</v>
      </c>
      <c r="F1876" s="1436">
        <f>IFERROR(__xludf.DUMMYFUNCTION("""COMPUTED_VALUE"""),46070.0)</f>
        <v>46070</v>
      </c>
      <c r="G1876" s="1430">
        <f>IFERROR(__xludf.DUMMYFUNCTION("""COMPUTED_VALUE"""),30.0)</f>
        <v>30</v>
      </c>
    </row>
    <row r="1877" ht="15.75" customHeight="1">
      <c r="A1877" s="1164" t="str">
        <f>IFERROR(__xludf.DUMMYFUNCTION("""COMPUTED_VALUE"""),"WS В 503")</f>
        <v>WS В 503</v>
      </c>
      <c r="B1877" s="94"/>
      <c r="C1877" s="94"/>
      <c r="D1877" s="431" t="str">
        <f>IFERROR(__xludf.DUMMYFUNCTION("""COMPUTED_VALUE"""),"1 WS B 503 (Лот 233403)")</f>
        <v>1 WS B 503 (Лот 233403)</v>
      </c>
      <c r="E1877" s="1436">
        <f>IFERROR(__xludf.DUMMYFUNCTION("""COMPUTED_VALUE"""),46039.0)</f>
        <v>46039</v>
      </c>
      <c r="F1877" s="1436">
        <f>IFERROR(__xludf.DUMMYFUNCTION("""COMPUTED_VALUE"""),46098.0)</f>
        <v>46098</v>
      </c>
      <c r="G1877" s="1430">
        <f>IFERROR(__xludf.DUMMYFUNCTION("""COMPUTED_VALUE"""),59.0)</f>
        <v>59</v>
      </c>
    </row>
    <row r="1878" ht="15.75" customHeight="1">
      <c r="A1878" s="1164" t="str">
        <f>IFERROR(__xludf.DUMMYFUNCTION("""COMPUTED_VALUE"""),"WS В 212")</f>
        <v>WS В 212</v>
      </c>
      <c r="B1878" s="94"/>
      <c r="C1878" s="94"/>
      <c r="D1878" s="431" t="str">
        <f>IFERROR(__xludf.DUMMYFUNCTION("""COMPUTED_VALUE"""),"1 WS B 212 (Лот 233391)")</f>
        <v>1 WS B 212 (Лот 233391)</v>
      </c>
      <c r="E1878" s="1436">
        <f>IFERROR(__xludf.DUMMYFUNCTION("""COMPUTED_VALUE"""),46039.0)</f>
        <v>46039</v>
      </c>
      <c r="F1878" s="1439">
        <f>IFERROR(__xludf.DUMMYFUNCTION("""COMPUTED_VALUE"""),46068.0)</f>
        <v>46068</v>
      </c>
      <c r="G1878" s="1430">
        <f>IFERROR(__xludf.DUMMYFUNCTION("""COMPUTED_VALUE"""),29.0)</f>
        <v>29</v>
      </c>
    </row>
    <row r="1879" ht="15.75" customHeight="1">
      <c r="A1879" s="431" t="str">
        <f>IFERROR(__xludf.DUMMYFUNCTION("""COMPUTED_VALUE"""),"1 WS F 1008 (Лот 320906)")</f>
        <v>1 WS F 1008 (Лот 320906)</v>
      </c>
      <c r="B1879" s="94"/>
      <c r="C1879" s="94"/>
      <c r="D1879" s="431" t="str">
        <f>IFERROR(__xludf.DUMMYFUNCTION("""COMPUTED_VALUE"""),"1 WS F 1008 (Лот 320906)")</f>
        <v>1 WS F 1008 (Лот 320906)</v>
      </c>
      <c r="E1879" s="1436">
        <f>IFERROR(__xludf.DUMMYFUNCTION("""COMPUTED_VALUE"""),46039.0)</f>
        <v>46039</v>
      </c>
      <c r="F1879" s="1436">
        <f>IFERROR(__xludf.DUMMYFUNCTION("""COMPUTED_VALUE"""),46068.0)</f>
        <v>46068</v>
      </c>
      <c r="G1879" s="1430">
        <f>IFERROR(__xludf.DUMMYFUNCTION("""COMPUTED_VALUE"""),29.0)</f>
        <v>29</v>
      </c>
    </row>
    <row r="1880" ht="15.75" customHeight="1">
      <c r="A1880" s="431" t="str">
        <f>IFERROR(__xludf.DUMMYFUNCTION("""COMPUTED_VALUE"""),"3 DZ 12 (Лот 322676)")</f>
        <v>3 DZ 12 (Лот 322676)</v>
      </c>
      <c r="B1880" s="94"/>
      <c r="C1880" s="94"/>
      <c r="D1880" s="431" t="str">
        <f>IFERROR(__xludf.DUMMYFUNCTION("""COMPUTED_VALUE"""),"3 DZ 12 (Лот 322676)")</f>
        <v>3 DZ 12 (Лот 322676)</v>
      </c>
      <c r="E1880" s="1439">
        <f>IFERROR(__xludf.DUMMYFUNCTION("""COMPUTED_VALUE"""),46039.0)</f>
        <v>46039</v>
      </c>
      <c r="F1880" s="1439">
        <f>IFERROR(__xludf.DUMMYFUNCTION("""COMPUTED_VALUE"""),46042.0)</f>
        <v>46042</v>
      </c>
      <c r="G1880" s="1430">
        <f>IFERROR(__xludf.DUMMYFUNCTION("""COMPUTED_VALUE"""),3.0)</f>
        <v>3</v>
      </c>
    </row>
    <row r="1881" ht="15.75" customHeight="1">
      <c r="A1881" s="94" t="str">
        <f>IFERROR(__xludf.DUMMYFUNCTION("""COMPUTED_VALUE"""),"С 1125")</f>
        <v>С 1125</v>
      </c>
      <c r="B1881" s="94"/>
      <c r="C1881" s="94"/>
      <c r="D1881" s="431" t="str">
        <f>IFERROR(__xludf.DUMMYFUNCTION("""COMPUTED_VALUE"""),"2 Orbi C 1125 (Лот 233326)")</f>
        <v>2 Orbi C 1125 (Лот 233326)</v>
      </c>
      <c r="E1881" s="1439">
        <f>IFERROR(__xludf.DUMMYFUNCTION("""COMPUTED_VALUE"""),46038.0)</f>
        <v>46038</v>
      </c>
      <c r="F1881" s="1436">
        <f>IFERROR(__xludf.DUMMYFUNCTION("""COMPUTED_VALUE"""),46069.0)</f>
        <v>46069</v>
      </c>
      <c r="G1881" s="1430">
        <f>IFERROR(__xludf.DUMMYFUNCTION("""COMPUTED_VALUE"""),31.0)</f>
        <v>31</v>
      </c>
    </row>
    <row r="1882" ht="15.75" customHeight="1">
      <c r="A1882" s="94" t="str">
        <f>IFERROR(__xludf.DUMMYFUNCTION("""COMPUTED_VALUE"""),"D1 3902")</f>
        <v>D1 3902</v>
      </c>
      <c r="B1882" s="94"/>
      <c r="C1882" s="94"/>
      <c r="D1882" s="431" t="str">
        <f>IFERROR(__xludf.DUMMYFUNCTION("""COMPUTED_VALUE"""),"2 Orbi D 3902 (Лот 293635)")</f>
        <v>2 Orbi D 3902 (Лот 293635)</v>
      </c>
      <c r="E1882" s="1439">
        <f>IFERROR(__xludf.DUMMYFUNCTION("""COMPUTED_VALUE"""),46038.0)</f>
        <v>46038</v>
      </c>
      <c r="F1882" s="1439">
        <f>IFERROR(__xludf.DUMMYFUNCTION("""COMPUTED_VALUE"""),46042.0)</f>
        <v>46042</v>
      </c>
      <c r="G1882" s="1430">
        <f>IFERROR(__xludf.DUMMYFUNCTION("""COMPUTED_VALUE"""),4.0)</f>
        <v>4</v>
      </c>
    </row>
    <row r="1883" ht="15.75" customHeight="1">
      <c r="A1883" s="94" t="str">
        <f>IFERROR(__xludf.DUMMYFUNCTION("""COMPUTED_VALUE"""),"PT2604")</f>
        <v>PT2604</v>
      </c>
      <c r="B1883" s="94"/>
      <c r="C1883" s="94"/>
      <c r="D1883" s="431" t="str">
        <f>IFERROR(__xludf.DUMMYFUNCTION("""COMPUTED_VALUE"""),"3 PB 2604 (Лот 265736)")</f>
        <v>3 PB 2604 (Лот 265736)</v>
      </c>
      <c r="E1883" s="1439">
        <f>IFERROR(__xludf.DUMMYFUNCTION("""COMPUTED_VALUE"""),46038.0)</f>
        <v>46038</v>
      </c>
      <c r="F1883" s="1436">
        <f>IFERROR(__xludf.DUMMYFUNCTION("""COMPUTED_VALUE"""),46041.0)</f>
        <v>46041</v>
      </c>
      <c r="G1883" s="1430">
        <f>IFERROR(__xludf.DUMMYFUNCTION("""COMPUTED_VALUE"""),3.0)</f>
        <v>3</v>
      </c>
    </row>
    <row r="1884" ht="15.75" customHeight="1">
      <c r="A1884" s="431" t="str">
        <f>IFERROR(__xludf.DUMMYFUNCTION("""COMPUTED_VALUE"""),"1 WS B 807 (Лот 317903)")</f>
        <v>1 WS B 807 (Лот 317903)</v>
      </c>
      <c r="B1884" s="94"/>
      <c r="C1884" s="94"/>
      <c r="D1884" s="431" t="str">
        <f>IFERROR(__xludf.DUMMYFUNCTION("""COMPUTED_VALUE"""),"1 WS B 807 (Лот 317903)")</f>
        <v>1 WS B 807 (Лот 317903)</v>
      </c>
      <c r="E1884" s="1439">
        <f>IFERROR(__xludf.DUMMYFUNCTION("""COMPUTED_VALUE"""),46037.0)</f>
        <v>46037</v>
      </c>
      <c r="F1884" s="1436">
        <f>IFERROR(__xludf.DUMMYFUNCTION("""COMPUTED_VALUE"""),46071.0)</f>
        <v>46071</v>
      </c>
      <c r="G1884" s="1430">
        <f>IFERROR(__xludf.DUMMYFUNCTION("""COMPUTED_VALUE"""),34.0)</f>
        <v>34</v>
      </c>
    </row>
    <row r="1885" ht="15.75" customHeight="1">
      <c r="A1885" s="94" t="str">
        <f>IFERROR(__xludf.DUMMYFUNCTION("""COMPUTED_VALUE"""),"PT2704")</f>
        <v>PT2704</v>
      </c>
      <c r="B1885" s="94"/>
      <c r="C1885" s="94"/>
      <c r="D1885" s="431" t="str">
        <f>IFERROR(__xludf.DUMMYFUNCTION("""COMPUTED_VALUE"""),"3 PB 2704 (Лот 265740)")</f>
        <v>3 PB 2704 (Лот 265740)</v>
      </c>
      <c r="E1885" s="1439">
        <f>IFERROR(__xludf.DUMMYFUNCTION("""COMPUTED_VALUE"""),46037.0)</f>
        <v>46037</v>
      </c>
      <c r="F1885" s="1439">
        <f>IFERROR(__xludf.DUMMYFUNCTION("""COMPUTED_VALUE"""),46039.0)</f>
        <v>46039</v>
      </c>
      <c r="G1885" s="1430">
        <f>IFERROR(__xludf.DUMMYFUNCTION("""COMPUTED_VALUE"""),2.0)</f>
        <v>2</v>
      </c>
    </row>
    <row r="1886" ht="15.75" customHeight="1">
      <c r="A1886" s="94" t="str">
        <f>IFERROR(__xludf.DUMMYFUNCTION("""COMPUTED_VALUE"""),"NW 3-7")</f>
        <v>NW 3-7</v>
      </c>
      <c r="B1886" s="94"/>
      <c r="C1886" s="94"/>
      <c r="D1886" s="431" t="str">
        <f>IFERROR(__xludf.DUMMYFUNCTION("""COMPUTED_VALUE"""),"3 NW 307 (Лот 289960)")</f>
        <v>3 NW 307 (Лот 289960)</v>
      </c>
      <c r="E1886" s="1436">
        <f>IFERROR(__xludf.DUMMYFUNCTION("""COMPUTED_VALUE"""),46036.0)</f>
        <v>46036</v>
      </c>
      <c r="F1886" s="1436">
        <f>IFERROR(__xludf.DUMMYFUNCTION("""COMPUTED_VALUE"""),46053.0)</f>
        <v>46053</v>
      </c>
      <c r="G1886" s="1430">
        <f>IFERROR(__xludf.DUMMYFUNCTION("""COMPUTED_VALUE"""),17.0)</f>
        <v>17</v>
      </c>
    </row>
    <row r="1887" ht="15.75" customHeight="1">
      <c r="A1887" s="1164" t="str">
        <f>IFERROR(__xludf.DUMMYFUNCTION("""COMPUTED_VALUE"""),"Int 2905")</f>
        <v>Int 2905</v>
      </c>
      <c r="B1887" s="94"/>
      <c r="C1887" s="94"/>
      <c r="D1887" s="431" t="str">
        <f>IFERROR(__xludf.DUMMYFUNCTION("""COMPUTED_VALUE"""),"3.Inturist 2905 (Лот 233347)")</f>
        <v>3.Inturist 2905 (Лот 233347)</v>
      </c>
      <c r="E1887" s="1436">
        <f>IFERROR(__xludf.DUMMYFUNCTION("""COMPUTED_VALUE"""),46035.0)</f>
        <v>46035</v>
      </c>
      <c r="F1887" s="1436">
        <f>IFERROR(__xludf.DUMMYFUNCTION("""COMPUTED_VALUE"""),46037.0)</f>
        <v>46037</v>
      </c>
      <c r="G1887" s="1430">
        <f>IFERROR(__xludf.DUMMYFUNCTION("""COMPUTED_VALUE"""),2.0)</f>
        <v>2</v>
      </c>
    </row>
    <row r="1888" ht="15.75" customHeight="1">
      <c r="A1888" s="1164" t="str">
        <f>IFERROR(__xludf.DUMMYFUNCTION("""COMPUTED_VALUE"""),"С 1443")</f>
        <v>С 1443</v>
      </c>
      <c r="B1888" s="94"/>
      <c r="C1888" s="94"/>
      <c r="D1888" s="431" t="str">
        <f>IFERROR(__xludf.DUMMYFUNCTION("""COMPUTED_VALUE"""),"2 Orbi C 1443 (Лот 233331)")</f>
        <v>2 Orbi C 1443 (Лот 233331)</v>
      </c>
      <c r="E1888" s="1436">
        <f>IFERROR(__xludf.DUMMYFUNCTION("""COMPUTED_VALUE"""),46035.0)</f>
        <v>46035</v>
      </c>
      <c r="F1888" s="1436">
        <f>IFERROR(__xludf.DUMMYFUNCTION("""COMPUTED_VALUE"""),46065.0)</f>
        <v>46065</v>
      </c>
      <c r="G1888" s="1430">
        <f>IFERROR(__xludf.DUMMYFUNCTION("""COMPUTED_VALUE"""),30.0)</f>
        <v>30</v>
      </c>
    </row>
    <row r="1889" ht="15.75" customHeight="1">
      <c r="A1889" s="431" t="str">
        <f>IFERROR(__xludf.DUMMYFUNCTION("""COMPUTED_VALUE"""),"1 OBT 2906 (Лот 322761)")</f>
        <v>1 OBT 2906 (Лот 322761)</v>
      </c>
      <c r="B1889" s="94"/>
      <c r="C1889" s="94"/>
      <c r="D1889" s="431" t="str">
        <f>IFERROR(__xludf.DUMMYFUNCTION("""COMPUTED_VALUE"""),"1 OBT 2906 (Лот 322761)")</f>
        <v>1 OBT 2906 (Лот 322761)</v>
      </c>
      <c r="E1889" s="1436">
        <f>IFERROR(__xludf.DUMMYFUNCTION("""COMPUTED_VALUE"""),46035.0)</f>
        <v>46035</v>
      </c>
      <c r="F1889" s="1436">
        <f>IFERROR(__xludf.DUMMYFUNCTION("""COMPUTED_VALUE"""),46067.0)</f>
        <v>46067</v>
      </c>
      <c r="G1889" s="1430">
        <f>IFERROR(__xludf.DUMMYFUNCTION("""COMPUTED_VALUE"""),32.0)</f>
        <v>32</v>
      </c>
    </row>
    <row r="1890" ht="15.75" customHeight="1">
      <c r="A1890" s="1164" t="str">
        <f>IFERROR(__xludf.DUMMYFUNCTION("""COMPUTED_VALUE"""),"WS A 608")</f>
        <v>WS A 608</v>
      </c>
      <c r="B1890" s="94"/>
      <c r="C1890" s="94"/>
      <c r="D1890" s="431" t="str">
        <f>IFERROR(__xludf.DUMMYFUNCTION("""COMPUTED_VALUE"""),"1 WS A 608 (Лот 233370)")</f>
        <v>1 WS A 608 (Лот 233370)</v>
      </c>
      <c r="E1890" s="1436">
        <f>IFERROR(__xludf.DUMMYFUNCTION("""COMPUTED_VALUE"""),46034.0)</f>
        <v>46034</v>
      </c>
      <c r="F1890" s="1436">
        <f>IFERROR(__xludf.DUMMYFUNCTION("""COMPUTED_VALUE"""),46036.0)</f>
        <v>46036</v>
      </c>
      <c r="G1890" s="1430">
        <f>IFERROR(__xludf.DUMMYFUNCTION("""COMPUTED_VALUE"""),2.0)</f>
        <v>2</v>
      </c>
    </row>
    <row r="1891" ht="15.75" customHeight="1">
      <c r="A1891" s="94" t="str">
        <f>IFERROR(__xludf.DUMMYFUNCTION("""COMPUTED_VALUE"""),"CM 1327")</f>
        <v>CM 1327</v>
      </c>
      <c r="B1891" s="94"/>
      <c r="C1891" s="94"/>
      <c r="D1891" s="431" t="str">
        <f>IFERROR(__xludf.DUMMYFUNCTION("""COMPUTED_VALUE"""),"3 Mar 1327 (Лот 318467)")</f>
        <v>3 Mar 1327 (Лот 318467)</v>
      </c>
      <c r="E1891" s="1436">
        <f>IFERROR(__xludf.DUMMYFUNCTION("""COMPUTED_VALUE"""),46034.0)</f>
        <v>46034</v>
      </c>
      <c r="F1891" s="1436">
        <f>IFERROR(__xludf.DUMMYFUNCTION("""COMPUTED_VALUE"""),46042.0)</f>
        <v>46042</v>
      </c>
      <c r="G1891" s="1430">
        <f>IFERROR(__xludf.DUMMYFUNCTION("""COMPUTED_VALUE"""),8.0)</f>
        <v>8</v>
      </c>
    </row>
    <row r="1892" ht="15.75" customHeight="1">
      <c r="A1892" s="94" t="str">
        <f>IFERROR(__xludf.DUMMYFUNCTION("""COMPUTED_VALUE"""),"WS A805")</f>
        <v>WS A805</v>
      </c>
      <c r="B1892" s="94"/>
      <c r="C1892" s="94"/>
      <c r="D1892" s="431" t="str">
        <f>IFERROR(__xludf.DUMMYFUNCTION("""COMPUTED_VALUE"""),"1 WS A 805 (Лот 283869)")</f>
        <v>1 WS A 805 (Лот 283869)</v>
      </c>
      <c r="E1892" s="1436">
        <f>IFERROR(__xludf.DUMMYFUNCTION("""COMPUTED_VALUE"""),46034.0)</f>
        <v>46034</v>
      </c>
      <c r="F1892" s="1436">
        <f>IFERROR(__xludf.DUMMYFUNCTION("""COMPUTED_VALUE"""),46067.0)</f>
        <v>46067</v>
      </c>
      <c r="G1892" s="1430">
        <f>IFERROR(__xludf.DUMMYFUNCTION("""COMPUTED_VALUE"""),33.0)</f>
        <v>33</v>
      </c>
    </row>
    <row r="1893" ht="15.75" customHeight="1">
      <c r="A1893" s="94" t="str">
        <f>IFERROR(__xludf.DUMMYFUNCTION("""COMPUTED_VALUE"""),"шартава 16/18")</f>
        <v>шартава 16/18</v>
      </c>
      <c r="B1893" s="94"/>
      <c r="C1893" s="94"/>
      <c r="D1893" s="94"/>
      <c r="E1893" s="1429">
        <f>IFERROR(__xludf.DUMMYFUNCTION("""COMPUTED_VALUE"""),45682.0)</f>
        <v>45682</v>
      </c>
      <c r="F1893" s="1429">
        <f>IFERROR(__xludf.DUMMYFUNCTION("""COMPUTED_VALUE"""),45712.0)</f>
        <v>45712</v>
      </c>
      <c r="G1893" s="1430">
        <f>IFERROR(__xludf.DUMMYFUNCTION("""COMPUTED_VALUE"""),30.0)</f>
        <v>30</v>
      </c>
    </row>
    <row r="1894" ht="15.75" customHeight="1">
      <c r="A1894" s="94" t="str">
        <f>IFERROR(__xludf.DUMMYFUNCTION("""COMPUTED_VALUE"""),"MZ 913")</f>
        <v>MZ 913</v>
      </c>
      <c r="B1894" s="94"/>
      <c r="C1894" s="94"/>
      <c r="D1894" s="94"/>
      <c r="E1894" s="1436">
        <f>IFERROR(__xludf.DUMMYFUNCTION("""COMPUTED_VALUE"""),46047.0)</f>
        <v>46047</v>
      </c>
      <c r="F1894" s="1436">
        <f>IFERROR(__xludf.DUMMYFUNCTION("""COMPUTED_VALUE"""),46050.0)</f>
        <v>46050</v>
      </c>
      <c r="G1894" s="1430">
        <f>IFERROR(__xludf.DUMMYFUNCTION("""COMPUTED_VALUE"""),3.0)</f>
        <v>3</v>
      </c>
    </row>
    <row r="1895" ht="15.75" customHeight="1">
      <c r="A1895" s="94" t="str">
        <f>IFERROR(__xludf.DUMMYFUNCTION("""COMPUTED_VALUE"""),"CM 1327")</f>
        <v>CM 1327</v>
      </c>
      <c r="B1895" s="94"/>
      <c r="C1895" s="94"/>
      <c r="D1895" s="431" t="str">
        <f>IFERROR(__xludf.DUMMYFUNCTION("""COMPUTED_VALUE"""),"3 Mar 1327 (Лот 318467)")</f>
        <v>3 Mar 1327 (Лот 318467)</v>
      </c>
      <c r="E1895" s="1436">
        <f>IFERROR(__xludf.DUMMYFUNCTION("""COMPUTED_VALUE"""),46046.0)</f>
        <v>46046</v>
      </c>
      <c r="F1895" s="1436">
        <f>IFERROR(__xludf.DUMMYFUNCTION("""COMPUTED_VALUE"""),46054.0)</f>
        <v>46054</v>
      </c>
      <c r="G1895" s="1430">
        <f>IFERROR(__xludf.DUMMYFUNCTION("""COMPUTED_VALUE"""),8.0)</f>
        <v>8</v>
      </c>
    </row>
    <row r="1896" ht="15.75" customHeight="1">
      <c r="A1896" s="94" t="str">
        <f>IFERROR(__xludf.DUMMYFUNCTION("""COMPUTED_VALUE"""),"А 4049")</f>
        <v>А 4049</v>
      </c>
      <c r="B1896" s="94"/>
      <c r="C1896" s="94"/>
      <c r="D1896" s="431" t="str">
        <f>IFERROR(__xludf.DUMMYFUNCTION("""COMPUTED_VALUE"""),"2 Orbi A 4049 (Лот 233324)")</f>
        <v>2 Orbi A 4049 (Лот 233324)</v>
      </c>
      <c r="E1896" s="1436">
        <f>IFERROR(__xludf.DUMMYFUNCTION("""COMPUTED_VALUE"""),46046.0)</f>
        <v>46046</v>
      </c>
      <c r="F1896" s="1436">
        <f>IFERROR(__xludf.DUMMYFUNCTION("""COMPUTED_VALUE"""),46074.0)</f>
        <v>46074</v>
      </c>
      <c r="G1896" s="1430">
        <f>IFERROR(__xludf.DUMMYFUNCTION("""COMPUTED_VALUE"""),28.0)</f>
        <v>28</v>
      </c>
    </row>
    <row r="1897" ht="15.75" customHeight="1">
      <c r="A1897" s="94" t="str">
        <f>IFERROR(__xludf.DUMMYFUNCTION("""COMPUTED_VALUE"""),"TGA2")</f>
        <v>TGA2</v>
      </c>
      <c r="B1897" s="94"/>
      <c r="C1897" s="94"/>
      <c r="D1897" s="431" t="str">
        <f>IFERROR(__xludf.DUMMYFUNCTION("""COMPUTED_VALUE"""),"6 TG c 1 сп. блок А (А2, А4, А7, B8, A9) (Лот 263239)")</f>
        <v>6 TG c 1 сп. блок А (А2, А4, А7, B8, A9) (Лот 263239)</v>
      </c>
      <c r="E1897" s="1436">
        <f>IFERROR(__xludf.DUMMYFUNCTION("""COMPUTED_VALUE"""),46045.0)</f>
        <v>46045</v>
      </c>
      <c r="F1897" s="1436">
        <f>IFERROR(__xludf.DUMMYFUNCTION("""COMPUTED_VALUE"""),46076.0)</f>
        <v>46076</v>
      </c>
      <c r="G1897" s="1430">
        <f>IFERROR(__xludf.DUMMYFUNCTION("""COMPUTED_VALUE"""),31.0)</f>
        <v>31</v>
      </c>
    </row>
    <row r="1898" ht="15.75" customHeight="1">
      <c r="A1898" s="94" t="str">
        <f>IFERROR(__xludf.DUMMYFUNCTION("""COMPUTED_VALUE"""),"2 BV A 0514 (Лот 311849)")</f>
        <v>2 BV A 0514 (Лот 311849)</v>
      </c>
      <c r="B1898" s="94"/>
      <c r="C1898" s="94"/>
      <c r="D1898" s="431" t="str">
        <f>IFERROR(__xludf.DUMMYFUNCTION("""COMPUTED_VALUE"""),"1 BV A 0514 (Лот 311849)")</f>
        <v>1 BV A 0514 (Лот 311849)</v>
      </c>
      <c r="E1898" s="1436">
        <f>IFERROR(__xludf.DUMMYFUNCTION("""COMPUTED_VALUE"""),46045.0)</f>
        <v>46045</v>
      </c>
      <c r="F1898" s="1436">
        <f>IFERROR(__xludf.DUMMYFUNCTION("""COMPUTED_VALUE"""),46052.0)</f>
        <v>46052</v>
      </c>
      <c r="G1898" s="1430">
        <f>IFERROR(__xludf.DUMMYFUNCTION("""COMPUTED_VALUE"""),7.0)</f>
        <v>7</v>
      </c>
    </row>
    <row r="1899" ht="15.75" customHeight="1">
      <c r="A1899" s="431" t="str">
        <f>IFERROR(__xludf.DUMMYFUNCTION("""COMPUTED_VALUE"""),"1. WH 176 (Лот 318650)")</f>
        <v>1. WH 176 (Лот 318650)</v>
      </c>
      <c r="B1899" s="94"/>
      <c r="C1899" s="94"/>
      <c r="D1899" s="431" t="str">
        <f>IFERROR(__xludf.DUMMYFUNCTION("""COMPUTED_VALUE"""),"1. WH 176 (Лот 318650)")</f>
        <v>1. WH 176 (Лот 318650)</v>
      </c>
      <c r="E1899" s="1436">
        <f>IFERROR(__xludf.DUMMYFUNCTION("""COMPUTED_VALUE"""),46045.0)</f>
        <v>46045</v>
      </c>
      <c r="F1899" s="1436">
        <f>IFERROR(__xludf.DUMMYFUNCTION("""COMPUTED_VALUE"""),46053.0)</f>
        <v>46053</v>
      </c>
      <c r="G1899" s="1430">
        <f>IFERROR(__xludf.DUMMYFUNCTION("""COMPUTED_VALUE"""),8.0)</f>
        <v>8</v>
      </c>
    </row>
    <row r="1900" ht="15.75" customHeight="1">
      <c r="A1900" s="1164" t="str">
        <f>IFERROR(__xludf.DUMMYFUNCTION("""COMPUTED_VALUE"""),"WS F 907")</f>
        <v>WS F 907</v>
      </c>
      <c r="B1900" s="94"/>
      <c r="C1900" s="94"/>
      <c r="D1900" s="431" t="str">
        <f>IFERROR(__xludf.DUMMYFUNCTION("""COMPUTED_VALUE"""),"1 WS F 907 (Лот 233314)")</f>
        <v>1 WS F 907 (Лот 233314)</v>
      </c>
      <c r="E1900" s="1436">
        <f>IFERROR(__xludf.DUMMYFUNCTION("""COMPUTED_VALUE"""),46044.0)</f>
        <v>46044</v>
      </c>
      <c r="F1900" s="1436">
        <f>IFERROR(__xludf.DUMMYFUNCTION("""COMPUTED_VALUE"""),46075.0)</f>
        <v>46075</v>
      </c>
      <c r="G1900" s="1430">
        <f>IFERROR(__xludf.DUMMYFUNCTION("""COMPUTED_VALUE"""),31.0)</f>
        <v>31</v>
      </c>
    </row>
    <row r="1901" ht="15.75" customHeight="1">
      <c r="A1901" s="94" t="str">
        <f>IFERROR(__xludf.DUMMYFUNCTION("""COMPUTED_VALUE"""),"MZ 718")</f>
        <v>MZ 718</v>
      </c>
      <c r="B1901" s="94"/>
      <c r="C1901" s="94"/>
      <c r="D1901" s="431" t="str">
        <f>IFERROR(__xludf.DUMMYFUNCTION("""COMPUTED_VALUE"""),"3 MZ 718, 913 (Лот 269699)")</f>
        <v>3 MZ 718, 913 (Лот 269699)</v>
      </c>
      <c r="E1901" s="1436">
        <f>IFERROR(__xludf.DUMMYFUNCTION("""COMPUTED_VALUE"""),46043.0)</f>
        <v>46043</v>
      </c>
      <c r="F1901" s="1436">
        <f>IFERROR(__xludf.DUMMYFUNCTION("""COMPUTED_VALUE"""),46081.0)</f>
        <v>46081</v>
      </c>
      <c r="G1901" s="1430">
        <f>IFERROR(__xludf.DUMMYFUNCTION("""COMPUTED_VALUE"""),38.0)</f>
        <v>38</v>
      </c>
    </row>
    <row r="1902" ht="15.75" customHeight="1">
      <c r="A1902" s="431" t="str">
        <f>IFERROR(__xludf.DUMMYFUNCTION("""COMPUTED_VALUE"""),"3 DZ 12 (Лот 322676)")</f>
        <v>3 DZ 12 (Лот 322676)</v>
      </c>
      <c r="B1902" s="94"/>
      <c r="C1902" s="94"/>
      <c r="D1902" s="431" t="str">
        <f>IFERROR(__xludf.DUMMYFUNCTION("""COMPUTED_VALUE"""),"3 DZ 12 (Лот 322676)")</f>
        <v>3 DZ 12 (Лот 322676)</v>
      </c>
      <c r="E1902" s="1436">
        <f>IFERROR(__xludf.DUMMYFUNCTION("""COMPUTED_VALUE"""),46043.0)</f>
        <v>46043</v>
      </c>
      <c r="F1902" s="1436">
        <f>IFERROR(__xludf.DUMMYFUNCTION("""COMPUTED_VALUE"""),46056.0)</f>
        <v>46056</v>
      </c>
      <c r="G1902" s="1430">
        <f>IFERROR(__xludf.DUMMYFUNCTION("""COMPUTED_VALUE"""),13.0)</f>
        <v>13</v>
      </c>
    </row>
    <row r="1903" ht="15.75" customHeight="1">
      <c r="A1903" s="1164" t="str">
        <f>IFERROR(__xludf.DUMMYFUNCTION("""COMPUTED_VALUE"""),"Int 2905")</f>
        <v>Int 2905</v>
      </c>
      <c r="B1903" s="94"/>
      <c r="C1903" s="94"/>
      <c r="D1903" s="431" t="str">
        <f>IFERROR(__xludf.DUMMYFUNCTION("""COMPUTED_VALUE"""),"3.Inturist 2905 (Лот 233347)")</f>
        <v>3.Inturist 2905 (Лот 233347)</v>
      </c>
      <c r="E1903" s="1436">
        <f>IFERROR(__xludf.DUMMYFUNCTION("""COMPUTED_VALUE"""),46043.0)</f>
        <v>46043</v>
      </c>
      <c r="F1903" s="1436">
        <f>IFERROR(__xludf.DUMMYFUNCTION("""COMPUTED_VALUE"""),46075.0)</f>
        <v>46075</v>
      </c>
      <c r="G1903" s="1430">
        <f>IFERROR(__xludf.DUMMYFUNCTION("""COMPUTED_VALUE"""),30.0)</f>
        <v>30</v>
      </c>
    </row>
    <row r="1904" ht="15.75" customHeight="1">
      <c r="A1904" s="1164" t="str">
        <f>IFERROR(__xludf.DUMMYFUNCTION("""COMPUTED_VALUE"""),"WS A907")</f>
        <v>WS A907</v>
      </c>
      <c r="B1904" s="94"/>
      <c r="C1904" s="94"/>
      <c r="D1904" s="431" t="str">
        <f>IFERROR(__xludf.DUMMYFUNCTION("""COMPUTED_VALUE"""),"1 WS A 907 (Лот 233365)")</f>
        <v>1 WS A 907 (Лот 233365)</v>
      </c>
      <c r="E1904" s="1436">
        <f>IFERROR(__xludf.DUMMYFUNCTION("""COMPUTED_VALUE"""),46043.0)</f>
        <v>46043</v>
      </c>
      <c r="F1904" s="1436">
        <f>IFERROR(__xludf.DUMMYFUNCTION("""COMPUTED_VALUE"""),46044.0)</f>
        <v>46044</v>
      </c>
      <c r="G1904" s="1430">
        <f>IFERROR(__xludf.DUMMYFUNCTION("""COMPUTED_VALUE"""),1.0)</f>
        <v>1</v>
      </c>
    </row>
    <row r="1905" ht="15.75" customHeight="1">
      <c r="A1905" s="1164" t="str">
        <f>IFERROR(__xludf.DUMMYFUNCTION("""COMPUTED_VALUE"""),"WS E 1202")</f>
        <v>WS E 1202</v>
      </c>
      <c r="B1905" s="94"/>
      <c r="C1905" s="94"/>
      <c r="D1905" s="431" t="str">
        <f>IFERROR(__xludf.DUMMYFUNCTION("""COMPUTED_VALUE"""),"1 WS E 1202 (Лот 233379)")</f>
        <v>1 WS E 1202 (Лот 233379)</v>
      </c>
      <c r="E1905" s="1436">
        <f>IFERROR(__xludf.DUMMYFUNCTION("""COMPUTED_VALUE"""),46043.0)</f>
        <v>46043</v>
      </c>
      <c r="F1905" s="1436">
        <f>IFERROR(__xludf.DUMMYFUNCTION("""COMPUTED_VALUE"""),46049.0)</f>
        <v>46049</v>
      </c>
      <c r="G1905" s="1430">
        <f>IFERROR(__xludf.DUMMYFUNCTION("""COMPUTED_VALUE"""),6.0)</f>
        <v>6</v>
      </c>
    </row>
    <row r="1906" ht="15.75" customHeight="1">
      <c r="A1906" s="1164" t="str">
        <f>IFERROR(__xludf.DUMMYFUNCTION("""COMPUTED_VALUE"""),"Шар 2505")</f>
        <v>Шар 2505</v>
      </c>
      <c r="B1906" s="94"/>
      <c r="C1906" s="94"/>
      <c r="D1906" s="431" t="str">
        <f>IFERROR(__xludf.DUMMYFUNCTION("""COMPUTED_VALUE"""),"3 Sh8 2505 A (Лот 233423)")</f>
        <v>3 Sh8 2505 A (Лот 233423)</v>
      </c>
      <c r="E1906" s="1436">
        <f>IFERROR(__xludf.DUMMYFUNCTION("""COMPUTED_VALUE"""),46042.0)</f>
        <v>46042</v>
      </c>
      <c r="F1906" s="1436">
        <f>IFERROR(__xludf.DUMMYFUNCTION("""COMPUTED_VALUE"""),46072.0)</f>
        <v>46072</v>
      </c>
      <c r="G1906" s="1430">
        <f>IFERROR(__xludf.DUMMYFUNCTION("""COMPUTED_VALUE"""),30.0)</f>
        <v>30</v>
      </c>
    </row>
    <row r="1907" ht="15.75" customHeight="1">
      <c r="A1907" s="94" t="str">
        <f>IFERROR(__xludf.DUMMYFUNCTION("""COMPUTED_VALUE"""),"CM 1604")</f>
        <v>CM 1604</v>
      </c>
      <c r="B1907" s="94"/>
      <c r="C1907" s="94"/>
      <c r="D1907" s="431" t="str">
        <f>IFERROR(__xludf.DUMMYFUNCTION("""COMPUTED_VALUE"""),"3 Mar 1604 (Лот 233303)")</f>
        <v>3 Mar 1604 (Лот 233303)</v>
      </c>
      <c r="E1907" s="1436">
        <f>IFERROR(__xludf.DUMMYFUNCTION("""COMPUTED_VALUE"""),46041.0)</f>
        <v>46041</v>
      </c>
      <c r="F1907" s="1436">
        <f>IFERROR(__xludf.DUMMYFUNCTION("""COMPUTED_VALUE"""),46045.0)</f>
        <v>46045</v>
      </c>
      <c r="G1907" s="1430">
        <f>IFERROR(__xludf.DUMMYFUNCTION("""COMPUTED_VALUE"""),4.0)</f>
        <v>4</v>
      </c>
    </row>
    <row r="1908" ht="15.75" customHeight="1">
      <c r="A1908" s="94" t="str">
        <f>IFERROR(__xludf.DUMMYFUNCTION("""COMPUTED_VALUE"""),"2 BV A 0514 (Лот 311849)")</f>
        <v>2 BV A 0514 (Лот 311849)</v>
      </c>
      <c r="B1908" s="94"/>
      <c r="C1908" s="94"/>
      <c r="D1908" s="431" t="str">
        <f>IFERROR(__xludf.DUMMYFUNCTION("""COMPUTED_VALUE"""),"1 BV A 0514 (Лот 311849)")</f>
        <v>1 BV A 0514 (Лот 311849)</v>
      </c>
      <c r="E1908" s="1436">
        <f>IFERROR(__xludf.DUMMYFUNCTION("""COMPUTED_VALUE"""),46041.0)</f>
        <v>46041</v>
      </c>
      <c r="F1908" s="1436">
        <f>IFERROR(__xludf.DUMMYFUNCTION("""COMPUTED_VALUE"""),46044.0)</f>
        <v>46044</v>
      </c>
      <c r="G1908" s="1430">
        <f>IFERROR(__xludf.DUMMYFUNCTION("""COMPUTED_VALUE"""),3.0)</f>
        <v>3</v>
      </c>
    </row>
    <row r="1909" ht="15.75" customHeight="1">
      <c r="A1909" s="1164" t="str">
        <f>IFERROR(__xludf.DUMMYFUNCTION("""COMPUTED_VALUE"""),"WS В 1510")</f>
        <v>WS В 1510</v>
      </c>
      <c r="B1909" s="94"/>
      <c r="C1909" s="94"/>
      <c r="D1909" s="431" t="str">
        <f>IFERROR(__xludf.DUMMYFUNCTION("""COMPUTED_VALUE"""),"1 WS B 1510 (Лот 233316)")</f>
        <v>1 WS B 1510 (Лот 233316)</v>
      </c>
      <c r="E1909" s="1436">
        <f>IFERROR(__xludf.DUMMYFUNCTION("""COMPUTED_VALUE"""),46041.0)</f>
        <v>46041</v>
      </c>
      <c r="F1909" s="1436">
        <f>IFERROR(__xludf.DUMMYFUNCTION("""COMPUTED_VALUE"""),46044.0)</f>
        <v>46044</v>
      </c>
      <c r="G1909" s="1430">
        <f>IFERROR(__xludf.DUMMYFUNCTION("""COMPUTED_VALUE"""),3.0)</f>
        <v>3</v>
      </c>
    </row>
    <row r="1910" ht="15.75" customHeight="1">
      <c r="A1910" s="1164" t="str">
        <f>IFERROR(__xludf.DUMMYFUNCTION("""COMPUTED_VALUE"""),"WS A 409")</f>
        <v>WS A 409</v>
      </c>
      <c r="B1910" s="94"/>
      <c r="C1910" s="94"/>
      <c r="D1910" s="431" t="str">
        <f>IFERROR(__xludf.DUMMYFUNCTION("""COMPUTED_VALUE"""),"1 WS A 409 (Лот 233355)")</f>
        <v>1 WS A 409 (Лот 233355)</v>
      </c>
      <c r="E1910" s="1436">
        <f>IFERROR(__xludf.DUMMYFUNCTION("""COMPUTED_VALUE"""),46041.0)</f>
        <v>46041</v>
      </c>
      <c r="F1910" s="1436">
        <f>IFERROR(__xludf.DUMMYFUNCTION("""COMPUTED_VALUE"""),46045.0)</f>
        <v>46045</v>
      </c>
      <c r="G1910" s="1430">
        <f>IFERROR(__xludf.DUMMYFUNCTION("""COMPUTED_VALUE"""),4.0)</f>
        <v>4</v>
      </c>
    </row>
    <row r="1911" ht="15.75" customHeight="1">
      <c r="A1911" s="431" t="str">
        <f>IFERROR(__xludf.DUMMYFUNCTION("""COMPUTED_VALUE"""),"1 OBT 2908 (Лот 322775)")</f>
        <v>1 OBT 2908 (Лот 322775)</v>
      </c>
      <c r="B1911" s="94"/>
      <c r="C1911" s="94"/>
      <c r="D1911" s="431" t="str">
        <f>IFERROR(__xludf.DUMMYFUNCTION("""COMPUTED_VALUE"""),"1 OBT 2908 (Лот 322775)")</f>
        <v>1 OBT 2908 (Лот 322775)</v>
      </c>
      <c r="E1911" s="1436">
        <f>IFERROR(__xludf.DUMMYFUNCTION("""COMPUTED_VALUE"""),46041.0)</f>
        <v>46041</v>
      </c>
      <c r="F1911" s="1436">
        <f>IFERROR(__xludf.DUMMYFUNCTION("""COMPUTED_VALUE"""),46075.0)</f>
        <v>46075</v>
      </c>
      <c r="G1911" s="1430">
        <f>IFERROR(__xludf.DUMMYFUNCTION("""COMPUTED_VALUE"""),34.0)</f>
        <v>34</v>
      </c>
    </row>
    <row r="1912" ht="15.75" customHeight="1">
      <c r="A1912" s="94" t="str">
        <f>IFERROR(__xludf.DUMMYFUNCTION("""COMPUTED_VALUE"""),"PT2604")</f>
        <v>PT2604</v>
      </c>
      <c r="B1912" s="94"/>
      <c r="C1912" s="94"/>
      <c r="D1912" s="431" t="str">
        <f>IFERROR(__xludf.DUMMYFUNCTION("""COMPUTED_VALUE"""),"3 PB 2604 (Лот 265736)")</f>
        <v>3 PB 2604 (Лот 265736)</v>
      </c>
      <c r="E1912" s="1436">
        <f>IFERROR(__xludf.DUMMYFUNCTION("""COMPUTED_VALUE"""),46041.0)</f>
        <v>46041</v>
      </c>
      <c r="F1912" s="1436">
        <f>IFERROR(__xludf.DUMMYFUNCTION("""COMPUTED_VALUE"""),46047.0)</f>
        <v>46047</v>
      </c>
      <c r="G1912" s="1430">
        <f>IFERROR(__xludf.DUMMYFUNCTION("""COMPUTED_VALUE"""),6.0)</f>
        <v>6</v>
      </c>
    </row>
    <row r="1913" ht="15.75" customHeight="1">
      <c r="A1913" s="94"/>
      <c r="B1913" s="94"/>
      <c r="C1913" s="94"/>
      <c r="D1913" s="94"/>
      <c r="E1913" s="94"/>
      <c r="F1913" s="94"/>
      <c r="G1913" s="94"/>
    </row>
    <row r="1914" ht="15.75" customHeight="1">
      <c r="A1914" s="94" t="str">
        <f>IFERROR(__xludf.DUMMYFUNCTION("""COMPUTED_VALUE"""),"Pollo 2-2")</f>
        <v>Pollo 2-2</v>
      </c>
      <c r="B1914" s="94"/>
      <c r="C1914" s="94"/>
      <c r="D1914" s="94"/>
      <c r="E1914" s="1429">
        <f>IFERROR(__xludf.DUMMYFUNCTION("""COMPUTED_VALUE"""),46050.0)</f>
        <v>46050</v>
      </c>
      <c r="F1914" s="1436">
        <f>IFERROR(__xludf.DUMMYFUNCTION("""COMPUTED_VALUE"""),46080.0)</f>
        <v>46080</v>
      </c>
      <c r="G1914" s="1430">
        <f>IFERROR(__xludf.DUMMYFUNCTION("""COMPUTED_VALUE"""),30.0)</f>
        <v>30</v>
      </c>
    </row>
    <row r="1915" ht="15.75" customHeight="1">
      <c r="A1915" s="2324">
        <f>IFERROR(__xludf.DUMMYFUNCTION("""COMPUTED_VALUE"""),46168.0)</f>
        <v>46168</v>
      </c>
      <c r="B1915" s="94"/>
      <c r="C1915" s="94"/>
      <c r="D1915" s="94"/>
      <c r="E1915" s="1429">
        <f>IFERROR(__xludf.DUMMYFUNCTION("""COMPUTED_VALUE"""),46050.0)</f>
        <v>46050</v>
      </c>
      <c r="F1915" s="1436">
        <f>IFERROR(__xludf.DUMMYFUNCTION("""COMPUTED_VALUE"""),46081.0)</f>
        <v>46081</v>
      </c>
      <c r="G1915" s="1430">
        <f>IFERROR(__xludf.DUMMYFUNCTION("""COMPUTED_VALUE"""),31.0)</f>
        <v>31</v>
      </c>
    </row>
    <row r="1916" ht="15.75" customHeight="1">
      <c r="A1916" s="94" t="str">
        <f>IFERROR(__xludf.DUMMYFUNCTION("""COMPUTED_VALUE"""),"CM 1606")</f>
        <v>CM 1606</v>
      </c>
      <c r="B1916" s="94"/>
      <c r="C1916" s="94"/>
      <c r="D1916" s="94"/>
      <c r="E1916" s="2175">
        <f>IFERROR(__xludf.DUMMYFUNCTION("""COMPUTED_VALUE"""),46048.0)</f>
        <v>46048</v>
      </c>
      <c r="F1916" s="1435">
        <f>IFERROR(__xludf.DUMMYFUNCTION("""COMPUTED_VALUE"""),46053.0)</f>
        <v>46053</v>
      </c>
      <c r="G1916" s="1430">
        <f>IFERROR(__xludf.DUMMYFUNCTION("""COMPUTED_VALUE"""),5.0)</f>
        <v>5</v>
      </c>
    </row>
    <row r="1917" ht="15.75" customHeight="1">
      <c r="A1917" s="94" t="str">
        <f>IFERROR(__xludf.DUMMYFUNCTION("""COMPUTED_VALUE"""),"PT2704")</f>
        <v>PT2704</v>
      </c>
      <c r="B1917" s="94"/>
      <c r="C1917" s="94"/>
      <c r="D1917" s="94"/>
      <c r="E1917" s="2175">
        <f>IFERROR(__xludf.DUMMYFUNCTION("""COMPUTED_VALUE"""),46049.0)</f>
        <v>46049</v>
      </c>
      <c r="F1917" s="1435">
        <f>IFERROR(__xludf.DUMMYFUNCTION("""COMPUTED_VALUE"""),46051.0)</f>
        <v>46051</v>
      </c>
      <c r="G1917" s="1430">
        <f>IFERROR(__xludf.DUMMYFUNCTION("""COMPUTED_VALUE"""),2.0)</f>
        <v>2</v>
      </c>
    </row>
    <row r="1918" ht="15.75" customHeight="1">
      <c r="A1918" s="431" t="str">
        <f>IFERROR(__xludf.DUMMYFUNCTION("""COMPUTED_VALUE"""),"1 BV A 144")</f>
        <v>1 BV A 144</v>
      </c>
      <c r="B1918" s="94"/>
      <c r="C1918" s="94"/>
      <c r="D1918" s="94"/>
      <c r="E1918" s="2175">
        <f>IFERROR(__xludf.DUMMYFUNCTION("""COMPUTED_VALUE"""),46049.0)</f>
        <v>46049</v>
      </c>
      <c r="F1918" s="1435">
        <f>IFERROR(__xludf.DUMMYFUNCTION("""COMPUTED_VALUE"""),46055.0)</f>
        <v>46055</v>
      </c>
      <c r="G1918" s="1430">
        <f>IFERROR(__xludf.DUMMYFUNCTION("""COMPUTED_VALUE"""),6.0)</f>
        <v>6</v>
      </c>
    </row>
    <row r="1919" ht="15.75" customHeight="1">
      <c r="A1919" s="94" t="str">
        <f>IFERROR(__xludf.DUMMYFUNCTION("""COMPUTED_VALUE"""),"PT2704")</f>
        <v>PT2704</v>
      </c>
      <c r="B1919" s="94"/>
      <c r="C1919" s="94"/>
      <c r="D1919" s="94"/>
      <c r="E1919" s="2175">
        <f>IFERROR(__xludf.DUMMYFUNCTION("""COMPUTED_VALUE"""),46051.0)</f>
        <v>46051</v>
      </c>
      <c r="F1919" s="1435">
        <f>IFERROR(__xludf.DUMMYFUNCTION("""COMPUTED_VALUE"""),46054.0)</f>
        <v>46054</v>
      </c>
      <c r="G1919" s="1430">
        <f>IFERROR(__xludf.DUMMYFUNCTION("""COMPUTED_VALUE"""),3.0)</f>
        <v>3</v>
      </c>
    </row>
    <row r="1920" ht="15.75" customHeight="1">
      <c r="A1920" s="94" t="str">
        <f>IFERROR(__xludf.DUMMYFUNCTION("""COMPUTED_VALUE"""),"CM 1931")</f>
        <v>CM 1931</v>
      </c>
      <c r="B1920" s="94"/>
      <c r="C1920" s="94"/>
      <c r="D1920" s="94"/>
      <c r="E1920" s="2175">
        <f>IFERROR(__xludf.DUMMYFUNCTION("""COMPUTED_VALUE"""),46051.0)</f>
        <v>46051</v>
      </c>
      <c r="F1920" s="1435">
        <f>IFERROR(__xludf.DUMMYFUNCTION("""COMPUTED_VALUE"""),46053.0)</f>
        <v>46053</v>
      </c>
      <c r="G1920" s="1430">
        <f>IFERROR(__xludf.DUMMYFUNCTION("""COMPUTED_VALUE"""),2.0)</f>
        <v>2</v>
      </c>
    </row>
    <row r="1921" ht="15.75" customHeight="1">
      <c r="A1921" s="94" t="str">
        <f>IFERROR(__xludf.DUMMYFUNCTION("""COMPUTED_VALUE"""),"5 | TG B 195 | Tropical Garden | 1+1")</f>
        <v>5 | TG B 195 | Tropical Garden | 1+1</v>
      </c>
      <c r="B1921" s="94"/>
      <c r="C1921" s="94"/>
      <c r="D1921" s="94"/>
      <c r="E1921" s="1434">
        <f>IFERROR(__xludf.DUMMYFUNCTION("""COMPUTED_VALUE"""),46048.0)</f>
        <v>46048</v>
      </c>
      <c r="F1921" s="1435">
        <f>IFERROR(__xludf.DUMMYFUNCTION("""COMPUTED_VALUE"""),46079.0)</f>
        <v>46079</v>
      </c>
      <c r="G1921" s="1430">
        <f>IFERROR(__xludf.DUMMYFUNCTION("""COMPUTED_VALUE"""),30.0)</f>
        <v>30</v>
      </c>
    </row>
    <row r="1922" ht="15.75" customHeight="1">
      <c r="A1922" s="94"/>
      <c r="B1922" s="94"/>
      <c r="C1922" s="94"/>
      <c r="D1922" s="1436" t="str">
        <f>IFERROR(__xludf.DUMMYFUNCTION("""COMPUTED_VALUE"""),"2 | Orbi C 4245 | Orbi Sity | 1+1")</f>
        <v>2 | Orbi C 4245 | Orbi Sity | 1+1</v>
      </c>
      <c r="E1922" s="94" t="str">
        <f>IFERROR(__xludf.DUMMYFUNCTION("""COMPUTED_VALUE"""),"01.02.2026")</f>
        <v>01.02.2026</v>
      </c>
      <c r="F1922" s="1436">
        <f>IFERROR(__xludf.DUMMYFUNCTION("""COMPUTED_VALUE"""),46083.0)</f>
        <v>46083</v>
      </c>
      <c r="G1922" s="1430">
        <f>IFERROR(__xludf.DUMMYFUNCTION("""COMPUTED_VALUE"""),29.0)</f>
        <v>29</v>
      </c>
    </row>
    <row r="1923" ht="15.75" customHeight="1">
      <c r="A1923" s="94"/>
      <c r="B1923" s="94"/>
      <c r="C1923" s="94"/>
      <c r="D1923" s="1436" t="str">
        <f>IFERROR(__xludf.DUMMYFUNCTION("""COMPUTED_VALUE"""),"1 | WS E 1202 | White Sails |1+1")</f>
        <v>1 | WS E 1202 | White Sails |1+1</v>
      </c>
      <c r="E1923" s="94" t="str">
        <f>IFERROR(__xludf.DUMMYFUNCTION("""COMPUTED_VALUE"""),"01.02.2026")</f>
        <v>01.02.2026</v>
      </c>
      <c r="F1923" s="1435">
        <f>IFERROR(__xludf.DUMMYFUNCTION("""COMPUTED_VALUE"""),46082.0)</f>
        <v>46082</v>
      </c>
      <c r="G1923" s="1430">
        <f>IFERROR(__xludf.DUMMYFUNCTION("""COMPUTED_VALUE"""),28.0)</f>
        <v>28</v>
      </c>
    </row>
    <row r="1924" ht="15.75" customHeight="1">
      <c r="A1924" s="94"/>
      <c r="B1924" s="94"/>
      <c r="C1924" s="94"/>
      <c r="D1924" s="1436" t="str">
        <f>IFERROR(__xludf.DUMMYFUNCTION("""COMPUTED_VALUE"""),"1 | BV A 0514 | Batumi View | Studio")</f>
        <v>1 | BV A 0514 | Batumi View | Studio</v>
      </c>
      <c r="E1924" s="94" t="str">
        <f>IFERROR(__xludf.DUMMYFUNCTION("""COMPUTED_VALUE"""),"01.02.2026")</f>
        <v>01.02.2026</v>
      </c>
      <c r="F1924" s="1435">
        <f>IFERROR(__xludf.DUMMYFUNCTION("""COMPUTED_VALUE"""),46082.0)</f>
        <v>46082</v>
      </c>
      <c r="G1924" s="1430">
        <f>IFERROR(__xludf.DUMMYFUNCTION("""COMPUTED_VALUE"""),28.0)</f>
        <v>28</v>
      </c>
    </row>
    <row r="1925" ht="15.75" customHeight="1">
      <c r="A1925" s="94"/>
      <c r="B1925" s="94"/>
      <c r="C1925" s="94"/>
      <c r="D1925" s="1436" t="str">
        <f>IFERROR(__xludf.DUMMYFUNCTION("""COMPUTED_VALUE"""),"1 | BV C 137 | Batumi View | Studio")</f>
        <v>1 | BV C 137 | Batumi View | Studio</v>
      </c>
      <c r="E1925" s="94" t="str">
        <f>IFERROR(__xludf.DUMMYFUNCTION("""COMPUTED_VALUE"""),"01.02.2026")</f>
        <v>01.02.2026</v>
      </c>
      <c r="F1925" s="94" t="str">
        <f>IFERROR(__xludf.DUMMYFUNCTION("""COMPUTED_VALUE"""),"01.03.2026")</f>
        <v>01.03.2026</v>
      </c>
      <c r="G1925" s="1430">
        <f>IFERROR(__xludf.DUMMYFUNCTION("""COMPUTED_VALUE"""),28.0)</f>
        <v>28</v>
      </c>
    </row>
    <row r="1926" ht="15.75" customHeight="1">
      <c r="A1926" s="94"/>
      <c r="B1926" s="94"/>
      <c r="C1926" s="94"/>
      <c r="D1926" s="1436" t="str">
        <f>IFERROR(__xludf.DUMMYFUNCTION("""COMPUTED_VALUE"""),"5 | TG A1 | Tropical Garden | 2+1")</f>
        <v>5 | TG A1 | Tropical Garden | 2+1</v>
      </c>
      <c r="E1926" s="94" t="str">
        <f>IFERROR(__xludf.DUMMYFUNCTION("""COMPUTED_VALUE"""),"01.02.2026")</f>
        <v>01.02.2026</v>
      </c>
      <c r="F1926" s="94" t="str">
        <f>IFERROR(__xludf.DUMMYFUNCTION("""COMPUTED_VALUE"""),"03.03.2026")</f>
        <v>03.03.2026</v>
      </c>
      <c r="G1926" s="1430">
        <f>IFERROR(__xludf.DUMMYFUNCTION("""COMPUTED_VALUE"""),30.0)</f>
        <v>30</v>
      </c>
    </row>
    <row r="1927" ht="15.75" customHeight="1">
      <c r="A1927" s="94"/>
      <c r="B1927" s="94"/>
      <c r="C1927" s="94"/>
      <c r="D1927" s="1436" t="str">
        <f>IFERROR(__xludf.DUMMYFUNCTION("""COMPUTED_VALUE"""),"2 | Mar 1327 | Courtyard by Marriott | 1+1")</f>
        <v>2 | Mar 1327 | Courtyard by Marriott | 1+1</v>
      </c>
      <c r="E1927" s="94" t="str">
        <f>IFERROR(__xludf.DUMMYFUNCTION("""COMPUTED_VALUE"""),"02.02.2026")</f>
        <v>02.02.2026</v>
      </c>
      <c r="F1927" s="1436">
        <f>IFERROR(__xludf.DUMMYFUNCTION("""COMPUTED_VALUE"""),46063.0)</f>
        <v>46063</v>
      </c>
      <c r="G1927" s="1430">
        <f>IFERROR(__xludf.DUMMYFUNCTION("""COMPUTED_VALUE"""),8.0)</f>
        <v>8</v>
      </c>
    </row>
    <row r="1928" ht="15.75" customHeight="1">
      <c r="A1928" s="94"/>
      <c r="B1928" s="94"/>
      <c r="C1928" s="94"/>
      <c r="D1928" s="1436" t="str">
        <f>IFERROR(__xludf.DUMMYFUNCTION("""COMPUTED_VALUE"""),"1 | Steps 1123 | Steps | Studio")</f>
        <v>1 | Steps 1123 | Steps | Studio</v>
      </c>
      <c r="E1928" s="94" t="str">
        <f>IFERROR(__xludf.DUMMYFUNCTION("""COMPUTED_VALUE"""),"03.02.2026")</f>
        <v>03.02.2026</v>
      </c>
      <c r="F1928" s="94" t="str">
        <f>IFERROR(__xludf.DUMMYFUNCTION("""COMPUTED_VALUE"""),"03.03.2026")</f>
        <v>03.03.2026</v>
      </c>
      <c r="G1928" s="1430">
        <f>IFERROR(__xludf.DUMMYFUNCTION("""COMPUTED_VALUE"""),28.0)</f>
        <v>28</v>
      </c>
    </row>
    <row r="1929" ht="15.75" customHeight="1">
      <c r="A1929" s="94"/>
      <c r="B1929" s="94"/>
      <c r="C1929" s="94"/>
      <c r="D1929" s="1439" t="str">
        <f>IFERROR(__xludf.DUMMYFUNCTION("""COMPUTED_VALUE"""),"5 | TG A3 | Tropical Garden | Studio")</f>
        <v>5 | TG A3 | Tropical Garden | Studio</v>
      </c>
      <c r="E1929" s="94" t="str">
        <f>IFERROR(__xludf.DUMMYFUNCTION("""COMPUTED_VALUE"""),"03.02.2026")</f>
        <v>03.02.2026</v>
      </c>
      <c r="F1929" s="94" t="str">
        <f>IFERROR(__xludf.DUMMYFUNCTION("""COMPUTED_VALUE"""),"03.03.2026")</f>
        <v>03.03.2026</v>
      </c>
      <c r="G1929" s="1430">
        <f>IFERROR(__xludf.DUMMYFUNCTION("""COMPUTED_VALUE"""),28.0)</f>
        <v>28</v>
      </c>
    </row>
    <row r="1930" ht="15.75" customHeight="1">
      <c r="A1930" s="94"/>
      <c r="B1930" s="94"/>
      <c r="C1930" s="94"/>
      <c r="D1930" s="1439" t="str">
        <f>IFERROR(__xludf.DUMMYFUNCTION("""COMPUTED_VALUE"""),"2 | Mar 1606 | Courtyard by Marriott | Studio")</f>
        <v>2 | Mar 1606 | Courtyard by Marriott | Studio</v>
      </c>
      <c r="E1930" s="94" t="str">
        <f>IFERROR(__xludf.DUMMYFUNCTION("""COMPUTED_VALUE"""),"04.02.2026")</f>
        <v>04.02.2026</v>
      </c>
      <c r="F1930" s="94" t="str">
        <f>IFERROR(__xludf.DUMMYFUNCTION("""COMPUTED_VALUE"""),"04.03.2026")</f>
        <v>04.03.2026</v>
      </c>
      <c r="G1930" s="1430">
        <f>IFERROR(__xludf.DUMMYFUNCTION("""COMPUTED_VALUE"""),28.0)</f>
        <v>28</v>
      </c>
    </row>
    <row r="1931" ht="15.75" customHeight="1">
      <c r="A1931" s="94"/>
      <c r="B1931" s="94"/>
      <c r="C1931" s="94"/>
      <c r="D1931" s="94" t="str">
        <f>IFERROR(__xludf.DUMMYFUNCTION("""COMPUTED_VALUE"""),"1 | WS B 1510 | White Sails |Studio")</f>
        <v>1 | WS B 1510 | White Sails |Studio</v>
      </c>
      <c r="E1931" s="1434">
        <f>IFERROR(__xludf.DUMMYFUNCTION("""COMPUTED_VALUE"""),46057.0)</f>
        <v>46057</v>
      </c>
      <c r="F1931" s="1434">
        <f>IFERROR(__xludf.DUMMYFUNCTION("""COMPUTED_VALUE"""),46059.0)</f>
        <v>46059</v>
      </c>
      <c r="G1931" s="1430">
        <f>IFERROR(__xludf.DUMMYFUNCTION("""COMPUTED_VALUE"""),2.0)</f>
        <v>2</v>
      </c>
    </row>
    <row r="1932" ht="15.75" customHeight="1">
      <c r="A1932" s="94"/>
      <c r="B1932" s="94"/>
      <c r="C1932" s="94"/>
      <c r="D1932" s="1439" t="str">
        <f>IFERROR(__xludf.DUMMYFUNCTION("""COMPUTED_VALUE"""),"3 | DZ 12 | Old town | 1+1")</f>
        <v>3 | DZ 12 | Old town | 1+1</v>
      </c>
      <c r="E1932" s="94" t="str">
        <f>IFERROR(__xludf.DUMMYFUNCTION("""COMPUTED_VALUE"""),"05.02.2026")</f>
        <v>05.02.2026</v>
      </c>
      <c r="F1932" s="94" t="str">
        <f>IFERROR(__xludf.DUMMYFUNCTION("""COMPUTED_VALUE"""),"05.03.2026")</f>
        <v>05.03.2026</v>
      </c>
      <c r="G1932" s="1430">
        <f>IFERROR(__xludf.DUMMYFUNCTION("""COMPUTED_VALUE"""),28.0)</f>
        <v>28</v>
      </c>
    </row>
    <row r="1933" ht="15.75" customHeight="1">
      <c r="A1933" s="94"/>
      <c r="B1933" s="94"/>
      <c r="C1933" s="94"/>
      <c r="D1933" s="1439" t="str">
        <f>IFERROR(__xludf.DUMMYFUNCTION("""COMPUTED_VALUE"""),"1 | BV A 147 | Batumi View | 1+1")</f>
        <v>1 | BV A 147 | Batumi View | 1+1</v>
      </c>
      <c r="E1933" s="94" t="str">
        <f>IFERROR(__xludf.DUMMYFUNCTION("""COMPUTED_VALUE"""),"05.02.2026")</f>
        <v>05.02.2026</v>
      </c>
      <c r="F1933" s="94" t="str">
        <f>IFERROR(__xludf.DUMMYFUNCTION("""COMPUTED_VALUE"""),"25.02.2026")</f>
        <v>25.02.2026</v>
      </c>
      <c r="G1933" s="1430">
        <f>IFERROR(__xludf.DUMMYFUNCTION("""COMPUTED_VALUE"""),20.0)</f>
        <v>20</v>
      </c>
    </row>
    <row r="1934" ht="15.75" customHeight="1">
      <c r="A1934" s="94"/>
      <c r="B1934" s="94"/>
      <c r="C1934" s="94"/>
      <c r="D1934" s="1439" t="str">
        <f>IFERROR(__xludf.DUMMYFUNCTION("""COMPUTED_VALUE"""),"1 | WS A 409 | White Sails |Studio  - Bcom")</f>
        <v>1 | WS A 409 | White Sails |Studio  - Bcom</v>
      </c>
      <c r="E1934" s="94" t="str">
        <f>IFERROR(__xludf.DUMMYFUNCTION("""COMPUTED_VALUE"""),"05.02.2026")</f>
        <v>05.02.2026</v>
      </c>
      <c r="F1934" s="94" t="str">
        <f>IFERROR(__xludf.DUMMYFUNCTION("""COMPUTED_VALUE"""),"10.02.2026")</f>
        <v>10.02.2026</v>
      </c>
      <c r="G1934" s="1430">
        <f>IFERROR(__xludf.DUMMYFUNCTION("""COMPUTED_VALUE"""),5.0)</f>
        <v>5</v>
      </c>
    </row>
    <row r="1935" ht="15.75" customHeight="1">
      <c r="A1935" s="94"/>
      <c r="B1935" s="94"/>
      <c r="C1935" s="94"/>
      <c r="D1935" s="1439" t="str">
        <f>IFERROR(__xludf.DUMMYFUNCTION("""COMPUTED_VALUE"""),"1 | BV A 133 | Batumi View | 1+1")</f>
        <v>1 | BV A 133 | Batumi View | 1+1</v>
      </c>
      <c r="E1935" s="94" t="str">
        <f>IFERROR(__xludf.DUMMYFUNCTION("""COMPUTED_VALUE"""),"06.02.2026")</f>
        <v>06.02.2026</v>
      </c>
      <c r="F1935" s="1436">
        <f>IFERROR(__xludf.DUMMYFUNCTION("""COMPUTED_VALUE"""),46068.0)</f>
        <v>46068</v>
      </c>
      <c r="G1935" s="1430">
        <f>IFERROR(__xludf.DUMMYFUNCTION("""COMPUTED_VALUE"""),9.0)</f>
        <v>9</v>
      </c>
    </row>
    <row r="1936" ht="15.75" customHeight="1">
      <c r="A1936" s="94"/>
      <c r="B1936" s="94"/>
      <c r="C1936" s="94"/>
      <c r="D1936" s="94" t="str">
        <f>IFERROR(__xludf.DUMMYFUNCTION("""COMPUTED_VALUE"""),"1 | WS E 704 | White Sails |Studio")</f>
        <v>1 | WS E 704 | White Sails |Studio</v>
      </c>
      <c r="E1936" s="1435">
        <f>IFERROR(__xludf.DUMMYFUNCTION("""COMPUTED_VALUE"""),46059.0)</f>
        <v>46059</v>
      </c>
      <c r="F1936" s="1435">
        <f>IFERROR(__xludf.DUMMYFUNCTION("""COMPUTED_VALUE"""),46087.0)</f>
        <v>46087</v>
      </c>
      <c r="G1936" s="1430">
        <f>IFERROR(__xludf.DUMMYFUNCTION("""COMPUTED_VALUE"""),28.0)</f>
        <v>28</v>
      </c>
    </row>
    <row r="1937" ht="15.75" customHeight="1">
      <c r="A1937" s="94"/>
      <c r="B1937" s="94"/>
      <c r="C1937" s="94"/>
      <c r="D1937" s="94" t="str">
        <f>IFERROR(__xludf.DUMMYFUNCTION("""COMPUTED_VALUE"""),"1 | WS E 804| White Sails |Studio")</f>
        <v>1 | WS E 804| White Sails |Studio</v>
      </c>
      <c r="E1937" s="1435">
        <f>IFERROR(__xludf.DUMMYFUNCTION("""COMPUTED_VALUE"""),46059.0)</f>
        <v>46059</v>
      </c>
      <c r="F1937" s="1435">
        <f>IFERROR(__xludf.DUMMYFUNCTION("""COMPUTED_VALUE"""),46087.0)</f>
        <v>46087</v>
      </c>
      <c r="G1937" s="1430">
        <f>IFERROR(__xludf.DUMMYFUNCTION("""COMPUTED_VALUE"""),28.0)</f>
        <v>28</v>
      </c>
    </row>
    <row r="1938" ht="15.75" customHeight="1">
      <c r="A1938" s="94"/>
      <c r="B1938" s="94"/>
      <c r="C1938" s="94"/>
      <c r="D1938" s="1439" t="str">
        <f>IFERROR(__xludf.DUMMYFUNCTION("""COMPUTED_VALUE"""),"1 | BV A 144 | Batumi View | 1+1")</f>
        <v>1 | BV A 144 | Batumi View | 1+1</v>
      </c>
      <c r="E1938" s="94" t="str">
        <f>IFERROR(__xludf.DUMMYFUNCTION("""COMPUTED_VALUE"""),"07.02.2026")</f>
        <v>07.02.2026</v>
      </c>
      <c r="F1938" s="94" t="str">
        <f>IFERROR(__xludf.DUMMYFUNCTION("""COMPUTED_VALUE"""),"07.03.2026")</f>
        <v>07.03.2026</v>
      </c>
      <c r="G1938" s="1430">
        <f>IFERROR(__xludf.DUMMYFUNCTION("""COMPUTED_VALUE"""),28.0)</f>
        <v>28</v>
      </c>
    </row>
    <row r="1939" ht="15.75" customHeight="1">
      <c r="A1939" s="94"/>
      <c r="B1939" s="94"/>
      <c r="C1939" s="94"/>
      <c r="D1939" s="1436" t="str">
        <f>IFERROR(__xludf.DUMMYFUNCTION("""COMPUTED_VALUE"""),"BV A 145")</f>
        <v>BV A 145</v>
      </c>
      <c r="E1939" s="94" t="str">
        <f>IFERROR(__xludf.DUMMYFUNCTION("""COMPUTED_VALUE"""),"07.02.2026")</f>
        <v>07.02.2026</v>
      </c>
      <c r="F1939" s="94" t="str">
        <f>IFERROR(__xludf.DUMMYFUNCTION("""COMPUTED_VALUE"""),"07.03.2026")</f>
        <v>07.03.2026</v>
      </c>
      <c r="G1939" s="1430">
        <f>IFERROR(__xludf.DUMMYFUNCTION("""COMPUTED_VALUE"""),28.0)</f>
        <v>28</v>
      </c>
    </row>
    <row r="1940" ht="15.75" customHeight="1">
      <c r="A1940" s="94"/>
      <c r="B1940" s="94"/>
      <c r="C1940" s="94"/>
      <c r="D1940" s="1436" t="str">
        <f>IFERROR(__xludf.DUMMYFUNCTION("""COMPUTED_VALUE"""),"1 | WS A 608 | White Sails |Studio ")</f>
        <v>1 | WS A 608 | White Sails |Studio </v>
      </c>
      <c r="E1940" s="94" t="str">
        <f>IFERROR(__xludf.DUMMYFUNCTION("""COMPUTED_VALUE"""),"07.02.2026")</f>
        <v>07.02.2026</v>
      </c>
      <c r="F1940" s="94" t="str">
        <f>IFERROR(__xludf.DUMMYFUNCTION("""COMPUTED_VALUE"""),"13.03.2026")</f>
        <v>13.03.2026</v>
      </c>
      <c r="G1940" s="1430">
        <f>IFERROR(__xludf.DUMMYFUNCTION("""COMPUTED_VALUE"""),34.0)</f>
        <v>34</v>
      </c>
    </row>
    <row r="1941" ht="15.75" customHeight="1">
      <c r="A1941" s="94"/>
      <c r="B1941" s="94"/>
      <c r="C1941" s="94"/>
      <c r="D1941" s="1436" t="str">
        <f>IFERROR(__xludf.DUMMYFUNCTION("""COMPUTED_VALUE"""),"2 | Int B 2612 | Intourist | 1+1")</f>
        <v>2 | Int B 2612 | Intourist | 1+1</v>
      </c>
      <c r="E1941" s="94" t="str">
        <f>IFERROR(__xludf.DUMMYFUNCTION("""COMPUTED_VALUE"""),"07.02.2026")</f>
        <v>07.02.2026</v>
      </c>
      <c r="F1941" s="94" t="str">
        <f>IFERROR(__xludf.DUMMYFUNCTION("""COMPUTED_VALUE"""),"07.03.2026")</f>
        <v>07.03.2026</v>
      </c>
      <c r="G1941" s="1430">
        <f>IFERROR(__xludf.DUMMYFUNCTION("""COMPUTED_VALUE"""),28.0)</f>
        <v>28</v>
      </c>
    </row>
    <row r="1942" ht="15.75" customHeight="1">
      <c r="A1942" s="94"/>
      <c r="B1942" s="94"/>
      <c r="C1942" s="94"/>
      <c r="D1942" s="94" t="str">
        <f>IFERROR(__xludf.DUMMYFUNCTION("""COMPUTED_VALUE"""),"1 | WS B 1510 | White Sails |Studio")</f>
        <v>1 | WS B 1510 | White Sails |Studio</v>
      </c>
      <c r="E1942" s="1436">
        <f>IFERROR(__xludf.DUMMYFUNCTION("""COMPUTED_VALUE"""),46060.0)</f>
        <v>46060</v>
      </c>
      <c r="F1942" s="1436">
        <f>IFERROR(__xludf.DUMMYFUNCTION("""COMPUTED_VALUE"""),46068.0)</f>
        <v>46068</v>
      </c>
      <c r="G1942" s="1430">
        <f>IFERROR(__xludf.DUMMYFUNCTION("""COMPUTED_VALUE"""),8.0)</f>
        <v>8</v>
      </c>
    </row>
    <row r="1943" ht="15.75" customHeight="1">
      <c r="A1943" s="94" t="str">
        <f>IFERROR(__xludf.DUMMYFUNCTION("""COMPUTED_VALUE"""),"Пиросмани 181")</f>
        <v>Пиросмани 181</v>
      </c>
      <c r="B1943" s="94"/>
      <c r="C1943" s="94"/>
      <c r="D1943" s="94"/>
      <c r="E1943" s="2175">
        <f>IFERROR(__xludf.DUMMYFUNCTION("""COMPUTED_VALUE"""),46053.0)</f>
        <v>46053</v>
      </c>
      <c r="F1943" s="1435">
        <f>IFERROR(__xludf.DUMMYFUNCTION("""COMPUTED_VALUE"""),46081.0)</f>
        <v>46081</v>
      </c>
      <c r="G1943" s="1430">
        <f>IFERROR(__xludf.DUMMYFUNCTION("""COMPUTED_VALUE"""),28.0)</f>
        <v>28</v>
      </c>
    </row>
    <row r="1944" ht="15.75" customHeight="1">
      <c r="A1944" s="94" t="str">
        <f>IFERROR(__xludf.DUMMYFUNCTION("""COMPUTED_VALUE"""),"1 WS F 1103 (Лот 286819)")</f>
        <v>1 WS F 1103 (Лот 286819)</v>
      </c>
      <c r="B1944" s="94"/>
      <c r="C1944" s="94"/>
      <c r="D1944" s="94"/>
      <c r="E1944" s="2175">
        <f>IFERROR(__xludf.DUMMYFUNCTION("""COMPUTED_VALUE"""),46053.0)</f>
        <v>46053</v>
      </c>
      <c r="F1944" s="1435">
        <f>IFERROR(__xludf.DUMMYFUNCTION("""COMPUTED_VALUE"""),46081.0)</f>
        <v>46081</v>
      </c>
      <c r="G1944" s="1430">
        <f>IFERROR(__xludf.DUMMYFUNCTION("""COMPUTED_VALUE"""),28.0)</f>
        <v>28</v>
      </c>
    </row>
    <row r="1945" ht="15.75" customHeight="1">
      <c r="A1945" s="94" t="str">
        <f>IFERROR(__xludf.DUMMYFUNCTION("""COMPUTED_VALUE"""),"CM 1931")</f>
        <v>CM 1931</v>
      </c>
      <c r="B1945" s="94"/>
      <c r="C1945" s="94"/>
      <c r="D1945" s="94"/>
      <c r="E1945" s="1434">
        <f>IFERROR(__xludf.DUMMYFUNCTION("""COMPUTED_VALUE"""),46054.0)</f>
        <v>46054</v>
      </c>
      <c r="F1945" s="1435">
        <f>IFERROR(__xludf.DUMMYFUNCTION("""COMPUTED_VALUE"""),46081.0)</f>
        <v>46081</v>
      </c>
      <c r="G1945" s="1430">
        <f>IFERROR(__xludf.DUMMYFUNCTION("""COMPUTED_VALUE"""),27.0)</f>
        <v>27</v>
      </c>
    </row>
    <row r="1946" ht="15.75" customHeight="1">
      <c r="A1946" s="94" t="str">
        <f>IFERROR(__xludf.DUMMYFUNCTION("""COMPUTED_VALUE"""),"TGB3")</f>
        <v>TGB3</v>
      </c>
      <c r="B1946" s="94"/>
      <c r="C1946" s="94"/>
      <c r="D1946" s="431" t="str">
        <f>IFERROR(__xludf.DUMMYFUNCTION("""COMPUTED_VALUE"""),"6 TG Студии эконом блок Б (Б2, Б3, Б4) (Лот 268016)")</f>
        <v>6 TG Студии эконом блок Б (Б2, Б3, Б4) (Лот 268016)</v>
      </c>
      <c r="E1946" s="1439">
        <f>IFERROR(__xludf.DUMMYFUNCTION("""COMPUTED_VALUE"""),46054.0)</f>
        <v>46054</v>
      </c>
      <c r="F1946" s="1436">
        <f>IFERROR(__xludf.DUMMYFUNCTION("""COMPUTED_VALUE"""),46081.0)</f>
        <v>46081</v>
      </c>
      <c r="G1946" s="1430">
        <f>IFERROR(__xludf.DUMMYFUNCTION("""COMPUTED_VALUE"""),27.0)</f>
        <v>27</v>
      </c>
    </row>
    <row r="1947" ht="15.75" customHeight="1">
      <c r="A1947" s="94" t="str">
        <f>IFERROR(__xludf.DUMMYFUNCTION("""COMPUTED_VALUE"""),"DL7-16")</f>
        <v>DL7-16</v>
      </c>
      <c r="B1947" s="94"/>
      <c r="C1947" s="94"/>
      <c r="D1947" s="94"/>
      <c r="E1947" s="1439">
        <f>IFERROR(__xludf.DUMMYFUNCTION("""COMPUTED_VALUE"""),46054.0)</f>
        <v>46054</v>
      </c>
      <c r="F1947" s="1439">
        <f>IFERROR(__xludf.DUMMYFUNCTION("""COMPUTED_VALUE"""),46081.0)</f>
        <v>46081</v>
      </c>
      <c r="G1947" s="1430">
        <f>IFERROR(__xludf.DUMMYFUNCTION("""COMPUTED_VALUE"""),27.0)</f>
        <v>27</v>
      </c>
    </row>
    <row r="1948" ht="15.75" customHeight="1">
      <c r="A1948" s="94" t="str">
        <f>IFERROR(__xludf.DUMMYFUNCTION("""COMPUTED_VALUE"""),"NW 2-5")</f>
        <v>NW 2-5</v>
      </c>
      <c r="B1948" s="94"/>
      <c r="C1948" s="94"/>
      <c r="D1948" s="431" t="str">
        <f>IFERROR(__xludf.DUMMYFUNCTION("""COMPUTED_VALUE"""),"3 NW 205 (Лот 295811)")</f>
        <v>3 NW 205 (Лот 295811)</v>
      </c>
      <c r="E1948" s="1439">
        <f>IFERROR(__xludf.DUMMYFUNCTION("""COMPUTED_VALUE"""),46054.0)</f>
        <v>46054</v>
      </c>
      <c r="F1948" s="1439">
        <f>IFERROR(__xludf.DUMMYFUNCTION("""COMPUTED_VALUE"""),46082.0)</f>
        <v>46082</v>
      </c>
      <c r="G1948" s="1430">
        <f>IFERROR(__xludf.DUMMYFUNCTION("""COMPUTED_VALUE"""),28.0)</f>
        <v>28</v>
      </c>
    </row>
    <row r="1949" ht="15.75" customHeight="1">
      <c r="A1949" s="94"/>
      <c r="B1949" s="94"/>
      <c r="C1949" s="94"/>
      <c r="D1949" s="94" t="str">
        <f>IFERROR(__xludf.DUMMYFUNCTION("""COMPUTED_VALUE"""),"4 | MZ 913 | Mziuri Gardens | Studio")</f>
        <v>4 | MZ 913 | Mziuri Gardens | Studio</v>
      </c>
      <c r="E1949" s="1435">
        <f>IFERROR(__xludf.DUMMYFUNCTION("""COMPUTED_VALUE"""),46061.0)</f>
        <v>46061</v>
      </c>
      <c r="F1949" s="1436">
        <f>IFERROR(__xludf.DUMMYFUNCTION("""COMPUTED_VALUE"""),46065.0)</f>
        <v>46065</v>
      </c>
      <c r="G1949" s="1430">
        <f>IFERROR(__xludf.DUMMYFUNCTION("""COMPUTED_VALUE"""),4.0)</f>
        <v>4</v>
      </c>
    </row>
    <row r="1950" ht="15.75" customHeight="1">
      <c r="A1950" s="94" t="str">
        <f>IFERROR(__xludf.DUMMYFUNCTION("""COMPUTED_VALUE"""),"D2 503")</f>
        <v>D2 503</v>
      </c>
      <c r="B1950" s="94"/>
      <c r="C1950" s="94"/>
      <c r="D1950" s="2325" t="str">
        <f>IFERROR(__xludf.DUMMYFUNCTION("""COMPUTED_VALUE"""),"2 Orbi D2 503 (Лот 291554)")</f>
        <v>2 Orbi D2 503 (Лот 291554)</v>
      </c>
      <c r="E1950" s="1436">
        <f>IFERROR(__xludf.DUMMYFUNCTION("""COMPUTED_VALUE"""),46061.0)</f>
        <v>46061</v>
      </c>
      <c r="F1950" s="1436">
        <f>IFERROR(__xludf.DUMMYFUNCTION("""COMPUTED_VALUE"""),46088.0)</f>
        <v>46088</v>
      </c>
      <c r="G1950" s="1430">
        <f>IFERROR(__xludf.DUMMYFUNCTION("""COMPUTED_VALUE"""),27.0)</f>
        <v>27</v>
      </c>
    </row>
    <row r="1951" ht="15.75" customHeight="1">
      <c r="A1951" s="94" t="str">
        <f>IFERROR(__xludf.DUMMYFUNCTION("""COMPUTED_VALUE"""),"Pollo 3-5")</f>
        <v>Pollo 3-5</v>
      </c>
      <c r="B1951" s="94"/>
      <c r="C1951" s="94"/>
      <c r="D1951" s="94"/>
      <c r="E1951" s="1429">
        <f>IFERROR(__xludf.DUMMYFUNCTION("""COMPUTED_VALUE"""),46063.0)</f>
        <v>46063</v>
      </c>
      <c r="F1951" s="1429">
        <f>IFERROR(__xludf.DUMMYFUNCTION("""COMPUTED_VALUE"""),46090.0)</f>
        <v>46090</v>
      </c>
      <c r="G1951" s="1430">
        <f>IFERROR(__xludf.DUMMYFUNCTION("""COMPUTED_VALUE"""),27.0)</f>
        <v>27</v>
      </c>
    </row>
    <row r="1952" ht="15.75" customHeight="1">
      <c r="A1952" s="94" t="str">
        <f>IFERROR(__xludf.DUMMYFUNCTION("""COMPUTED_VALUE"""),"Пиросмани 162")</f>
        <v>Пиросмани 162</v>
      </c>
      <c r="B1952" s="94"/>
      <c r="C1952" s="94"/>
      <c r="D1952" s="94"/>
      <c r="E1952" s="1429">
        <f>IFERROR(__xludf.DUMMYFUNCTION("""COMPUTED_VALUE"""),46063.0)</f>
        <v>46063</v>
      </c>
      <c r="F1952" s="1429">
        <f>IFERROR(__xludf.DUMMYFUNCTION("""COMPUTED_VALUE"""),46090.0)</f>
        <v>46090</v>
      </c>
      <c r="G1952" s="1430">
        <f>IFERROR(__xludf.DUMMYFUNCTION("""COMPUTED_VALUE"""),27.0)</f>
        <v>27</v>
      </c>
    </row>
    <row r="1953" ht="15.75" customHeight="1">
      <c r="A1953" s="94" t="str">
        <f>IFERROR(__xludf.DUMMYFUNCTION("""COMPUTED_VALUE"""),"NA  316")</f>
        <v>NA  316</v>
      </c>
      <c r="B1953" s="94"/>
      <c r="C1953" s="94"/>
      <c r="D1953" s="94"/>
      <c r="E1953" s="1433">
        <f>IFERROR(__xludf.DUMMYFUNCTION("""COMPUTED_VALUE"""),45702.0)</f>
        <v>45702</v>
      </c>
      <c r="F1953" s="1435">
        <f>IFERROR(__xludf.DUMMYFUNCTION("""COMPUTED_VALUE"""),45730.0)</f>
        <v>45730</v>
      </c>
      <c r="G1953" s="1430">
        <f>IFERROR(__xludf.DUMMYFUNCTION("""COMPUTED_VALUE"""),28.0)</f>
        <v>28</v>
      </c>
    </row>
    <row r="1954" ht="15.75" customHeight="1">
      <c r="A1954" s="94"/>
      <c r="B1954" s="94"/>
      <c r="C1954" s="94"/>
      <c r="D1954" s="94" t="str">
        <f>IFERROR(__xludf.DUMMYFUNCTION("""COMPUTED_VALUE"""),"2 | Mar 1304 | Courtyard by Marriott | 1+1")</f>
        <v>2 | Mar 1304 | Courtyard by Marriott | 1+1</v>
      </c>
      <c r="E1954" s="1433">
        <f>IFERROR(__xludf.DUMMYFUNCTION("""COMPUTED_VALUE"""),46062.0)</f>
        <v>46062</v>
      </c>
      <c r="F1954" s="1435">
        <f>IFERROR(__xludf.DUMMYFUNCTION("""COMPUTED_VALUE"""),46075.0)</f>
        <v>46075</v>
      </c>
      <c r="G1954" s="1430">
        <f>IFERROR(__xludf.DUMMYFUNCTION("""COMPUTED_VALUE"""),13.0)</f>
        <v>13</v>
      </c>
    </row>
    <row r="1955" ht="15.75" customHeight="1">
      <c r="A1955" s="94"/>
      <c r="B1955" s="94"/>
      <c r="C1955" s="94"/>
      <c r="D1955" s="94" t="str">
        <f>IFERROR(__xludf.DUMMYFUNCTION("""COMPUTED_VALUE"""),"1 | WS A 907 | White Sails |Studio ")</f>
        <v>1 | WS A 907 | White Sails |Studio </v>
      </c>
      <c r="E1955" s="94" t="str">
        <f>IFERROR(__xludf.DUMMYFUNCTION("""COMPUTED_VALUE"""),"10.02.2026")</f>
        <v>10.02.2026</v>
      </c>
      <c r="F1955" s="94" t="str">
        <f>IFERROR(__xludf.DUMMYFUNCTION("""COMPUTED_VALUE"""),"10.03.2026")</f>
        <v>10.03.2026</v>
      </c>
      <c r="G1955" s="1430">
        <f>IFERROR(__xludf.DUMMYFUNCTION("""COMPUTED_VALUE"""),28.0)</f>
        <v>28</v>
      </c>
    </row>
    <row r="1956" ht="15.75" customHeight="1">
      <c r="A1956" s="94"/>
      <c r="B1956" s="94"/>
      <c r="C1956" s="94"/>
      <c r="D1956" s="94" t="str">
        <f>IFERROR(__xludf.DUMMYFUNCTION("""COMPUTED_VALUE"""),"5 | TG A8 | Tropical Garden | Studio")</f>
        <v>5 | TG A8 | Tropical Garden | Studio</v>
      </c>
      <c r="E1956" s="94" t="str">
        <f>IFERROR(__xludf.DUMMYFUNCTION("""COMPUTED_VALUE"""),"11.02.2026")</f>
        <v>11.02.2026</v>
      </c>
      <c r="F1956" s="94" t="str">
        <f>IFERROR(__xludf.DUMMYFUNCTION("""COMPUTED_VALUE"""),"13.03.2026")</f>
        <v>13.03.2026</v>
      </c>
      <c r="G1956" s="1430">
        <f>IFERROR(__xludf.DUMMYFUNCTION("""COMPUTED_VALUE"""),30.0)</f>
        <v>30</v>
      </c>
    </row>
    <row r="1957" ht="15.75" customHeight="1">
      <c r="A1957" s="94"/>
      <c r="B1957" s="94"/>
      <c r="C1957" s="94"/>
      <c r="D1957" s="94" t="str">
        <f>IFERROR(__xludf.DUMMYFUNCTION("""COMPUTED_VALUE"""),"2 | Orbi D1 1321 | Orbi Sity | Studio")</f>
        <v>2 | Orbi D1 1321 | Orbi Sity | Studio</v>
      </c>
      <c r="E1957" s="94" t="str">
        <f>IFERROR(__xludf.DUMMYFUNCTION("""COMPUTED_VALUE"""),"11.02.2026")</f>
        <v>11.02.2026</v>
      </c>
      <c r="F1957" s="94" t="str">
        <f>IFERROR(__xludf.DUMMYFUNCTION("""COMPUTED_VALUE"""),"14.02.2026")</f>
        <v>14.02.2026</v>
      </c>
      <c r="G1957" s="1430">
        <f>IFERROR(__xludf.DUMMYFUNCTION("""COMPUTED_VALUE"""),3.0)</f>
        <v>3</v>
      </c>
    </row>
    <row r="1958" ht="15.75" customHeight="1">
      <c r="A1958" s="94"/>
      <c r="B1958" s="94"/>
      <c r="C1958" s="94"/>
      <c r="D1958" s="94" t="str">
        <f>IFERROR(__xludf.DUMMYFUNCTION("""COMPUTED_VALUE"""),"4 | MZ 913 | Mziuri Gardens | Studio")</f>
        <v>4 | MZ 913 | Mziuri Gardens | Studio</v>
      </c>
      <c r="E1958" s="94" t="str">
        <f>IFERROR(__xludf.DUMMYFUNCTION("""COMPUTED_VALUE"""),"12.02.2026")</f>
        <v>12.02.2026</v>
      </c>
      <c r="F1958" s="94" t="str">
        <f>IFERROR(__xludf.DUMMYFUNCTION("""COMPUTED_VALUE"""),"16.02.2026")</f>
        <v>16.02.2026</v>
      </c>
      <c r="G1958" s="1430">
        <f>IFERROR(__xludf.DUMMYFUNCTION("""COMPUTED_VALUE"""),4.0)</f>
        <v>4</v>
      </c>
    </row>
    <row r="1959" ht="15.75" customHeight="1">
      <c r="A1959" s="94"/>
      <c r="B1959" s="94"/>
      <c r="C1959" s="94"/>
      <c r="D1959" s="94" t="str">
        <f>IFERROR(__xludf.DUMMYFUNCTION("""COMPUTED_VALUE"""),"1 | BV A 134 | Batumi View | 1+1")</f>
        <v>1 | BV A 134 | Batumi View | 1+1</v>
      </c>
      <c r="E1959" s="94" t="str">
        <f>IFERROR(__xludf.DUMMYFUNCTION("""COMPUTED_VALUE"""),"12.02.2026")</f>
        <v>12.02.2026</v>
      </c>
      <c r="F1959" s="1436">
        <f>IFERROR(__xludf.DUMMYFUNCTION("""COMPUTED_VALUE"""),46068.0)</f>
        <v>46068</v>
      </c>
      <c r="G1959" s="1430">
        <f>IFERROR(__xludf.DUMMYFUNCTION("""COMPUTED_VALUE"""),3.0)</f>
        <v>3</v>
      </c>
    </row>
    <row r="1960" ht="15.75" customHeight="1">
      <c r="A1960" s="94"/>
      <c r="B1960" s="94"/>
      <c r="C1960" s="94"/>
      <c r="D1960" s="94" t="str">
        <f>IFERROR(__xludf.DUMMYFUNCTION("""COMPUTED_VALUE"""),"1 | BV A 164 | Batumi View | 1+1")</f>
        <v>1 | BV A 164 | Batumi View | 1+1</v>
      </c>
      <c r="E1960" s="94" t="str">
        <f>IFERROR(__xludf.DUMMYFUNCTION("""COMPUTED_VALUE"""),"12.02.2026")</f>
        <v>12.02.2026</v>
      </c>
      <c r="F1960" s="1436">
        <f>IFERROR(__xludf.DUMMYFUNCTION("""COMPUTED_VALUE"""),46068.0)</f>
        <v>46068</v>
      </c>
      <c r="G1960" s="1430">
        <f>IFERROR(__xludf.DUMMYFUNCTION("""COMPUTED_VALUE"""),3.0)</f>
        <v>3</v>
      </c>
    </row>
    <row r="1961" ht="15.75" customHeight="1">
      <c r="A1961" s="94"/>
      <c r="B1961" s="94"/>
      <c r="C1961" s="94"/>
      <c r="D1961" s="94" t="str">
        <f>IFERROR(__xludf.DUMMYFUNCTION("""COMPUTED_VALUE"""),"1 | BV A 210 | Batumi View | 1+1")</f>
        <v>1 | BV A 210 | Batumi View | 1+1</v>
      </c>
      <c r="E1961" s="94" t="str">
        <f>IFERROR(__xludf.DUMMYFUNCTION("""COMPUTED_VALUE"""),"12.02.2026")</f>
        <v>12.02.2026</v>
      </c>
      <c r="F1961" s="1436">
        <f>IFERROR(__xludf.DUMMYFUNCTION("""COMPUTED_VALUE"""),46068.0)</f>
        <v>46068</v>
      </c>
      <c r="G1961" s="1430">
        <f>IFERROR(__xludf.DUMMYFUNCTION("""COMPUTED_VALUE"""),3.0)</f>
        <v>3</v>
      </c>
    </row>
    <row r="1962" ht="15.75" customHeight="1">
      <c r="A1962" s="94"/>
      <c r="B1962" s="94"/>
      <c r="C1962" s="94"/>
      <c r="D1962" s="94" t="str">
        <f>IFERROR(__xludf.DUMMYFUNCTION("""COMPUTED_VALUE"""),"1 | BV A 225 | Batumi View | 1+1")</f>
        <v>1 | BV A 225 | Batumi View | 1+1</v>
      </c>
      <c r="E1962" s="94" t="str">
        <f>IFERROR(__xludf.DUMMYFUNCTION("""COMPUTED_VALUE"""),"12.02.2026")</f>
        <v>12.02.2026</v>
      </c>
      <c r="F1962" s="1436">
        <f>IFERROR(__xludf.DUMMYFUNCTION("""COMPUTED_VALUE"""),46068.0)</f>
        <v>46068</v>
      </c>
      <c r="G1962" s="1430">
        <f>IFERROR(__xludf.DUMMYFUNCTION("""COMPUTED_VALUE"""),3.0)</f>
        <v>3</v>
      </c>
    </row>
    <row r="1963" ht="15.75" customHeight="1">
      <c r="A1963" s="94"/>
      <c r="B1963" s="94"/>
      <c r="C1963" s="94"/>
      <c r="D1963" s="431" t="str">
        <f>IFERROR(__xludf.DUMMYFUNCTION("""COMPUTED_VALUE"""),"2 Orbi D 3902 (Лот 293635)")</f>
        <v>2 Orbi D 3902 (Лот 293635)</v>
      </c>
      <c r="E1963" s="1436">
        <f>IFERROR(__xludf.DUMMYFUNCTION("""COMPUTED_VALUE"""),46065.0)</f>
        <v>46065</v>
      </c>
      <c r="F1963" s="1436">
        <f>IFERROR(__xludf.DUMMYFUNCTION("""COMPUTED_VALUE"""),46094.0)</f>
        <v>46094</v>
      </c>
      <c r="G1963" s="1430">
        <f>IFERROR(__xludf.DUMMYFUNCTION("""COMPUTED_VALUE"""),29.0)</f>
        <v>29</v>
      </c>
    </row>
    <row r="1964" ht="15.75" customHeight="1">
      <c r="A1964" s="94"/>
      <c r="B1964" s="94"/>
      <c r="C1964" s="94"/>
      <c r="D1964" s="431" t="str">
        <f>IFERROR(__xludf.DUMMYFUNCTION("""COMPUTED_VALUE"""),"1 OBT 2906 (Лот 322775)")</f>
        <v>1 OBT 2906 (Лот 322775)</v>
      </c>
      <c r="E1964" s="1436">
        <f>IFERROR(__xludf.DUMMYFUNCTION("""COMPUTED_VALUE"""),46067.0)</f>
        <v>46067</v>
      </c>
      <c r="F1964" s="1436">
        <f>IFERROR(__xludf.DUMMYFUNCTION("""COMPUTED_VALUE"""),46096.0)</f>
        <v>46096</v>
      </c>
      <c r="G1964" s="1430">
        <f>IFERROR(__xludf.DUMMYFUNCTION("""COMPUTED_VALUE"""),29.0)</f>
        <v>29</v>
      </c>
    </row>
    <row r="1965" ht="15.75" customHeight="1">
      <c r="A1965" s="94"/>
      <c r="B1965" s="94"/>
      <c r="C1965" s="94"/>
      <c r="D1965" s="431" t="str">
        <f>IFERROR(__xludf.DUMMYFUNCTION("""COMPUTED_VALUE"""),"1 WS A 805")</f>
        <v>1 WS A 805</v>
      </c>
      <c r="E1965" s="1436">
        <f>IFERROR(__xludf.DUMMYFUNCTION("""COMPUTED_VALUE"""),46067.0)</f>
        <v>46067</v>
      </c>
      <c r="F1965" s="1436">
        <f>IFERROR(__xludf.DUMMYFUNCTION("""COMPUTED_VALUE"""),46095.0)</f>
        <v>46095</v>
      </c>
      <c r="G1965" s="1430">
        <f>IFERROR(__xludf.DUMMYFUNCTION("""COMPUTED_VALUE"""),28.0)</f>
        <v>28</v>
      </c>
    </row>
    <row r="1966" ht="15.75" customHeight="1">
      <c r="A1966" s="94"/>
      <c r="B1966" s="94"/>
      <c r="C1966" s="94"/>
      <c r="D1966" s="94" t="str">
        <f>IFERROR(__xludf.DUMMYFUNCTION("""COMPUTED_VALUE"""),"2 | Mar 1327 | Courtyard by Marriott | 1+1")</f>
        <v>2 | Mar 1327 | Courtyard by Marriott | 1+1</v>
      </c>
      <c r="E1966" s="94" t="str">
        <f>IFERROR(__xludf.DUMMYFUNCTION("""COMPUTED_VALUE"""),"14.02.2026")</f>
        <v>14.02.2026</v>
      </c>
      <c r="F1966" s="94" t="str">
        <f>IFERROR(__xludf.DUMMYFUNCTION("""COMPUTED_VALUE"""),"18.02.2026")</f>
        <v>18.02.2026</v>
      </c>
      <c r="G1966" s="1430">
        <f>IFERROR(__xludf.DUMMYFUNCTION("""COMPUTED_VALUE"""),4.0)</f>
        <v>4</v>
      </c>
    </row>
    <row r="1967" ht="15.75" customHeight="1">
      <c r="A1967" s="94"/>
      <c r="B1967" s="94"/>
      <c r="C1967" s="94"/>
      <c r="D1967" s="94" t="str">
        <f>IFERROR(__xludf.DUMMYFUNCTION("""COMPUTED_VALUE"""),"2 | NW 307 | Next White | Studio")</f>
        <v>2 | NW 307 | Next White | Studio</v>
      </c>
      <c r="E1967" s="94" t="str">
        <f>IFERROR(__xludf.DUMMYFUNCTION("""COMPUTED_VALUE"""),"14.02.2026")</f>
        <v>14.02.2026</v>
      </c>
      <c r="F1967" s="94" t="str">
        <f>IFERROR(__xludf.DUMMYFUNCTION("""COMPUTED_VALUE"""),"21.02.2026")</f>
        <v>21.02.2026</v>
      </c>
      <c r="G1967" s="1430">
        <f>IFERROR(__xludf.DUMMYFUNCTION("""COMPUTED_VALUE"""),7.0)</f>
        <v>7</v>
      </c>
    </row>
    <row r="1968" ht="15.75" customHeight="1">
      <c r="A1968" s="94"/>
      <c r="B1968" s="94"/>
      <c r="C1968" s="94"/>
      <c r="D1968" s="94" t="str">
        <f>IFERROR(__xludf.DUMMYFUNCTION("""COMPUTED_VALUE"""),"1 | WS A 409 | White Sails |Studio ")</f>
        <v>1 | WS A 409 | White Sails |Studio </v>
      </c>
      <c r="E1968" s="94" t="str">
        <f>IFERROR(__xludf.DUMMYFUNCTION("""COMPUTED_VALUE"""),"14.02.2026")</f>
        <v>14.02.2026</v>
      </c>
      <c r="F1968" s="94" t="str">
        <f>IFERROR(__xludf.DUMMYFUNCTION("""COMPUTED_VALUE"""),"14.03.2026")</f>
        <v>14.03.2026</v>
      </c>
      <c r="G1968" s="1430">
        <f>IFERROR(__xludf.DUMMYFUNCTION("""COMPUTED_VALUE"""),28.0)</f>
        <v>28</v>
      </c>
    </row>
    <row r="1969" ht="15.75" customHeight="1">
      <c r="A1969" s="94"/>
      <c r="B1969" s="94"/>
      <c r="C1969" s="94"/>
      <c r="D1969" s="431" t="str">
        <f>IFERROR(__xludf.DUMMYFUNCTION("""COMPUTED_VALUE"""),"1 WS B 212")</f>
        <v>1 WS B 212</v>
      </c>
      <c r="E1969" s="1436">
        <f>IFERROR(__xludf.DUMMYFUNCTION("""COMPUTED_VALUE"""),46068.0)</f>
        <v>46068</v>
      </c>
      <c r="F1969" s="1436">
        <f>IFERROR(__xludf.DUMMYFUNCTION("""COMPUTED_VALUE"""),46096.0)</f>
        <v>46096</v>
      </c>
      <c r="G1969" s="1430">
        <f>IFERROR(__xludf.DUMMYFUNCTION("""COMPUTED_VALUE"""),28.0)</f>
        <v>28</v>
      </c>
    </row>
    <row r="1970" ht="15.75" customHeight="1">
      <c r="A1970" s="94"/>
      <c r="B1970" s="94"/>
      <c r="C1970" s="94"/>
      <c r="D1970" s="94" t="str">
        <f>IFERROR(__xludf.DUMMYFUNCTION("""COMPUTED_VALUE"""),"3 | PT 2704 | Old town | Studio")</f>
        <v>3 | PT 2704 | Old town | Studio</v>
      </c>
      <c r="E1970" s="94" t="str">
        <f>IFERROR(__xludf.DUMMYFUNCTION("""COMPUTED_VALUE"""),"15.02.2026")</f>
        <v>15.02.2026</v>
      </c>
      <c r="F1970" s="94" t="str">
        <f>IFERROR(__xludf.DUMMYFUNCTION("""COMPUTED_VALUE"""),"22.02.2026")</f>
        <v>22.02.2026</v>
      </c>
      <c r="G1970" s="1430">
        <f>IFERROR(__xludf.DUMMYFUNCTION("""COMPUTED_VALUE"""),7.0)</f>
        <v>7</v>
      </c>
    </row>
    <row r="1971" ht="15.75" customHeight="1">
      <c r="A1971" s="94"/>
      <c r="B1971" s="94"/>
      <c r="C1971" s="94"/>
      <c r="D1971" s="94" t="str">
        <f>IFERROR(__xludf.DUMMYFUNCTION("""COMPUTED_VALUE"""),"4 | MZ 511 | Mziuri Gardens | Studio")</f>
        <v>4 | MZ 511 | Mziuri Gardens | Studio</v>
      </c>
      <c r="E1971" s="94" t="str">
        <f>IFERROR(__xludf.DUMMYFUNCTION("""COMPUTED_VALUE"""),"15.02.2026")</f>
        <v>15.02.2026</v>
      </c>
      <c r="F1971" s="94" t="str">
        <f>IFERROR(__xludf.DUMMYFUNCTION("""COMPUTED_VALUE"""),"17.03.2026")</f>
        <v>17.03.2026</v>
      </c>
      <c r="G1971" s="1430">
        <f>IFERROR(__xludf.DUMMYFUNCTION("""COMPUTED_VALUE"""),30.0)</f>
        <v>30</v>
      </c>
    </row>
    <row r="1972" ht="15.75" customHeight="1">
      <c r="A1972" s="94"/>
      <c r="B1972" s="94"/>
      <c r="C1972" s="94"/>
      <c r="D1972" s="94" t="str">
        <f>IFERROR(__xludf.DUMMYFUNCTION("""COMPUTED_VALUE"""),"1 | BV C 0505 | Batumi View | Studio")</f>
        <v>1 | BV C 0505 | Batumi View | Studio</v>
      </c>
      <c r="E1972" s="94" t="str">
        <f>IFERROR(__xludf.DUMMYFUNCTION("""COMPUTED_VALUE"""),"15.02.2026")</f>
        <v>15.02.2026</v>
      </c>
      <c r="F1972" s="94" t="str">
        <f>IFERROR(__xludf.DUMMYFUNCTION("""COMPUTED_VALUE"""),"15.03.2026")</f>
        <v>15.03.2026</v>
      </c>
      <c r="G1972" s="1430">
        <f>IFERROR(__xludf.DUMMYFUNCTION("""COMPUTED_VALUE"""),28.0)</f>
        <v>28</v>
      </c>
    </row>
    <row r="1973" ht="15.75" customHeight="1">
      <c r="A1973" s="94"/>
      <c r="B1973" s="94"/>
      <c r="C1973" s="94"/>
      <c r="D1973" s="94" t="str">
        <f>IFERROR(__xludf.DUMMYFUNCTION("""COMPUTED_VALUE"""),"2 | Orbi D1 3902 | Orbi Sity | 1+1")</f>
        <v>2 | Orbi D1 3902 | Orbi Sity | 1+1</v>
      </c>
      <c r="E1973" s="1439">
        <f>IFERROR(__xludf.DUMMYFUNCTION("""COMPUTED_VALUE"""),46069.0)</f>
        <v>46069</v>
      </c>
      <c r="F1973" s="1436">
        <f>IFERROR(__xludf.DUMMYFUNCTION("""COMPUTED_VALUE"""),46071.0)</f>
        <v>46071</v>
      </c>
      <c r="G1973" s="1430">
        <f>IFERROR(__xludf.DUMMYFUNCTION("""COMPUTED_VALUE"""),2.0)</f>
        <v>2</v>
      </c>
    </row>
    <row r="1974" ht="15.75" customHeight="1">
      <c r="A1974" s="94" t="str">
        <f>IFERROR(__xludf.DUMMYFUNCTION("""COMPUTED_VALUE"""),"MZ А 1113")</f>
        <v>MZ А 1113</v>
      </c>
      <c r="B1974" s="94"/>
      <c r="C1974" s="94"/>
      <c r="D1974" s="431" t="str">
        <f>IFERROR(__xludf.DUMMYFUNCTION("""COMPUTED_VALUE"""),"3 MZ A 1113 (Лот 314964)")</f>
        <v>3 MZ A 1113 (Лот 314964)</v>
      </c>
      <c r="E1974" s="1439">
        <f>IFERROR(__xludf.DUMMYFUNCTION("""COMPUTED_VALUE"""),46069.0)</f>
        <v>46069</v>
      </c>
      <c r="F1974" s="1436">
        <f>IFERROR(__xludf.DUMMYFUNCTION("""COMPUTED_VALUE"""),46096.0)</f>
        <v>46096</v>
      </c>
      <c r="G1974" s="1430">
        <f>IFERROR(__xludf.DUMMYFUNCTION("""COMPUTED_VALUE"""),27.0)</f>
        <v>27</v>
      </c>
    </row>
    <row r="1975" ht="15.75" customHeight="1">
      <c r="A1975" s="94"/>
      <c r="B1975" s="94"/>
      <c r="C1975" s="94"/>
      <c r="D1975" s="431" t="str">
        <f>IFERROR(__xludf.DUMMYFUNCTION("""COMPUTED_VALUE"""),"1 WS F 1008")</f>
        <v>1 WS F 1008</v>
      </c>
      <c r="E1975" s="1439">
        <f>IFERROR(__xludf.DUMMYFUNCTION("""COMPUTED_VALUE"""),46071.0)</f>
        <v>46071</v>
      </c>
      <c r="F1975" s="1436">
        <f>IFERROR(__xludf.DUMMYFUNCTION("""COMPUTED_VALUE"""),46099.0)</f>
        <v>46099</v>
      </c>
      <c r="G1975" s="1430">
        <f>IFERROR(__xludf.DUMMYFUNCTION("""COMPUTED_VALUE"""),28.0)</f>
        <v>28</v>
      </c>
    </row>
    <row r="1976" ht="15.75" customHeight="1">
      <c r="A1976" s="94"/>
      <c r="B1976" s="94"/>
      <c r="C1976" s="94"/>
      <c r="D1976" s="94" t="str">
        <f>IFERROR(__xludf.DUMMYFUNCTION("""COMPUTED_VALUE"""),"2 | Orbi D2 1625 | Orbi Sity | 1+1
")</f>
        <v>2 | Orbi D2 1625 | Orbi Sity | 1+1
</v>
      </c>
      <c r="E1976" s="1439">
        <f>IFERROR(__xludf.DUMMYFUNCTION("""COMPUTED_VALUE"""),46071.0)</f>
        <v>46071</v>
      </c>
      <c r="F1976" s="1436">
        <f>IFERROR(__xludf.DUMMYFUNCTION("""COMPUTED_VALUE"""),46077.0)</f>
        <v>46077</v>
      </c>
      <c r="G1976" s="1430">
        <f>IFERROR(__xludf.DUMMYFUNCTION("""COMPUTED_VALUE"""),6.0)</f>
        <v>6</v>
      </c>
    </row>
    <row r="1977" ht="15.75" customHeight="1">
      <c r="A1977" s="94"/>
      <c r="B1977" s="94"/>
      <c r="C1977" s="94"/>
      <c r="D1977" s="431" t="str">
        <f>IFERROR(__xludf.DUMMYFUNCTION("""COMPUTED_VALUE"""),"3 Sh8 2505 A (Лот 233423)")</f>
        <v>3 Sh8 2505 A (Лот 233423)</v>
      </c>
      <c r="E1977" s="1439">
        <f>IFERROR(__xludf.DUMMYFUNCTION("""COMPUTED_VALUE"""),46072.0)</f>
        <v>46072</v>
      </c>
      <c r="F1977" s="1436">
        <f>IFERROR(__xludf.DUMMYFUNCTION("""COMPUTED_VALUE"""),46101.0)</f>
        <v>46101</v>
      </c>
      <c r="G1977" s="1430">
        <f>IFERROR(__xludf.DUMMYFUNCTION("""COMPUTED_VALUE"""),29.0)</f>
        <v>29</v>
      </c>
    </row>
    <row r="1978" ht="15.75" customHeight="1">
      <c r="A1978" s="94"/>
      <c r="B1978" s="94"/>
      <c r="C1978" s="94"/>
      <c r="D1978" s="94" t="str">
        <f>IFERROR(__xludf.DUMMYFUNCTION("""COMPUTED_VALUE"""),"4 | MZ 913 | Mziuri Gardens | Studio")</f>
        <v>4 | MZ 913 | Mziuri Gardens | Studio</v>
      </c>
      <c r="E1978" s="1439">
        <f>IFERROR(__xludf.DUMMYFUNCTION("""COMPUTED_VALUE"""),46072.0)</f>
        <v>46072</v>
      </c>
      <c r="F1978" s="1436">
        <f>IFERROR(__xludf.DUMMYFUNCTION("""COMPUTED_VALUE"""),46076.0)</f>
        <v>46076</v>
      </c>
      <c r="G1978" s="1430">
        <f>IFERROR(__xludf.DUMMYFUNCTION("""COMPUTED_VALUE"""),4.0)</f>
        <v>4</v>
      </c>
    </row>
    <row r="1979" ht="15.75" customHeight="1">
      <c r="A1979" s="94"/>
      <c r="B1979" s="94"/>
      <c r="C1979" s="94"/>
      <c r="D1979" s="94" t="str">
        <f>IFERROR(__xludf.DUMMYFUNCTION("""COMPUTED_VALUE"""),"1 | BV B 1318 | Batumi View | Studio")</f>
        <v>1 | BV B 1318 | Batumi View | Studio</v>
      </c>
      <c r="E1979" s="1439">
        <f>IFERROR(__xludf.DUMMYFUNCTION("""COMPUTED_VALUE"""),46073.0)</f>
        <v>46073</v>
      </c>
      <c r="F1979" s="1436">
        <f>IFERROR(__xludf.DUMMYFUNCTION("""COMPUTED_VALUE"""),46075.0)</f>
        <v>46075</v>
      </c>
      <c r="G1979" s="1430">
        <f>IFERROR(__xludf.DUMMYFUNCTION("""COMPUTED_VALUE"""),2.0)</f>
        <v>2</v>
      </c>
    </row>
    <row r="1980" ht="15.75" customHeight="1">
      <c r="A1980" s="94"/>
      <c r="B1980" s="94"/>
      <c r="C1980" s="94"/>
      <c r="D1980" s="94" t="str">
        <f>IFERROR(__xludf.DUMMYFUNCTION("""COMPUTED_VALUE"""),"1 | BV A 210 | Batumi View | 1+1")</f>
        <v>1 | BV A 210 | Batumi View | 1+1</v>
      </c>
      <c r="E1980" s="1439">
        <f>IFERROR(__xludf.DUMMYFUNCTION("""COMPUTED_VALUE"""),46073.0)</f>
        <v>46073</v>
      </c>
      <c r="F1980" s="1436">
        <f>IFERROR(__xludf.DUMMYFUNCTION("""COMPUTED_VALUE"""),46101.0)</f>
        <v>46101</v>
      </c>
      <c r="G1980" s="1430">
        <f>IFERROR(__xludf.DUMMYFUNCTION("""COMPUTED_VALUE"""),28.0)</f>
        <v>28</v>
      </c>
    </row>
    <row r="1981" ht="15.75" customHeight="1">
      <c r="A1981" s="94"/>
      <c r="B1981" s="94"/>
      <c r="C1981" s="94"/>
      <c r="D1981" s="94" t="str">
        <f>IFERROR(__xludf.DUMMYFUNCTION("""COMPUTED_VALUE"""),"4 | MZ 1408 | Mziuri Gardens | 1+1")</f>
        <v>4 | MZ 1408 | Mziuri Gardens | 1+1</v>
      </c>
      <c r="E1981" s="1439">
        <f>IFERROR(__xludf.DUMMYFUNCTION("""COMPUTED_VALUE"""),46073.0)</f>
        <v>46073</v>
      </c>
      <c r="F1981" s="1436">
        <f>IFERROR(__xludf.DUMMYFUNCTION("""COMPUTED_VALUE"""),46117.0)</f>
        <v>46117</v>
      </c>
      <c r="G1981" s="1430">
        <f>IFERROR(__xludf.DUMMYFUNCTION("""COMPUTED_VALUE"""),44.0)</f>
        <v>44</v>
      </c>
    </row>
    <row r="1982" ht="15.75" customHeight="1">
      <c r="A1982" s="94"/>
      <c r="B1982" s="94"/>
      <c r="C1982" s="94"/>
      <c r="D1982" s="94" t="str">
        <f>IFERROR(__xludf.DUMMYFUNCTION("""COMPUTED_VALUE"""),"2 | NW 307 | Next White | Studio")</f>
        <v>2 | NW 307 | Next White | Studio</v>
      </c>
      <c r="E1982" s="1439">
        <f>IFERROR(__xludf.DUMMYFUNCTION("""COMPUTED_VALUE"""),46074.0)</f>
        <v>46074</v>
      </c>
      <c r="F1982" s="1436">
        <f>IFERROR(__xludf.DUMMYFUNCTION("""COMPUTED_VALUE"""),46075.0)</f>
        <v>46075</v>
      </c>
      <c r="G1982" s="1430">
        <f>IFERROR(__xludf.DUMMYFUNCTION("""COMPUTED_VALUE"""),1.0)</f>
        <v>1</v>
      </c>
    </row>
    <row r="1983" ht="15.75" customHeight="1">
      <c r="A1983" s="1164" t="str">
        <f>IFERROR(__xludf.DUMMYFUNCTION("""COMPUTED_VALUE"""),"Int 2905")</f>
        <v>Int 2905</v>
      </c>
      <c r="B1983" s="94"/>
      <c r="C1983" s="94"/>
      <c r="D1983" s="431" t="str">
        <f>IFERROR(__xludf.DUMMYFUNCTION("""COMPUTED_VALUE"""),"3.Inturist 2905 (Лот 233347)")</f>
        <v>3.Inturist 2905 (Лот 233347)</v>
      </c>
      <c r="E1983" s="1436">
        <f>IFERROR(__xludf.DUMMYFUNCTION("""COMPUTED_VALUE"""),46074.0)</f>
        <v>46074</v>
      </c>
      <c r="F1983" s="1436">
        <f>IFERROR(__xludf.DUMMYFUNCTION("""COMPUTED_VALUE"""),46103.0)</f>
        <v>46103</v>
      </c>
      <c r="G1983" s="1430">
        <f>IFERROR(__xludf.DUMMYFUNCTION("""COMPUTED_VALUE"""),29.0)</f>
        <v>29</v>
      </c>
    </row>
    <row r="1984" ht="15.75" customHeight="1">
      <c r="A1984" s="94"/>
      <c r="B1984" s="94"/>
      <c r="C1984" s="94"/>
      <c r="D1984" s="94" t="str">
        <f>IFERROR(__xludf.DUMMYFUNCTION("""COMPUTED_VALUE"""),"1 | BV A 134 | Batumi View | 1+1")</f>
        <v>1 | BV A 134 | Batumi View | 1+1</v>
      </c>
      <c r="E1984" s="1439">
        <f>IFERROR(__xludf.DUMMYFUNCTION("""COMPUTED_VALUE"""),46075.0)</f>
        <v>46075</v>
      </c>
      <c r="F1984" s="1436">
        <f>IFERROR(__xludf.DUMMYFUNCTION("""COMPUTED_VALUE"""),46112.0)</f>
        <v>46112</v>
      </c>
      <c r="G1984" s="1430">
        <f>IFERROR(__xludf.DUMMYFUNCTION("""COMPUTED_VALUE"""),37.0)</f>
        <v>37</v>
      </c>
    </row>
    <row r="1985" ht="15.75" customHeight="1">
      <c r="A1985" s="94"/>
      <c r="B1985" s="94"/>
      <c r="C1985" s="94"/>
      <c r="D1985" s="431" t="str">
        <f>IFERROR(__xludf.DUMMYFUNCTION("""COMPUTED_VALUE"""),"1 OBT 2908")</f>
        <v>1 OBT 2908</v>
      </c>
      <c r="E1985" s="1439">
        <f>IFERROR(__xludf.DUMMYFUNCTION("""COMPUTED_VALUE"""),46075.0)</f>
        <v>46075</v>
      </c>
      <c r="F1985" s="1436">
        <f>IFERROR(__xludf.DUMMYFUNCTION("""COMPUTED_VALUE"""),46103.0)</f>
        <v>46103</v>
      </c>
      <c r="G1985" s="1430">
        <f>IFERROR(__xludf.DUMMYFUNCTION("""COMPUTED_VALUE"""),28.0)</f>
        <v>28</v>
      </c>
    </row>
    <row r="1986" ht="15.75" customHeight="1">
      <c r="A1986" s="94"/>
      <c r="B1986" s="94"/>
      <c r="C1986" s="94"/>
      <c r="D1986" s="94" t="str">
        <f>IFERROR(__xludf.DUMMYFUNCTION("""COMPUTED_VALUE"""),"2 | Mar 1327 | Courtyard by Marriott | 1+1")</f>
        <v>2 | Mar 1327 | Courtyard by Marriott | 1+1</v>
      </c>
      <c r="E1986" s="1439">
        <f>IFERROR(__xludf.DUMMYFUNCTION("""COMPUTED_VALUE"""),46075.0)</f>
        <v>46075</v>
      </c>
      <c r="F1986" s="1436">
        <f>IFERROR(__xludf.DUMMYFUNCTION("""COMPUTED_VALUE"""),46083.0)</f>
        <v>46083</v>
      </c>
      <c r="G1986" s="1430">
        <f>IFERROR(__xludf.DUMMYFUNCTION("""COMPUTED_VALUE"""),8.0)</f>
        <v>8</v>
      </c>
    </row>
    <row r="1987" ht="15.75" customHeight="1">
      <c r="A1987" s="94"/>
      <c r="B1987" s="94"/>
      <c r="C1987" s="94"/>
      <c r="D1987" s="94" t="str">
        <f>IFERROR(__xludf.DUMMYFUNCTION("""COMPUTED_VALUE"""),"3 | PT 2604 | Old town | Studio")</f>
        <v>3 | PT 2604 | Old town | Studio</v>
      </c>
      <c r="E1987" s="1439">
        <f>IFERROR(__xludf.DUMMYFUNCTION("""COMPUTED_VALUE"""),46075.0)</f>
        <v>46075</v>
      </c>
      <c r="F1987" s="1436">
        <f>IFERROR(__xludf.DUMMYFUNCTION("""COMPUTED_VALUE"""),46080.0)</f>
        <v>46080</v>
      </c>
      <c r="G1987" s="1430">
        <f>IFERROR(__xludf.DUMMYFUNCTION("""COMPUTED_VALUE"""),5.0)</f>
        <v>5</v>
      </c>
    </row>
    <row r="1988" ht="15.75" customHeight="1">
      <c r="A1988" s="94" t="str">
        <f>IFERROR(__xludf.DUMMYFUNCTION("""COMPUTED_VALUE"""),"TGA2")</f>
        <v>TGA2</v>
      </c>
      <c r="B1988" s="94"/>
      <c r="C1988" s="94"/>
      <c r="D1988" s="431" t="str">
        <f>IFERROR(__xludf.DUMMYFUNCTION("""COMPUTED_VALUE"""),"6 TG c 1 сп. блок А (А2, А4, А7, B8, A9) (Лот 263239)")</f>
        <v>6 TG c 1 сп. блок А (А2, А4, А7, B8, A9) (Лот 263239)</v>
      </c>
      <c r="E1988" s="1436">
        <f>IFERROR(__xludf.DUMMYFUNCTION("""COMPUTED_VALUE"""),46076.0)</f>
        <v>46076</v>
      </c>
      <c r="F1988" s="1436">
        <f>IFERROR(__xludf.DUMMYFUNCTION("""COMPUTED_VALUE"""),46104.0)</f>
        <v>46104</v>
      </c>
      <c r="G1988" s="1430">
        <f>IFERROR(__xludf.DUMMYFUNCTION("""COMPUTED_VALUE"""),28.0)</f>
        <v>28</v>
      </c>
    </row>
    <row r="1989" ht="15.75" customHeight="1">
      <c r="A1989" s="94"/>
      <c r="B1989" s="94"/>
      <c r="C1989" s="94"/>
      <c r="D1989" s="94" t="str">
        <f>IFERROR(__xludf.DUMMYFUNCTION("""COMPUTED_VALUE"""),"4 | MZ 913 | Mziuri Gardens | Studio")</f>
        <v>4 | MZ 913 | Mziuri Gardens | Studio</v>
      </c>
      <c r="E1989" s="1439">
        <f>IFERROR(__xludf.DUMMYFUNCTION("""COMPUTED_VALUE"""),46078.0)</f>
        <v>46078</v>
      </c>
      <c r="F1989" s="1436">
        <f>IFERROR(__xludf.DUMMYFUNCTION("""COMPUTED_VALUE"""),46106.0)</f>
        <v>46106</v>
      </c>
      <c r="G1989" s="1430">
        <f>IFERROR(__xludf.DUMMYFUNCTION("""COMPUTED_VALUE"""),28.0)</f>
        <v>28</v>
      </c>
    </row>
    <row r="1990" ht="15.75" customHeight="1">
      <c r="A1990" s="94" t="str">
        <f>IFERROR(__xludf.DUMMYFUNCTION("""COMPUTED_VALUE"""),"шартава 16/18")</f>
        <v>шартава 16/18</v>
      </c>
      <c r="B1990" s="94"/>
      <c r="C1990" s="94"/>
      <c r="D1990" s="94"/>
      <c r="E1990" s="1429">
        <f>IFERROR(__xludf.DUMMYFUNCTION("""COMPUTED_VALUE"""),46078.0)</f>
        <v>46078</v>
      </c>
      <c r="F1990" s="1429">
        <f>IFERROR(__xludf.DUMMYFUNCTION("""COMPUTED_VALUE"""),46105.0)</f>
        <v>46105</v>
      </c>
      <c r="G1990" s="1430">
        <f>IFERROR(__xludf.DUMMYFUNCTION("""COMPUTED_VALUE"""),27.0)</f>
        <v>27</v>
      </c>
    </row>
    <row r="1991" ht="15.75" customHeight="1">
      <c r="A1991" s="94"/>
      <c r="B1991" s="94"/>
      <c r="C1991" s="94"/>
      <c r="D1991" s="94" t="str">
        <f>IFERROR(__xludf.DUMMYFUNCTION("""COMPUTED_VALUE"""),"5 | TG B 195 | Tropical Garden | 1+1")</f>
        <v>5 | TG B 195 | Tropical Garden | 1+1</v>
      </c>
      <c r="E1991" s="1429">
        <f>IFERROR(__xludf.DUMMYFUNCTION("""COMPUTED_VALUE"""),46079.0)</f>
        <v>46079</v>
      </c>
      <c r="F1991" s="1429">
        <f>IFERROR(__xludf.DUMMYFUNCTION("""COMPUTED_VALUE"""),46093.0)</f>
        <v>46093</v>
      </c>
      <c r="G1991" s="1430">
        <f>IFERROR(__xludf.DUMMYFUNCTION("""COMPUTED_VALUE"""),14.0)</f>
        <v>14</v>
      </c>
    </row>
    <row r="1992" ht="15.75" customHeight="1">
      <c r="A1992" s="94"/>
      <c r="B1992" s="94"/>
      <c r="C1992" s="94"/>
      <c r="D1992" s="1439" t="str">
        <f>IFERROR(__xludf.DUMMYFUNCTION("""COMPUTED_VALUE"""),"1 | BV A 133 | Batumi View | 1+1")</f>
        <v>1 | BV A 133 | Batumi View | 1+1</v>
      </c>
      <c r="E1992" s="1436">
        <f>IFERROR(__xludf.DUMMYFUNCTION("""COMPUTED_VALUE"""),46080.0)</f>
        <v>46080</v>
      </c>
      <c r="F1992" s="1436">
        <f>IFERROR(__xludf.DUMMYFUNCTION("""COMPUTED_VALUE"""),46085.0)</f>
        <v>46085</v>
      </c>
      <c r="G1992" s="1430">
        <f>IFERROR(__xludf.DUMMYFUNCTION("""COMPUTED_VALUE"""),5.0)</f>
        <v>5</v>
      </c>
    </row>
    <row r="1993" ht="15.75" customHeight="1">
      <c r="A1993" s="94"/>
      <c r="B1993" s="94"/>
      <c r="C1993" s="94"/>
      <c r="D1993" s="94" t="str">
        <f>IFERROR(__xludf.DUMMYFUNCTION("""COMPUTED_VALUE"""),"1 WS F 1103 (Лот 286819)")</f>
        <v>1 WS F 1103 (Лот 286819)</v>
      </c>
      <c r="E1993" s="1436">
        <f>IFERROR(__xludf.DUMMYFUNCTION("""COMPUTED_VALUE"""),46081.0)</f>
        <v>46081</v>
      </c>
      <c r="F1993" s="1436">
        <f>IFERROR(__xludf.DUMMYFUNCTION("""COMPUTED_VALUE"""),46083.0)</f>
        <v>46083</v>
      </c>
      <c r="G1993" s="1430">
        <f>IFERROR(__xludf.DUMMYFUNCTION("""COMPUTED_VALUE"""),2.0)</f>
        <v>2</v>
      </c>
    </row>
    <row r="1994" ht="15.75" customHeight="1">
      <c r="A1994" s="2324">
        <f>IFERROR(__xludf.DUMMYFUNCTION("""COMPUTED_VALUE"""),46168.0)</f>
        <v>46168</v>
      </c>
      <c r="B1994" s="94"/>
      <c r="C1994" s="94"/>
      <c r="D1994" s="94"/>
      <c r="E1994" s="1429">
        <f>IFERROR(__xludf.DUMMYFUNCTION("""COMPUTED_VALUE"""),46081.0)</f>
        <v>46081</v>
      </c>
      <c r="F1994" s="1436">
        <f>IFERROR(__xludf.DUMMYFUNCTION("""COMPUTED_VALUE"""),46109.0)</f>
        <v>46109</v>
      </c>
      <c r="G1994" s="1430">
        <f>IFERROR(__xludf.DUMMYFUNCTION("""COMPUTED_VALUE"""),28.0)</f>
        <v>28</v>
      </c>
    </row>
    <row r="1995" ht="15.75" customHeight="1">
      <c r="A1995" s="94" t="str">
        <f>IFERROR(__xludf.DUMMYFUNCTION("""COMPUTED_VALUE"""),"Pollo 2-2")</f>
        <v>Pollo 2-2</v>
      </c>
      <c r="B1995" s="94"/>
      <c r="C1995" s="94"/>
      <c r="D1995" s="94"/>
      <c r="E1995" s="1429">
        <f>IFERROR(__xludf.DUMMYFUNCTION("""COMPUTED_VALUE"""),46081.0)</f>
        <v>46081</v>
      </c>
      <c r="F1995" s="1436">
        <f>IFERROR(__xludf.DUMMYFUNCTION("""COMPUTED_VALUE"""),46108.0)</f>
        <v>46108</v>
      </c>
      <c r="G1995" s="1430">
        <f>IFERROR(__xludf.DUMMYFUNCTION("""COMPUTED_VALUE"""),27.0)</f>
        <v>27</v>
      </c>
    </row>
    <row r="1996" ht="15.75" customHeight="1">
      <c r="A1996" s="94"/>
      <c r="B1996" s="94"/>
      <c r="C1996" s="94"/>
      <c r="D1996" s="1436" t="str">
        <f>IFERROR(__xludf.DUMMYFUNCTION("""COMPUTED_VALUE"""),"1 | WS E 1202 | White Sails |1+1")</f>
        <v>1 | WS E 1202 | White Sails |1+1</v>
      </c>
      <c r="E1996" s="1436">
        <f>IFERROR(__xludf.DUMMYFUNCTION("""COMPUTED_VALUE"""),46082.0)</f>
        <v>46082</v>
      </c>
      <c r="F1996" s="1436">
        <f>IFERROR(__xludf.DUMMYFUNCTION("""COMPUTED_VALUE"""),46112.0)</f>
        <v>46112</v>
      </c>
      <c r="G1996" s="1430">
        <f>IFERROR(__xludf.DUMMYFUNCTION("""COMPUTED_VALUE"""),30.0)</f>
        <v>30</v>
      </c>
    </row>
    <row r="1997" ht="15.75" customHeight="1">
      <c r="A1997" s="94"/>
      <c r="B1997" s="94"/>
      <c r="C1997" s="94"/>
      <c r="D1997" s="1436" t="str">
        <f>IFERROR(__xludf.DUMMYFUNCTION("""COMPUTED_VALUE"""),"1 | BV A 0514 | Batumi View | Studio")</f>
        <v>1 | BV A 0514 | Batumi View | Studio</v>
      </c>
      <c r="E1997" s="1436">
        <f>IFERROR(__xludf.DUMMYFUNCTION("""COMPUTED_VALUE"""),46082.0)</f>
        <v>46082</v>
      </c>
      <c r="F1997" s="1436">
        <f>IFERROR(__xludf.DUMMYFUNCTION("""COMPUTED_VALUE"""),46112.0)</f>
        <v>46112</v>
      </c>
      <c r="G1997" s="1430">
        <f>IFERROR(__xludf.DUMMYFUNCTION("""COMPUTED_VALUE"""),30.0)</f>
        <v>30</v>
      </c>
    </row>
    <row r="1998" ht="15.75" customHeight="1">
      <c r="A1998" s="94" t="str">
        <f>IFERROR(__xludf.DUMMYFUNCTION("""COMPUTED_VALUE"""),"CM 1931")</f>
        <v>CM 1931</v>
      </c>
      <c r="B1998" s="94"/>
      <c r="C1998" s="94"/>
      <c r="D1998" s="94"/>
      <c r="E1998" s="1436">
        <f>IFERROR(__xludf.DUMMYFUNCTION("""COMPUTED_VALUE"""),46082.0)</f>
        <v>46082</v>
      </c>
      <c r="F1998" s="1436">
        <f>IFERROR(__xludf.DUMMYFUNCTION("""COMPUTED_VALUE"""),46101.0)</f>
        <v>46101</v>
      </c>
      <c r="G1998" s="1430">
        <f>IFERROR(__xludf.DUMMYFUNCTION("""COMPUTED_VALUE"""),19.0)</f>
        <v>19</v>
      </c>
    </row>
    <row r="1999" ht="15.75" customHeight="1">
      <c r="A1999" s="94" t="str">
        <f>IFERROR(__xludf.DUMMYFUNCTION("""COMPUTED_VALUE"""),"TGB3")</f>
        <v>TGB3</v>
      </c>
      <c r="B1999" s="94"/>
      <c r="C1999" s="94"/>
      <c r="D1999" s="431" t="str">
        <f>IFERROR(__xludf.DUMMYFUNCTION("""COMPUTED_VALUE"""),"6 TG Студии эконом блок Б (Б2, Б3, Б4) (Лот 268016)")</f>
        <v>6 TG Студии эконом блок Б (Б2, Б3, Б4) (Лот 268016)</v>
      </c>
      <c r="E1999" s="1436">
        <f>IFERROR(__xludf.DUMMYFUNCTION("""COMPUTED_VALUE"""),46082.0)</f>
        <v>46082</v>
      </c>
      <c r="F1999" s="1436">
        <f>IFERROR(__xludf.DUMMYFUNCTION("""COMPUTED_VALUE"""),46112.0)</f>
        <v>46112</v>
      </c>
      <c r="G1999" s="1430">
        <f>IFERROR(__xludf.DUMMYFUNCTION("""COMPUTED_VALUE"""),30.0)</f>
        <v>30</v>
      </c>
    </row>
    <row r="2000" ht="15.75" customHeight="1">
      <c r="A2000" s="94" t="str">
        <f>IFERROR(__xludf.DUMMYFUNCTION("""COMPUTED_VALUE"""),"DL7-16")</f>
        <v>DL7-16</v>
      </c>
      <c r="B2000" s="94"/>
      <c r="C2000" s="94"/>
      <c r="D2000" s="94"/>
      <c r="E2000" s="1436">
        <f>IFERROR(__xludf.DUMMYFUNCTION("""COMPUTED_VALUE"""),46082.0)</f>
        <v>46082</v>
      </c>
      <c r="F2000" s="1436">
        <f>IFERROR(__xludf.DUMMYFUNCTION("""COMPUTED_VALUE"""),46108.0)</f>
        <v>46108</v>
      </c>
      <c r="G2000" s="1430">
        <f>IFERROR(__xludf.DUMMYFUNCTION("""COMPUTED_VALUE"""),26.0)</f>
        <v>26</v>
      </c>
    </row>
    <row r="2001" ht="15.75" customHeight="1">
      <c r="A2001" s="94"/>
      <c r="B2001" s="94"/>
      <c r="C2001" s="94"/>
      <c r="D2001" s="94" t="str">
        <f>IFERROR(__xludf.DUMMYFUNCTION("""COMPUTED_VALUE"""),"1 | BV A 225 | Batumi View | 1+1")</f>
        <v>1 | BV A 225 | Batumi View | 1+1</v>
      </c>
      <c r="E2001" s="1436">
        <f>IFERROR(__xludf.DUMMYFUNCTION("""COMPUTED_VALUE"""),46082.0)</f>
        <v>46082</v>
      </c>
      <c r="F2001" s="1436">
        <f>IFERROR(__xludf.DUMMYFUNCTION("""COMPUTED_VALUE"""),46112.0)</f>
        <v>46112</v>
      </c>
      <c r="G2001" s="1430">
        <f>IFERROR(__xludf.DUMMYFUNCTION("""COMPUTED_VALUE"""),30.0)</f>
        <v>30</v>
      </c>
    </row>
    <row r="2002" ht="15.75" customHeight="1">
      <c r="A2002" s="94"/>
      <c r="B2002" s="94"/>
      <c r="C2002" s="94"/>
      <c r="D2002" s="1436" t="str">
        <f>IFERROR(__xludf.DUMMYFUNCTION("""COMPUTED_VALUE"""),"1 | BV C 137 | Batumi View | Studio")</f>
        <v>1 | BV C 137 | Batumi View | Studio</v>
      </c>
      <c r="E2002" s="1436">
        <f>IFERROR(__xludf.DUMMYFUNCTION("""COMPUTED_VALUE"""),46082.0)</f>
        <v>46082</v>
      </c>
      <c r="F2002" s="1436">
        <f>IFERROR(__xludf.DUMMYFUNCTION("""COMPUTED_VALUE"""),46083.0)</f>
        <v>46083</v>
      </c>
      <c r="G2002" s="1430">
        <f>IFERROR(__xludf.DUMMYFUNCTION("""COMPUTED_VALUE"""),1.0)</f>
        <v>1</v>
      </c>
    </row>
    <row r="2003" ht="15.75" customHeight="1">
      <c r="A2003" s="94"/>
      <c r="B2003" s="94"/>
      <c r="C2003" s="94"/>
      <c r="D2003" s="94" t="str">
        <f>IFERROR(__xludf.DUMMYFUNCTION("""COMPUTED_VALUE"""),"1 | BV A 164 | Batumi View | 1+1")</f>
        <v>1 | BV A 164 | Batumi View | 1+1</v>
      </c>
      <c r="E2003" s="1436">
        <f>IFERROR(__xludf.DUMMYFUNCTION("""COMPUTED_VALUE"""),46082.0)</f>
        <v>46082</v>
      </c>
      <c r="F2003" s="1436">
        <f>IFERROR(__xludf.DUMMYFUNCTION("""COMPUTED_VALUE"""),46112.0)</f>
        <v>46112</v>
      </c>
      <c r="G2003" s="1430">
        <f>IFERROR(__xludf.DUMMYFUNCTION("""COMPUTED_VALUE"""),30.0)</f>
        <v>30</v>
      </c>
    </row>
    <row r="2004" ht="15.75" customHeight="1">
      <c r="A2004" s="94"/>
      <c r="B2004" s="94"/>
      <c r="C2004" s="94"/>
      <c r="D2004" s="94" t="str">
        <f>IFERROR(__xludf.DUMMYFUNCTION("""COMPUTED_VALUE"""),"1 | BV B 1318 | Batumi View | Studio")</f>
        <v>1 | BV B 1318 | Batumi View | Studio</v>
      </c>
      <c r="E2004" s="1436">
        <f>IFERROR(__xludf.DUMMYFUNCTION("""COMPUTED_VALUE"""),46082.0)</f>
        <v>46082</v>
      </c>
      <c r="F2004" s="1436">
        <f>IFERROR(__xludf.DUMMYFUNCTION("""COMPUTED_VALUE"""),46112.0)</f>
        <v>46112</v>
      </c>
      <c r="G2004" s="1430">
        <f>IFERROR(__xludf.DUMMYFUNCTION("""COMPUTED_VALUE"""),30.0)</f>
        <v>30</v>
      </c>
    </row>
    <row r="2005" ht="15.75" customHeight="1">
      <c r="A2005" s="94" t="str">
        <f>IFERROR(__xludf.DUMMYFUNCTION("""COMPUTED_VALUE"""),"TGA7")</f>
        <v>TGA7</v>
      </c>
      <c r="B2005" s="94"/>
      <c r="C2005" s="94"/>
      <c r="D2005" s="94"/>
      <c r="E2005" s="1436">
        <f>IFERROR(__xludf.DUMMYFUNCTION("""COMPUTED_VALUE"""),46082.0)</f>
        <v>46082</v>
      </c>
      <c r="F2005" s="1436">
        <f>IFERROR(__xludf.DUMMYFUNCTION("""COMPUTED_VALUE"""),46098.0)</f>
        <v>46098</v>
      </c>
      <c r="G2005" s="1430">
        <f>IFERROR(__xludf.DUMMYFUNCTION("""COMPUTED_VALUE"""),16.0)</f>
        <v>16</v>
      </c>
    </row>
    <row r="2006" ht="15.75" customHeight="1">
      <c r="A2006" s="94"/>
      <c r="B2006" s="94"/>
      <c r="C2006" s="94"/>
      <c r="D2006" s="94" t="str">
        <f>IFERROR(__xludf.DUMMYFUNCTION("""COMPUTED_VALUE"""),"4 | MZ 718 | Mziuri Gardens | Studio")</f>
        <v>4 | MZ 718 | Mziuri Gardens | Studio</v>
      </c>
      <c r="E2006" s="1436">
        <f>IFERROR(__xludf.DUMMYFUNCTION("""COMPUTED_VALUE"""),46082.0)</f>
        <v>46082</v>
      </c>
      <c r="F2006" s="1436">
        <f>IFERROR(__xludf.DUMMYFUNCTION("""COMPUTED_VALUE"""),46111.0)</f>
        <v>46111</v>
      </c>
      <c r="G2006" s="1430">
        <f>IFERROR(__xludf.DUMMYFUNCTION("""COMPUTED_VALUE"""),29.0)</f>
        <v>29</v>
      </c>
    </row>
    <row r="2007" ht="15.75" customHeight="1">
      <c r="A2007" s="94"/>
      <c r="B2007" s="94"/>
      <c r="C2007" s="94"/>
      <c r="D2007" s="94" t="str">
        <f>IFERROR(__xludf.DUMMYFUNCTION("""COMPUTED_VALUE"""),"1 OBT 2910")</f>
        <v>1 OBT 2910</v>
      </c>
      <c r="E2007" s="1436">
        <f>IFERROR(__xludf.DUMMYFUNCTION("""COMPUTED_VALUE"""),46083.0)</f>
        <v>46083</v>
      </c>
      <c r="F2007" s="1436">
        <f>IFERROR(__xludf.DUMMYFUNCTION("""COMPUTED_VALUE"""),46111.0)</f>
        <v>46111</v>
      </c>
      <c r="G2007" s="1430">
        <f>IFERROR(__xludf.DUMMYFUNCTION("""COMPUTED_VALUE"""),28.0)</f>
        <v>28</v>
      </c>
    </row>
    <row r="2008" ht="15.75" customHeight="1">
      <c r="A2008" s="94"/>
      <c r="B2008" s="94"/>
      <c r="C2008" s="94"/>
      <c r="D2008" s="94" t="str">
        <f>IFERROR(__xludf.DUMMYFUNCTION("""COMPUTED_VALUE"""),"1 WS F 1103 ")</f>
        <v>1 WS F 1103 </v>
      </c>
      <c r="E2008" s="1436">
        <f>IFERROR(__xludf.DUMMYFUNCTION("""COMPUTED_VALUE"""),46083.0)</f>
        <v>46083</v>
      </c>
      <c r="F2008" s="1436">
        <f>IFERROR(__xludf.DUMMYFUNCTION("""COMPUTED_VALUE"""),46115.0)</f>
        <v>46115</v>
      </c>
      <c r="G2008" s="1430">
        <f>IFERROR(__xludf.DUMMYFUNCTION("""COMPUTED_VALUE"""),32.0)</f>
        <v>32</v>
      </c>
    </row>
    <row r="2009" ht="15.75" customHeight="1">
      <c r="A2009" s="94"/>
      <c r="B2009" s="94"/>
      <c r="C2009" s="94"/>
      <c r="D2009" s="94" t="str">
        <f>IFERROR(__xludf.DUMMYFUNCTION("""COMPUTED_VALUE"""),"1 WS F 907")</f>
        <v>1 WS F 907</v>
      </c>
      <c r="E2009" s="1436">
        <f>IFERROR(__xludf.DUMMYFUNCTION("""COMPUTED_VALUE"""),46083.0)</f>
        <v>46083</v>
      </c>
      <c r="F2009" s="1436">
        <f>IFERROR(__xludf.DUMMYFUNCTION("""COMPUTED_VALUE"""),46113.0)</f>
        <v>46113</v>
      </c>
      <c r="G2009" s="1430">
        <f>IFERROR(__xludf.DUMMYFUNCTION("""COMPUTED_VALUE"""),30.0)</f>
        <v>30</v>
      </c>
    </row>
    <row r="2010" ht="15.75" customHeight="1">
      <c r="A2010" s="94"/>
      <c r="B2010" s="94"/>
      <c r="C2010" s="94"/>
      <c r="D2010" s="1436" t="str">
        <f>IFERROR(__xludf.DUMMYFUNCTION("""COMPUTED_VALUE"""),"2 | Orbi C 4245 | Orbi Sity | 1+1")</f>
        <v>2 | Orbi C 4245 | Orbi Sity | 1+1</v>
      </c>
      <c r="E2010" s="1436">
        <f>IFERROR(__xludf.DUMMYFUNCTION("""COMPUTED_VALUE"""),46083.0)</f>
        <v>46083</v>
      </c>
      <c r="F2010" s="1436">
        <f>IFERROR(__xludf.DUMMYFUNCTION("""COMPUTED_VALUE"""),46113.0)</f>
        <v>46113</v>
      </c>
      <c r="G2010" s="1430">
        <f>IFERROR(__xludf.DUMMYFUNCTION("""COMPUTED_VALUE"""),30.0)</f>
        <v>30</v>
      </c>
    </row>
    <row r="2011" ht="15.75" customHeight="1">
      <c r="A2011" s="94"/>
      <c r="B2011" s="94"/>
      <c r="C2011" s="94"/>
      <c r="D2011" s="431" t="str">
        <f>IFERROR(__xludf.DUMMYFUNCTION("""COMPUTED_VALUE"""),"2 Orbi D 3902 (Лот 293635)")</f>
        <v>2 Orbi D 3902 (Лот 293635)</v>
      </c>
      <c r="E2011" s="1436">
        <f>IFERROR(__xludf.DUMMYFUNCTION("""COMPUTED_VALUE"""),46083.0)</f>
        <v>46083</v>
      </c>
      <c r="F2011" s="1436">
        <f>IFERROR(__xludf.DUMMYFUNCTION("""COMPUTED_VALUE"""),46114.0)</f>
        <v>46114</v>
      </c>
      <c r="G2011" s="1430">
        <f>IFERROR(__xludf.DUMMYFUNCTION("""COMPUTED_VALUE"""),31.0)</f>
        <v>31</v>
      </c>
    </row>
    <row r="2012" ht="15.75" customHeight="1">
      <c r="A2012" s="94" t="str">
        <f>IFERROR(__xludf.DUMMYFUNCTION("""COMPUTED_VALUE"""),"TGA3")</f>
        <v>TGA3</v>
      </c>
      <c r="B2012" s="94"/>
      <c r="C2012" s="94"/>
      <c r="D2012" s="94"/>
      <c r="E2012" s="1436">
        <f>IFERROR(__xludf.DUMMYFUNCTION("""COMPUTED_VALUE"""),46084.0)</f>
        <v>46084</v>
      </c>
      <c r="F2012" s="1436">
        <f>IFERROR(__xludf.DUMMYFUNCTION("""COMPUTED_VALUE"""),46115.0)</f>
        <v>46115</v>
      </c>
      <c r="G2012" s="1430">
        <f>IFERROR(__xludf.DUMMYFUNCTION("""COMPUTED_VALUE"""),31.0)</f>
        <v>31</v>
      </c>
    </row>
    <row r="2013" ht="15.75" customHeight="1">
      <c r="A2013" s="94" t="str">
        <f>IFERROR(__xludf.DUMMYFUNCTION("""COMPUTED_VALUE"""),"TGB3")</f>
        <v>TGB3</v>
      </c>
      <c r="B2013" s="94"/>
      <c r="C2013" s="94"/>
      <c r="D2013" s="94"/>
      <c r="E2013" s="1436">
        <f>IFERROR(__xludf.DUMMYFUNCTION("""COMPUTED_VALUE"""),46084.0)</f>
        <v>46084</v>
      </c>
      <c r="F2013" s="1436">
        <f>IFERROR(__xludf.DUMMYFUNCTION("""COMPUTED_VALUE"""),46114.0)</f>
        <v>46114</v>
      </c>
      <c r="G2013" s="1430">
        <f>IFERROR(__xludf.DUMMYFUNCTION("""COMPUTED_VALUE"""),30.0)</f>
        <v>30</v>
      </c>
    </row>
    <row r="2014" ht="15.75" customHeight="1">
      <c r="A2014" s="94" t="str">
        <f>IFERROR(__xludf.DUMMYFUNCTION("""COMPUTED_VALUE"""),"DL14-518")</f>
        <v>DL14-518</v>
      </c>
      <c r="B2014" s="94"/>
      <c r="C2014" s="94"/>
      <c r="D2014" s="94"/>
      <c r="E2014" s="1436">
        <f>IFERROR(__xludf.DUMMYFUNCTION("""COMPUTED_VALUE"""),46084.0)</f>
        <v>46084</v>
      </c>
      <c r="F2014" s="1436">
        <f>IFERROR(__xludf.DUMMYFUNCTION("""COMPUTED_VALUE"""),46087.0)</f>
        <v>46087</v>
      </c>
      <c r="G2014" s="1430">
        <f>IFERROR(__xludf.DUMMYFUNCTION("""COMPUTED_VALUE"""),3.0)</f>
        <v>3</v>
      </c>
    </row>
    <row r="2015" ht="15.75" customHeight="1">
      <c r="A2015" s="94"/>
      <c r="B2015" s="94"/>
      <c r="C2015" s="94"/>
      <c r="D2015" s="94" t="str">
        <f>IFERROR(__xludf.DUMMYFUNCTION("""COMPUTED_VALUE"""),"1 | MC A 708 | Metro City | Studio")</f>
        <v>1 | MC A 708 | Metro City | Studio</v>
      </c>
      <c r="E2015" s="1436">
        <f>IFERROR(__xludf.DUMMYFUNCTION("""COMPUTED_VALUE"""),46084.0)</f>
        <v>46084</v>
      </c>
      <c r="F2015" s="1436">
        <f>IFERROR(__xludf.DUMMYFUNCTION("""COMPUTED_VALUE"""),46088.0)</f>
        <v>46088</v>
      </c>
      <c r="G2015" s="1430">
        <f>IFERROR(__xludf.DUMMYFUNCTION("""COMPUTED_VALUE"""),4.0)</f>
        <v>4</v>
      </c>
    </row>
    <row r="2016" ht="15.75" customHeight="1">
      <c r="A2016" s="94"/>
      <c r="B2016" s="94"/>
      <c r="C2016" s="94"/>
      <c r="D2016" s="94" t="str">
        <f>IFERROR(__xludf.DUMMYFUNCTION("""COMPUTED_VALUE"""),"3. BG 227 (Лот 322491)")</f>
        <v>3. BG 227 (Лот 322491)</v>
      </c>
      <c r="E2016" s="1436">
        <f>IFERROR(__xludf.DUMMYFUNCTION("""COMPUTED_VALUE"""),46085.0)</f>
        <v>46085</v>
      </c>
      <c r="F2016" s="1436">
        <f>IFERROR(__xludf.DUMMYFUNCTION("""COMPUTED_VALUE"""),46115.0)</f>
        <v>46115</v>
      </c>
      <c r="G2016" s="1430">
        <f>IFERROR(__xludf.DUMMYFUNCTION("""COMPUTED_VALUE"""),30.0)</f>
        <v>30</v>
      </c>
    </row>
    <row r="2017" ht="15.75" customHeight="1">
      <c r="A2017" s="94"/>
      <c r="B2017" s="94"/>
      <c r="C2017" s="94"/>
      <c r="D2017" s="94" t="str">
        <f>IFERROR(__xludf.DUMMYFUNCTION("""COMPUTED_VALUE"""),"PT2704")</f>
        <v>PT2704</v>
      </c>
      <c r="E2017" s="1436">
        <f>IFERROR(__xludf.DUMMYFUNCTION("""COMPUTED_VALUE"""),46086.0)</f>
        <v>46086</v>
      </c>
      <c r="F2017" s="1436">
        <f>IFERROR(__xludf.DUMMYFUNCTION("""COMPUTED_VALUE"""),46089.0)</f>
        <v>46089</v>
      </c>
      <c r="G2017" s="1430">
        <f>IFERROR(__xludf.DUMMYFUNCTION("""COMPUTED_VALUE"""),3.0)</f>
        <v>3</v>
      </c>
    </row>
    <row r="2018" ht="15.75" customHeight="1">
      <c r="A2018" s="94"/>
      <c r="B2018" s="94"/>
      <c r="C2018" s="94"/>
      <c r="D2018" s="1439" t="str">
        <f>IFERROR(__xludf.DUMMYFUNCTION("""COMPUTED_VALUE"""),"2 | Mar 1606 | Courtyard by Marriott | Studio")</f>
        <v>2 | Mar 1606 | Courtyard by Marriott | Studio</v>
      </c>
      <c r="E2018" s="1436">
        <f>IFERROR(__xludf.DUMMYFUNCTION("""COMPUTED_VALUE"""),46086.0)</f>
        <v>46086</v>
      </c>
      <c r="F2018" s="1436">
        <f>IFERROR(__xludf.DUMMYFUNCTION("""COMPUTED_VALUE"""),46104.0)</f>
        <v>46104</v>
      </c>
      <c r="G2018" s="1430">
        <f>IFERROR(__xludf.DUMMYFUNCTION("""COMPUTED_VALUE"""),18.0)</f>
        <v>18</v>
      </c>
    </row>
    <row r="2019" ht="15.75" customHeight="1">
      <c r="A2019" s="94"/>
      <c r="B2019" s="94"/>
      <c r="C2019" s="94"/>
      <c r="D2019" s="1439" t="str">
        <f>IFERROR(__xludf.DUMMYFUNCTION("""COMPUTED_VALUE"""),"3 | DZ 12 | Old town | 1+1")</f>
        <v>3 | DZ 12 | Old town | 1+1</v>
      </c>
      <c r="E2019" s="1436">
        <f>IFERROR(__xludf.DUMMYFUNCTION("""COMPUTED_VALUE"""),46086.0)</f>
        <v>46086</v>
      </c>
      <c r="F2019" s="1436">
        <f>IFERROR(__xludf.DUMMYFUNCTION("""COMPUTED_VALUE"""),46088.0)</f>
        <v>46088</v>
      </c>
      <c r="G2019" s="1430">
        <f>IFERROR(__xludf.DUMMYFUNCTION("""COMPUTED_VALUE"""),2.0)</f>
        <v>2</v>
      </c>
    </row>
    <row r="2020" ht="15.75" customHeight="1">
      <c r="A2020" s="94"/>
      <c r="B2020" s="94"/>
      <c r="C2020" s="94"/>
      <c r="D2020" s="94" t="str">
        <f>IFERROR(__xludf.DUMMYFUNCTION("""COMPUTED_VALUE"""),"1 | WS E 704 | White Sails |Studio")</f>
        <v>1 | WS E 704 | White Sails |Studio</v>
      </c>
      <c r="E2020" s="1436">
        <f>IFERROR(__xludf.DUMMYFUNCTION("""COMPUTED_VALUE"""),46087.0)</f>
        <v>46087</v>
      </c>
      <c r="F2020" s="1436">
        <f>IFERROR(__xludf.DUMMYFUNCTION("""COMPUTED_VALUE"""),46117.0)</f>
        <v>46117</v>
      </c>
      <c r="G2020" s="1430">
        <f>IFERROR(__xludf.DUMMYFUNCTION("""COMPUTED_VALUE"""),30.0)</f>
        <v>30</v>
      </c>
    </row>
    <row r="2021" ht="15.75" customHeight="1">
      <c r="A2021" s="94"/>
      <c r="B2021" s="94"/>
      <c r="C2021" s="94"/>
      <c r="D2021" s="94" t="str">
        <f>IFERROR(__xludf.DUMMYFUNCTION("""COMPUTED_VALUE"""),"1 | WS E 804| White Sails |Studio")</f>
        <v>1 | WS E 804| White Sails |Studio</v>
      </c>
      <c r="E2021" s="1436">
        <f>IFERROR(__xludf.DUMMYFUNCTION("""COMPUTED_VALUE"""),46087.0)</f>
        <v>46087</v>
      </c>
      <c r="F2021" s="1436">
        <f>IFERROR(__xludf.DUMMYFUNCTION("""COMPUTED_VALUE"""),46117.0)</f>
        <v>46117</v>
      </c>
      <c r="G2021" s="1430">
        <f>IFERROR(__xludf.DUMMYFUNCTION("""COMPUTED_VALUE"""),30.0)</f>
        <v>30</v>
      </c>
    </row>
    <row r="2022" ht="15.75" customHeight="1">
      <c r="A2022" s="94"/>
      <c r="B2022" s="94"/>
      <c r="C2022" s="94"/>
      <c r="D2022" s="94" t="str">
        <f>IFERROR(__xludf.DUMMYFUNCTION("""COMPUTED_VALUE"""),"2 | Mar 1327 | Courtyard by Marriott | 1+1")</f>
        <v>2 | Mar 1327 | Courtyard by Marriott | 1+1</v>
      </c>
      <c r="E2022" s="1436">
        <f>IFERROR(__xludf.DUMMYFUNCTION("""COMPUTED_VALUE"""),46087.0)</f>
        <v>46087</v>
      </c>
      <c r="F2022" s="1436">
        <f>IFERROR(__xludf.DUMMYFUNCTION("""COMPUTED_VALUE"""),46092.0)</f>
        <v>46092</v>
      </c>
      <c r="G2022" s="1430">
        <f>IFERROR(__xludf.DUMMYFUNCTION("""COMPUTED_VALUE"""),5.0)</f>
        <v>5</v>
      </c>
    </row>
    <row r="2023" ht="15.75" customHeight="1">
      <c r="A2023" s="94"/>
      <c r="B2023" s="94"/>
      <c r="C2023" s="94"/>
      <c r="D2023" s="94" t="str">
        <f>IFERROR(__xludf.DUMMYFUNCTION("""COMPUTED_VALUE"""),"2 | Mar 1304 | Courtyard by Marriott | 1+1")</f>
        <v>2 | Mar 1304 | Courtyard by Marriott | 1+1</v>
      </c>
      <c r="E2023" s="1436">
        <f>IFERROR(__xludf.DUMMYFUNCTION("""COMPUTED_VALUE"""),46087.0)</f>
        <v>46087</v>
      </c>
      <c r="F2023" s="1436">
        <f>IFERROR(__xludf.DUMMYFUNCTION("""COMPUTED_VALUE"""),46090.0)</f>
        <v>46090</v>
      </c>
      <c r="G2023" s="1430">
        <f>IFERROR(__xludf.DUMMYFUNCTION("""COMPUTED_VALUE"""),3.0)</f>
        <v>3</v>
      </c>
    </row>
    <row r="2024" ht="15.75" customHeight="1">
      <c r="A2024" s="94"/>
      <c r="B2024" s="94"/>
      <c r="C2024" s="94"/>
      <c r="D2024" s="94" t="str">
        <f>IFERROR(__xludf.DUMMYFUNCTION("""COMPUTED_VALUE"""),"3 NW 205 (Лот 295811)")</f>
        <v>3 NW 205 (Лот 295811)</v>
      </c>
      <c r="E2024" s="1436">
        <f>IFERROR(__xludf.DUMMYFUNCTION("""COMPUTED_VALUE"""),46088.0)</f>
        <v>46088</v>
      </c>
      <c r="F2024" s="1436">
        <f>IFERROR(__xludf.DUMMYFUNCTION("""COMPUTED_VALUE"""),46095.0)</f>
        <v>46095</v>
      </c>
      <c r="G2024" s="1430">
        <f>IFERROR(__xludf.DUMMYFUNCTION("""COMPUTED_VALUE"""),7.0)</f>
        <v>7</v>
      </c>
    </row>
    <row r="2025" ht="15.75" customHeight="1">
      <c r="A2025" s="94" t="str">
        <f>IFERROR(__xludf.DUMMYFUNCTION("""COMPUTED_VALUE"""),"D2 503")</f>
        <v>D2 503</v>
      </c>
      <c r="B2025" s="94"/>
      <c r="C2025" s="94"/>
      <c r="D2025" s="431" t="str">
        <f>IFERROR(__xludf.DUMMYFUNCTION("""COMPUTED_VALUE"""),"2 Orbi D2 503 (Лот 291554)")</f>
        <v>2 Orbi D2 503 (Лот 291554)</v>
      </c>
      <c r="E2025" s="1436">
        <f>IFERROR(__xludf.DUMMYFUNCTION("""COMPUTED_VALUE"""),46089.0)</f>
        <v>46089</v>
      </c>
      <c r="F2025" s="1436">
        <f>IFERROR(__xludf.DUMMYFUNCTION("""COMPUTED_VALUE"""),46119.0)</f>
        <v>46119</v>
      </c>
      <c r="G2025" s="1430">
        <f>IFERROR(__xludf.DUMMYFUNCTION("""COMPUTED_VALUE"""),30.0)</f>
        <v>30</v>
      </c>
    </row>
    <row r="2026" ht="15.75" customHeight="1">
      <c r="A2026" s="94"/>
      <c r="B2026" s="94"/>
      <c r="C2026" s="94"/>
      <c r="D2026" s="1436" t="str">
        <f>IFERROR(__xludf.DUMMYFUNCTION("""COMPUTED_VALUE"""),"BV A 145")</f>
        <v>BV A 145</v>
      </c>
      <c r="E2026" s="1436">
        <f>IFERROR(__xludf.DUMMYFUNCTION("""COMPUTED_VALUE"""),46089.0)</f>
        <v>46089</v>
      </c>
      <c r="F2026" s="1436">
        <f>IFERROR(__xludf.DUMMYFUNCTION("""COMPUTED_VALUE"""),46119.0)</f>
        <v>46119</v>
      </c>
      <c r="G2026" s="1430">
        <f>IFERROR(__xludf.DUMMYFUNCTION("""COMPUTED_VALUE"""),30.0)</f>
        <v>30</v>
      </c>
    </row>
    <row r="2027" ht="15.75" customHeight="1">
      <c r="A2027" s="94"/>
      <c r="B2027" s="94"/>
      <c r="C2027" s="94"/>
      <c r="D2027" s="431" t="str">
        <f>IFERROR(__xludf.DUMMYFUNCTION("""COMPUTED_VALUE"""),"1 WS B 807 (Лот 317903)")</f>
        <v>1 WS B 807 (Лот 317903)</v>
      </c>
      <c r="E2027" s="1436">
        <f>IFERROR(__xludf.DUMMYFUNCTION("""COMPUTED_VALUE"""),46090.0)</f>
        <v>46090</v>
      </c>
      <c r="F2027" s="1436">
        <f>IFERROR(__xludf.DUMMYFUNCTION("""COMPUTED_VALUE"""),46128.0)</f>
        <v>46128</v>
      </c>
      <c r="G2027" s="1430">
        <f>IFERROR(__xludf.DUMMYFUNCTION("""COMPUTED_VALUE"""),38.0)</f>
        <v>38</v>
      </c>
    </row>
    <row r="2028" ht="15.75" customHeight="1">
      <c r="A2028" s="94" t="str">
        <f>IFERROR(__xludf.DUMMYFUNCTION("""COMPUTED_VALUE"""),"Pollo 3-5")</f>
        <v>Pollo 3-5</v>
      </c>
      <c r="B2028" s="94"/>
      <c r="C2028" s="94"/>
      <c r="D2028" s="94"/>
      <c r="E2028" s="1429">
        <f>IFERROR(__xludf.DUMMYFUNCTION("""COMPUTED_VALUE"""),46091.0)</f>
        <v>46091</v>
      </c>
      <c r="F2028" s="1429">
        <f>IFERROR(__xludf.DUMMYFUNCTION("""COMPUTED_VALUE"""),46121.0)</f>
        <v>46121</v>
      </c>
      <c r="G2028" s="1430">
        <f>IFERROR(__xludf.DUMMYFUNCTION("""COMPUTED_VALUE"""),30.0)</f>
        <v>30</v>
      </c>
    </row>
    <row r="2029" ht="15.75" customHeight="1">
      <c r="A2029" s="94" t="str">
        <f>IFERROR(__xludf.DUMMYFUNCTION("""COMPUTED_VALUE"""),"Пиросмани 162")</f>
        <v>Пиросмани 162</v>
      </c>
      <c r="B2029" s="94"/>
      <c r="C2029" s="94"/>
      <c r="D2029" s="94"/>
      <c r="E2029" s="1429">
        <f>IFERROR(__xludf.DUMMYFUNCTION("""COMPUTED_VALUE"""),46091.0)</f>
        <v>46091</v>
      </c>
      <c r="F2029" s="1429">
        <f>IFERROR(__xludf.DUMMYFUNCTION("""COMPUTED_VALUE"""),46121.0)</f>
        <v>46121</v>
      </c>
      <c r="G2029" s="1430">
        <f>IFERROR(__xludf.DUMMYFUNCTION("""COMPUTED_VALUE"""),30.0)</f>
        <v>30</v>
      </c>
    </row>
    <row r="2030" ht="15.75" customHeight="1">
      <c r="A2030" s="94"/>
      <c r="B2030" s="94"/>
      <c r="C2030" s="94"/>
      <c r="D2030" s="94" t="str">
        <f>IFERROR(__xludf.DUMMYFUNCTION("""COMPUTED_VALUE"""),"1 WS B 1510 (Лот 233316)")</f>
        <v>1 WS B 1510 (Лот 233316)</v>
      </c>
      <c r="E2030" s="1436">
        <f>IFERROR(__xludf.DUMMYFUNCTION("""COMPUTED_VALUE"""),46091.0)</f>
        <v>46091</v>
      </c>
      <c r="F2030" s="1436">
        <f>IFERROR(__xludf.DUMMYFUNCTION("""COMPUTED_VALUE"""),46122.0)</f>
        <v>46122</v>
      </c>
      <c r="G2030" s="1430">
        <f>IFERROR(__xludf.DUMMYFUNCTION("""COMPUTED_VALUE"""),31.0)</f>
        <v>31</v>
      </c>
    </row>
    <row r="2031" ht="15.75" customHeight="1">
      <c r="A2031" s="94"/>
      <c r="B2031" s="94"/>
      <c r="C2031" s="94"/>
      <c r="D2031" s="94" t="str">
        <f>IFERROR(__xludf.DUMMYFUNCTION("""COMPUTED_VALUE"""),"4. TG 195 (Лот 297147)")</f>
        <v>4. TG 195 (Лот 297147)</v>
      </c>
      <c r="E2031" s="1436">
        <f>IFERROR(__xludf.DUMMYFUNCTION("""COMPUTED_VALUE"""),46092.0)</f>
        <v>46092</v>
      </c>
      <c r="F2031" s="1436">
        <f>IFERROR(__xludf.DUMMYFUNCTION("""COMPUTED_VALUE"""),46107.0)</f>
        <v>46107</v>
      </c>
      <c r="G2031" s="1430">
        <f>IFERROR(__xludf.DUMMYFUNCTION("""COMPUTED_VALUE"""),15.0)</f>
        <v>15</v>
      </c>
    </row>
    <row r="2032" ht="15.75" customHeight="1">
      <c r="A2032" s="431" t="str">
        <f>IFERROR(__xludf.DUMMYFUNCTION("""COMPUTED_VALUE"""),"1. WH 176 (Лот 318650)")</f>
        <v>1. WH 176 (Лот 318650)</v>
      </c>
      <c r="B2032" s="94"/>
      <c r="C2032" s="94"/>
      <c r="D2032" s="431" t="str">
        <f>IFERROR(__xludf.DUMMYFUNCTION("""COMPUTED_VALUE"""),"1. WH 176 (Лот 318650)")</f>
        <v>1. WH 176 (Лот 318650)</v>
      </c>
      <c r="E2032" s="1436">
        <f>IFERROR(__xludf.DUMMYFUNCTION("""COMPUTED_VALUE"""),46092.0)</f>
        <v>46092</v>
      </c>
      <c r="F2032" s="1436">
        <f>IFERROR(__xludf.DUMMYFUNCTION("""COMPUTED_VALUE"""),46123.0)</f>
        <v>46123</v>
      </c>
      <c r="G2032" s="1430">
        <f>IFERROR(__xludf.DUMMYFUNCTION("""COMPUTED_VALUE"""),31.0)</f>
        <v>31</v>
      </c>
    </row>
    <row r="2033" ht="15.75" customHeight="1">
      <c r="A2033" s="94"/>
      <c r="B2033" s="94"/>
      <c r="C2033" s="94"/>
      <c r="D2033" s="94" t="str">
        <f>IFERROR(__xludf.DUMMYFUNCTION("""COMPUTED_VALUE"""),"2 | Mar 1327 | Courtyard by Marriott | 1+1")</f>
        <v>2 | Mar 1327 | Courtyard by Marriott | 1+1</v>
      </c>
      <c r="E2033" s="1436">
        <f>IFERROR(__xludf.DUMMYFUNCTION("""COMPUTED_VALUE"""),46092.0)</f>
        <v>46092</v>
      </c>
      <c r="F2033" s="1436">
        <f>IFERROR(__xludf.DUMMYFUNCTION("""COMPUTED_VALUE"""),46093.0)</f>
        <v>46093</v>
      </c>
      <c r="G2033" s="1430">
        <f>IFERROR(__xludf.DUMMYFUNCTION("""COMPUTED_VALUE"""),1.0)</f>
        <v>1</v>
      </c>
    </row>
    <row r="2034" ht="15.75" customHeight="1">
      <c r="A2034" s="94"/>
      <c r="B2034" s="94"/>
      <c r="C2034" s="94"/>
      <c r="D2034" s="94" t="str">
        <f>IFERROR(__xludf.DUMMYFUNCTION("""COMPUTED_VALUE"""),"2 | NW 307 | Next White | Studio")</f>
        <v>2 | NW 307 | Next White | Studio</v>
      </c>
      <c r="E2034" s="1436">
        <f>IFERROR(__xludf.DUMMYFUNCTION("""COMPUTED_VALUE"""),46093.0)</f>
        <v>46093</v>
      </c>
      <c r="F2034" s="1436">
        <f>IFERROR(__xludf.DUMMYFUNCTION("""COMPUTED_VALUE"""),46103.0)</f>
        <v>46103</v>
      </c>
      <c r="G2034" s="1430">
        <f>IFERROR(__xludf.DUMMYFUNCTION("""COMPUTED_VALUE"""),10.0)</f>
        <v>10</v>
      </c>
    </row>
    <row r="2035" ht="15.75" customHeight="1">
      <c r="A2035" s="94"/>
      <c r="B2035" s="94"/>
      <c r="C2035" s="94"/>
      <c r="D2035" s="94" t="str">
        <f>IFERROR(__xludf.DUMMYFUNCTION("""COMPUTED_VALUE"""),"1 | MC A 708 | Metro City | Studio")</f>
        <v>1 | MC A 708 | Metro City | Studio</v>
      </c>
      <c r="E2035" s="1436">
        <f>IFERROR(__xludf.DUMMYFUNCTION("""COMPUTED_VALUE"""),46093.0)</f>
        <v>46093</v>
      </c>
      <c r="F2035" s="1436">
        <f>IFERROR(__xludf.DUMMYFUNCTION("""COMPUTED_VALUE"""),46124.0)</f>
        <v>46124</v>
      </c>
      <c r="G2035" s="1430">
        <f>IFERROR(__xludf.DUMMYFUNCTION("""COMPUTED_VALUE"""),31.0)</f>
        <v>31</v>
      </c>
    </row>
    <row r="2036" ht="15.75" customHeight="1">
      <c r="A2036" s="94"/>
      <c r="B2036" s="94"/>
      <c r="C2036" s="94"/>
      <c r="D2036" s="1439" t="str">
        <f>IFERROR(__xludf.DUMMYFUNCTION("""COMPUTED_VALUE"""),"3 | DZ 12 | Old town | 1+1")</f>
        <v>3 | DZ 12 | Old town | 1+1</v>
      </c>
      <c r="E2036" s="1436">
        <f>IFERROR(__xludf.DUMMYFUNCTION("""COMPUTED_VALUE"""),46093.0)</f>
        <v>46093</v>
      </c>
      <c r="F2036" s="1436">
        <f>IFERROR(__xludf.DUMMYFUNCTION("""COMPUTED_VALUE"""),46099.0)</f>
        <v>46099</v>
      </c>
      <c r="G2036" s="1430">
        <f>IFERROR(__xludf.DUMMYFUNCTION("""COMPUTED_VALUE"""),6.0)</f>
        <v>6</v>
      </c>
    </row>
    <row r="2037" ht="15.75" customHeight="1">
      <c r="A2037" s="94"/>
      <c r="B2037" s="94"/>
      <c r="C2037" s="94"/>
      <c r="D2037" s="94" t="str">
        <f>IFERROR(__xludf.DUMMYFUNCTION("""COMPUTED_VALUE"""),"2 Orbi D2 3216 (Лот 236836)")</f>
        <v>2 Orbi D2 3216 (Лот 236836)</v>
      </c>
      <c r="E2037" s="1436">
        <f>IFERROR(__xludf.DUMMYFUNCTION("""COMPUTED_VALUE"""),46094.0)</f>
        <v>46094</v>
      </c>
      <c r="F2037" s="1436">
        <f>IFERROR(__xludf.DUMMYFUNCTION("""COMPUTED_VALUE"""),46125.0)</f>
        <v>46125</v>
      </c>
      <c r="G2037" s="1430">
        <f>IFERROR(__xludf.DUMMYFUNCTION("""COMPUTED_VALUE"""),31.0)</f>
        <v>31</v>
      </c>
    </row>
    <row r="2038" ht="15.75" customHeight="1">
      <c r="A2038" s="94"/>
      <c r="B2038" s="94"/>
      <c r="C2038" s="94"/>
      <c r="D2038" s="1439" t="str">
        <f>IFERROR(__xludf.DUMMYFUNCTION("""COMPUTED_VALUE"""),"1 | BV A 147 | Batumi View | 1+1")</f>
        <v>1 | BV A 147 | Batumi View | 1+1</v>
      </c>
      <c r="E2038" s="1436">
        <f>IFERROR(__xludf.DUMMYFUNCTION("""COMPUTED_VALUE"""),46094.0)</f>
        <v>46094</v>
      </c>
      <c r="F2038" s="1436">
        <f>IFERROR(__xludf.DUMMYFUNCTION("""COMPUTED_VALUE"""),46104.0)</f>
        <v>46104</v>
      </c>
      <c r="G2038" s="1430">
        <f>IFERROR(__xludf.DUMMYFUNCTION("""COMPUTED_VALUE"""),10.0)</f>
        <v>10</v>
      </c>
    </row>
    <row r="2039" ht="15.75" customHeight="1">
      <c r="A2039" s="94"/>
      <c r="B2039" s="94"/>
      <c r="C2039" s="94"/>
      <c r="D2039" s="94" t="str">
        <f>IFERROR(__xludf.DUMMYFUNCTION("""COMPUTED_VALUE"""),"3 Mar 1604 (Лот 233302)")</f>
        <v>3 Mar 1604 (Лот 233302)</v>
      </c>
      <c r="E2039" s="1436">
        <f>IFERROR(__xludf.DUMMYFUNCTION("""COMPUTED_VALUE"""),46094.0)</f>
        <v>46094</v>
      </c>
      <c r="F2039" s="1436">
        <f>IFERROR(__xludf.DUMMYFUNCTION("""COMPUTED_VALUE"""),46101.0)</f>
        <v>46101</v>
      </c>
      <c r="G2039" s="1430">
        <f>IFERROR(__xludf.DUMMYFUNCTION("""COMPUTED_VALUE"""),7.0)</f>
        <v>7</v>
      </c>
    </row>
    <row r="2040" ht="15.75" customHeight="1">
      <c r="A2040" s="94"/>
      <c r="B2040" s="94"/>
      <c r="C2040" s="94"/>
      <c r="D2040" s="94" t="str">
        <f>IFERROR(__xludf.DUMMYFUNCTION("""COMPUTED_VALUE"""),"2 | Mar 1327 | Courtyard by Marriott | 1+1")</f>
        <v>2 | Mar 1327 | Courtyard by Marriott | 1+1</v>
      </c>
      <c r="E2040" s="1436">
        <f>IFERROR(__xludf.DUMMYFUNCTION("""COMPUTED_VALUE"""),46095.0)</f>
        <v>46095</v>
      </c>
      <c r="F2040" s="1436">
        <f>IFERROR(__xludf.DUMMYFUNCTION("""COMPUTED_VALUE"""),46099.0)</f>
        <v>46099</v>
      </c>
      <c r="G2040" s="1430">
        <f>IFERROR(__xludf.DUMMYFUNCTION("""COMPUTED_VALUE"""),4.0)</f>
        <v>4</v>
      </c>
    </row>
    <row r="2041" ht="15.75" customHeight="1">
      <c r="A2041" s="94"/>
      <c r="B2041" s="94"/>
      <c r="C2041" s="94"/>
      <c r="D2041" s="94" t="str">
        <f>IFERROR(__xludf.DUMMYFUNCTION("""COMPUTED_VALUE"""),"1 WS A 409 (Лот 233355)")</f>
        <v>1 WS A 409 (Лот 233355)</v>
      </c>
      <c r="E2041" s="1436">
        <f>IFERROR(__xludf.DUMMYFUNCTION("""COMPUTED_VALUE"""),46095.0)</f>
        <v>46095</v>
      </c>
      <c r="F2041" s="1436">
        <f>IFERROR(__xludf.DUMMYFUNCTION("""COMPUTED_VALUE"""),46128.0)</f>
        <v>46128</v>
      </c>
      <c r="G2041" s="1430">
        <f>IFERROR(__xludf.DUMMYFUNCTION("""COMPUTED_VALUE"""),33.0)</f>
        <v>33</v>
      </c>
    </row>
    <row r="2042" ht="15.75" customHeight="1">
      <c r="A2042" s="94"/>
      <c r="B2042" s="94"/>
      <c r="C2042" s="94"/>
      <c r="D2042" s="431" t="str">
        <f>IFERROR(__xludf.DUMMYFUNCTION("""COMPUTED_VALUE"""),"1 WS A 805")</f>
        <v>1 WS A 805</v>
      </c>
      <c r="E2042" s="1436">
        <f>IFERROR(__xludf.DUMMYFUNCTION("""COMPUTED_VALUE"""),46095.0)</f>
        <v>46095</v>
      </c>
      <c r="F2042" s="1436">
        <f>IFERROR(__xludf.DUMMYFUNCTION("""COMPUTED_VALUE"""),46126.0)</f>
        <v>46126</v>
      </c>
      <c r="G2042" s="1430">
        <f>IFERROR(__xludf.DUMMYFUNCTION("""COMPUTED_VALUE"""),31.0)</f>
        <v>31</v>
      </c>
    </row>
    <row r="2043" ht="15.75" customHeight="1">
      <c r="A2043" s="94"/>
      <c r="B2043" s="94"/>
      <c r="C2043" s="94"/>
      <c r="D2043" s="94" t="str">
        <f>IFERROR(__xludf.DUMMYFUNCTION("""COMPUTED_VALUE"""),"3 NW 205 (Лот 295811)")</f>
        <v>3 NW 205 (Лот 295811)</v>
      </c>
      <c r="E2043" s="1436">
        <f>IFERROR(__xludf.DUMMYFUNCTION("""COMPUTED_VALUE"""),46095.0)</f>
        <v>46095</v>
      </c>
      <c r="F2043" s="1436">
        <f>IFERROR(__xludf.DUMMYFUNCTION("""COMPUTED_VALUE"""),46127.0)</f>
        <v>46127</v>
      </c>
      <c r="G2043" s="1430">
        <f>IFERROR(__xludf.DUMMYFUNCTION("""COMPUTED_VALUE"""),32.0)</f>
        <v>32</v>
      </c>
    </row>
    <row r="2044" ht="15.75" customHeight="1">
      <c r="A2044" s="94"/>
      <c r="B2044" s="94"/>
      <c r="C2044" s="94"/>
      <c r="D2044" s="94" t="str">
        <f>IFERROR(__xludf.DUMMYFUNCTION("""COMPUTED_VALUE"""),"WS В 212")</f>
        <v>WS В 212</v>
      </c>
      <c r="E2044" s="1436">
        <f>IFERROR(__xludf.DUMMYFUNCTION("""COMPUTED_VALUE"""),46096.0)</f>
        <v>46096</v>
      </c>
      <c r="F2044" s="1436">
        <f>IFERROR(__xludf.DUMMYFUNCTION("""COMPUTED_VALUE"""),46127.0)</f>
        <v>46127</v>
      </c>
      <c r="G2044" s="1430">
        <f>IFERROR(__xludf.DUMMYFUNCTION("""COMPUTED_VALUE"""),31.0)</f>
        <v>31</v>
      </c>
    </row>
    <row r="2045" ht="15.75" customHeight="1">
      <c r="A2045" s="94"/>
      <c r="B2045" s="94"/>
      <c r="C2045" s="94"/>
      <c r="D2045" s="431" t="str">
        <f>IFERROR(__xludf.DUMMYFUNCTION("""COMPUTED_VALUE"""),"1 OBT 2906")</f>
        <v>1 OBT 2906</v>
      </c>
      <c r="E2045" s="1436">
        <f>IFERROR(__xludf.DUMMYFUNCTION("""COMPUTED_VALUE"""),46096.0)</f>
        <v>46096</v>
      </c>
      <c r="F2045" s="1436">
        <f>IFERROR(__xludf.DUMMYFUNCTION("""COMPUTED_VALUE"""),46127.0)</f>
        <v>46127</v>
      </c>
      <c r="G2045" s="1430">
        <f>IFERROR(__xludf.DUMMYFUNCTION("""COMPUTED_VALUE"""),31.0)</f>
        <v>31</v>
      </c>
    </row>
    <row r="2046" ht="15.75" customHeight="1">
      <c r="A2046" s="94" t="str">
        <f>IFERROR(__xludf.DUMMYFUNCTION("""COMPUTED_VALUE"""),"MZ А 1113")</f>
        <v>MZ А 1113</v>
      </c>
      <c r="B2046" s="94"/>
      <c r="C2046" s="94"/>
      <c r="D2046" s="431" t="str">
        <f>IFERROR(__xludf.DUMMYFUNCTION("""COMPUTED_VALUE"""),"3 MZ A 1113 (Лот 314964)")</f>
        <v>3 MZ A 1113 (Лот 314964)</v>
      </c>
      <c r="E2046" s="1439">
        <f>IFERROR(__xludf.DUMMYFUNCTION("""COMPUTED_VALUE"""),46097.0)</f>
        <v>46097</v>
      </c>
      <c r="F2046" s="1436">
        <f>IFERROR(__xludf.DUMMYFUNCTION("""COMPUTED_VALUE"""),46127.0)</f>
        <v>46127</v>
      </c>
      <c r="G2046" s="1430">
        <f>IFERROR(__xludf.DUMMYFUNCTION("""COMPUTED_VALUE"""),30.0)</f>
        <v>30</v>
      </c>
    </row>
    <row r="2047" ht="15.75" customHeight="1">
      <c r="A2047" s="94"/>
      <c r="B2047" s="94"/>
      <c r="C2047" s="94"/>
      <c r="D2047" s="94" t="str">
        <f>IFERROR(__xludf.DUMMYFUNCTION("""COMPUTED_VALUE"""),"2 | Mar 1304 | Courtyard by Marriott | 1+1")</f>
        <v>2 | Mar 1304 | Courtyard by Marriott | 1+1</v>
      </c>
      <c r="E2047" s="1436">
        <f>IFERROR(__xludf.DUMMYFUNCTION("""COMPUTED_VALUE"""),46097.0)</f>
        <v>46097</v>
      </c>
      <c r="F2047" s="1436">
        <f>IFERROR(__xludf.DUMMYFUNCTION("""COMPUTED_VALUE"""),46101.0)</f>
        <v>46101</v>
      </c>
      <c r="G2047" s="1430">
        <f>IFERROR(__xludf.DUMMYFUNCTION("""COMPUTED_VALUE"""),4.0)</f>
        <v>4</v>
      </c>
    </row>
    <row r="2048" ht="15.75" customHeight="1">
      <c r="A2048" s="94"/>
      <c r="B2048" s="94"/>
      <c r="C2048" s="94"/>
      <c r="D2048" s="1436" t="str">
        <f>IFERROR(__xludf.DUMMYFUNCTION("""COMPUTED_VALUE"""),"1 | BV C 137 | Batumi View | Studio")</f>
        <v>1 | BV C 137 | Batumi View | Studio</v>
      </c>
      <c r="E2048" s="1436">
        <f>IFERROR(__xludf.DUMMYFUNCTION("""COMPUTED_VALUE"""),46098.0)</f>
        <v>46098</v>
      </c>
      <c r="F2048" s="1436">
        <f>IFERROR(__xludf.DUMMYFUNCTION("""COMPUTED_VALUE"""),46101.0)</f>
        <v>46101</v>
      </c>
      <c r="G2048" s="1430">
        <f>IFERROR(__xludf.DUMMYFUNCTION("""COMPUTED_VALUE"""),3.0)</f>
        <v>3</v>
      </c>
    </row>
    <row r="2049" ht="15.75" customHeight="1">
      <c r="A2049" s="94"/>
      <c r="B2049" s="94"/>
      <c r="C2049" s="94"/>
      <c r="D2049" s="94" t="str">
        <f>IFERROR(__xludf.DUMMYFUNCTION("""COMPUTED_VALUE"""),"1 WS B 503 (Лот 233403)")</f>
        <v>1 WS B 503 (Лот 233403)</v>
      </c>
      <c r="E2049" s="1436">
        <f>IFERROR(__xludf.DUMMYFUNCTION("""COMPUTED_VALUE"""),46098.0)</f>
        <v>46098</v>
      </c>
      <c r="F2049" s="1436">
        <f>IFERROR(__xludf.DUMMYFUNCTION("""COMPUTED_VALUE"""),46128.0)</f>
        <v>46128</v>
      </c>
      <c r="G2049" s="1430">
        <f>IFERROR(__xludf.DUMMYFUNCTION("""COMPUTED_VALUE"""),30.0)</f>
        <v>30</v>
      </c>
    </row>
    <row r="2050" ht="15.75" customHeight="1">
      <c r="A2050" s="94"/>
      <c r="B2050" s="94"/>
      <c r="C2050" s="94"/>
      <c r="D2050" s="94" t="str">
        <f>IFERROR(__xludf.DUMMYFUNCTION("""COMPUTED_VALUE"""),"4 | MZ 511 | Mziuri Gardens | Studio")</f>
        <v>4 | MZ 511 | Mziuri Gardens | Studio</v>
      </c>
      <c r="E2050" s="1436">
        <f>IFERROR(__xludf.DUMMYFUNCTION("""COMPUTED_VALUE"""),46098.0)</f>
        <v>46098</v>
      </c>
      <c r="F2050" s="1436">
        <f>IFERROR(__xludf.DUMMYFUNCTION("""COMPUTED_VALUE"""),46128.0)</f>
        <v>46128</v>
      </c>
      <c r="G2050" s="1430">
        <f>IFERROR(__xludf.DUMMYFUNCTION("""COMPUTED_VALUE"""),30.0)</f>
        <v>30</v>
      </c>
    </row>
    <row r="2051" ht="15.75" customHeight="1">
      <c r="A2051" s="94"/>
      <c r="B2051" s="94"/>
      <c r="C2051" s="94"/>
      <c r="D2051" s="431" t="str">
        <f>IFERROR(__xludf.DUMMYFUNCTION("""COMPUTED_VALUE"""),"1 WS F 1008")</f>
        <v>1 WS F 1008</v>
      </c>
      <c r="E2051" s="1436">
        <f>IFERROR(__xludf.DUMMYFUNCTION("""COMPUTED_VALUE"""),46099.0)</f>
        <v>46099</v>
      </c>
      <c r="F2051" s="1436">
        <f>IFERROR(__xludf.DUMMYFUNCTION("""COMPUTED_VALUE"""),46130.0)</f>
        <v>46130</v>
      </c>
      <c r="G2051" s="1430">
        <f>IFERROR(__xludf.DUMMYFUNCTION("""COMPUTED_VALUE"""),31.0)</f>
        <v>31</v>
      </c>
    </row>
    <row r="2052" ht="15.75" customHeight="1">
      <c r="A2052" s="94"/>
      <c r="B2052" s="94"/>
      <c r="C2052" s="94"/>
      <c r="D2052" s="94" t="str">
        <f>IFERROR(__xludf.DUMMYFUNCTION("""COMPUTED_VALUE"""),"PT2704")</f>
        <v>PT2704</v>
      </c>
      <c r="E2052" s="1436">
        <f>IFERROR(__xludf.DUMMYFUNCTION("""COMPUTED_VALUE"""),46100.0)</f>
        <v>46100</v>
      </c>
      <c r="F2052" s="1436">
        <f>IFERROR(__xludf.DUMMYFUNCTION("""COMPUTED_VALUE"""),46103.0)</f>
        <v>46103</v>
      </c>
      <c r="G2052" s="1430">
        <f>IFERROR(__xludf.DUMMYFUNCTION("""COMPUTED_VALUE"""),3.0)</f>
        <v>3</v>
      </c>
    </row>
    <row r="2053" ht="15.75" customHeight="1">
      <c r="A2053" s="94"/>
      <c r="B2053" s="94"/>
      <c r="C2053" s="94"/>
      <c r="D2053" s="431" t="str">
        <f>IFERROR(__xludf.DUMMYFUNCTION("""COMPUTED_VALUE"""),"3 Sh8 2505 A (Лот 233423)")</f>
        <v>3 Sh8 2505 A (Лот 233423)</v>
      </c>
      <c r="E2053" s="1436">
        <f>IFERROR(__xludf.DUMMYFUNCTION("""COMPUTED_VALUE"""),46102.0)</f>
        <v>46102</v>
      </c>
      <c r="F2053" s="1436">
        <f>IFERROR(__xludf.DUMMYFUNCTION("""COMPUTED_VALUE"""),46132.0)</f>
        <v>46132</v>
      </c>
      <c r="G2053" s="1430">
        <f>IFERROR(__xludf.DUMMYFUNCTION("""COMPUTED_VALUE"""),30.0)</f>
        <v>30</v>
      </c>
    </row>
    <row r="2054" ht="15.75" customHeight="1">
      <c r="A2054" s="94"/>
      <c r="B2054" s="94"/>
      <c r="C2054" s="94"/>
      <c r="D2054" s="431" t="str">
        <f>IFERROR(__xludf.DUMMYFUNCTION("""COMPUTED_VALUE"""),"1 OBT 2908")</f>
        <v>1 OBT 2908</v>
      </c>
      <c r="E2054" s="1439">
        <f>IFERROR(__xludf.DUMMYFUNCTION("""COMPUTED_VALUE"""),46103.0)</f>
        <v>46103</v>
      </c>
      <c r="F2054" s="1436">
        <f>IFERROR(__xludf.DUMMYFUNCTION("""COMPUTED_VALUE"""),46134.0)</f>
        <v>46134</v>
      </c>
      <c r="G2054" s="1430">
        <f>IFERROR(__xludf.DUMMYFUNCTION("""COMPUTED_VALUE"""),31.0)</f>
        <v>31</v>
      </c>
    </row>
    <row r="2055" ht="15.75" customHeight="1">
      <c r="A2055" s="94"/>
      <c r="B2055" s="94"/>
      <c r="C2055" s="94"/>
      <c r="D2055" s="94"/>
      <c r="E2055" s="94"/>
      <c r="F2055" s="94"/>
      <c r="G2055" s="94"/>
    </row>
    <row r="2056" ht="15.75" customHeight="1">
      <c r="A2056" s="94"/>
      <c r="B2056" s="94"/>
      <c r="C2056" s="94"/>
      <c r="D2056" s="94"/>
      <c r="E2056" s="94"/>
      <c r="F2056" s="94"/>
      <c r="G2056" s="94"/>
    </row>
    <row r="2057" ht="15.75" customHeight="1">
      <c r="A2057" s="94" t="str">
        <f>IFERROR(__xludf.DUMMYFUNCTION("""COMPUTED_VALUE"""),"TGA2")</f>
        <v>TGA2</v>
      </c>
      <c r="B2057" s="94"/>
      <c r="C2057" s="94"/>
      <c r="D2057" s="431" t="str">
        <f>IFERROR(__xludf.DUMMYFUNCTION("""COMPUTED_VALUE"""),"6 TG c 1 сп. блок А (А2, А4, А7, B8, A9) (Лот 263239)")</f>
        <v>6 TG c 1 сп. блок А (А2, А4, А7, B8, A9) (Лот 263239)</v>
      </c>
      <c r="E2057" s="1436">
        <f>IFERROR(__xludf.DUMMYFUNCTION("""COMPUTED_VALUE"""),46105.0)</f>
        <v>46105</v>
      </c>
      <c r="F2057" s="1436">
        <f>IFERROR(__xludf.DUMMYFUNCTION("""COMPUTED_VALUE"""),46136.0)</f>
        <v>46136</v>
      </c>
      <c r="G2057" s="1430">
        <f>IFERROR(__xludf.DUMMYFUNCTION("""COMPUTED_VALUE"""),31.0)</f>
        <v>31</v>
      </c>
    </row>
    <row r="2058" ht="15.75" customHeight="1">
      <c r="A2058" s="94" t="str">
        <f>IFERROR(__xludf.DUMMYFUNCTION("""COMPUTED_VALUE"""),"шартава 16/18")</f>
        <v>шартава 16/18</v>
      </c>
      <c r="B2058" s="94"/>
      <c r="C2058" s="94"/>
      <c r="D2058" s="94"/>
      <c r="E2058" s="1429">
        <f>IFERROR(__xludf.DUMMYFUNCTION("""COMPUTED_VALUE"""),46106.0)</f>
        <v>46106</v>
      </c>
      <c r="F2058" s="1429">
        <f>IFERROR(__xludf.DUMMYFUNCTION("""COMPUTED_VALUE"""),46136.0)</f>
        <v>46136</v>
      </c>
      <c r="G2058" s="1430">
        <f>IFERROR(__xludf.DUMMYFUNCTION("""COMPUTED_VALUE"""),30.0)</f>
        <v>30</v>
      </c>
    </row>
    <row r="2059" ht="15.75" customHeight="1">
      <c r="A2059" s="94" t="str">
        <f>IFERROR(__xludf.DUMMYFUNCTION("""COMPUTED_VALUE"""),"Pollo 2-2")</f>
        <v>Pollo 2-2</v>
      </c>
      <c r="B2059" s="94"/>
      <c r="C2059" s="94"/>
      <c r="D2059" s="94"/>
      <c r="E2059" s="1429">
        <f>IFERROR(__xludf.DUMMYFUNCTION("""COMPUTED_VALUE"""),46109.0)</f>
        <v>46109</v>
      </c>
      <c r="F2059" s="1436">
        <f>IFERROR(__xludf.DUMMYFUNCTION("""COMPUTED_VALUE"""),46139.0)</f>
        <v>46139</v>
      </c>
      <c r="G2059" s="1430">
        <f>IFERROR(__xludf.DUMMYFUNCTION("""COMPUTED_VALUE"""),30.0)</f>
        <v>30</v>
      </c>
    </row>
    <row r="2060" ht="15.75" customHeight="1">
      <c r="A2060" s="94"/>
      <c r="B2060" s="94"/>
      <c r="C2060" s="94"/>
      <c r="D2060" s="1436" t="str">
        <f>IFERROR(__xludf.DUMMYFUNCTION("""COMPUTED_VALUE"""),"1 | WS E 1202 | White Sails |1+1")</f>
        <v>1 | WS E 1202 | White Sails |1+1</v>
      </c>
      <c r="E2060" s="1434">
        <f>IFERROR(__xludf.DUMMYFUNCTION("""COMPUTED_VALUE"""),46113.0)</f>
        <v>46113</v>
      </c>
      <c r="F2060" s="1434">
        <f>IFERROR(__xludf.DUMMYFUNCTION("""COMPUTED_VALUE"""),46142.0)</f>
        <v>46142</v>
      </c>
      <c r="G2060" s="1430">
        <f>IFERROR(__xludf.DUMMYFUNCTION("""COMPUTED_VALUE"""),29.0)</f>
        <v>29</v>
      </c>
    </row>
    <row r="2061" ht="15.75" customHeight="1">
      <c r="A2061" s="94"/>
      <c r="B2061" s="94"/>
      <c r="C2061" s="94"/>
      <c r="D2061" s="1436" t="str">
        <f>IFERROR(__xludf.DUMMYFUNCTION("""COMPUTED_VALUE"""),"1 | BV A 0514 | Batumi View | Studio")</f>
        <v>1 | BV A 0514 | Batumi View | Studio</v>
      </c>
      <c r="E2061" s="1434">
        <f>IFERROR(__xludf.DUMMYFUNCTION("""COMPUTED_VALUE"""),46113.0)</f>
        <v>46113</v>
      </c>
      <c r="F2061" s="1435">
        <f>IFERROR(__xludf.DUMMYFUNCTION("""COMPUTED_VALUE"""),46143.0)</f>
        <v>46143</v>
      </c>
      <c r="G2061" s="1430">
        <f>IFERROR(__xludf.DUMMYFUNCTION("""COMPUTED_VALUE"""),30.0)</f>
        <v>30</v>
      </c>
    </row>
    <row r="2062" ht="15.75" customHeight="1">
      <c r="A2062" s="94"/>
      <c r="B2062" s="94"/>
      <c r="C2062" s="94"/>
      <c r="D2062" s="1436" t="str">
        <f>IFERROR(__xludf.DUMMYFUNCTION("""COMPUTED_VALUE"""),"1 | BV C 137 | Batumi View | Studio")</f>
        <v>1 | BV C 137 | Batumi View | Studio</v>
      </c>
      <c r="E2062" s="1434">
        <f>IFERROR(__xludf.DUMMYFUNCTION("""COMPUTED_VALUE"""),46113.0)</f>
        <v>46113</v>
      </c>
      <c r="F2062" s="1435">
        <f>IFERROR(__xludf.DUMMYFUNCTION("""COMPUTED_VALUE"""),46142.0)</f>
        <v>46142</v>
      </c>
      <c r="G2062" s="1430">
        <f>IFERROR(__xludf.DUMMYFUNCTION("""COMPUTED_VALUE"""),29.0)</f>
        <v>29</v>
      </c>
    </row>
    <row r="2063" ht="15.75" customHeight="1">
      <c r="A2063" s="94" t="str">
        <f>IFERROR(__xludf.DUMMYFUNCTION("""COMPUTED_VALUE"""),"TGB3")</f>
        <v>TGB3</v>
      </c>
      <c r="B2063" s="94"/>
      <c r="C2063" s="94"/>
      <c r="D2063" s="431" t="str">
        <f>IFERROR(__xludf.DUMMYFUNCTION("""COMPUTED_VALUE"""),"6 TG Студии эконом блок Б (Б2, Б3, Б4) (Лот 268016)")</f>
        <v>6 TG Студии эконом блок Б (Б2, Б3, Б4) (Лот 268016)</v>
      </c>
      <c r="E2063" s="1439">
        <f>IFERROR(__xludf.DUMMYFUNCTION("""COMPUTED_VALUE"""),46115.0)</f>
        <v>46115</v>
      </c>
      <c r="F2063" s="1436">
        <f>IFERROR(__xludf.DUMMYFUNCTION("""COMPUTED_VALUE"""),46142.0)</f>
        <v>46142</v>
      </c>
      <c r="G2063" s="1430">
        <f>IFERROR(__xludf.DUMMYFUNCTION("""COMPUTED_VALUE"""),27.0)</f>
        <v>27</v>
      </c>
    </row>
    <row r="2064" ht="15.75" customHeight="1">
      <c r="A2064" s="94"/>
      <c r="B2064" s="94"/>
      <c r="C2064" s="94"/>
      <c r="D2064" s="94" t="str">
        <f>IFERROR(__xludf.DUMMYFUNCTION("""COMPUTED_VALUE"""),"4 | MZ 1408 | Mziuri Gardens | 1+1")</f>
        <v>4 | MZ 1408 | Mziuri Gardens | 1+1</v>
      </c>
      <c r="E2064" s="1439">
        <f>IFERROR(__xludf.DUMMYFUNCTION("""COMPUTED_VALUE"""),46117.0)</f>
        <v>46117</v>
      </c>
      <c r="F2064" s="1436">
        <f>IFERROR(__xludf.DUMMYFUNCTION("""COMPUTED_VALUE"""),46146.0)</f>
        <v>46146</v>
      </c>
      <c r="G2064" s="1430">
        <f>IFERROR(__xludf.DUMMYFUNCTION("""COMPUTED_VALUE"""),29.0)</f>
        <v>29</v>
      </c>
    </row>
    <row r="2065" ht="15.75" customHeight="1">
      <c r="A2065" s="94" t="str">
        <f>IFERROR(__xludf.DUMMYFUNCTION("""COMPUTED_VALUE"""),"Pollo 3-5")</f>
        <v>Pollo 3-5</v>
      </c>
      <c r="B2065" s="94"/>
      <c r="C2065" s="94"/>
      <c r="D2065" s="94"/>
      <c r="E2065" s="1429">
        <f>IFERROR(__xludf.DUMMYFUNCTION("""COMPUTED_VALUE"""),46122.0)</f>
        <v>46122</v>
      </c>
      <c r="F2065" s="1429">
        <f>IFERROR(__xludf.DUMMYFUNCTION("""COMPUTED_VALUE"""),46151.0)</f>
        <v>46151</v>
      </c>
      <c r="G2065" s="94"/>
    </row>
    <row r="2066" ht="15.75" customHeight="1">
      <c r="A2066" s="94" t="str">
        <f>IFERROR(__xludf.DUMMYFUNCTION("""COMPUTED_VALUE"""),"Пиросмани 162")</f>
        <v>Пиросмани 162</v>
      </c>
      <c r="B2066" s="94"/>
      <c r="C2066" s="94"/>
      <c r="D2066" s="94"/>
      <c r="E2066" s="1429">
        <f>IFERROR(__xludf.DUMMYFUNCTION("""COMPUTED_VALUE"""),46122.0)</f>
        <v>46122</v>
      </c>
      <c r="F2066" s="1429">
        <f>IFERROR(__xludf.DUMMYFUNCTION("""COMPUTED_VALUE"""),46151.0)</f>
        <v>46151</v>
      </c>
      <c r="G2066" s="1430">
        <f>IFERROR(__xludf.DUMMYFUNCTION("""COMPUTED_VALUE"""),29.0)</f>
        <v>29</v>
      </c>
    </row>
    <row r="2067" ht="15.75" customHeight="1">
      <c r="A2067" s="94" t="str">
        <f>IFERROR(__xludf.DUMMYFUNCTION("""COMPUTED_VALUE"""),"D2 503")</f>
        <v>D2 503</v>
      </c>
      <c r="B2067" s="94"/>
      <c r="C2067" s="94"/>
      <c r="D2067" s="431" t="str">
        <f>IFERROR(__xludf.DUMMYFUNCTION("""COMPUTED_VALUE"""),"2 Orbi D2 503 (Лот 291554)")</f>
        <v>2 Orbi D2 503 (Лот 291554)</v>
      </c>
      <c r="E2067" s="1436">
        <f>IFERROR(__xludf.DUMMYFUNCTION("""COMPUTED_VALUE"""),46120.0)</f>
        <v>46120</v>
      </c>
      <c r="F2067" s="1436">
        <f>IFERROR(__xludf.DUMMYFUNCTION("""COMPUTED_VALUE"""),46149.0)</f>
        <v>46149</v>
      </c>
      <c r="G2067" s="1430">
        <f>IFERROR(__xludf.DUMMYFUNCTION("""COMPUTED_VALUE"""),29.0)</f>
        <v>29</v>
      </c>
    </row>
    <row r="2068" ht="15.75" customHeight="1">
      <c r="A2068" s="94" t="str">
        <f>IFERROR(__xludf.DUMMYFUNCTION("""COMPUTED_VALUE"""),"NA  316")</f>
        <v>NA  316</v>
      </c>
      <c r="B2068" s="94"/>
      <c r="C2068" s="94"/>
      <c r="D2068" s="94"/>
      <c r="E2068" s="1433">
        <f>IFERROR(__xludf.DUMMYFUNCTION("""COMPUTED_VALUE"""),46126.0)</f>
        <v>46126</v>
      </c>
      <c r="F2068" s="1435">
        <f>IFERROR(__xludf.DUMMYFUNCTION("""COMPUTED_VALUE"""),46155.0)</f>
        <v>46155</v>
      </c>
      <c r="G2068" s="1430">
        <f>IFERROR(__xludf.DUMMYFUNCTION("""COMPUTED_VALUE"""),29.0)</f>
        <v>29</v>
      </c>
    </row>
    <row r="2069" ht="15.75" customHeight="1">
      <c r="A2069" s="94" t="str">
        <f>IFERROR(__xludf.DUMMYFUNCTION("""COMPUTED_VALUE"""),"MZ А 1113")</f>
        <v>MZ А 1113</v>
      </c>
      <c r="B2069" s="94"/>
      <c r="C2069" s="94"/>
      <c r="D2069" s="431" t="str">
        <f>IFERROR(__xludf.DUMMYFUNCTION("""COMPUTED_VALUE"""),"3 MZ A 1113 (Лот 314964)")</f>
        <v>3 MZ A 1113 (Лот 314964)</v>
      </c>
      <c r="E2069" s="1439">
        <f>IFERROR(__xludf.DUMMYFUNCTION("""COMPUTED_VALUE"""),46128.0)</f>
        <v>46128</v>
      </c>
      <c r="F2069" s="1436">
        <f>IFERROR(__xludf.DUMMYFUNCTION("""COMPUTED_VALUE"""),46157.0)</f>
        <v>46157</v>
      </c>
      <c r="G2069" s="1430">
        <f>IFERROR(__xludf.DUMMYFUNCTION("""COMPUTED_VALUE"""),29.0)</f>
        <v>29</v>
      </c>
    </row>
    <row r="2070" ht="15.75" customHeight="1">
      <c r="A2070" s="94"/>
      <c r="B2070" s="94"/>
      <c r="C2070" s="94"/>
      <c r="D2070" s="94" t="str">
        <f>IFERROR(__xludf.DUMMYFUNCTION("""COMPUTED_VALUE"""),"4 | MZ 511 | Mziuri Gardens | Studio")</f>
        <v>4 | MZ 511 | Mziuri Gardens | Studio</v>
      </c>
      <c r="E2070" s="1439">
        <f>IFERROR(__xludf.DUMMYFUNCTION("""COMPUTED_VALUE"""),46129.0)</f>
        <v>46129</v>
      </c>
      <c r="F2070" s="1436">
        <f>IFERROR(__xludf.DUMMYFUNCTION("""COMPUTED_VALUE"""),46164.0)</f>
        <v>46164</v>
      </c>
      <c r="G2070" s="1430">
        <f>IFERROR(__xludf.DUMMYFUNCTION("""COMPUTED_VALUE"""),35.0)</f>
        <v>35</v>
      </c>
    </row>
    <row r="2071" ht="15.75" customHeight="1">
      <c r="A2071" s="94"/>
      <c r="B2071" s="94"/>
      <c r="C2071" s="94"/>
      <c r="D2071" s="94" t="str">
        <f>IFERROR(__xludf.DUMMYFUNCTION("""COMPUTED_VALUE"""),"1 WS B 503 (Лот 233403)")</f>
        <v>1 WS B 503 (Лот 233403)</v>
      </c>
      <c r="E2071" s="1439">
        <f>IFERROR(__xludf.DUMMYFUNCTION("""COMPUTED_VALUE"""),46128.0)</f>
        <v>46128</v>
      </c>
      <c r="F2071" s="1436">
        <f>IFERROR(__xludf.DUMMYFUNCTION("""COMPUTED_VALUE"""),46157.0)</f>
        <v>46157</v>
      </c>
      <c r="G2071" s="1430">
        <f>IFERROR(__xludf.DUMMYFUNCTION("""COMPUTED_VALUE"""),29.0)</f>
        <v>29</v>
      </c>
    </row>
    <row r="2072" ht="15.75" customHeight="1">
      <c r="A2072" s="94" t="str">
        <f>IFERROR(__xludf.DUMMYFUNCTION("""COMPUTED_VALUE"""),"шартава 16/18")</f>
        <v>шартава 16/18</v>
      </c>
      <c r="B2072" s="94"/>
      <c r="C2072" s="94"/>
      <c r="D2072" s="94"/>
      <c r="E2072" s="1429">
        <f>IFERROR(__xludf.DUMMYFUNCTION("""COMPUTED_VALUE"""),46137.0)</f>
        <v>46137</v>
      </c>
      <c r="F2072" s="1436">
        <f>IFERROR(__xludf.DUMMYFUNCTION("""COMPUTED_VALUE"""),46166.0)</f>
        <v>46166</v>
      </c>
      <c r="G2072" s="1430">
        <f>IFERROR(__xludf.DUMMYFUNCTION("""COMPUTED_VALUE"""),29.0)</f>
        <v>29</v>
      </c>
    </row>
    <row r="2073" ht="15.75" customHeight="1">
      <c r="A2073" s="94" t="str">
        <f>IFERROR(__xludf.DUMMYFUNCTION("""COMPUTED_VALUE"""),"Pollo 2-2")</f>
        <v>Pollo 2-2</v>
      </c>
      <c r="B2073" s="94"/>
      <c r="C2073" s="94"/>
      <c r="D2073" s="94"/>
      <c r="E2073" s="1429">
        <f>IFERROR(__xludf.DUMMYFUNCTION("""COMPUTED_VALUE"""),46140.0)</f>
        <v>46140</v>
      </c>
      <c r="F2073" s="1436">
        <f>IFERROR(__xludf.DUMMYFUNCTION("""COMPUTED_VALUE"""),46169.0)</f>
        <v>46169</v>
      </c>
      <c r="G2073" s="1430">
        <f>IFERROR(__xludf.DUMMYFUNCTION("""COMPUTED_VALUE"""),29.0)</f>
        <v>29</v>
      </c>
    </row>
    <row r="2074" ht="15.75" customHeight="1">
      <c r="A2074" s="94"/>
      <c r="B2074" s="94"/>
      <c r="C2074" s="94"/>
      <c r="D2074" s="1436" t="str">
        <f>IFERROR(__xludf.DUMMYFUNCTION("""COMPUTED_VALUE"""),"1 | WS E 1202 | White Sails |1+1")</f>
        <v>1 | WS E 1202 | White Sails |1+1</v>
      </c>
      <c r="E2074" s="1434">
        <f>IFERROR(__xludf.DUMMYFUNCTION("""COMPUTED_VALUE"""),46143.0)</f>
        <v>46143</v>
      </c>
      <c r="F2074" s="1434">
        <f>IFERROR(__xludf.DUMMYFUNCTION("""COMPUTED_VALUE"""),46174.0)</f>
        <v>46174</v>
      </c>
      <c r="G2074" s="1430">
        <f>IFERROR(__xludf.DUMMYFUNCTION("""COMPUTED_VALUE"""),31.0)</f>
        <v>31</v>
      </c>
    </row>
    <row r="2075" ht="15.75" customHeight="1">
      <c r="A2075" s="94" t="str">
        <f>IFERROR(__xludf.DUMMYFUNCTION("""COMPUTED_VALUE"""),"Pollo 3-5")</f>
        <v>Pollo 3-5</v>
      </c>
      <c r="B2075" s="94"/>
      <c r="C2075" s="94"/>
      <c r="D2075" s="94"/>
      <c r="E2075" s="1429">
        <f>IFERROR(__xludf.DUMMYFUNCTION("""COMPUTED_VALUE"""),46152.0)</f>
        <v>46152</v>
      </c>
      <c r="F2075" s="1429">
        <f>IFERROR(__xludf.DUMMYFUNCTION("""COMPUTED_VALUE"""),46182.0)</f>
        <v>46182</v>
      </c>
      <c r="G2075" s="94"/>
    </row>
    <row r="2076" ht="15.75" customHeight="1">
      <c r="A2076" s="94" t="str">
        <f>IFERROR(__xludf.DUMMYFUNCTION("""COMPUTED_VALUE"""),"Пиросмани 162")</f>
        <v>Пиросмани 162</v>
      </c>
      <c r="B2076" s="94"/>
      <c r="C2076" s="94"/>
      <c r="D2076" s="94"/>
      <c r="E2076" s="1429">
        <f>IFERROR(__xludf.DUMMYFUNCTION("""COMPUTED_VALUE"""),46152.0)</f>
        <v>46152</v>
      </c>
      <c r="F2076" s="1429">
        <f>IFERROR(__xludf.DUMMYFUNCTION("""COMPUTED_VALUE"""),46182.0)</f>
        <v>46182</v>
      </c>
      <c r="G2076" s="1430">
        <f>IFERROR(__xludf.DUMMYFUNCTION("""COMPUTED_VALUE"""),30.0)</f>
        <v>30</v>
      </c>
    </row>
    <row r="2077" ht="15.75" customHeight="1">
      <c r="A2077" s="94" t="str">
        <f>IFERROR(__xludf.DUMMYFUNCTION("""COMPUTED_VALUE"""),"D2 503")</f>
        <v>D2 503</v>
      </c>
      <c r="B2077" s="94"/>
      <c r="C2077" s="94"/>
      <c r="D2077" s="431" t="str">
        <f>IFERROR(__xludf.DUMMYFUNCTION("""COMPUTED_VALUE"""),"2 Orbi D2 503 (Лот 291554)")</f>
        <v>2 Orbi D2 503 (Лот 291554)</v>
      </c>
      <c r="E2077" s="1436">
        <f>IFERROR(__xludf.DUMMYFUNCTION("""COMPUTED_VALUE"""),46150.0)</f>
        <v>46150</v>
      </c>
      <c r="F2077" s="1436">
        <f>IFERROR(__xludf.DUMMYFUNCTION("""COMPUTED_VALUE"""),46181.0)</f>
        <v>46181</v>
      </c>
      <c r="G2077" s="1430">
        <f>IFERROR(__xludf.DUMMYFUNCTION("""COMPUTED_VALUE"""),31.0)</f>
        <v>31</v>
      </c>
    </row>
    <row r="2078" ht="15.75" customHeight="1">
      <c r="A2078" s="94"/>
      <c r="B2078" s="94"/>
      <c r="C2078" s="94"/>
      <c r="D2078" s="94" t="str">
        <f>IFERROR(__xludf.DUMMYFUNCTION("""COMPUTED_VALUE"""),"1 WS B 503 (Лот 233403)")</f>
        <v>1 WS B 503 (Лот 233403)</v>
      </c>
      <c r="E2078" s="1439">
        <f>IFERROR(__xludf.DUMMYFUNCTION("""COMPUTED_VALUE"""),46157.0)</f>
        <v>46157</v>
      </c>
      <c r="F2078" s="1436">
        <f>IFERROR(__xludf.DUMMYFUNCTION("""COMPUTED_VALUE"""),46172.0)</f>
        <v>46172</v>
      </c>
      <c r="G2078" s="1430">
        <f>IFERROR(__xludf.DUMMYFUNCTION("""COMPUTED_VALUE"""),15.0)</f>
        <v>15</v>
      </c>
    </row>
    <row r="2079" ht="15.75" customHeight="1">
      <c r="A2079" s="94" t="str">
        <f>IFERROR(__xludf.DUMMYFUNCTION("""COMPUTED_VALUE"""),"MZ А 1113")</f>
        <v>MZ А 1113</v>
      </c>
      <c r="B2079" s="94"/>
      <c r="C2079" s="94"/>
      <c r="D2079" s="431" t="str">
        <f>IFERROR(__xludf.DUMMYFUNCTION("""COMPUTED_VALUE"""),"3 MZ A 1113 (Лот 314964)")</f>
        <v>3 MZ A 1113 (Лот 314964)</v>
      </c>
      <c r="E2079" s="1439">
        <f>IFERROR(__xludf.DUMMYFUNCTION("""COMPUTED_VALUE"""),46158.0)</f>
        <v>46158</v>
      </c>
      <c r="F2079" s="1436">
        <f>IFERROR(__xludf.DUMMYFUNCTION("""COMPUTED_VALUE"""),46174.0)</f>
        <v>46174</v>
      </c>
      <c r="G2079" s="1430">
        <f>IFERROR(__xludf.DUMMYFUNCTION("""COMPUTED_VALUE"""),16.0)</f>
        <v>16</v>
      </c>
    </row>
    <row r="2080" ht="15.75" customHeight="1">
      <c r="A2080" s="94" t="str">
        <f>IFERROR(__xludf.DUMMYFUNCTION("""COMPUTED_VALUE"""),"шартава 16/18")</f>
        <v>шартава 16/18</v>
      </c>
      <c r="B2080" s="94"/>
      <c r="C2080" s="94"/>
      <c r="D2080" s="94"/>
      <c r="E2080" s="1429">
        <f>IFERROR(__xludf.DUMMYFUNCTION("""COMPUTED_VALUE"""),46167.0)</f>
        <v>46167</v>
      </c>
      <c r="F2080" s="1436">
        <f>IFERROR(__xludf.DUMMYFUNCTION("""COMPUTED_VALUE"""),46197.0)</f>
        <v>46197</v>
      </c>
      <c r="G2080" s="1430">
        <f>IFERROR(__xludf.DUMMYFUNCTION("""COMPUTED_VALUE"""),30.0)</f>
        <v>30</v>
      </c>
    </row>
    <row r="2081" ht="15.75" customHeight="1">
      <c r="A2081" s="94" t="str">
        <f>IFERROR(__xludf.DUMMYFUNCTION("""COMPUTED_VALUE"""),"Pollo 3-5")</f>
        <v>Pollo 3-5</v>
      </c>
      <c r="B2081" s="94"/>
      <c r="C2081" s="94"/>
      <c r="D2081" s="94"/>
      <c r="E2081" s="1429">
        <f>IFERROR(__xludf.DUMMYFUNCTION("""COMPUTED_VALUE"""),46183.0)</f>
        <v>46183</v>
      </c>
      <c r="F2081" s="1429">
        <f>IFERROR(__xludf.DUMMYFUNCTION("""COMPUTED_VALUE"""),46212.0)</f>
        <v>46212</v>
      </c>
      <c r="G2081" s="94"/>
    </row>
    <row r="2082" ht="15.75" customHeight="1">
      <c r="A2082" s="94" t="str">
        <f>IFERROR(__xludf.DUMMYFUNCTION("""COMPUTED_VALUE"""),"Пиросмани 162")</f>
        <v>Пиросмани 162</v>
      </c>
      <c r="B2082" s="94"/>
      <c r="C2082" s="94"/>
      <c r="D2082" s="94"/>
      <c r="E2082" s="1429">
        <f>IFERROR(__xludf.DUMMYFUNCTION("""COMPUTED_VALUE"""),46183.0)</f>
        <v>46183</v>
      </c>
      <c r="F2082" s="1429">
        <f>IFERROR(__xludf.DUMMYFUNCTION("""COMPUTED_VALUE"""),46212.0)</f>
        <v>46212</v>
      </c>
      <c r="G2082" s="1430">
        <f>IFERROR(__xludf.DUMMYFUNCTION("""COMPUTED_VALUE"""),29.0)</f>
        <v>29</v>
      </c>
    </row>
    <row r="2083" ht="15.75" customHeight="1">
      <c r="A2083" s="94" t="str">
        <f>IFERROR(__xludf.DUMMYFUNCTION("""COMPUTED_VALUE"""),"шартава 16/18")</f>
        <v>шартава 16/18</v>
      </c>
      <c r="B2083" s="94"/>
      <c r="C2083" s="94"/>
      <c r="D2083" s="94"/>
      <c r="E2083" s="1429">
        <f>IFERROR(__xludf.DUMMYFUNCTION("""COMPUTED_VALUE"""),46198.0)</f>
        <v>46198</v>
      </c>
      <c r="F2083" s="1436">
        <f>IFERROR(__xludf.DUMMYFUNCTION("""COMPUTED_VALUE"""),46227.0)</f>
        <v>46227</v>
      </c>
      <c r="G2083" s="1430">
        <f>IFERROR(__xludf.DUMMYFUNCTION("""COMPUTED_VALUE"""),29.0)</f>
        <v>29</v>
      </c>
    </row>
    <row r="2084" ht="15.75" customHeight="1">
      <c r="A2084" s="94" t="str">
        <f>IFERROR(__xludf.DUMMYFUNCTION("""COMPUTED_VALUE"""),"Pollo 3-5")</f>
        <v>Pollo 3-5</v>
      </c>
      <c r="B2084" s="94"/>
      <c r="C2084" s="94"/>
      <c r="D2084" s="94"/>
      <c r="E2084" s="1429">
        <f>IFERROR(__xludf.DUMMYFUNCTION("""COMPUTED_VALUE"""),46213.0)</f>
        <v>46213</v>
      </c>
      <c r="F2084" s="1429">
        <f>IFERROR(__xludf.DUMMYFUNCTION("""COMPUTED_VALUE"""),46243.0)</f>
        <v>46243</v>
      </c>
      <c r="G2084" s="94"/>
    </row>
    <row r="2085" ht="15.75" customHeight="1">
      <c r="A2085" s="94" t="str">
        <f>IFERROR(__xludf.DUMMYFUNCTION("""COMPUTED_VALUE"""),"Пиросмани 162")</f>
        <v>Пиросмани 162</v>
      </c>
      <c r="B2085" s="94"/>
      <c r="C2085" s="94"/>
      <c r="D2085" s="94"/>
      <c r="E2085" s="1429">
        <f>IFERROR(__xludf.DUMMYFUNCTION("""COMPUTED_VALUE"""),46213.0)</f>
        <v>46213</v>
      </c>
      <c r="F2085" s="1429">
        <f>IFERROR(__xludf.DUMMYFUNCTION("""COMPUTED_VALUE"""),46243.0)</f>
        <v>46243</v>
      </c>
      <c r="G2085" s="1430">
        <f>IFERROR(__xludf.DUMMYFUNCTION("""COMPUTED_VALUE"""),30.0)</f>
        <v>30</v>
      </c>
    </row>
    <row r="2086" ht="15.75" customHeight="1">
      <c r="A2086" s="94" t="str">
        <f>IFERROR(__xludf.DUMMYFUNCTION("""COMPUTED_VALUE"""),"шартава 16/18")</f>
        <v>шартава 16/18</v>
      </c>
      <c r="B2086" s="94"/>
      <c r="C2086" s="94"/>
      <c r="D2086" s="94"/>
      <c r="E2086" s="1429">
        <f>IFERROR(__xludf.DUMMYFUNCTION("""COMPUTED_VALUE"""),46228.0)</f>
        <v>46228</v>
      </c>
      <c r="F2086" s="1436">
        <f>IFERROR(__xludf.DUMMYFUNCTION("""COMPUTED_VALUE"""),46258.0)</f>
        <v>46258</v>
      </c>
      <c r="G2086" s="1430">
        <f>IFERROR(__xludf.DUMMYFUNCTION("""COMPUTED_VALUE"""),30.0)</f>
        <v>30</v>
      </c>
    </row>
    <row r="2087" ht="15.75" customHeight="1">
      <c r="A2087" s="94" t="str">
        <f>IFERROR(__xludf.DUMMYFUNCTION("""COMPUTED_VALUE"""),"Pollo 3-5")</f>
        <v>Pollo 3-5</v>
      </c>
      <c r="B2087" s="94"/>
      <c r="C2087" s="94"/>
      <c r="D2087" s="94"/>
      <c r="E2087" s="1429">
        <f>IFERROR(__xludf.DUMMYFUNCTION("""COMPUTED_VALUE"""),46244.0)</f>
        <v>46244</v>
      </c>
      <c r="F2087" s="1429">
        <f>IFERROR(__xludf.DUMMYFUNCTION("""COMPUTED_VALUE"""),46274.0)</f>
        <v>46274</v>
      </c>
      <c r="G2087" s="94"/>
    </row>
    <row r="2088" ht="15.75" customHeight="1">
      <c r="A2088" s="94" t="str">
        <f>IFERROR(__xludf.DUMMYFUNCTION("""COMPUTED_VALUE"""),"Пиросмани 162")</f>
        <v>Пиросмани 162</v>
      </c>
      <c r="B2088" s="94"/>
      <c r="C2088" s="94"/>
      <c r="D2088" s="94"/>
      <c r="E2088" s="1429">
        <f>IFERROR(__xludf.DUMMYFUNCTION("""COMPUTED_VALUE"""),46244.0)</f>
        <v>46244</v>
      </c>
      <c r="F2088" s="1429">
        <f>IFERROR(__xludf.DUMMYFUNCTION("""COMPUTED_VALUE"""),46274.0)</f>
        <v>46274</v>
      </c>
      <c r="G2088" s="1430">
        <f>IFERROR(__xludf.DUMMYFUNCTION("""COMPUTED_VALUE"""),30.0)</f>
        <v>30</v>
      </c>
    </row>
    <row r="2089" ht="15.75" customHeight="1">
      <c r="A2089" s="94" t="str">
        <f>IFERROR(__xludf.DUMMYFUNCTION("""COMPUTED_VALUE"""),"шартава 16/18")</f>
        <v>шартава 16/18</v>
      </c>
      <c r="B2089" s="94"/>
      <c r="C2089" s="94"/>
      <c r="D2089" s="94"/>
      <c r="E2089" s="1429">
        <f>IFERROR(__xludf.DUMMYFUNCTION("""COMPUTED_VALUE"""),46259.0)</f>
        <v>46259</v>
      </c>
      <c r="F2089" s="1436">
        <f>IFERROR(__xludf.DUMMYFUNCTION("""COMPUTED_VALUE"""),46289.0)</f>
        <v>46289</v>
      </c>
      <c r="G2089" s="1430">
        <f>IFERROR(__xludf.DUMMYFUNCTION("""COMPUTED_VALUE"""),30.0)</f>
        <v>30</v>
      </c>
    </row>
    <row r="2090" ht="15.75" customHeight="1">
      <c r="A2090" s="94" t="str">
        <f>IFERROR(__xludf.DUMMYFUNCTION("""COMPUTED_VALUE"""),"Pollo 3-5")</f>
        <v>Pollo 3-5</v>
      </c>
      <c r="B2090" s="94"/>
      <c r="C2090" s="94"/>
      <c r="D2090" s="94"/>
      <c r="E2090" s="1429">
        <f>IFERROR(__xludf.DUMMYFUNCTION("""COMPUTED_VALUE"""),46275.0)</f>
        <v>46275</v>
      </c>
      <c r="F2090" s="1429">
        <f>IFERROR(__xludf.DUMMYFUNCTION("""COMPUTED_VALUE"""),46304.0)</f>
        <v>46304</v>
      </c>
      <c r="G2090" s="94"/>
    </row>
    <row r="2091" ht="15.75" customHeight="1">
      <c r="A2091" s="94" t="str">
        <f>IFERROR(__xludf.DUMMYFUNCTION("""COMPUTED_VALUE"""),"Пиросмани 162")</f>
        <v>Пиросмани 162</v>
      </c>
      <c r="B2091" s="94"/>
      <c r="C2091" s="94"/>
      <c r="D2091" s="94"/>
      <c r="E2091" s="1429">
        <f>IFERROR(__xludf.DUMMYFUNCTION("""COMPUTED_VALUE"""),46275.0)</f>
        <v>46275</v>
      </c>
      <c r="F2091" s="1429">
        <f>IFERROR(__xludf.DUMMYFUNCTION("""COMPUTED_VALUE"""),46304.0)</f>
        <v>46304</v>
      </c>
      <c r="G2091" s="1430">
        <f>IFERROR(__xludf.DUMMYFUNCTION("""COMPUTED_VALUE"""),29.0)</f>
        <v>29</v>
      </c>
    </row>
    <row r="2092" ht="15.75" customHeight="1">
      <c r="A2092" s="94" t="str">
        <f>IFERROR(__xludf.DUMMYFUNCTION("""COMPUTED_VALUE"""),"шартава 16/18")</f>
        <v>шартава 16/18</v>
      </c>
      <c r="B2092" s="94"/>
      <c r="C2092" s="94"/>
      <c r="D2092" s="94"/>
      <c r="E2092" s="1429">
        <f>IFERROR(__xludf.DUMMYFUNCTION("""COMPUTED_VALUE"""),46290.0)</f>
        <v>46290</v>
      </c>
      <c r="F2092" s="1436">
        <f>IFERROR(__xludf.DUMMYFUNCTION("""COMPUTED_VALUE"""),46319.0)</f>
        <v>46319</v>
      </c>
      <c r="G2092" s="1430">
        <f>IFERROR(__xludf.DUMMYFUNCTION("""COMPUTED_VALUE"""),29.0)</f>
        <v>29</v>
      </c>
    </row>
    <row r="2093" ht="15.75" customHeight="1">
      <c r="A2093" s="94" t="str">
        <f>IFERROR(__xludf.DUMMYFUNCTION("""COMPUTED_VALUE"""),"Pollo 3-5")</f>
        <v>Pollo 3-5</v>
      </c>
      <c r="B2093" s="94"/>
      <c r="C2093" s="94"/>
      <c r="D2093" s="94"/>
      <c r="E2093" s="1429">
        <f>IFERROR(__xludf.DUMMYFUNCTION("""COMPUTED_VALUE"""),46305.0)</f>
        <v>46305</v>
      </c>
      <c r="F2093" s="1429">
        <f>IFERROR(__xludf.DUMMYFUNCTION("""COMPUTED_VALUE"""),46335.0)</f>
        <v>46335</v>
      </c>
      <c r="G2093" s="94"/>
    </row>
    <row r="2094" ht="15.75" customHeight="1">
      <c r="A2094" s="94" t="str">
        <f>IFERROR(__xludf.DUMMYFUNCTION("""COMPUTED_VALUE"""),"Пиросмани 162")</f>
        <v>Пиросмани 162</v>
      </c>
      <c r="B2094" s="94"/>
      <c r="C2094" s="94"/>
      <c r="D2094" s="94"/>
      <c r="E2094" s="1429">
        <f>IFERROR(__xludf.DUMMYFUNCTION("""COMPUTED_VALUE"""),46305.0)</f>
        <v>46305</v>
      </c>
      <c r="F2094" s="1429">
        <f>IFERROR(__xludf.DUMMYFUNCTION("""COMPUTED_VALUE"""),46335.0)</f>
        <v>46335</v>
      </c>
      <c r="G2094" s="1430">
        <f>IFERROR(__xludf.DUMMYFUNCTION("""COMPUTED_VALUE"""),30.0)</f>
        <v>30</v>
      </c>
    </row>
    <row r="2095" ht="15.75" customHeight="1">
      <c r="A2095" s="94" t="str">
        <f>IFERROR(__xludf.DUMMYFUNCTION("""COMPUTED_VALUE"""),"шартава 16/18")</f>
        <v>шартава 16/18</v>
      </c>
      <c r="B2095" s="94"/>
      <c r="C2095" s="94"/>
      <c r="D2095" s="94"/>
      <c r="E2095" s="1429">
        <f>IFERROR(__xludf.DUMMYFUNCTION("""COMPUTED_VALUE"""),46320.0)</f>
        <v>46320</v>
      </c>
      <c r="F2095" s="1436">
        <f>IFERROR(__xludf.DUMMYFUNCTION("""COMPUTED_VALUE"""),46350.0)</f>
        <v>46350</v>
      </c>
      <c r="G2095" s="1430">
        <f>IFERROR(__xludf.DUMMYFUNCTION("""COMPUTED_VALUE"""),30.0)</f>
        <v>30</v>
      </c>
    </row>
    <row r="2096" ht="15.75" customHeight="1">
      <c r="A2096" s="94" t="str">
        <f>IFERROR(__xludf.DUMMYFUNCTION("""COMPUTED_VALUE"""),"Pollo 3-5")</f>
        <v>Pollo 3-5</v>
      </c>
      <c r="B2096" s="94"/>
      <c r="C2096" s="94"/>
      <c r="D2096" s="94"/>
      <c r="E2096" s="1429">
        <f>IFERROR(__xludf.DUMMYFUNCTION("""COMPUTED_VALUE"""),46336.0)</f>
        <v>46336</v>
      </c>
      <c r="F2096" s="1429">
        <f>IFERROR(__xludf.DUMMYFUNCTION("""COMPUTED_VALUE"""),46365.0)</f>
        <v>46365</v>
      </c>
      <c r="G2096" s="94"/>
    </row>
    <row r="2097" ht="15.75" customHeight="1">
      <c r="A2097" s="94" t="str">
        <f>IFERROR(__xludf.DUMMYFUNCTION("""COMPUTED_VALUE"""),"Пиросмани 162")</f>
        <v>Пиросмани 162</v>
      </c>
      <c r="B2097" s="94"/>
      <c r="C2097" s="94"/>
      <c r="D2097" s="94"/>
      <c r="E2097" s="1429">
        <f>IFERROR(__xludf.DUMMYFUNCTION("""COMPUTED_VALUE"""),46336.0)</f>
        <v>46336</v>
      </c>
      <c r="F2097" s="1429">
        <f>IFERROR(__xludf.DUMMYFUNCTION("""COMPUTED_VALUE"""),46365.0)</f>
        <v>46365</v>
      </c>
      <c r="G2097" s="1430">
        <f>IFERROR(__xludf.DUMMYFUNCTION("""COMPUTED_VALUE"""),29.0)</f>
        <v>29</v>
      </c>
    </row>
    <row r="2098" ht="15.75" customHeight="1">
      <c r="A2098" s="94" t="str">
        <f>IFERROR(__xludf.DUMMYFUNCTION("""COMPUTED_VALUE"""),"шартава 16/18")</f>
        <v>шартава 16/18</v>
      </c>
      <c r="B2098" s="94"/>
      <c r="C2098" s="94"/>
      <c r="D2098" s="94"/>
      <c r="E2098" s="1429">
        <f>IFERROR(__xludf.DUMMYFUNCTION("""COMPUTED_VALUE"""),46351.0)</f>
        <v>46351</v>
      </c>
      <c r="F2098" s="1436">
        <f>IFERROR(__xludf.DUMMYFUNCTION("""COMPUTED_VALUE"""),46380.0)</f>
        <v>46380</v>
      </c>
      <c r="G2098" s="1430">
        <f>IFERROR(__xludf.DUMMYFUNCTION("""COMPUTED_VALUE"""),29.0)</f>
        <v>29</v>
      </c>
    </row>
    <row r="2099" ht="15.75" customHeight="1">
      <c r="A2099" s="94" t="str">
        <f>IFERROR(__xludf.DUMMYFUNCTION("""COMPUTED_VALUE"""),"Pollo 3-5")</f>
        <v>Pollo 3-5</v>
      </c>
      <c r="B2099" s="94"/>
      <c r="C2099" s="94"/>
      <c r="D2099" s="94"/>
      <c r="E2099" s="1429">
        <f>IFERROR(__xludf.DUMMYFUNCTION("""COMPUTED_VALUE"""),46366.0)</f>
        <v>46366</v>
      </c>
      <c r="F2099" s="1429">
        <f>IFERROR(__xludf.DUMMYFUNCTION("""COMPUTED_VALUE"""),46396.0)</f>
        <v>46396</v>
      </c>
      <c r="G2099" s="94"/>
    </row>
    <row r="2100" ht="15.75" customHeight="1">
      <c r="A2100" s="94" t="str">
        <f>IFERROR(__xludf.DUMMYFUNCTION("""COMPUTED_VALUE"""),"Пиросмани 162")</f>
        <v>Пиросмани 162</v>
      </c>
      <c r="B2100" s="94"/>
      <c r="C2100" s="94"/>
      <c r="D2100" s="94"/>
      <c r="E2100" s="1429">
        <f>IFERROR(__xludf.DUMMYFUNCTION("""COMPUTED_VALUE"""),46366.0)</f>
        <v>46366</v>
      </c>
      <c r="F2100" s="1429">
        <f>IFERROR(__xludf.DUMMYFUNCTION("""COMPUTED_VALUE"""),46396.0)</f>
        <v>46396</v>
      </c>
      <c r="G2100" s="1430">
        <f>IFERROR(__xludf.DUMMYFUNCTION("""COMPUTED_VALUE"""),30.0)</f>
        <v>30</v>
      </c>
    </row>
    <row r="2101" ht="15.75" customHeight="1">
      <c r="A2101" s="94" t="str">
        <f>IFERROR(__xludf.DUMMYFUNCTION("""COMPUTED_VALUE"""),"шартава 16/18")</f>
        <v>шартава 16/18</v>
      </c>
      <c r="B2101" s="94"/>
      <c r="C2101" s="94"/>
      <c r="D2101" s="94"/>
      <c r="E2101" s="1429">
        <f>IFERROR(__xludf.DUMMYFUNCTION("""COMPUTED_VALUE"""),46381.0)</f>
        <v>46381</v>
      </c>
      <c r="F2101" s="1436">
        <f>IFERROR(__xludf.DUMMYFUNCTION("""COMPUTED_VALUE"""),46411.0)</f>
        <v>46411</v>
      </c>
      <c r="G2101" s="1430">
        <f>IFERROR(__xludf.DUMMYFUNCTION("""COMPUTED_VALUE"""),30.0)</f>
        <v>30</v>
      </c>
    </row>
    <row r="2102" ht="15.75" customHeight="1">
      <c r="A2102" s="94"/>
      <c r="B2102" s="94"/>
      <c r="C2102" s="94"/>
      <c r="D2102" s="94"/>
      <c r="E2102" s="94"/>
      <c r="F2102" s="94"/>
      <c r="G2102" s="94"/>
    </row>
    <row r="2103" ht="15.75" customHeight="1">
      <c r="A2103" s="94"/>
      <c r="B2103" s="94"/>
      <c r="C2103" s="94"/>
      <c r="D2103" s="94"/>
      <c r="E2103" s="94"/>
      <c r="F2103" s="94"/>
      <c r="G2103" s="94"/>
    </row>
    <row r="2104" ht="15.75" customHeight="1">
      <c r="A2104" s="94"/>
      <c r="B2104" s="94"/>
      <c r="C2104" s="94"/>
      <c r="D2104" s="94"/>
      <c r="E2104" s="94"/>
      <c r="F2104" s="94"/>
      <c r="G2104" s="94"/>
    </row>
    <row r="2105" ht="15.75" customHeight="1">
      <c r="A2105" s="94"/>
      <c r="B2105" s="94"/>
      <c r="C2105" s="94"/>
      <c r="D2105" s="94"/>
      <c r="E2105" s="94"/>
      <c r="F2105" s="94"/>
      <c r="G2105" s="94"/>
    </row>
    <row r="2106" ht="15.75" customHeight="1">
      <c r="A2106" s="94"/>
      <c r="B2106" s="94"/>
      <c r="C2106" s="94"/>
      <c r="D2106" s="94"/>
      <c r="E2106" s="94"/>
      <c r="F2106" s="94"/>
      <c r="G2106" s="94"/>
    </row>
    <row r="2107" ht="15.75" customHeight="1">
      <c r="A2107" s="94"/>
      <c r="B2107" s="94"/>
      <c r="C2107" s="94"/>
      <c r="D2107" s="94"/>
      <c r="E2107" s="94"/>
      <c r="F2107" s="94"/>
      <c r="G2107" s="94"/>
    </row>
    <row r="2108" ht="15.75" customHeight="1">
      <c r="A2108" s="94"/>
      <c r="B2108" s="94"/>
      <c r="C2108" s="94"/>
      <c r="D2108" s="94"/>
      <c r="E2108" s="94"/>
      <c r="F2108" s="94"/>
      <c r="G2108" s="94"/>
    </row>
    <row r="2109" ht="15.75" customHeight="1">
      <c r="A2109" s="94"/>
      <c r="B2109" s="94"/>
      <c r="C2109" s="94"/>
      <c r="D2109" s="94"/>
      <c r="E2109" s="94"/>
      <c r="F2109" s="94"/>
      <c r="G2109" s="94"/>
    </row>
    <row r="2110" ht="15.75" customHeight="1">
      <c r="A2110" s="94"/>
      <c r="B2110" s="94"/>
      <c r="C2110" s="94"/>
      <c r="D2110" s="94"/>
      <c r="E2110" s="94"/>
      <c r="F2110" s="94"/>
      <c r="G2110" s="94"/>
    </row>
    <row r="2111" ht="15.75" customHeight="1">
      <c r="A2111" s="94"/>
      <c r="B2111" s="94"/>
      <c r="C2111" s="94"/>
      <c r="D2111" s="94"/>
      <c r="E2111" s="94"/>
      <c r="F2111" s="94"/>
      <c r="G2111" s="94"/>
    </row>
    <row r="2112" ht="15.75" customHeight="1">
      <c r="A2112" s="94"/>
      <c r="B2112" s="94"/>
      <c r="C2112" s="94"/>
      <c r="D2112" s="94"/>
      <c r="E2112" s="94"/>
      <c r="F2112" s="94"/>
      <c r="G2112" s="94"/>
    </row>
    <row r="2113" ht="15.75" customHeight="1">
      <c r="A2113" s="94"/>
      <c r="B2113" s="94"/>
      <c r="C2113" s="94"/>
      <c r="D2113" s="94"/>
      <c r="E2113" s="94"/>
      <c r="F2113" s="94"/>
      <c r="G2113" s="94"/>
    </row>
    <row r="2114" ht="15.75" customHeight="1">
      <c r="A2114" s="94"/>
      <c r="B2114" s="94"/>
      <c r="C2114" s="94"/>
      <c r="D2114" s="94"/>
      <c r="E2114" s="94"/>
      <c r="F2114" s="94"/>
      <c r="G2114" s="94"/>
    </row>
    <row r="2115" ht="15.75" customHeight="1">
      <c r="A2115" s="94"/>
      <c r="B2115" s="94"/>
      <c r="C2115" s="94"/>
      <c r="D2115" s="94"/>
      <c r="E2115" s="94"/>
      <c r="F2115" s="94"/>
      <c r="G2115" s="94"/>
    </row>
    <row r="2116" ht="15.75" customHeight="1">
      <c r="A2116" s="94"/>
      <c r="B2116" s="94"/>
      <c r="C2116" s="94"/>
      <c r="D2116" s="94"/>
      <c r="E2116" s="94"/>
      <c r="F2116" s="94"/>
      <c r="G2116" s="94"/>
    </row>
    <row r="2117" ht="15.75" customHeight="1">
      <c r="A2117" s="94"/>
      <c r="B2117" s="94"/>
      <c r="C2117" s="94"/>
      <c r="D2117" s="94"/>
      <c r="E2117" s="94"/>
      <c r="F2117" s="94"/>
      <c r="G2117" s="94"/>
    </row>
    <row r="2118" ht="15.75" customHeight="1">
      <c r="A2118" s="94"/>
      <c r="B2118" s="94"/>
      <c r="C2118" s="94"/>
      <c r="D2118" s="94"/>
      <c r="E2118" s="94"/>
      <c r="F2118" s="94"/>
      <c r="G2118" s="94"/>
    </row>
    <row r="2119" ht="15.75" customHeight="1">
      <c r="A2119" s="94"/>
      <c r="B2119" s="94"/>
      <c r="C2119" s="94"/>
      <c r="D2119" s="94"/>
      <c r="E2119" s="94"/>
      <c r="F2119" s="94"/>
      <c r="G2119" s="94"/>
    </row>
    <row r="2120" ht="15.75" customHeight="1">
      <c r="A2120" s="94"/>
      <c r="B2120" s="94"/>
      <c r="C2120" s="94"/>
      <c r="D2120" s="94"/>
      <c r="E2120" s="94"/>
      <c r="F2120" s="94"/>
      <c r="G2120" s="94"/>
    </row>
    <row r="2121" ht="15.75" customHeight="1">
      <c r="A2121" s="94"/>
      <c r="B2121" s="94"/>
      <c r="C2121" s="94"/>
      <c r="D2121" s="94"/>
      <c r="E2121" s="94"/>
      <c r="F2121" s="94"/>
      <c r="G2121" s="94"/>
    </row>
    <row r="2122" ht="15.75" customHeight="1">
      <c r="A2122" s="94"/>
      <c r="B2122" s="94"/>
      <c r="C2122" s="94"/>
      <c r="D2122" s="94"/>
      <c r="E2122" s="94"/>
      <c r="F2122" s="94"/>
      <c r="G2122" s="94"/>
    </row>
    <row r="2123" ht="15.75" customHeight="1">
      <c r="A2123" s="94"/>
      <c r="B2123" s="94"/>
      <c r="C2123" s="94"/>
      <c r="D2123" s="94"/>
      <c r="E2123" s="94"/>
      <c r="F2123" s="94"/>
      <c r="G2123" s="94"/>
    </row>
    <row r="2124" ht="15.75" customHeight="1">
      <c r="A2124" s="94"/>
      <c r="B2124" s="94"/>
      <c r="C2124" s="94"/>
      <c r="D2124" s="94"/>
      <c r="E2124" s="94"/>
      <c r="F2124" s="94"/>
      <c r="G2124" s="94"/>
    </row>
    <row r="2125" ht="15.75" customHeight="1">
      <c r="A2125" s="94"/>
      <c r="B2125" s="94"/>
      <c r="C2125" s="94"/>
      <c r="D2125" s="94"/>
      <c r="E2125" s="94"/>
      <c r="F2125" s="94"/>
      <c r="G2125" s="94"/>
    </row>
    <row r="2126" ht="15.75" customHeight="1">
      <c r="A2126" s="94"/>
      <c r="B2126" s="94"/>
      <c r="C2126" s="94"/>
      <c r="D2126" s="94"/>
      <c r="E2126" s="94"/>
      <c r="F2126" s="94"/>
      <c r="G2126" s="94"/>
    </row>
    <row r="2127" ht="15.75" customHeight="1">
      <c r="A2127" s="94"/>
      <c r="B2127" s="94"/>
      <c r="C2127" s="94"/>
      <c r="D2127" s="94"/>
      <c r="E2127" s="94"/>
      <c r="F2127" s="94"/>
      <c r="G2127" s="94"/>
    </row>
    <row r="2128" ht="15.75" customHeight="1">
      <c r="A2128" s="94"/>
      <c r="B2128" s="94"/>
      <c r="C2128" s="94"/>
      <c r="D2128" s="94"/>
      <c r="E2128" s="94"/>
      <c r="F2128" s="94"/>
      <c r="G2128" s="94"/>
    </row>
    <row r="2129" ht="15.75" customHeight="1">
      <c r="A2129" s="94"/>
      <c r="B2129" s="94"/>
      <c r="C2129" s="94"/>
      <c r="D2129" s="94"/>
      <c r="E2129" s="94"/>
      <c r="F2129" s="94"/>
      <c r="G2129" s="94"/>
    </row>
    <row r="2130" ht="15.75" customHeight="1">
      <c r="A2130" s="94"/>
      <c r="B2130" s="94"/>
      <c r="C2130" s="94"/>
      <c r="D2130" s="94"/>
      <c r="E2130" s="94"/>
      <c r="F2130" s="94"/>
      <c r="G2130" s="94"/>
    </row>
    <row r="2131" ht="15.75" customHeight="1">
      <c r="A2131" s="94"/>
      <c r="B2131" s="94"/>
      <c r="C2131" s="94"/>
      <c r="D2131" s="94"/>
      <c r="E2131" s="94"/>
      <c r="F2131" s="94"/>
      <c r="G2131" s="94"/>
    </row>
    <row r="2132" ht="15.75" customHeight="1">
      <c r="A2132" s="94"/>
      <c r="B2132" s="94"/>
      <c r="C2132" s="94"/>
      <c r="D2132" s="94"/>
      <c r="E2132" s="94"/>
      <c r="F2132" s="94"/>
      <c r="G2132" s="94"/>
    </row>
    <row r="2133" ht="15.75" customHeight="1">
      <c r="A2133" s="94"/>
      <c r="B2133" s="94"/>
      <c r="C2133" s="94"/>
      <c r="D2133" s="94"/>
      <c r="E2133" s="94"/>
      <c r="F2133" s="94"/>
      <c r="G2133" s="94"/>
    </row>
    <row r="2134" ht="15.75" customHeight="1">
      <c r="A2134" s="94"/>
      <c r="B2134" s="94"/>
      <c r="C2134" s="94"/>
      <c r="D2134" s="94"/>
      <c r="E2134" s="94"/>
      <c r="F2134" s="94"/>
      <c r="G2134" s="94"/>
    </row>
    <row r="2135" ht="15.75" customHeight="1">
      <c r="A2135" s="94"/>
      <c r="B2135" s="94"/>
      <c r="C2135" s="94"/>
      <c r="D2135" s="94"/>
      <c r="E2135" s="94"/>
      <c r="F2135" s="94"/>
      <c r="G2135" s="94"/>
    </row>
    <row r="2136" ht="15.75" customHeight="1">
      <c r="A2136" s="94"/>
      <c r="B2136" s="94"/>
      <c r="C2136" s="94"/>
      <c r="D2136" s="94"/>
      <c r="E2136" s="94"/>
      <c r="F2136" s="94"/>
      <c r="G2136" s="94"/>
    </row>
    <row r="2137" ht="15.75" customHeight="1">
      <c r="A2137" s="94"/>
      <c r="B2137" s="94"/>
      <c r="C2137" s="94"/>
      <c r="D2137" s="94"/>
      <c r="E2137" s="94"/>
      <c r="F2137" s="94"/>
      <c r="G2137" s="94"/>
    </row>
    <row r="2138" ht="15.75" customHeight="1">
      <c r="A2138" s="94"/>
      <c r="B2138" s="94"/>
      <c r="C2138" s="94"/>
      <c r="D2138" s="94"/>
      <c r="E2138" s="94"/>
      <c r="F2138" s="94"/>
      <c r="G2138" s="94"/>
    </row>
    <row r="2139" ht="15.75" customHeight="1">
      <c r="A2139" s="94"/>
      <c r="B2139" s="94"/>
      <c r="C2139" s="94"/>
      <c r="D2139" s="94"/>
      <c r="E2139" s="94"/>
      <c r="F2139" s="94"/>
      <c r="G2139" s="94"/>
    </row>
    <row r="2140" ht="15.75" customHeight="1">
      <c r="A2140" s="94"/>
      <c r="B2140" s="94"/>
      <c r="C2140" s="94"/>
      <c r="D2140" s="94"/>
      <c r="E2140" s="94"/>
      <c r="F2140" s="94"/>
      <c r="G2140" s="94"/>
    </row>
    <row r="2141" ht="15.75" customHeight="1">
      <c r="A2141" s="94"/>
      <c r="B2141" s="94"/>
      <c r="C2141" s="94"/>
      <c r="D2141" s="94"/>
      <c r="E2141" s="94"/>
      <c r="F2141" s="94"/>
      <c r="G2141" s="94"/>
    </row>
    <row r="2142" ht="15.75" customHeight="1">
      <c r="A2142" s="94"/>
      <c r="B2142" s="94"/>
      <c r="C2142" s="94"/>
      <c r="D2142" s="94"/>
      <c r="E2142" s="94"/>
      <c r="F2142" s="94"/>
      <c r="G2142" s="94"/>
    </row>
    <row r="2143" ht="15.75" customHeight="1">
      <c r="A2143" s="94"/>
      <c r="B2143" s="94"/>
      <c r="C2143" s="94"/>
      <c r="D2143" s="94"/>
      <c r="E2143" s="94"/>
      <c r="F2143" s="94"/>
      <c r="G2143" s="94"/>
    </row>
    <row r="2144" ht="15.75" customHeight="1">
      <c r="A2144" s="94"/>
      <c r="B2144" s="94"/>
      <c r="C2144" s="94"/>
      <c r="D2144" s="94"/>
      <c r="E2144" s="94"/>
      <c r="F2144" s="94"/>
      <c r="G2144" s="94"/>
    </row>
    <row r="2145" ht="15.75" customHeight="1">
      <c r="A2145" s="94"/>
      <c r="B2145" s="94"/>
      <c r="C2145" s="94"/>
      <c r="D2145" s="94"/>
      <c r="E2145" s="94"/>
      <c r="F2145" s="94"/>
      <c r="G2145" s="94"/>
    </row>
    <row r="2146" ht="15.75" customHeight="1">
      <c r="A2146" s="94"/>
      <c r="B2146" s="94"/>
      <c r="C2146" s="94"/>
      <c r="D2146" s="94"/>
      <c r="E2146" s="94"/>
      <c r="F2146" s="94"/>
      <c r="G2146" s="94"/>
    </row>
    <row r="2147" ht="15.75" customHeight="1">
      <c r="A2147" s="94"/>
      <c r="B2147" s="94"/>
      <c r="C2147" s="94"/>
      <c r="D2147" s="94"/>
      <c r="E2147" s="94"/>
      <c r="F2147" s="94"/>
      <c r="G2147" s="94"/>
    </row>
    <row r="2148" ht="15.75" customHeight="1">
      <c r="A2148" s="94"/>
      <c r="B2148" s="94"/>
      <c r="C2148" s="94"/>
      <c r="D2148" s="94"/>
      <c r="E2148" s="94"/>
      <c r="F2148" s="94"/>
      <c r="G2148" s="94"/>
    </row>
    <row r="2149" ht="15.75" customHeight="1">
      <c r="A2149" s="94"/>
      <c r="B2149" s="94"/>
      <c r="C2149" s="94"/>
      <c r="D2149" s="94"/>
      <c r="E2149" s="94"/>
      <c r="F2149" s="94"/>
      <c r="G2149" s="94"/>
    </row>
    <row r="2150" ht="15.75" customHeight="1">
      <c r="A2150" s="94"/>
      <c r="B2150" s="94"/>
      <c r="C2150" s="94"/>
      <c r="D2150" s="94"/>
      <c r="E2150" s="94"/>
      <c r="F2150" s="94"/>
      <c r="G2150" s="94"/>
    </row>
    <row r="2151" ht="15.75" customHeight="1">
      <c r="A2151" s="94"/>
      <c r="B2151" s="94"/>
      <c r="C2151" s="94"/>
      <c r="D2151" s="94"/>
      <c r="E2151" s="94"/>
      <c r="F2151" s="94"/>
      <c r="G2151" s="94"/>
    </row>
    <row r="2152" ht="15.75" customHeight="1">
      <c r="A2152" s="94"/>
      <c r="B2152" s="94"/>
      <c r="C2152" s="94"/>
      <c r="D2152" s="94"/>
      <c r="E2152" s="94"/>
      <c r="F2152" s="94"/>
      <c r="G2152" s="94"/>
    </row>
    <row r="2153" ht="15.75" customHeight="1">
      <c r="A2153" s="94"/>
      <c r="B2153" s="94"/>
      <c r="C2153" s="94"/>
      <c r="D2153" s="94"/>
      <c r="E2153" s="94"/>
      <c r="F2153" s="94"/>
      <c r="G2153" s="94"/>
    </row>
    <row r="2154" ht="15.75" customHeight="1">
      <c r="A2154" s="94"/>
      <c r="B2154" s="94"/>
      <c r="C2154" s="94"/>
      <c r="D2154" s="94"/>
      <c r="E2154" s="94"/>
      <c r="F2154" s="94"/>
      <c r="G2154" s="94"/>
    </row>
    <row r="2155" ht="15.75" customHeight="1">
      <c r="A2155" s="94"/>
      <c r="B2155" s="94"/>
      <c r="C2155" s="94"/>
      <c r="D2155" s="94"/>
      <c r="E2155" s="94"/>
      <c r="F2155" s="94"/>
      <c r="G2155" s="94"/>
    </row>
    <row r="2156" ht="15.75" customHeight="1">
      <c r="A2156" s="94"/>
      <c r="B2156" s="94"/>
      <c r="C2156" s="94"/>
      <c r="D2156" s="94"/>
      <c r="E2156" s="94"/>
      <c r="F2156" s="94"/>
      <c r="G2156" s="94"/>
    </row>
    <row r="2157" ht="15.75" customHeight="1">
      <c r="A2157" s="94"/>
      <c r="B2157" s="94"/>
      <c r="C2157" s="94"/>
      <c r="D2157" s="94"/>
      <c r="E2157" s="94"/>
      <c r="F2157" s="94"/>
      <c r="G2157" s="94"/>
    </row>
    <row r="2158" ht="15.75" customHeight="1">
      <c r="A2158" s="94"/>
      <c r="B2158" s="94"/>
      <c r="C2158" s="94"/>
      <c r="D2158" s="94"/>
      <c r="E2158" s="94"/>
      <c r="F2158" s="94"/>
      <c r="G2158" s="94"/>
    </row>
    <row r="2159" ht="15.75" customHeight="1">
      <c r="A2159" s="94"/>
      <c r="B2159" s="94"/>
      <c r="C2159" s="94"/>
      <c r="D2159" s="94"/>
      <c r="E2159" s="94"/>
      <c r="F2159" s="94"/>
      <c r="G2159" s="94"/>
    </row>
    <row r="2160" ht="15.75" customHeight="1">
      <c r="A2160" s="94"/>
      <c r="B2160" s="94"/>
      <c r="C2160" s="94"/>
      <c r="D2160" s="94"/>
      <c r="E2160" s="94"/>
      <c r="F2160" s="94"/>
      <c r="G2160" s="94"/>
    </row>
    <row r="2161" ht="15.75" customHeight="1">
      <c r="A2161" s="94"/>
      <c r="B2161" s="94"/>
      <c r="C2161" s="94"/>
      <c r="D2161" s="94"/>
      <c r="E2161" s="94"/>
      <c r="F2161" s="94"/>
      <c r="G2161" s="94"/>
    </row>
    <row r="2162" ht="15.75" customHeight="1">
      <c r="A2162" s="94"/>
      <c r="B2162" s="94"/>
      <c r="C2162" s="94"/>
      <c r="D2162" s="94"/>
      <c r="E2162" s="94"/>
      <c r="F2162" s="94"/>
      <c r="G2162" s="94"/>
    </row>
    <row r="2163" ht="15.75" customHeight="1">
      <c r="A2163" s="94"/>
      <c r="B2163" s="94"/>
      <c r="C2163" s="94"/>
      <c r="D2163" s="94"/>
      <c r="E2163" s="94"/>
      <c r="F2163" s="94"/>
      <c r="G2163" s="94"/>
    </row>
    <row r="2164" ht="15.75" customHeight="1">
      <c r="A2164" s="94"/>
      <c r="B2164" s="94"/>
      <c r="C2164" s="94"/>
      <c r="D2164" s="94"/>
      <c r="E2164" s="94"/>
      <c r="F2164" s="94"/>
      <c r="G2164" s="94"/>
    </row>
    <row r="2165" ht="15.75" customHeight="1">
      <c r="A2165" s="94"/>
      <c r="B2165" s="94"/>
      <c r="C2165" s="94"/>
      <c r="D2165" s="94"/>
      <c r="E2165" s="94"/>
      <c r="F2165" s="94"/>
      <c r="G2165" s="94"/>
    </row>
    <row r="2166" ht="15.75" customHeight="1">
      <c r="A2166" s="94"/>
      <c r="B2166" s="94"/>
      <c r="C2166" s="94"/>
      <c r="D2166" s="94"/>
      <c r="E2166" s="94"/>
      <c r="F2166" s="94"/>
      <c r="G2166" s="94"/>
    </row>
    <row r="2167" ht="15.75" customHeight="1">
      <c r="A2167" s="94"/>
      <c r="B2167" s="94"/>
      <c r="C2167" s="94"/>
      <c r="D2167" s="94"/>
      <c r="E2167" s="94"/>
      <c r="F2167" s="94"/>
      <c r="G2167" s="94"/>
    </row>
    <row r="2168" ht="15.75" customHeight="1">
      <c r="A2168" s="94"/>
      <c r="B2168" s="94"/>
      <c r="C2168" s="94"/>
      <c r="D2168" s="94"/>
      <c r="E2168" s="94"/>
      <c r="F2168" s="94"/>
      <c r="G2168" s="94"/>
    </row>
    <row r="2169" ht="15.75" customHeight="1">
      <c r="A2169" s="94"/>
      <c r="B2169" s="94"/>
      <c r="C2169" s="94"/>
      <c r="D2169" s="94"/>
      <c r="E2169" s="94"/>
      <c r="F2169" s="94"/>
      <c r="G2169" s="94"/>
    </row>
    <row r="2170" ht="15.75" customHeight="1">
      <c r="A2170" s="94"/>
      <c r="B2170" s="94"/>
      <c r="C2170" s="94"/>
      <c r="D2170" s="94"/>
      <c r="E2170" s="94"/>
      <c r="F2170" s="94"/>
      <c r="G2170" s="94"/>
    </row>
    <row r="2171" ht="15.75" customHeight="1">
      <c r="A2171" s="94"/>
      <c r="B2171" s="94"/>
      <c r="C2171" s="94"/>
      <c r="D2171" s="94"/>
      <c r="E2171" s="94"/>
      <c r="F2171" s="94"/>
      <c r="G2171" s="94"/>
    </row>
    <row r="2172" ht="15.75" customHeight="1">
      <c r="A2172" s="94"/>
      <c r="B2172" s="94"/>
      <c r="C2172" s="94"/>
      <c r="D2172" s="94"/>
      <c r="E2172" s="94"/>
      <c r="F2172" s="94"/>
      <c r="G2172" s="94"/>
    </row>
    <row r="2173" ht="15.75" customHeight="1">
      <c r="A2173" s="94"/>
      <c r="B2173" s="94"/>
      <c r="C2173" s="94"/>
      <c r="D2173" s="94"/>
      <c r="E2173" s="94"/>
      <c r="F2173" s="94"/>
      <c r="G2173" s="94"/>
    </row>
    <row r="2174" ht="15.75" customHeight="1">
      <c r="A2174" s="94"/>
      <c r="B2174" s="94"/>
      <c r="C2174" s="94"/>
      <c r="D2174" s="94"/>
      <c r="E2174" s="94"/>
      <c r="F2174" s="94"/>
      <c r="G2174" s="94"/>
    </row>
    <row r="2175" ht="15.75" customHeight="1">
      <c r="A2175" s="94"/>
      <c r="B2175" s="94"/>
      <c r="C2175" s="94"/>
      <c r="D2175" s="94"/>
      <c r="E2175" s="94"/>
      <c r="F2175" s="94"/>
      <c r="G2175" s="94"/>
    </row>
    <row r="2176" ht="15.75" customHeight="1">
      <c r="A2176" s="94"/>
      <c r="B2176" s="94"/>
      <c r="C2176" s="94"/>
      <c r="D2176" s="94"/>
      <c r="E2176" s="94"/>
      <c r="F2176" s="94"/>
      <c r="G2176" s="94"/>
    </row>
    <row r="2177" ht="15.75" customHeight="1">
      <c r="A2177" s="94"/>
      <c r="B2177" s="94"/>
      <c r="C2177" s="94"/>
      <c r="D2177" s="94"/>
      <c r="E2177" s="94"/>
      <c r="F2177" s="94"/>
      <c r="G2177" s="94"/>
    </row>
    <row r="2178" ht="15.75" customHeight="1">
      <c r="A2178" s="94"/>
      <c r="B2178" s="94"/>
      <c r="C2178" s="94"/>
      <c r="D2178" s="94"/>
      <c r="E2178" s="94"/>
      <c r="F2178" s="94"/>
      <c r="G2178" s="94"/>
    </row>
    <row r="2179" ht="15.75" customHeight="1">
      <c r="A2179" s="94"/>
      <c r="B2179" s="94"/>
      <c r="C2179" s="94"/>
      <c r="D2179" s="94"/>
      <c r="E2179" s="94"/>
      <c r="F2179" s="94"/>
      <c r="G2179" s="94"/>
    </row>
    <row r="2180" ht="15.75" customHeight="1">
      <c r="A2180" s="94"/>
      <c r="B2180" s="94"/>
      <c r="C2180" s="94"/>
      <c r="D2180" s="94"/>
      <c r="E2180" s="94"/>
      <c r="F2180" s="94"/>
      <c r="G2180" s="94"/>
    </row>
    <row r="2181" ht="15.75" customHeight="1">
      <c r="A2181" s="94"/>
      <c r="B2181" s="94"/>
      <c r="C2181" s="94"/>
      <c r="D2181" s="94"/>
      <c r="E2181" s="94"/>
      <c r="F2181" s="94"/>
      <c r="G2181" s="94"/>
    </row>
    <row r="2182" ht="15.75" customHeight="1">
      <c r="A2182" s="94"/>
      <c r="B2182" s="94"/>
      <c r="C2182" s="94"/>
      <c r="D2182" s="94"/>
      <c r="E2182" s="94"/>
      <c r="F2182" s="94"/>
      <c r="G2182" s="94"/>
    </row>
    <row r="2183" ht="15.75" customHeight="1">
      <c r="A2183" s="94"/>
      <c r="B2183" s="94"/>
      <c r="C2183" s="94"/>
      <c r="D2183" s="94"/>
      <c r="E2183" s="94"/>
      <c r="F2183" s="94"/>
      <c r="G2183" s="94"/>
    </row>
    <row r="2184" ht="15.75" customHeight="1">
      <c r="A2184" s="94"/>
      <c r="B2184" s="94"/>
      <c r="C2184" s="94"/>
      <c r="D2184" s="94"/>
      <c r="E2184" s="94"/>
      <c r="F2184" s="94"/>
      <c r="G2184" s="94"/>
    </row>
    <row r="2185" ht="15.75" customHeight="1">
      <c r="A2185" s="94"/>
      <c r="B2185" s="94"/>
      <c r="C2185" s="94"/>
      <c r="D2185" s="94"/>
      <c r="E2185" s="94"/>
      <c r="F2185" s="94"/>
      <c r="G2185" s="94"/>
    </row>
    <row r="2186" ht="15.75" customHeight="1">
      <c r="A2186" s="94"/>
      <c r="B2186" s="94"/>
      <c r="C2186" s="94"/>
      <c r="D2186" s="94"/>
      <c r="E2186" s="94"/>
      <c r="F2186" s="94"/>
      <c r="G2186" s="94"/>
    </row>
    <row r="2187" ht="15.75" customHeight="1">
      <c r="A2187" s="94"/>
      <c r="B2187" s="94"/>
      <c r="C2187" s="94"/>
      <c r="D2187" s="94"/>
      <c r="E2187" s="94"/>
      <c r="F2187" s="94"/>
      <c r="G2187" s="94"/>
    </row>
    <row r="2188" ht="15.75" customHeight="1">
      <c r="A2188" s="94"/>
      <c r="B2188" s="94"/>
      <c r="C2188" s="94"/>
      <c r="D2188" s="94"/>
      <c r="E2188" s="94"/>
      <c r="F2188" s="94"/>
      <c r="G2188" s="94"/>
    </row>
    <row r="2189" ht="15.75" customHeight="1">
      <c r="A2189" s="94"/>
      <c r="B2189" s="94"/>
      <c r="C2189" s="94"/>
      <c r="D2189" s="94"/>
      <c r="E2189" s="94"/>
      <c r="F2189" s="94"/>
      <c r="G2189" s="94"/>
    </row>
    <row r="2190" ht="15.75" customHeight="1">
      <c r="A2190" s="94"/>
      <c r="B2190" s="94"/>
      <c r="C2190" s="94"/>
      <c r="D2190" s="94"/>
      <c r="E2190" s="94"/>
      <c r="F2190" s="94"/>
      <c r="G2190" s="94"/>
    </row>
    <row r="2191" ht="15.75" customHeight="1">
      <c r="A2191" s="94"/>
      <c r="B2191" s="94"/>
      <c r="C2191" s="94"/>
      <c r="D2191" s="94"/>
      <c r="E2191" s="94"/>
      <c r="F2191" s="94"/>
      <c r="G2191" s="94"/>
    </row>
    <row r="2192" ht="15.75" customHeight="1">
      <c r="A2192" s="94"/>
      <c r="B2192" s="94"/>
      <c r="C2192" s="94"/>
      <c r="D2192" s="94"/>
      <c r="E2192" s="94"/>
      <c r="F2192" s="94"/>
      <c r="G2192" s="94"/>
    </row>
    <row r="2193" ht="15.75" customHeight="1">
      <c r="A2193" s="94"/>
      <c r="B2193" s="94"/>
      <c r="C2193" s="94"/>
      <c r="D2193" s="94"/>
      <c r="E2193" s="94"/>
      <c r="F2193" s="94"/>
      <c r="G2193" s="94"/>
    </row>
    <row r="2194" ht="15.75" customHeight="1">
      <c r="A2194" s="94"/>
      <c r="B2194" s="94"/>
      <c r="C2194" s="94"/>
      <c r="D2194" s="94"/>
      <c r="E2194" s="94"/>
      <c r="F2194" s="94"/>
      <c r="G2194" s="94"/>
    </row>
    <row r="2195" ht="15.75" customHeight="1">
      <c r="A2195" s="94"/>
      <c r="B2195" s="94"/>
      <c r="C2195" s="94"/>
      <c r="D2195" s="94"/>
      <c r="E2195" s="94"/>
      <c r="F2195" s="94"/>
      <c r="G2195" s="94"/>
    </row>
    <row r="2196" ht="15.75" customHeight="1">
      <c r="A2196" s="94"/>
      <c r="B2196" s="94"/>
      <c r="C2196" s="94"/>
      <c r="D2196" s="94"/>
      <c r="E2196" s="94"/>
      <c r="F2196" s="94"/>
      <c r="G2196" s="94"/>
    </row>
    <row r="2197" ht="15.75" customHeight="1">
      <c r="A2197" s="94"/>
      <c r="B2197" s="94"/>
      <c r="C2197" s="94"/>
      <c r="D2197" s="94"/>
      <c r="E2197" s="94"/>
      <c r="F2197" s="94"/>
      <c r="G2197" s="94"/>
    </row>
    <row r="2198" ht="15.75" customHeight="1">
      <c r="A2198" s="94"/>
      <c r="B2198" s="94"/>
      <c r="C2198" s="94"/>
      <c r="D2198" s="94"/>
      <c r="E2198" s="94"/>
      <c r="F2198" s="94"/>
      <c r="G2198" s="94"/>
    </row>
    <row r="2199" ht="15.75" customHeight="1">
      <c r="A2199" s="94"/>
      <c r="B2199" s="94"/>
      <c r="C2199" s="94"/>
      <c r="D2199" s="94"/>
      <c r="E2199" s="94"/>
      <c r="F2199" s="94"/>
      <c r="G2199" s="94"/>
    </row>
    <row r="2200" ht="15.75" customHeight="1">
      <c r="A2200" s="94"/>
      <c r="B2200" s="94"/>
      <c r="C2200" s="94"/>
      <c r="D2200" s="94"/>
      <c r="E2200" s="94"/>
      <c r="F2200" s="94"/>
      <c r="G2200" s="94"/>
    </row>
    <row r="2201" ht="15.75" customHeight="1">
      <c r="A2201" s="94"/>
      <c r="B2201" s="94"/>
      <c r="C2201" s="94"/>
      <c r="D2201" s="94"/>
      <c r="E2201" s="94"/>
      <c r="F2201" s="94"/>
      <c r="G2201" s="94"/>
    </row>
    <row r="2202" ht="15.75" customHeight="1">
      <c r="A2202" s="94"/>
      <c r="B2202" s="94"/>
      <c r="C2202" s="94"/>
      <c r="D2202" s="94"/>
      <c r="E2202" s="94"/>
      <c r="F2202" s="94"/>
      <c r="G2202" s="94"/>
    </row>
    <row r="2203" ht="15.75" customHeight="1">
      <c r="A2203" s="94"/>
      <c r="B2203" s="94"/>
      <c r="C2203" s="94"/>
      <c r="D2203" s="94"/>
      <c r="E2203" s="94"/>
      <c r="F2203" s="94"/>
      <c r="G2203" s="94"/>
    </row>
    <row r="2204" ht="15.75" customHeight="1">
      <c r="A2204" s="94"/>
      <c r="B2204" s="94"/>
      <c r="C2204" s="94"/>
      <c r="D2204" s="94"/>
      <c r="E2204" s="94"/>
      <c r="F2204" s="94"/>
      <c r="G2204" s="94"/>
    </row>
    <row r="2205" ht="15.75" customHeight="1">
      <c r="A2205" s="94"/>
      <c r="B2205" s="94"/>
      <c r="C2205" s="94"/>
      <c r="D2205" s="94"/>
      <c r="E2205" s="94"/>
      <c r="F2205" s="94"/>
      <c r="G2205" s="94"/>
    </row>
    <row r="2206" ht="15.75" customHeight="1">
      <c r="A2206" s="94"/>
      <c r="B2206" s="94"/>
      <c r="C2206" s="94"/>
      <c r="D2206" s="94"/>
      <c r="E2206" s="94"/>
      <c r="F2206" s="94"/>
      <c r="G2206" s="94"/>
    </row>
    <row r="2207" ht="15.75" customHeight="1">
      <c r="A2207" s="94"/>
      <c r="B2207" s="94"/>
      <c r="C2207" s="94"/>
      <c r="D2207" s="94"/>
      <c r="E2207" s="94"/>
      <c r="F2207" s="94"/>
      <c r="G2207" s="94"/>
    </row>
    <row r="2208" ht="15.75" customHeight="1">
      <c r="A2208" s="94"/>
      <c r="B2208" s="94"/>
      <c r="C2208" s="94"/>
      <c r="D2208" s="94"/>
      <c r="E2208" s="94"/>
      <c r="F2208" s="94"/>
      <c r="G2208" s="94"/>
    </row>
    <row r="2209" ht="15.75" customHeight="1">
      <c r="A2209" s="94"/>
      <c r="B2209" s="94"/>
      <c r="C2209" s="94"/>
      <c r="D2209" s="94"/>
      <c r="E2209" s="94"/>
      <c r="F2209" s="94"/>
      <c r="G2209" s="94"/>
    </row>
    <row r="2210" ht="15.75" customHeight="1">
      <c r="A2210" s="94"/>
      <c r="B2210" s="94"/>
      <c r="C2210" s="94"/>
      <c r="D2210" s="94"/>
      <c r="E2210" s="94"/>
      <c r="F2210" s="94"/>
      <c r="G2210" s="94"/>
    </row>
    <row r="2211" ht="15.75" customHeight="1">
      <c r="A2211" s="94"/>
      <c r="B2211" s="94"/>
      <c r="C2211" s="94"/>
      <c r="D2211" s="94"/>
      <c r="E2211" s="94"/>
      <c r="F2211" s="94"/>
      <c r="G2211" s="94"/>
    </row>
    <row r="2212" ht="15.75" customHeight="1">
      <c r="A2212" s="94"/>
      <c r="B2212" s="94"/>
      <c r="C2212" s="94"/>
      <c r="D2212" s="94"/>
      <c r="E2212" s="94"/>
      <c r="F2212" s="94"/>
      <c r="G2212" s="94"/>
    </row>
    <row r="2213" ht="15.75" customHeight="1">
      <c r="A2213" s="94"/>
      <c r="B2213" s="94"/>
      <c r="C2213" s="94"/>
      <c r="D2213" s="94"/>
      <c r="E2213" s="94"/>
      <c r="F2213" s="94"/>
      <c r="G2213" s="94"/>
    </row>
    <row r="2214" ht="15.75" customHeight="1">
      <c r="A2214" s="94"/>
      <c r="B2214" s="94"/>
      <c r="C2214" s="94"/>
      <c r="D2214" s="94"/>
      <c r="E2214" s="94"/>
      <c r="F2214" s="94"/>
      <c r="G2214" s="94"/>
    </row>
    <row r="2215" ht="15.75" customHeight="1">
      <c r="A2215" s="94"/>
      <c r="B2215" s="94"/>
      <c r="C2215" s="94"/>
      <c r="D2215" s="94"/>
      <c r="E2215" s="94"/>
      <c r="F2215" s="94"/>
      <c r="G2215" s="94"/>
    </row>
    <row r="2216" ht="15.75" customHeight="1">
      <c r="A2216" s="94"/>
      <c r="B2216" s="94"/>
      <c r="C2216" s="94"/>
      <c r="D2216" s="94"/>
      <c r="E2216" s="94"/>
      <c r="F2216" s="94"/>
      <c r="G2216" s="94"/>
    </row>
    <row r="2217" ht="15.75" customHeight="1">
      <c r="A2217" s="94"/>
      <c r="B2217" s="94"/>
      <c r="C2217" s="94"/>
      <c r="D2217" s="94"/>
      <c r="E2217" s="94"/>
      <c r="F2217" s="94"/>
      <c r="G2217" s="94"/>
    </row>
    <row r="2218" ht="15.75" customHeight="1">
      <c r="A2218" s="94"/>
      <c r="B2218" s="94"/>
      <c r="C2218" s="94"/>
      <c r="D2218" s="94"/>
      <c r="E2218" s="94"/>
      <c r="F2218" s="94"/>
      <c r="G2218" s="94"/>
    </row>
    <row r="2219" ht="15.75" customHeight="1">
      <c r="A2219" s="94"/>
      <c r="B2219" s="94"/>
      <c r="C2219" s="94"/>
      <c r="D2219" s="94"/>
      <c r="E2219" s="94"/>
      <c r="F2219" s="94"/>
      <c r="G2219" s="94"/>
    </row>
    <row r="2220" ht="15.75" customHeight="1">
      <c r="A2220" s="94"/>
      <c r="B2220" s="94"/>
      <c r="C2220" s="94"/>
      <c r="D2220" s="94"/>
      <c r="E2220" s="94"/>
      <c r="F2220" s="94"/>
      <c r="G2220" s="94"/>
    </row>
    <row r="2221" ht="15.75" customHeight="1">
      <c r="A2221" s="94"/>
      <c r="B2221" s="94"/>
      <c r="C2221" s="94"/>
      <c r="D2221" s="94"/>
      <c r="E2221" s="94"/>
      <c r="F2221" s="94"/>
      <c r="G2221" s="94"/>
    </row>
    <row r="2222" ht="15.75" customHeight="1">
      <c r="A2222" s="94"/>
      <c r="B2222" s="94"/>
      <c r="C2222" s="94"/>
      <c r="D2222" s="94"/>
      <c r="E2222" s="94"/>
      <c r="F2222" s="94"/>
      <c r="G2222" s="94"/>
    </row>
    <row r="2223" ht="15.75" customHeight="1">
      <c r="A2223" s="94"/>
      <c r="B2223" s="94"/>
      <c r="C2223" s="94"/>
      <c r="D2223" s="94"/>
      <c r="E2223" s="94"/>
      <c r="F2223" s="94"/>
      <c r="G2223" s="94"/>
    </row>
    <row r="2224" ht="15.75" customHeight="1">
      <c r="A2224" s="94"/>
      <c r="B2224" s="94"/>
      <c r="C2224" s="94"/>
      <c r="D2224" s="94"/>
      <c r="E2224" s="94"/>
      <c r="F2224" s="94"/>
      <c r="G2224" s="94"/>
    </row>
    <row r="2225" ht="15.75" customHeight="1">
      <c r="A2225" s="94"/>
      <c r="B2225" s="94"/>
      <c r="C2225" s="94"/>
      <c r="D2225" s="94"/>
      <c r="E2225" s="94"/>
      <c r="F2225" s="94"/>
      <c r="G2225" s="94"/>
    </row>
    <row r="2226" ht="15.75" customHeight="1">
      <c r="A2226" s="94"/>
      <c r="B2226" s="94"/>
      <c r="C2226" s="94"/>
      <c r="D2226" s="94"/>
      <c r="E2226" s="94"/>
      <c r="F2226" s="94"/>
      <c r="G2226" s="94"/>
    </row>
    <row r="2227" ht="15.75" customHeight="1">
      <c r="A2227" s="94"/>
      <c r="B2227" s="94"/>
      <c r="C2227" s="94"/>
      <c r="D2227" s="94"/>
      <c r="E2227" s="94"/>
      <c r="F2227" s="94"/>
      <c r="G2227" s="94"/>
    </row>
    <row r="2228" ht="15.75" customHeight="1">
      <c r="A2228" s="94"/>
      <c r="B2228" s="94"/>
      <c r="C2228" s="94"/>
      <c r="D2228" s="94"/>
      <c r="E2228" s="94"/>
      <c r="F2228" s="94"/>
      <c r="G2228" s="94"/>
    </row>
    <row r="2229" ht="15.75" customHeight="1">
      <c r="A2229" s="94"/>
      <c r="B2229" s="94"/>
      <c r="C2229" s="94"/>
      <c r="D2229" s="94"/>
      <c r="E2229" s="94"/>
      <c r="F2229" s="94"/>
      <c r="G2229" s="94"/>
    </row>
    <row r="2230" ht="15.75" customHeight="1">
      <c r="A2230" s="94"/>
      <c r="B2230" s="94"/>
      <c r="C2230" s="94"/>
      <c r="D2230" s="94"/>
      <c r="E2230" s="94"/>
      <c r="F2230" s="94"/>
      <c r="G2230" s="94"/>
    </row>
    <row r="2231" ht="15.75" customHeight="1">
      <c r="A2231" s="94"/>
      <c r="B2231" s="94"/>
      <c r="C2231" s="94"/>
      <c r="D2231" s="94"/>
      <c r="E2231" s="94"/>
      <c r="F2231" s="94"/>
      <c r="G2231" s="94"/>
    </row>
    <row r="2232" ht="15.75" customHeight="1">
      <c r="A2232" s="94"/>
      <c r="B2232" s="94"/>
      <c r="C2232" s="94"/>
      <c r="D2232" s="94"/>
      <c r="E2232" s="94"/>
      <c r="F2232" s="94"/>
      <c r="G2232" s="94"/>
    </row>
    <row r="2233" ht="15.75" customHeight="1">
      <c r="A2233" s="94"/>
      <c r="B2233" s="94"/>
      <c r="C2233" s="94"/>
      <c r="D2233" s="94"/>
      <c r="E2233" s="94"/>
      <c r="F2233" s="94"/>
      <c r="G2233" s="94"/>
    </row>
    <row r="2234" ht="15.75" customHeight="1">
      <c r="A2234" s="94"/>
      <c r="B2234" s="94"/>
      <c r="C2234" s="94"/>
      <c r="D2234" s="94"/>
      <c r="E2234" s="94"/>
      <c r="F2234" s="94"/>
      <c r="G2234" s="94"/>
    </row>
    <row r="2235" ht="15.75" customHeight="1">
      <c r="A2235" s="94"/>
      <c r="B2235" s="94"/>
      <c r="C2235" s="94"/>
      <c r="D2235" s="94"/>
      <c r="E2235" s="94"/>
      <c r="F2235" s="94"/>
      <c r="G2235" s="94"/>
    </row>
    <row r="2236" ht="15.75" customHeight="1">
      <c r="A2236" s="94"/>
      <c r="B2236" s="94"/>
      <c r="C2236" s="94"/>
      <c r="D2236" s="94"/>
      <c r="E2236" s="94"/>
      <c r="F2236" s="94"/>
      <c r="G2236" s="94"/>
    </row>
    <row r="2237" ht="15.75" customHeight="1">
      <c r="A2237" s="94"/>
      <c r="B2237" s="94"/>
      <c r="C2237" s="94"/>
      <c r="D2237" s="94"/>
      <c r="E2237" s="94"/>
      <c r="F2237" s="94"/>
      <c r="G2237" s="94"/>
    </row>
    <row r="2238" ht="15.75" customHeight="1">
      <c r="A2238" s="94"/>
      <c r="B2238" s="94"/>
      <c r="C2238" s="94"/>
      <c r="D2238" s="94"/>
      <c r="E2238" s="94"/>
      <c r="F2238" s="94"/>
      <c r="G2238" s="94"/>
    </row>
    <row r="2239" ht="15.75" customHeight="1">
      <c r="A2239" s="94"/>
      <c r="B2239" s="94"/>
      <c r="C2239" s="94"/>
      <c r="D2239" s="94"/>
      <c r="E2239" s="94"/>
      <c r="F2239" s="94"/>
      <c r="G2239" s="94"/>
    </row>
    <row r="2240" ht="15.75" customHeight="1">
      <c r="A2240" s="94"/>
      <c r="B2240" s="94"/>
      <c r="C2240" s="94"/>
      <c r="D2240" s="94"/>
      <c r="E2240" s="94"/>
      <c r="F2240" s="94"/>
      <c r="G2240" s="94"/>
    </row>
    <row r="2241" ht="15.75" customHeight="1">
      <c r="A2241" s="94"/>
      <c r="B2241" s="94"/>
      <c r="C2241" s="94"/>
      <c r="D2241" s="94"/>
      <c r="E2241" s="94"/>
      <c r="F2241" s="94"/>
      <c r="G2241" s="94"/>
    </row>
    <row r="2242" ht="15.75" customHeight="1">
      <c r="A2242" s="94"/>
      <c r="B2242" s="94"/>
      <c r="C2242" s="94"/>
      <c r="D2242" s="94"/>
      <c r="E2242" s="94"/>
      <c r="F2242" s="94"/>
      <c r="G2242" s="94"/>
    </row>
    <row r="2243" ht="15.75" customHeight="1">
      <c r="A2243" s="94"/>
      <c r="B2243" s="94"/>
      <c r="C2243" s="94"/>
      <c r="D2243" s="94"/>
      <c r="E2243" s="94"/>
      <c r="F2243" s="94"/>
      <c r="G2243" s="94"/>
    </row>
    <row r="2244" ht="15.75" customHeight="1">
      <c r="A2244" s="94"/>
      <c r="B2244" s="94"/>
      <c r="C2244" s="94"/>
      <c r="D2244" s="94"/>
      <c r="E2244" s="94"/>
      <c r="F2244" s="94"/>
      <c r="G2244" s="94"/>
    </row>
    <row r="2245" ht="15.75" customHeight="1">
      <c r="A2245" s="94"/>
      <c r="B2245" s="94"/>
      <c r="C2245" s="94"/>
      <c r="D2245" s="94"/>
      <c r="E2245" s="94"/>
      <c r="F2245" s="94"/>
      <c r="G2245" s="94"/>
    </row>
    <row r="2246" ht="15.75" customHeight="1">
      <c r="A2246" s="94"/>
      <c r="B2246" s="94"/>
      <c r="C2246" s="94"/>
      <c r="D2246" s="94"/>
      <c r="E2246" s="94"/>
      <c r="F2246" s="94"/>
      <c r="G2246" s="94"/>
    </row>
    <row r="2247" ht="15.75" customHeight="1">
      <c r="A2247" s="94"/>
      <c r="B2247" s="94"/>
      <c r="C2247" s="94"/>
      <c r="D2247" s="94"/>
      <c r="E2247" s="94"/>
      <c r="F2247" s="94"/>
      <c r="G2247" s="94"/>
    </row>
    <row r="2248" ht="15.75" customHeight="1">
      <c r="A2248" s="94"/>
      <c r="B2248" s="94"/>
      <c r="C2248" s="94"/>
      <c r="D2248" s="94"/>
      <c r="E2248" s="94"/>
      <c r="F2248" s="94"/>
      <c r="G2248" s="94"/>
    </row>
    <row r="2249" ht="15.75" customHeight="1">
      <c r="A2249" s="94"/>
      <c r="B2249" s="94"/>
      <c r="C2249" s="94"/>
      <c r="D2249" s="94"/>
      <c r="E2249" s="94"/>
      <c r="F2249" s="94"/>
      <c r="G2249" s="94"/>
    </row>
    <row r="2250" ht="15.75" customHeight="1">
      <c r="A2250" s="94"/>
      <c r="B2250" s="94"/>
      <c r="C2250" s="94"/>
      <c r="D2250" s="94"/>
      <c r="E2250" s="94"/>
      <c r="F2250" s="94"/>
      <c r="G2250" s="94"/>
    </row>
    <row r="2251" ht="15.75" customHeight="1">
      <c r="A2251" s="94"/>
      <c r="B2251" s="94"/>
      <c r="C2251" s="94"/>
      <c r="D2251" s="94"/>
      <c r="E2251" s="94"/>
      <c r="F2251" s="94"/>
      <c r="G2251" s="94"/>
    </row>
    <row r="2252" ht="15.75" customHeight="1">
      <c r="A2252" s="94"/>
      <c r="B2252" s="94"/>
      <c r="C2252" s="94"/>
      <c r="D2252" s="94"/>
      <c r="E2252" s="94"/>
      <c r="F2252" s="94"/>
      <c r="G2252" s="94"/>
    </row>
    <row r="2253" ht="15.75" customHeight="1">
      <c r="A2253" s="94"/>
      <c r="B2253" s="94"/>
      <c r="C2253" s="94"/>
      <c r="D2253" s="94"/>
      <c r="E2253" s="94"/>
      <c r="F2253" s="94"/>
      <c r="G2253" s="94"/>
    </row>
    <row r="2254" ht="15.75" customHeight="1">
      <c r="A2254" s="94"/>
      <c r="B2254" s="94"/>
      <c r="C2254" s="94"/>
      <c r="D2254" s="94"/>
      <c r="E2254" s="94"/>
      <c r="F2254" s="94"/>
      <c r="G2254" s="94"/>
    </row>
    <row r="2255" ht="15.75" customHeight="1">
      <c r="A2255" s="94"/>
      <c r="B2255" s="94"/>
      <c r="C2255" s="94"/>
      <c r="D2255" s="94"/>
      <c r="E2255" s="94"/>
      <c r="F2255" s="94"/>
      <c r="G2255" s="94"/>
    </row>
    <row r="2256" ht="15.75" customHeight="1">
      <c r="A2256" s="94"/>
      <c r="B2256" s="94"/>
      <c r="C2256" s="94"/>
      <c r="D2256" s="94"/>
      <c r="E2256" s="94"/>
      <c r="F2256" s="94"/>
      <c r="G2256" s="94"/>
    </row>
    <row r="2257" ht="15.75" customHeight="1">
      <c r="A2257" s="94"/>
      <c r="B2257" s="94"/>
      <c r="C2257" s="94"/>
      <c r="D2257" s="94"/>
      <c r="E2257" s="94"/>
      <c r="F2257" s="94"/>
      <c r="G2257" s="94"/>
    </row>
    <row r="2258" ht="15.75" customHeight="1">
      <c r="A2258" s="94"/>
      <c r="B2258" s="94"/>
      <c r="C2258" s="94"/>
      <c r="D2258" s="94"/>
      <c r="E2258" s="94"/>
      <c r="F2258" s="94"/>
      <c r="G2258" s="94"/>
    </row>
    <row r="2259" ht="15.75" customHeight="1">
      <c r="A2259" s="94"/>
      <c r="B2259" s="94"/>
      <c r="C2259" s="94"/>
      <c r="D2259" s="94"/>
      <c r="E2259" s="94"/>
      <c r="F2259" s="94"/>
      <c r="G2259" s="94"/>
    </row>
    <row r="2260" ht="15.75" customHeight="1">
      <c r="A2260" s="94"/>
      <c r="B2260" s="94"/>
      <c r="C2260" s="94"/>
      <c r="D2260" s="94"/>
      <c r="E2260" s="94"/>
      <c r="F2260" s="94"/>
      <c r="G2260" s="94"/>
    </row>
    <row r="2261" ht="15.75" customHeight="1">
      <c r="A2261" s="94"/>
      <c r="B2261" s="94"/>
      <c r="C2261" s="94"/>
      <c r="D2261" s="94"/>
      <c r="E2261" s="94"/>
      <c r="F2261" s="94"/>
      <c r="G2261" s="94"/>
    </row>
    <row r="2262" ht="15.75" customHeight="1">
      <c r="A2262" s="94"/>
      <c r="B2262" s="94"/>
      <c r="C2262" s="94"/>
      <c r="D2262" s="94"/>
      <c r="E2262" s="94"/>
      <c r="F2262" s="94"/>
      <c r="G2262" s="94"/>
    </row>
    <row r="2263" ht="15.75" customHeight="1">
      <c r="A2263" s="94"/>
      <c r="B2263" s="94"/>
      <c r="C2263" s="94"/>
      <c r="D2263" s="94"/>
      <c r="E2263" s="94"/>
      <c r="F2263" s="94"/>
      <c r="G2263" s="94"/>
    </row>
    <row r="2264" ht="15.75" customHeight="1">
      <c r="A2264" s="94"/>
      <c r="B2264" s="94"/>
      <c r="C2264" s="94"/>
      <c r="D2264" s="94"/>
      <c r="E2264" s="94"/>
      <c r="F2264" s="94"/>
      <c r="G2264" s="94"/>
    </row>
    <row r="2265" ht="15.75" customHeight="1">
      <c r="A2265" s="94"/>
      <c r="B2265" s="94"/>
      <c r="C2265" s="94"/>
      <c r="D2265" s="94"/>
      <c r="E2265" s="94"/>
      <c r="F2265" s="94"/>
      <c r="G2265" s="94"/>
    </row>
    <row r="2266" ht="15.75" customHeight="1">
      <c r="A2266" s="94"/>
      <c r="B2266" s="94"/>
      <c r="C2266" s="94"/>
      <c r="D2266" s="94"/>
      <c r="E2266" s="94"/>
      <c r="F2266" s="94"/>
      <c r="G2266" s="94"/>
    </row>
    <row r="2267" ht="15.75" customHeight="1">
      <c r="A2267" s="94"/>
      <c r="B2267" s="94"/>
      <c r="C2267" s="94"/>
      <c r="D2267" s="94"/>
      <c r="E2267" s="94"/>
      <c r="F2267" s="94"/>
      <c r="G2267" s="94"/>
    </row>
    <row r="2268" ht="15.75" customHeight="1">
      <c r="A2268" s="94"/>
      <c r="B2268" s="94"/>
      <c r="C2268" s="94"/>
      <c r="D2268" s="94"/>
      <c r="E2268" s="94"/>
      <c r="F2268" s="94"/>
      <c r="G2268" s="94"/>
    </row>
    <row r="2269" ht="15.75" customHeight="1">
      <c r="A2269" s="94"/>
      <c r="B2269" s="94"/>
      <c r="C2269" s="94"/>
      <c r="D2269" s="94"/>
      <c r="E2269" s="94"/>
      <c r="F2269" s="94"/>
      <c r="G2269" s="94"/>
    </row>
    <row r="2270" ht="15.75" customHeight="1">
      <c r="A2270" s="94"/>
      <c r="B2270" s="94"/>
      <c r="C2270" s="94"/>
      <c r="D2270" s="94"/>
      <c r="E2270" s="94"/>
      <c r="F2270" s="94"/>
      <c r="G2270" s="94"/>
    </row>
    <row r="2271" ht="15.75" customHeight="1">
      <c r="A2271" s="94"/>
      <c r="B2271" s="94"/>
      <c r="C2271" s="94"/>
      <c r="D2271" s="94"/>
      <c r="E2271" s="94"/>
      <c r="F2271" s="94"/>
      <c r="G2271" s="94"/>
    </row>
    <row r="2272" ht="15.75" customHeight="1">
      <c r="A2272" s="94"/>
      <c r="B2272" s="94"/>
      <c r="C2272" s="94"/>
      <c r="D2272" s="94"/>
      <c r="E2272" s="94"/>
      <c r="F2272" s="94"/>
      <c r="G2272" s="94"/>
    </row>
    <row r="2273" ht="15.75" customHeight="1">
      <c r="A2273" s="94"/>
      <c r="B2273" s="94"/>
      <c r="C2273" s="94"/>
      <c r="D2273" s="94"/>
      <c r="E2273" s="94"/>
      <c r="F2273" s="94"/>
      <c r="G2273" s="94"/>
    </row>
    <row r="2274" ht="15.75" customHeight="1">
      <c r="A2274" s="94"/>
      <c r="B2274" s="94"/>
      <c r="C2274" s="94"/>
      <c r="D2274" s="94"/>
      <c r="E2274" s="94"/>
      <c r="F2274" s="94"/>
      <c r="G2274" s="94"/>
    </row>
    <row r="2275" ht="15.75" customHeight="1">
      <c r="A2275" s="94"/>
      <c r="B2275" s="94"/>
      <c r="C2275" s="94"/>
      <c r="D2275" s="94"/>
      <c r="E2275" s="94"/>
      <c r="F2275" s="94"/>
      <c r="G2275" s="94"/>
    </row>
    <row r="2276" ht="15.75" customHeight="1">
      <c r="A2276" s="94"/>
      <c r="B2276" s="94"/>
      <c r="C2276" s="94"/>
      <c r="D2276" s="94"/>
      <c r="E2276" s="94"/>
      <c r="F2276" s="94"/>
      <c r="G2276" s="94"/>
    </row>
    <row r="2277" ht="15.75" customHeight="1">
      <c r="A2277" s="94"/>
      <c r="B2277" s="94"/>
      <c r="C2277" s="94"/>
      <c r="D2277" s="94"/>
      <c r="E2277" s="94"/>
      <c r="F2277" s="94"/>
      <c r="G2277" s="94"/>
    </row>
    <row r="2278" ht="15.75" customHeight="1">
      <c r="A2278" s="94"/>
      <c r="B2278" s="94"/>
      <c r="C2278" s="94"/>
      <c r="D2278" s="94"/>
      <c r="E2278" s="94"/>
      <c r="F2278" s="94"/>
      <c r="G2278" s="94"/>
    </row>
    <row r="2279" ht="15.75" customHeight="1">
      <c r="A2279" s="94"/>
      <c r="B2279" s="94"/>
      <c r="C2279" s="94"/>
      <c r="D2279" s="94"/>
      <c r="E2279" s="94"/>
      <c r="F2279" s="94"/>
      <c r="G2279" s="94"/>
    </row>
    <row r="2280" ht="15.75" customHeight="1">
      <c r="A2280" s="94"/>
      <c r="B2280" s="94"/>
      <c r="C2280" s="94"/>
      <c r="D2280" s="94"/>
      <c r="E2280" s="94"/>
      <c r="F2280" s="94"/>
      <c r="G2280" s="94"/>
    </row>
    <row r="2281" ht="15.75" customHeight="1">
      <c r="A2281" s="94"/>
      <c r="B2281" s="94"/>
      <c r="C2281" s="94"/>
      <c r="D2281" s="94"/>
      <c r="E2281" s="94"/>
      <c r="F2281" s="94"/>
      <c r="G2281" s="94"/>
    </row>
    <row r="2282" ht="15.75" customHeight="1">
      <c r="A2282" s="94"/>
      <c r="B2282" s="94"/>
      <c r="C2282" s="94"/>
      <c r="D2282" s="94"/>
      <c r="E2282" s="94"/>
      <c r="F2282" s="94"/>
      <c r="G2282" s="94"/>
    </row>
    <row r="2283" ht="15.75" customHeight="1">
      <c r="A2283" s="94"/>
      <c r="B2283" s="94"/>
      <c r="C2283" s="94"/>
      <c r="D2283" s="94"/>
      <c r="E2283" s="94"/>
      <c r="F2283" s="94"/>
      <c r="G2283" s="94"/>
    </row>
    <row r="2284" ht="15.75" customHeight="1">
      <c r="A2284" s="94"/>
      <c r="B2284" s="94"/>
      <c r="C2284" s="94"/>
      <c r="D2284" s="94"/>
      <c r="E2284" s="94"/>
      <c r="F2284" s="94"/>
      <c r="G2284" s="94"/>
    </row>
    <row r="2285" ht="15.75" customHeight="1">
      <c r="A2285" s="94"/>
      <c r="B2285" s="94"/>
      <c r="C2285" s="94"/>
      <c r="D2285" s="94"/>
      <c r="E2285" s="94"/>
      <c r="F2285" s="94"/>
      <c r="G2285" s="94"/>
    </row>
    <row r="2286" ht="15.75" customHeight="1">
      <c r="A2286" s="94"/>
      <c r="B2286" s="94"/>
      <c r="C2286" s="94"/>
      <c r="D2286" s="94"/>
      <c r="E2286" s="94"/>
      <c r="F2286" s="94"/>
      <c r="G2286" s="94"/>
    </row>
    <row r="2287" ht="15.75" customHeight="1">
      <c r="A2287" s="94"/>
      <c r="B2287" s="94"/>
      <c r="C2287" s="94"/>
      <c r="D2287" s="94"/>
      <c r="E2287" s="94"/>
      <c r="F2287" s="94"/>
      <c r="G2287" s="94"/>
    </row>
    <row r="2288" ht="15.75" customHeight="1">
      <c r="A2288" s="94"/>
      <c r="B2288" s="94"/>
      <c r="C2288" s="94"/>
      <c r="D2288" s="94"/>
      <c r="E2288" s="94"/>
      <c r="F2288" s="94"/>
      <c r="G2288" s="94"/>
    </row>
    <row r="2289" ht="15.75" customHeight="1">
      <c r="A2289" s="94"/>
      <c r="B2289" s="94"/>
      <c r="C2289" s="94"/>
      <c r="D2289" s="94"/>
      <c r="E2289" s="94"/>
      <c r="F2289" s="94"/>
      <c r="G2289" s="94"/>
    </row>
    <row r="2290" ht="15.75" customHeight="1">
      <c r="A2290" s="94"/>
      <c r="B2290" s="94"/>
      <c r="C2290" s="94"/>
      <c r="D2290" s="94"/>
      <c r="E2290" s="94"/>
      <c r="F2290" s="94"/>
      <c r="G2290" s="94"/>
    </row>
    <row r="2291" ht="15.75" customHeight="1">
      <c r="A2291" s="94"/>
      <c r="B2291" s="94"/>
      <c r="C2291" s="94"/>
      <c r="D2291" s="94"/>
      <c r="E2291" s="94"/>
      <c r="F2291" s="94"/>
      <c r="G2291" s="94"/>
    </row>
    <row r="2292" ht="15.75" customHeight="1">
      <c r="A2292" s="94"/>
      <c r="B2292" s="94"/>
      <c r="C2292" s="94"/>
      <c r="D2292" s="94"/>
      <c r="E2292" s="94"/>
      <c r="F2292" s="94"/>
      <c r="G2292" s="94"/>
    </row>
    <row r="2293" ht="15.75" customHeight="1">
      <c r="A2293" s="94"/>
      <c r="B2293" s="94"/>
      <c r="C2293" s="94"/>
      <c r="D2293" s="94"/>
      <c r="E2293" s="94"/>
      <c r="F2293" s="94"/>
      <c r="G2293" s="94"/>
    </row>
    <row r="2294" ht="15.75" customHeight="1">
      <c r="A2294" s="94"/>
      <c r="B2294" s="94"/>
      <c r="C2294" s="94"/>
      <c r="D2294" s="94"/>
      <c r="E2294" s="94"/>
      <c r="F2294" s="94"/>
      <c r="G2294" s="94"/>
    </row>
    <row r="2295" ht="15.75" customHeight="1">
      <c r="A2295" s="94"/>
      <c r="B2295" s="94"/>
      <c r="C2295" s="94"/>
      <c r="D2295" s="94"/>
      <c r="E2295" s="94"/>
      <c r="F2295" s="94"/>
      <c r="G2295" s="94"/>
    </row>
    <row r="2296" ht="15.75" customHeight="1">
      <c r="A2296" s="94"/>
      <c r="B2296" s="94"/>
      <c r="C2296" s="94"/>
      <c r="D2296" s="94"/>
      <c r="E2296" s="94"/>
      <c r="F2296" s="94"/>
      <c r="G2296" s="94"/>
    </row>
    <row r="2297" ht="15.75" customHeight="1">
      <c r="A2297" s="94"/>
      <c r="B2297" s="94"/>
      <c r="C2297" s="94"/>
      <c r="D2297" s="94"/>
      <c r="E2297" s="94"/>
      <c r="F2297" s="94"/>
      <c r="G2297" s="94"/>
    </row>
    <row r="2298" ht="15.75" customHeight="1">
      <c r="A2298" s="94"/>
      <c r="B2298" s="94"/>
      <c r="C2298" s="94"/>
      <c r="D2298" s="94"/>
      <c r="E2298" s="94"/>
      <c r="F2298" s="94"/>
      <c r="G2298" s="94"/>
    </row>
    <row r="2299" ht="15.75" customHeight="1">
      <c r="A2299" s="94"/>
      <c r="B2299" s="94"/>
      <c r="C2299" s="94"/>
      <c r="D2299" s="94"/>
      <c r="E2299" s="94"/>
      <c r="F2299" s="94"/>
      <c r="G2299" s="94"/>
    </row>
    <row r="2300" ht="15.75" customHeight="1">
      <c r="A2300" s="94"/>
      <c r="B2300" s="94"/>
      <c r="C2300" s="94"/>
      <c r="D2300" s="94"/>
      <c r="E2300" s="94"/>
      <c r="F2300" s="94"/>
      <c r="G2300" s="94"/>
    </row>
    <row r="2301" ht="15.75" customHeight="1">
      <c r="A2301" s="94"/>
      <c r="B2301" s="94"/>
      <c r="C2301" s="94"/>
      <c r="D2301" s="94"/>
      <c r="E2301" s="94"/>
      <c r="F2301" s="94"/>
      <c r="G2301" s="94"/>
    </row>
  </sheetData>
  <autoFilter ref="$A$1:$Z$737"/>
  <hyperlinks>
    <hyperlink r:id="rId1" ref="D1014"/>
    <hyperlink r:id="rId2" ref="D1016"/>
    <hyperlink r:id="rId3" ref="D1033"/>
    <hyperlink r:id="rId4" ref="D1036"/>
    <hyperlink r:id="rId5" ref="D1041"/>
    <hyperlink r:id="rId6" ref="D1042"/>
    <hyperlink r:id="rId7" ref="D1047"/>
    <hyperlink r:id="rId8" ref="D1048"/>
    <hyperlink r:id="rId9" ref="D1050"/>
    <hyperlink r:id="rId10" ref="D1053"/>
    <hyperlink r:id="rId11" ref="D1054"/>
    <hyperlink r:id="rId12" ref="D1055"/>
    <hyperlink r:id="rId13" ref="D1057"/>
    <hyperlink r:id="rId14" ref="D1058"/>
    <hyperlink r:id="rId15" ref="D1059"/>
    <hyperlink r:id="rId16" ref="D1060"/>
    <hyperlink r:id="rId17" ref="D1063"/>
    <hyperlink r:id="rId18" ref="D1067"/>
    <hyperlink r:id="rId19" ref="D1071"/>
    <hyperlink r:id="rId20" ref="D1078"/>
    <hyperlink r:id="rId21" ref="D1090"/>
    <hyperlink r:id="rId22" ref="D1102"/>
    <hyperlink r:id="rId23" ref="D1104"/>
    <hyperlink r:id="rId24" ref="D1107"/>
    <hyperlink r:id="rId25" ref="D1108"/>
    <hyperlink r:id="rId26" ref="D1110"/>
    <hyperlink r:id="rId27" ref="D1119"/>
    <hyperlink r:id="rId28" ref="D1120"/>
    <hyperlink r:id="rId29" ref="D1126"/>
    <hyperlink r:id="rId30" ref="D1127"/>
    <hyperlink r:id="rId31" ref="D1130"/>
    <hyperlink r:id="rId32" ref="D1131"/>
    <hyperlink r:id="rId33" ref="D1136"/>
    <hyperlink r:id="rId34" ref="D1144"/>
    <hyperlink r:id="rId35" ref="D1146"/>
    <hyperlink r:id="rId36" ref="D1151"/>
    <hyperlink r:id="rId37" ref="D1152"/>
    <hyperlink r:id="rId38" ref="D1156"/>
    <hyperlink r:id="rId39" ref="D1161"/>
    <hyperlink r:id="rId40" ref="D1162"/>
    <hyperlink r:id="rId41" ref="D1164"/>
    <hyperlink r:id="rId42" ref="D1165"/>
    <hyperlink r:id="rId43" ref="D1171"/>
    <hyperlink r:id="rId44" ref="D1172"/>
    <hyperlink r:id="rId45" ref="D1175"/>
    <hyperlink r:id="rId46" ref="D1183"/>
    <hyperlink r:id="rId47" ref="D1184"/>
    <hyperlink r:id="rId48" ref="D1191"/>
    <hyperlink r:id="rId49" ref="D1192"/>
    <hyperlink r:id="rId50" ref="D1193"/>
    <hyperlink r:id="rId51" ref="D1194"/>
    <hyperlink r:id="rId52" ref="D1195"/>
    <hyperlink r:id="rId53" ref="D1196"/>
    <hyperlink r:id="rId54" ref="D1197"/>
    <hyperlink r:id="rId55" ref="D1198"/>
    <hyperlink r:id="rId56" ref="D1199"/>
    <hyperlink r:id="rId57" ref="D1200"/>
    <hyperlink r:id="rId58" ref="D1201"/>
    <hyperlink r:id="rId59" ref="D1202"/>
    <hyperlink r:id="rId60" ref="D1203"/>
    <hyperlink r:id="rId61" ref="D1204"/>
    <hyperlink r:id="rId62" ref="D1205"/>
    <hyperlink r:id="rId63" ref="D1206"/>
    <hyperlink r:id="rId64" ref="D1207"/>
    <hyperlink r:id="rId65" ref="D1208"/>
    <hyperlink r:id="rId66" ref="D1209"/>
    <hyperlink r:id="rId67" ref="D1210"/>
    <hyperlink r:id="rId68" ref="D1211"/>
    <hyperlink r:id="rId69" ref="D1212"/>
    <hyperlink r:id="rId70" ref="D1219"/>
    <hyperlink r:id="rId71" ref="D1220"/>
    <hyperlink r:id="rId72" ref="D1221"/>
    <hyperlink r:id="rId73" ref="D1222"/>
    <hyperlink r:id="rId74" ref="D1223"/>
    <hyperlink r:id="rId75" ref="D1224"/>
    <hyperlink r:id="rId76" ref="D1225"/>
    <hyperlink r:id="rId77" ref="D1226"/>
    <hyperlink r:id="rId78" ref="D1227"/>
    <hyperlink r:id="rId79" ref="D1228"/>
    <hyperlink r:id="rId80" ref="D1229"/>
    <hyperlink r:id="rId81" ref="D1230"/>
    <hyperlink r:id="rId82" ref="D1231"/>
    <hyperlink r:id="rId83" ref="D1232"/>
    <hyperlink r:id="rId84" ref="D1233"/>
    <hyperlink r:id="rId85" ref="D1234"/>
    <hyperlink r:id="rId86" ref="D1235"/>
    <hyperlink r:id="rId87" ref="D1236"/>
    <hyperlink r:id="rId88" ref="D1237"/>
    <hyperlink r:id="rId89" ref="D1238"/>
    <hyperlink r:id="rId90" ref="D1239"/>
    <hyperlink r:id="rId91" ref="D1240"/>
    <hyperlink r:id="rId92" ref="D1241"/>
    <hyperlink r:id="rId93" ref="D1242"/>
    <hyperlink r:id="rId94" ref="D1243"/>
    <hyperlink r:id="rId95" ref="D1244"/>
    <hyperlink r:id="rId96" ref="D1245"/>
    <hyperlink r:id="rId97" ref="D1246"/>
    <hyperlink r:id="rId98" ref="D1247"/>
    <hyperlink r:id="rId99" ref="D1248"/>
    <hyperlink r:id="rId100" ref="D1249"/>
    <hyperlink r:id="rId101" ref="D1250"/>
    <hyperlink r:id="rId102" ref="D1251"/>
    <hyperlink r:id="rId103" ref="D1252"/>
    <hyperlink r:id="rId104" ref="D1253"/>
    <hyperlink r:id="rId105" ref="D1254"/>
    <hyperlink r:id="rId106" ref="D1255"/>
    <hyperlink r:id="rId107" ref="D1256"/>
    <hyperlink r:id="rId108" ref="D1257"/>
    <hyperlink r:id="rId109" ref="D1258"/>
    <hyperlink r:id="rId110" ref="D1259"/>
    <hyperlink r:id="rId111" ref="D1260"/>
    <hyperlink r:id="rId112" ref="D1261"/>
    <hyperlink r:id="rId113" ref="D1262"/>
    <hyperlink r:id="rId114" ref="D1263"/>
    <hyperlink r:id="rId115" ref="D1264"/>
    <hyperlink r:id="rId116" ref="D1265"/>
    <hyperlink r:id="rId117" ref="D1266"/>
    <hyperlink r:id="rId118" ref="D1267"/>
    <hyperlink r:id="rId119" ref="D1268"/>
    <hyperlink r:id="rId120" ref="D1269"/>
    <hyperlink r:id="rId121" ref="D1270"/>
    <hyperlink r:id="rId122" ref="D1271"/>
    <hyperlink r:id="rId123" ref="D1272"/>
    <hyperlink r:id="rId124" ref="D1273"/>
    <hyperlink r:id="rId125" ref="D1274"/>
    <hyperlink r:id="rId126" ref="D1275"/>
    <hyperlink r:id="rId127" ref="D1276"/>
    <hyperlink r:id="rId128" ref="D1277"/>
    <hyperlink r:id="rId129" ref="D1278"/>
    <hyperlink r:id="rId130" ref="D1279"/>
    <hyperlink r:id="rId131" ref="D1280"/>
    <hyperlink r:id="rId132" ref="D1281"/>
    <hyperlink r:id="rId133" ref="D1282"/>
    <hyperlink r:id="rId134" ref="D1283"/>
    <hyperlink r:id="rId135" ref="D1284"/>
    <hyperlink r:id="rId136" ref="D1285"/>
    <hyperlink r:id="rId137" ref="D1286"/>
    <hyperlink r:id="rId138" ref="D1287"/>
    <hyperlink r:id="rId139" ref="D1288"/>
    <hyperlink r:id="rId140" ref="D1289"/>
    <hyperlink r:id="rId141" ref="D1290"/>
    <hyperlink r:id="rId142" ref="D1291"/>
    <hyperlink r:id="rId143" ref="D1292"/>
    <hyperlink r:id="rId144" ref="D1293"/>
    <hyperlink r:id="rId145" ref="D1294"/>
    <hyperlink r:id="rId146" ref="D1295"/>
    <hyperlink r:id="rId147" ref="D1296"/>
    <hyperlink r:id="rId148" ref="D1297"/>
    <hyperlink r:id="rId149" ref="D1298"/>
    <hyperlink r:id="rId150" ref="D1299"/>
    <hyperlink r:id="rId151" ref="D1300"/>
    <hyperlink r:id="rId152" ref="D1301"/>
    <hyperlink r:id="rId153" ref="D1302"/>
    <hyperlink r:id="rId154" ref="D1303"/>
    <hyperlink r:id="rId155" ref="D1304"/>
    <hyperlink r:id="rId156" ref="D1305"/>
    <hyperlink r:id="rId157" ref="D1516"/>
    <hyperlink r:id="rId158" ref="D1517"/>
    <hyperlink r:id="rId159" ref="D1518"/>
    <hyperlink r:id="rId160" ref="D1519"/>
    <hyperlink r:id="rId161" ref="D1520"/>
    <hyperlink r:id="rId162" ref="D1521"/>
    <hyperlink r:id="rId163" ref="D1522"/>
    <hyperlink r:id="rId164" ref="D1523"/>
    <hyperlink r:id="rId165" ref="D1524"/>
    <hyperlink r:id="rId166" ref="A1525"/>
    <hyperlink r:id="rId167" ref="D1525"/>
    <hyperlink r:id="rId168" ref="D1526"/>
    <hyperlink r:id="rId169" ref="D1527"/>
    <hyperlink r:id="rId170" ref="D1528"/>
    <hyperlink r:id="rId171" ref="D1529"/>
    <hyperlink r:id="rId172" ref="D1530"/>
    <hyperlink r:id="rId173" ref="D1531"/>
    <hyperlink r:id="rId174" ref="D1532"/>
    <hyperlink r:id="rId175" ref="D1533"/>
    <hyperlink r:id="rId176" ref="D1534"/>
    <hyperlink r:id="rId177" ref="D1535"/>
    <hyperlink r:id="rId178" ref="D1536"/>
    <hyperlink r:id="rId179" ref="D1537"/>
    <hyperlink r:id="rId180" ref="D1538"/>
    <hyperlink r:id="rId181" ref="D1539"/>
    <hyperlink r:id="rId182" ref="D1540"/>
    <hyperlink r:id="rId183" ref="D1541"/>
    <hyperlink r:id="rId184" ref="D1542"/>
    <hyperlink r:id="rId185" ref="D1543"/>
    <hyperlink r:id="rId186" ref="D1544"/>
    <hyperlink r:id="rId187" ref="D1545"/>
    <hyperlink r:id="rId188" ref="D1546"/>
    <hyperlink r:id="rId189" ref="D1547"/>
    <hyperlink r:id="rId190" ref="D1548"/>
    <hyperlink r:id="rId191" ref="D1549"/>
    <hyperlink r:id="rId192" ref="D1550"/>
    <hyperlink r:id="rId193" ref="D1551"/>
    <hyperlink r:id="rId194" ref="D1552"/>
    <hyperlink r:id="rId195" ref="D1553"/>
    <hyperlink r:id="rId196" ref="D1554"/>
    <hyperlink r:id="rId197" ref="D1555"/>
    <hyperlink r:id="rId198" ref="D1556"/>
    <hyperlink r:id="rId199" ref="D1557"/>
    <hyperlink r:id="rId200" ref="D1558"/>
    <hyperlink r:id="rId201" ref="D1559"/>
    <hyperlink r:id="rId202" ref="D1560"/>
    <hyperlink r:id="rId203" ref="D1561"/>
    <hyperlink r:id="rId204" ref="D1562"/>
    <hyperlink r:id="rId205" ref="D1563"/>
    <hyperlink r:id="rId206" ref="D1564"/>
    <hyperlink r:id="rId207" ref="D1565"/>
    <hyperlink r:id="rId208" ref="D1566"/>
    <hyperlink r:id="rId209" ref="D1567"/>
    <hyperlink r:id="rId210" ref="D1568"/>
    <hyperlink r:id="rId211" ref="D1569"/>
    <hyperlink r:id="rId212" ref="D1570"/>
    <hyperlink r:id="rId213" ref="D1571"/>
    <hyperlink r:id="rId214" ref="D1572"/>
    <hyperlink r:id="rId215" ref="D1573"/>
    <hyperlink r:id="rId216" ref="D1574"/>
    <hyperlink r:id="rId217" ref="D1575"/>
    <hyperlink r:id="rId218" ref="D1576"/>
    <hyperlink r:id="rId219" ref="D1577"/>
    <hyperlink r:id="rId220" ref="D1578"/>
    <hyperlink r:id="rId221" ref="D1579"/>
    <hyperlink r:id="rId222" ref="D1580"/>
    <hyperlink r:id="rId223" ref="D1581"/>
    <hyperlink r:id="rId224" ref="D1582"/>
    <hyperlink r:id="rId225" ref="D1583"/>
    <hyperlink r:id="rId226" ref="D1584"/>
    <hyperlink r:id="rId227" ref="D1585"/>
    <hyperlink r:id="rId228" ref="D1586"/>
    <hyperlink r:id="rId229" ref="D1587"/>
    <hyperlink r:id="rId230" ref="D1588"/>
    <hyperlink r:id="rId231" ref="D1589"/>
    <hyperlink r:id="rId232" ref="D1590"/>
    <hyperlink r:id="rId233" ref="D1591"/>
    <hyperlink r:id="rId234" ref="D1592"/>
    <hyperlink r:id="rId235" ref="D1593"/>
    <hyperlink r:id="rId236" ref="D1594"/>
    <hyperlink r:id="rId237" ref="D1595"/>
    <hyperlink r:id="rId238" ref="D1596"/>
    <hyperlink r:id="rId239" ref="D1597"/>
    <hyperlink r:id="rId240" ref="D1598"/>
    <hyperlink r:id="rId241" ref="D1599"/>
    <hyperlink r:id="rId242" ref="D1600"/>
    <hyperlink r:id="rId243" ref="D1601"/>
    <hyperlink r:id="rId244" ref="D1602"/>
    <hyperlink r:id="rId245" ref="D1603"/>
    <hyperlink r:id="rId246" ref="D1604"/>
    <hyperlink r:id="rId247" ref="D1605"/>
    <hyperlink r:id="rId248" ref="D1606"/>
    <hyperlink r:id="rId249" ref="D1607"/>
    <hyperlink r:id="rId250" ref="D1608"/>
    <hyperlink r:id="rId251" ref="D1609"/>
    <hyperlink r:id="rId252" ref="D1610"/>
    <hyperlink r:id="rId253" ref="D1611"/>
    <hyperlink r:id="rId254" ref="D1612"/>
    <hyperlink r:id="rId255" ref="D1613"/>
    <hyperlink r:id="rId256" ref="D1614"/>
    <hyperlink r:id="rId257" ref="D1615"/>
    <hyperlink r:id="rId258" ref="D1616"/>
    <hyperlink r:id="rId259" ref="D1617"/>
    <hyperlink r:id="rId260" ref="D1618"/>
    <hyperlink r:id="rId261" ref="D1619"/>
    <hyperlink r:id="rId262" ref="D1620"/>
    <hyperlink r:id="rId263" ref="D1621"/>
    <hyperlink r:id="rId264" ref="D1622"/>
    <hyperlink r:id="rId265" ref="D1623"/>
    <hyperlink r:id="rId266" ref="D1624"/>
    <hyperlink r:id="rId267" ref="D1625"/>
    <hyperlink r:id="rId268" ref="D1665"/>
    <hyperlink r:id="rId269" ref="D1666"/>
    <hyperlink r:id="rId270" ref="D1667"/>
    <hyperlink r:id="rId271" ref="D1668"/>
    <hyperlink r:id="rId272" ref="D1669"/>
    <hyperlink r:id="rId273" ref="D1670"/>
    <hyperlink r:id="rId274" ref="D1671"/>
    <hyperlink r:id="rId275" ref="D1672"/>
    <hyperlink r:id="rId276" ref="D1673"/>
    <hyperlink r:id="rId277" ref="D1674"/>
    <hyperlink r:id="rId278" ref="D1675"/>
    <hyperlink r:id="rId279" ref="D1676"/>
    <hyperlink r:id="rId280" ref="D1677"/>
    <hyperlink r:id="rId281" ref="D1678"/>
    <hyperlink r:id="rId282" ref="D1679"/>
    <hyperlink r:id="rId283" ref="D1680"/>
    <hyperlink r:id="rId284" ref="D1681"/>
    <hyperlink r:id="rId285" ref="D1682"/>
    <hyperlink r:id="rId286" ref="D1683"/>
    <hyperlink r:id="rId287" ref="D1684"/>
    <hyperlink r:id="rId288" ref="D1685"/>
    <hyperlink r:id="rId289" ref="D1686"/>
    <hyperlink r:id="rId290" ref="D1688"/>
    <hyperlink r:id="rId291" ref="D1689"/>
    <hyperlink r:id="rId292" ref="D1690"/>
    <hyperlink r:id="rId293" ref="D1691"/>
    <hyperlink r:id="rId294" ref="D1692"/>
    <hyperlink r:id="rId295" ref="D1693"/>
    <hyperlink r:id="rId296" ref="D1694"/>
    <hyperlink r:id="rId297" ref="D1695"/>
    <hyperlink r:id="rId298" ref="D1696"/>
    <hyperlink r:id="rId299" ref="D1697"/>
    <hyperlink r:id="rId300" ref="D1698"/>
    <hyperlink r:id="rId301" ref="D1699"/>
    <hyperlink r:id="rId302" ref="D1700"/>
    <hyperlink r:id="rId303" ref="D1701"/>
    <hyperlink r:id="rId304" ref="D1704"/>
    <hyperlink r:id="rId305" ref="D1705"/>
    <hyperlink r:id="rId306" ref="D1706"/>
    <hyperlink r:id="rId307" ref="D1707"/>
    <hyperlink r:id="rId308" ref="D1708"/>
    <hyperlink r:id="rId309" ref="D1709"/>
    <hyperlink r:id="rId310" ref="D1710"/>
    <hyperlink r:id="rId311" ref="D1711"/>
    <hyperlink r:id="rId312" ref="D1712"/>
    <hyperlink r:id="rId313" ref="D1713"/>
    <hyperlink r:id="rId314" ref="D1714"/>
    <hyperlink r:id="rId315" ref="D1715"/>
    <hyperlink r:id="rId316" ref="D1716"/>
    <hyperlink r:id="rId317" ref="D1717"/>
    <hyperlink r:id="rId318" ref="D1718"/>
    <hyperlink r:id="rId319" ref="D1719"/>
    <hyperlink r:id="rId320" ref="D1720"/>
    <hyperlink r:id="rId321" ref="D1721"/>
    <hyperlink r:id="rId322" ref="D1722"/>
    <hyperlink r:id="rId323" ref="D1723"/>
    <hyperlink r:id="rId324" ref="D1724"/>
    <hyperlink r:id="rId325" ref="D1725"/>
    <hyperlink r:id="rId326" ref="D1726"/>
    <hyperlink r:id="rId327" ref="D1727"/>
    <hyperlink r:id="rId328" ref="D1728"/>
    <hyperlink r:id="rId329" ref="D1729"/>
    <hyperlink r:id="rId330" ref="D1730"/>
    <hyperlink r:id="rId331" ref="A1731"/>
    <hyperlink r:id="rId332" ref="D1731"/>
    <hyperlink r:id="rId333" ref="D1732"/>
    <hyperlink r:id="rId334" ref="D1733"/>
    <hyperlink r:id="rId335" ref="D1734"/>
    <hyperlink r:id="rId336" ref="D1735"/>
    <hyperlink r:id="rId337" ref="D1736"/>
    <hyperlink r:id="rId338" ref="D1737"/>
    <hyperlink r:id="rId339" ref="D1738"/>
    <hyperlink r:id="rId340" ref="D1739"/>
    <hyperlink r:id="rId341" ref="D1740"/>
    <hyperlink r:id="rId342" ref="D1741"/>
    <hyperlink r:id="rId343" ref="D1742"/>
    <hyperlink r:id="rId344" ref="D1743"/>
    <hyperlink r:id="rId345" ref="D1744"/>
    <hyperlink r:id="rId346" ref="D1747"/>
    <hyperlink r:id="rId347" ref="D1748"/>
    <hyperlink r:id="rId348" ref="D1749"/>
    <hyperlink r:id="rId349" ref="D1750"/>
    <hyperlink r:id="rId350" ref="D1751"/>
    <hyperlink r:id="rId351" ref="D1752"/>
    <hyperlink r:id="rId352" ref="D1753"/>
    <hyperlink r:id="rId353" ref="D1754"/>
    <hyperlink r:id="rId354" ref="D1755"/>
    <hyperlink r:id="rId355" ref="D1756"/>
    <hyperlink r:id="rId356" ref="D1757"/>
    <hyperlink r:id="rId357" ref="D1758"/>
    <hyperlink r:id="rId358" ref="D1759"/>
    <hyperlink r:id="rId359" ref="A1760"/>
    <hyperlink r:id="rId360" ref="D1760"/>
    <hyperlink r:id="rId361" ref="D1761"/>
    <hyperlink r:id="rId362" ref="D1762"/>
    <hyperlink r:id="rId363" ref="D1766"/>
    <hyperlink r:id="rId364" ref="D1767"/>
    <hyperlink r:id="rId365" ref="D1768"/>
    <hyperlink r:id="rId366" ref="A1769"/>
    <hyperlink r:id="rId367" ref="D1769"/>
    <hyperlink r:id="rId368" ref="D1771"/>
    <hyperlink r:id="rId369" ref="D1772"/>
    <hyperlink r:id="rId370" ref="D1773"/>
    <hyperlink r:id="rId371" ref="D1774"/>
    <hyperlink r:id="rId372" ref="D1775"/>
    <hyperlink r:id="rId373" ref="D1776"/>
    <hyperlink r:id="rId374" ref="A1777"/>
    <hyperlink r:id="rId375" ref="D1777"/>
    <hyperlink r:id="rId376" ref="A1778"/>
    <hyperlink r:id="rId377" ref="D1778"/>
    <hyperlink r:id="rId378" ref="D1779"/>
    <hyperlink r:id="rId379" ref="D1780"/>
    <hyperlink r:id="rId380" ref="D1781"/>
    <hyperlink r:id="rId381" ref="D1782"/>
    <hyperlink r:id="rId382" ref="D1783"/>
    <hyperlink r:id="rId383" ref="A1784"/>
    <hyperlink r:id="rId384" ref="D1784"/>
    <hyperlink r:id="rId385" ref="D1785"/>
    <hyperlink r:id="rId386" ref="D1786"/>
    <hyperlink r:id="rId387" ref="D1787"/>
    <hyperlink r:id="rId388" ref="D1788"/>
    <hyperlink r:id="rId389" ref="D1789"/>
    <hyperlink r:id="rId390" ref="D1790"/>
    <hyperlink r:id="rId391" ref="A1791"/>
    <hyperlink r:id="rId392" ref="D1791"/>
    <hyperlink r:id="rId393" ref="D1792"/>
    <hyperlink r:id="rId394" ref="D1793"/>
    <hyperlink r:id="rId395" ref="D1794"/>
    <hyperlink r:id="rId396" ref="D1795"/>
    <hyperlink r:id="rId397" ref="D1798"/>
    <hyperlink r:id="rId398" ref="D1800"/>
    <hyperlink r:id="rId399" ref="D1801"/>
    <hyperlink r:id="rId400" ref="A1802"/>
    <hyperlink r:id="rId401" ref="D1802"/>
    <hyperlink r:id="rId402" ref="D1803"/>
    <hyperlink r:id="rId403" ref="D1804"/>
    <hyperlink r:id="rId404" ref="D1805"/>
    <hyperlink r:id="rId405" ref="A1807"/>
    <hyperlink r:id="rId406" ref="D1807"/>
    <hyperlink r:id="rId407" ref="A1808"/>
    <hyperlink r:id="rId408" ref="D1808"/>
    <hyperlink r:id="rId409" ref="D1809"/>
    <hyperlink r:id="rId410" ref="D1810"/>
    <hyperlink r:id="rId411" ref="D1811"/>
    <hyperlink r:id="rId412" ref="D1812"/>
    <hyperlink r:id="rId413" ref="A1813"/>
    <hyperlink r:id="rId414" ref="D1813"/>
    <hyperlink r:id="rId415" ref="A1814"/>
    <hyperlink r:id="rId416" ref="D1814"/>
    <hyperlink r:id="rId417" ref="D1815"/>
    <hyperlink r:id="rId418" ref="D1816"/>
    <hyperlink r:id="rId419" ref="D1817"/>
    <hyperlink r:id="rId420" ref="D1818"/>
    <hyperlink r:id="rId421" ref="D1819"/>
    <hyperlink r:id="rId422" ref="D1820"/>
    <hyperlink r:id="rId423" ref="A1821"/>
    <hyperlink r:id="rId424" ref="D1821"/>
    <hyperlink r:id="rId425" ref="D1823"/>
    <hyperlink r:id="rId426" ref="A1824"/>
    <hyperlink r:id="rId427" ref="D1824"/>
    <hyperlink r:id="rId428" ref="A1825"/>
    <hyperlink r:id="rId429" ref="D1825"/>
    <hyperlink r:id="rId430" ref="D1826"/>
    <hyperlink r:id="rId431" ref="D1827"/>
    <hyperlink r:id="rId432" ref="D1828"/>
    <hyperlink r:id="rId433" ref="D1829"/>
    <hyperlink r:id="rId434" ref="D1830"/>
    <hyperlink r:id="rId435" ref="D1831"/>
    <hyperlink r:id="rId436" ref="D1832"/>
    <hyperlink r:id="rId437" ref="D1833"/>
    <hyperlink r:id="rId438" ref="D1834"/>
    <hyperlink r:id="rId439" ref="D1835"/>
    <hyperlink r:id="rId440" ref="A1838"/>
    <hyperlink r:id="rId441" ref="D1847"/>
    <hyperlink r:id="rId442" ref="D1848"/>
    <hyperlink r:id="rId443" ref="D1853"/>
    <hyperlink r:id="rId444" ref="A1855"/>
    <hyperlink r:id="rId445" ref="D1855"/>
    <hyperlink r:id="rId446" ref="D1856"/>
    <hyperlink r:id="rId447" ref="D1857"/>
    <hyperlink r:id="rId448" ref="D1858"/>
    <hyperlink r:id="rId449" ref="D1859"/>
    <hyperlink r:id="rId450" ref="A1860"/>
    <hyperlink r:id="rId451" ref="D1860"/>
    <hyperlink r:id="rId452" ref="D1861"/>
    <hyperlink r:id="rId453" ref="D1862"/>
    <hyperlink r:id="rId454" ref="A1863"/>
    <hyperlink r:id="rId455" ref="D1863"/>
    <hyperlink r:id="rId456" ref="D1864"/>
    <hyperlink r:id="rId457" ref="D1865"/>
    <hyperlink r:id="rId458" ref="D1866"/>
    <hyperlink r:id="rId459" ref="D1867"/>
    <hyperlink r:id="rId460" ref="D1868"/>
    <hyperlink r:id="rId461" ref="A1869"/>
    <hyperlink r:id="rId462" ref="D1869"/>
    <hyperlink r:id="rId463" ref="D1871"/>
    <hyperlink r:id="rId464" ref="A1872"/>
    <hyperlink r:id="rId465" ref="D1872"/>
    <hyperlink r:id="rId466" ref="D1873"/>
    <hyperlink r:id="rId467" ref="A1874"/>
    <hyperlink r:id="rId468" ref="D1874"/>
    <hyperlink r:id="rId469" ref="A1875"/>
    <hyperlink r:id="rId470" ref="D1875"/>
    <hyperlink r:id="rId471" ref="D1877"/>
    <hyperlink r:id="rId472" ref="D1878"/>
    <hyperlink r:id="rId473" ref="A1879"/>
    <hyperlink r:id="rId474" ref="D1879"/>
    <hyperlink r:id="rId475" ref="A1880"/>
    <hyperlink r:id="rId476" ref="D1880"/>
    <hyperlink r:id="rId477" ref="D1881"/>
    <hyperlink r:id="rId478" ref="D1882"/>
    <hyperlink r:id="rId479" ref="D1883"/>
    <hyperlink r:id="rId480" ref="A1884"/>
    <hyperlink r:id="rId481" ref="D1884"/>
    <hyperlink r:id="rId482" ref="D1885"/>
    <hyperlink r:id="rId483" ref="D1886"/>
    <hyperlink r:id="rId484" ref="D1887"/>
    <hyperlink r:id="rId485" ref="D1888"/>
    <hyperlink r:id="rId486" ref="A1889"/>
    <hyperlink r:id="rId487" ref="D1889"/>
    <hyperlink r:id="rId488" ref="D1890"/>
    <hyperlink r:id="rId489" ref="D1891"/>
    <hyperlink r:id="rId490" ref="D1892"/>
    <hyperlink r:id="rId491" ref="D1895"/>
    <hyperlink r:id="rId492" ref="D1896"/>
    <hyperlink r:id="rId493" ref="D1897"/>
    <hyperlink r:id="rId494" ref="D1898"/>
    <hyperlink r:id="rId495" ref="A1899"/>
    <hyperlink r:id="rId496" ref="D1899"/>
    <hyperlink r:id="rId497" ref="D1900"/>
    <hyperlink r:id="rId498" ref="D1901"/>
    <hyperlink r:id="rId499" ref="A1902"/>
    <hyperlink r:id="rId500" ref="D1902"/>
    <hyperlink r:id="rId501" ref="D1903"/>
    <hyperlink r:id="rId502" ref="D1904"/>
    <hyperlink r:id="rId503" ref="D1905"/>
    <hyperlink r:id="rId504" ref="D1906"/>
    <hyperlink r:id="rId505" ref="D1907"/>
    <hyperlink r:id="rId506" ref="D1908"/>
    <hyperlink r:id="rId507" ref="D1909"/>
    <hyperlink r:id="rId508" ref="D1910"/>
    <hyperlink r:id="rId509" ref="A1911"/>
    <hyperlink r:id="rId510" ref="D1911"/>
    <hyperlink r:id="rId511" ref="D1912"/>
    <hyperlink r:id="rId512" ref="A1918"/>
    <hyperlink r:id="rId513" ref="D1946"/>
    <hyperlink r:id="rId514" ref="D1948"/>
    <hyperlink r:id="rId515" ref="D1950"/>
    <hyperlink r:id="rId516" ref="D1963"/>
    <hyperlink r:id="rId517" ref="D1964"/>
    <hyperlink r:id="rId518" ref="D1965"/>
    <hyperlink r:id="rId519" ref="D1969"/>
    <hyperlink r:id="rId520" ref="D1974"/>
    <hyperlink r:id="rId521" ref="D1975"/>
    <hyperlink r:id="rId522" ref="D1977"/>
    <hyperlink r:id="rId523" ref="D1983"/>
    <hyperlink r:id="rId524" ref="D1985"/>
    <hyperlink r:id="rId525" ref="D1988"/>
    <hyperlink r:id="rId526" ref="D1999"/>
    <hyperlink r:id="rId527" ref="D2011"/>
    <hyperlink r:id="rId528" ref="D2025"/>
    <hyperlink r:id="rId529" ref="D2027"/>
    <hyperlink r:id="rId530" ref="A2032"/>
    <hyperlink r:id="rId531" ref="D2032"/>
    <hyperlink r:id="rId532" ref="D2042"/>
    <hyperlink r:id="rId533" ref="D2045"/>
    <hyperlink r:id="rId534" ref="D2046"/>
    <hyperlink r:id="rId535" ref="D2051"/>
    <hyperlink r:id="rId536" ref="D2053"/>
    <hyperlink r:id="rId537" ref="D2054"/>
    <hyperlink r:id="rId538" ref="D2057"/>
    <hyperlink r:id="rId539" ref="D2063"/>
    <hyperlink r:id="rId540" ref="D2067"/>
    <hyperlink r:id="rId541" ref="D2069"/>
    <hyperlink r:id="rId542" ref="D2077"/>
    <hyperlink r:id="rId543" ref="D2079"/>
  </hyperlinks>
  <drawing r:id="rId544"/>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2326" t="str">
        <f>'АвтоОтзывы'!A2</f>
        <v>WS В 503</v>
      </c>
      <c r="B1" s="1432" t="str">
        <f>'АвтоОтзывы'!C2</f>
        <v>#NAME?</v>
      </c>
      <c r="C1" s="1432" t="str">
        <f>'АвтоОтзывы'!D2</f>
        <v>#NAME?</v>
      </c>
    </row>
    <row r="2" ht="15.75" customHeight="1">
      <c r="A2" s="2326" t="str">
        <f>'АвтоОтзывы'!A3</f>
        <v>WS F 907</v>
      </c>
      <c r="B2" s="1432" t="str">
        <f>'АвтоОтзывы'!C3</f>
        <v>#NAME?</v>
      </c>
      <c r="C2" s="1432" t="str">
        <f>'АвтоОтзывы'!D3</f>
        <v>#NAME?</v>
      </c>
    </row>
    <row r="3" ht="15.75" customHeight="1">
      <c r="A3" s="2326" t="str">
        <f>'АвтоОтзывы'!A4</f>
        <v>WS В 212</v>
      </c>
      <c r="B3" s="1432" t="str">
        <f>'АвтоОтзывы'!C4</f>
        <v>#NAME?</v>
      </c>
      <c r="C3" s="1432" t="str">
        <f>'АвтоОтзывы'!D4</f>
        <v>#NAME?</v>
      </c>
    </row>
    <row r="4" ht="15.75" customHeight="1">
      <c r="A4" s="2326" t="str">
        <f>'АвтоОтзывы'!A5</f>
        <v>WS В 1510</v>
      </c>
      <c r="B4" s="1432" t="str">
        <f>'АвтоОтзывы'!C5</f>
        <v>#NAME?</v>
      </c>
      <c r="C4" s="1432" t="str">
        <f>'АвтоОтзывы'!D5</f>
        <v>#NAME?</v>
      </c>
    </row>
    <row r="5" ht="15.75" customHeight="1">
      <c r="A5" s="2326" t="str">
        <f>'АвтоОтзывы'!A6</f>
        <v>WS В 807</v>
      </c>
      <c r="B5" s="1432" t="str">
        <f>'АвтоОтзывы'!C6</f>
        <v>#NAME?</v>
      </c>
      <c r="C5" s="1432" t="str">
        <f>'АвтоОтзывы'!D6</f>
        <v>#NAME?</v>
      </c>
    </row>
    <row r="6" ht="15.75" customHeight="1">
      <c r="A6" s="2326" t="str">
        <f>'АвтоОтзывы'!A7</f>
        <v>WS E 1202</v>
      </c>
      <c r="B6" s="1432" t="str">
        <f>'АвтоОтзывы'!C7</f>
        <v>#NAME?</v>
      </c>
      <c r="C6" s="1432" t="str">
        <f>'АвтоОтзывы'!D7</f>
        <v>#NAME?</v>
      </c>
    </row>
    <row r="7" ht="15.75" customHeight="1">
      <c r="A7" s="2326" t="str">
        <f>'АвтоОтзывы'!A8</f>
        <v>WS A 409</v>
      </c>
      <c r="B7" s="1432" t="str">
        <f>'АвтоОтзывы'!C8</f>
        <v>#NAME?</v>
      </c>
      <c r="C7" s="1432" t="str">
        <f>'АвтоОтзывы'!D8</f>
        <v>#NAME?</v>
      </c>
    </row>
    <row r="8" ht="15.75" customHeight="1">
      <c r="A8" s="2326" t="str">
        <f>'АвтоОтзывы'!A9</f>
        <v>WS A 608</v>
      </c>
      <c r="B8" s="1432" t="str">
        <f>'АвтоОтзывы'!C9</f>
        <v>#NAME?</v>
      </c>
      <c r="C8" s="1432" t="str">
        <f>'АвтоОтзывы'!D9</f>
        <v>#NAME?</v>
      </c>
    </row>
    <row r="9" ht="15.75" customHeight="1">
      <c r="A9" s="2326" t="str">
        <f>'АвтоОтзывы'!A10</f>
        <v>WS A907</v>
      </c>
      <c r="B9" s="1432" t="str">
        <f>'АвтоОтзывы'!C10</f>
        <v>#NAME?</v>
      </c>
      <c r="C9" s="1432" t="str">
        <f>'АвтоОтзывы'!D10</f>
        <v>#NAME?</v>
      </c>
    </row>
    <row r="10" ht="15.75" customHeight="1">
      <c r="A10" s="2326" t="str">
        <f>'АвтоОтзывы'!A11</f>
        <v>WS Е804</v>
      </c>
      <c r="B10" s="1432" t="str">
        <f>'АвтоОтзывы'!C11</f>
        <v>#NAME?</v>
      </c>
      <c r="C10" s="1432" t="str">
        <f>'АвтоОтзывы'!D11</f>
        <v>#NAME?</v>
      </c>
    </row>
    <row r="11" ht="15.75" customHeight="1">
      <c r="A11" s="2326" t="str">
        <f>'АвтоОтзывы'!A12</f>
        <v>WS E704</v>
      </c>
      <c r="B11" s="1432" t="str">
        <f>'АвтоОтзывы'!C12</f>
        <v>#NAME?</v>
      </c>
      <c r="C11" s="1432" t="str">
        <f>'АвтоОтзывы'!D12</f>
        <v>#NAME?</v>
      </c>
    </row>
    <row r="12" ht="15.75" customHeight="1">
      <c r="A12" s="2326" t="str">
        <f>'АвтоОтзывы'!A13</f>
        <v>WS A805</v>
      </c>
      <c r="B12" s="1432" t="str">
        <f>'АвтоОтзывы'!C13</f>
        <v>#NAME?</v>
      </c>
      <c r="C12" s="1432" t="str">
        <f>'АвтоОтзывы'!D13</f>
        <v>#NAME?</v>
      </c>
    </row>
    <row r="13" ht="15.75" customHeight="1">
      <c r="A13" s="2326" t="str">
        <f>'АвтоОтзывы'!A14</f>
        <v>WS F1103</v>
      </c>
      <c r="B13" s="1432" t="str">
        <f>'АвтоОтзывы'!C14</f>
        <v>#NAME?</v>
      </c>
      <c r="C13" s="1432" t="str">
        <f>'АвтоОтзывы'!D14</f>
        <v>#NAME?</v>
      </c>
    </row>
    <row r="14" ht="15.75" customHeight="1">
      <c r="A14" s="2326" t="str">
        <f>'АвтоОтзывы'!A15</f>
        <v>WS F1008</v>
      </c>
      <c r="B14" s="1432" t="str">
        <f>'АвтоОтзывы'!C15</f>
        <v>#NAME?</v>
      </c>
      <c r="C14" s="1432" t="str">
        <f>'АвтоОтзывы'!D15</f>
        <v>#NAME?</v>
      </c>
    </row>
    <row r="15" ht="15.75" customHeight="1">
      <c r="A15" s="2326" t="str">
        <f>'АвтоОтзывы'!A16</f>
        <v>BV1318</v>
      </c>
      <c r="B15" s="1432" t="str">
        <f>'АвтоОтзывы'!C16</f>
        <v>#NAME?</v>
      </c>
      <c r="C15" s="1432" t="str">
        <f>'АвтоОтзывы'!D16</f>
        <v>#NAME?</v>
      </c>
    </row>
    <row r="16" ht="15.75" customHeight="1">
      <c r="A16" s="2326" t="str">
        <f>'АвтоОтзывы'!A17</f>
        <v>BV A 100</v>
      </c>
      <c r="B16" s="1432" t="str">
        <f>'АвтоОтзывы'!C17</f>
        <v>#NAME?</v>
      </c>
      <c r="C16" s="1432" t="str">
        <f>'АвтоОтзывы'!D17</f>
        <v>#NAME?</v>
      </c>
    </row>
    <row r="17" ht="15.75" customHeight="1">
      <c r="A17" s="2326" t="str">
        <f>'АвтоОтзывы'!A18</f>
        <v>Steps1123</v>
      </c>
      <c r="B17" s="1432" t="str">
        <f>'АвтоОтзывы'!C18</f>
        <v>#NAME?</v>
      </c>
      <c r="C17" s="1432" t="str">
        <f>'АвтоОтзывы'!D18</f>
        <v>#NAME?</v>
      </c>
    </row>
    <row r="18" ht="15.75" customHeight="1">
      <c r="A18" s="2326" t="str">
        <f>'АвтоОтзывы'!A19</f>
        <v>WH 176</v>
      </c>
      <c r="B18" s="1432" t="str">
        <f>'АвтоОтзывы'!C19</f>
        <v>#NAME?</v>
      </c>
      <c r="C18" s="1432" t="str">
        <f>'АвтоОтзывы'!D19</f>
        <v>#NAME?</v>
      </c>
    </row>
    <row r="19" ht="15.75" customHeight="1">
      <c r="A19" s="2326" t="str">
        <f>'АвтоОтзывы'!A20</f>
        <v>OBT 2906</v>
      </c>
      <c r="B19" s="1432" t="str">
        <f>'АвтоОтзывы'!C20</f>
        <v>#NAME?</v>
      </c>
      <c r="C19" s="1432" t="str">
        <f>'АвтоОтзывы'!D20</f>
        <v>#NAME?</v>
      </c>
    </row>
    <row r="20" ht="15.75" customHeight="1">
      <c r="A20" s="2326" t="str">
        <f>'АвтоОтзывы'!A21</f>
        <v>OBT 2908</v>
      </c>
      <c r="B20" s="1432" t="str">
        <f>'АвтоОтзывы'!C21</f>
        <v>#NAME?</v>
      </c>
      <c r="C20" s="1432" t="str">
        <f>'АвтоОтзывы'!D21</f>
        <v>#NAME?</v>
      </c>
    </row>
    <row r="21" ht="15.75" customHeight="1">
      <c r="A21" s="2326" t="str">
        <f>'АвтоОтзывы'!A22</f>
        <v>OBT 2910</v>
      </c>
      <c r="B21" s="1432" t="str">
        <f>'АвтоОтзывы'!C22</f>
        <v>#NAME?</v>
      </c>
      <c r="C21" s="1432" t="str">
        <f>'АвтоОтзывы'!D22</f>
        <v>#NAME?</v>
      </c>
    </row>
    <row r="22" ht="15.75" customHeight="1">
      <c r="A22" s="2326" t="str">
        <f>'АвтоОтзывы'!A23</f>
        <v>BV A 133 (0715)</v>
      </c>
      <c r="B22" s="1432" t="str">
        <f>'АвтоОтзывы'!C23</f>
        <v>#NAME?</v>
      </c>
      <c r="C22" s="1432" t="str">
        <f>'АвтоОтзывы'!D23</f>
        <v>#NAME?</v>
      </c>
    </row>
    <row r="23" ht="15.75" customHeight="1">
      <c r="A23" s="2326" t="str">
        <f>'АвтоОтзывы'!A24</f>
        <v>BV A 134 (0713)</v>
      </c>
      <c r="B23" s="1432" t="str">
        <f>'АвтоОтзывы'!C24</f>
        <v>#NAME?</v>
      </c>
      <c r="C23" s="1432" t="str">
        <f>'АвтоОтзывы'!D24</f>
        <v>#NAME?</v>
      </c>
    </row>
    <row r="24" ht="15.75" customHeight="1">
      <c r="A24" s="2326" t="str">
        <f>'АвтоОтзывы'!A25</f>
        <v>BV A 144 (0708)</v>
      </c>
      <c r="B24" s="1432" t="str">
        <f>'АвтоОтзывы'!C25</f>
        <v>#NAME?</v>
      </c>
      <c r="C24" s="1432" t="str">
        <f>'АвтоОтзывы'!D25</f>
        <v>#NAME?</v>
      </c>
    </row>
    <row r="25" ht="15.75" customHeight="1">
      <c r="A25" s="2326" t="str">
        <f>'АвтоОтзывы'!A26</f>
        <v>BV A 145 (0710)</v>
      </c>
      <c r="B25" s="1432" t="str">
        <f>'АвтоОтзывы'!C26</f>
        <v>#NAME?</v>
      </c>
      <c r="C25" s="1432" t="str">
        <f>'АвтоОтзывы'!D26</f>
        <v>#NAME?</v>
      </c>
    </row>
    <row r="26" ht="15.75" customHeight="1">
      <c r="A26" s="2326" t="str">
        <f>'АвтоОтзывы'!A27</f>
        <v>BV A 147 (0714)</v>
      </c>
      <c r="B26" s="1432" t="str">
        <f>'АвтоОтзывы'!C27</f>
        <v>#NAME?</v>
      </c>
      <c r="C26" s="1432" t="str">
        <f>'АвтоОтзывы'!D27</f>
        <v>#NAME?</v>
      </c>
    </row>
    <row r="27" ht="15.75" customHeight="1">
      <c r="A27" s="2326" t="str">
        <f>'АвтоОтзывы'!A28</f>
        <v>BV A 164 (0804)</v>
      </c>
      <c r="B27" s="1432" t="str">
        <f>'АвтоОтзывы'!C28</f>
        <v>#NAME?</v>
      </c>
      <c r="C27" s="1432" t="str">
        <f>'АвтоОтзывы'!D28</f>
        <v>#NAME?</v>
      </c>
    </row>
    <row r="28" ht="15.75" customHeight="1">
      <c r="A28" s="2326" t="str">
        <f>'АвтоОтзывы'!A29</f>
        <v>BV A 225 (1106)</v>
      </c>
      <c r="B28" s="1432" t="str">
        <f>'АвтоОтзывы'!C29</f>
        <v>#NAME?</v>
      </c>
      <c r="C28" s="1432" t="str">
        <f>'АвтоОтзывы'!D29</f>
        <v>#NAME?</v>
      </c>
    </row>
    <row r="29" ht="15.75" customHeight="1">
      <c r="A29" s="2326" t="str">
        <f>'АвтоОтзывы'!A30</f>
        <v>BV A 210 (1014)</v>
      </c>
      <c r="B29" s="1432" t="str">
        <f>'АвтоОтзывы'!C30</f>
        <v>#NAME?</v>
      </c>
      <c r="C29" s="1432" t="str">
        <f>'АвтоОтзывы'!D30</f>
        <v>#NAME?</v>
      </c>
    </row>
    <row r="30" ht="15.75" customHeight="1">
      <c r="A30" s="2326" t="str">
        <f>'АвтоОтзывы'!A31</f>
        <v>BV C 137 (0707)</v>
      </c>
      <c r="B30" s="1432" t="str">
        <f>'АвтоОтзывы'!C31</f>
        <v>#NAME?</v>
      </c>
      <c r="C30" s="1432" t="str">
        <f>'АвтоОтзывы'!D31</f>
        <v>#NAME?</v>
      </c>
    </row>
    <row r="31" ht="15.75" customHeight="1">
      <c r="A31" s="2326" t="str">
        <f>'АвтоОтзывы'!A32</f>
        <v>BV C 0505</v>
      </c>
      <c r="B31" s="1432" t="str">
        <f>'АвтоОтзывы'!C32</f>
        <v>#NAME?</v>
      </c>
      <c r="C31" s="1432" t="str">
        <f>'АвтоОтзывы'!D32</f>
        <v>#NAME?</v>
      </c>
    </row>
    <row r="32" ht="15.75" customHeight="1">
      <c r="A32" s="2326" t="str">
        <f>'АвтоОтзывы'!A33</f>
        <v>MC A 708</v>
      </c>
      <c r="B32" s="1432" t="str">
        <f>'АвтоОтзывы'!C33</f>
        <v>#NAME?</v>
      </c>
      <c r="C32" s="1432" t="str">
        <f>'АвтоОтзывы'!D33</f>
        <v>#NAME?</v>
      </c>
    </row>
    <row r="33" ht="15.75" customHeight="1">
      <c r="A33" s="2326" t="str">
        <f>'АвтоОтзывы'!A34</f>
        <v>С 1125</v>
      </c>
      <c r="B33" s="1432" t="str">
        <f>'АвтоОтзывы'!C34</f>
        <v>#NAME?</v>
      </c>
      <c r="C33" s="1432" t="str">
        <f>'АвтоОтзывы'!D34</f>
        <v>#NAME?</v>
      </c>
    </row>
    <row r="34" ht="15.75" customHeight="1">
      <c r="A34" s="2326" t="str">
        <f>'АвтоОтзывы'!A35</f>
        <v>С 1443</v>
      </c>
      <c r="B34" s="1432" t="str">
        <f>'АвтоОтзывы'!C35</f>
        <v>#NAME?</v>
      </c>
      <c r="C34" s="1432" t="str">
        <f>'АвтоОтзывы'!D35</f>
        <v>#NAME?</v>
      </c>
    </row>
    <row r="35" ht="15.75" customHeight="1">
      <c r="A35" s="2326" t="str">
        <f>'АвтоОтзывы'!A36</f>
        <v>C 4245</v>
      </c>
      <c r="B35" s="1432" t="str">
        <f>'АвтоОтзывы'!C36</f>
        <v>#NAME?</v>
      </c>
      <c r="C35" s="1432" t="str">
        <f>'АвтоОтзывы'!D36</f>
        <v>#NAME?</v>
      </c>
    </row>
    <row r="36" ht="15.75" customHeight="1">
      <c r="A36" s="2326" t="str">
        <f>'АвтоОтзывы'!A37</f>
        <v>А 4049</v>
      </c>
      <c r="B36" s="1432" t="str">
        <f>'АвтоОтзывы'!C37</f>
        <v>#NAME?</v>
      </c>
      <c r="C36" s="1432" t="str">
        <f>'АвтоОтзывы'!D37</f>
        <v>#NAME?</v>
      </c>
    </row>
    <row r="37" ht="15.75" customHeight="1">
      <c r="A37" s="2326" t="str">
        <f>'АвтоОтзывы'!A38</f>
        <v>C 732</v>
      </c>
      <c r="B37" s="1432" t="str">
        <f>'АвтоОтзывы'!C38</f>
        <v>#NAME?</v>
      </c>
      <c r="C37" s="1432" t="str">
        <f>'АвтоОтзывы'!D38</f>
        <v>#NAME?</v>
      </c>
    </row>
    <row r="38" ht="15.75" customHeight="1">
      <c r="A38" s="2326" t="str">
        <f>'АвтоОтзывы'!A39</f>
        <v>С 2756</v>
      </c>
      <c r="B38" s="1432" t="str">
        <f>'АвтоОтзывы'!C39</f>
        <v>#NAME?</v>
      </c>
      <c r="C38" s="1432" t="str">
        <f>'АвтоОтзывы'!D39</f>
        <v>#NAME?</v>
      </c>
    </row>
    <row r="39" ht="15.75" customHeight="1">
      <c r="A39" s="2326" t="str">
        <f>'АвтоОтзывы'!A40</f>
        <v>D 1321</v>
      </c>
      <c r="B39" s="1432" t="str">
        <f>'АвтоОтзывы'!C40</f>
        <v>#NAME?</v>
      </c>
      <c r="C39" s="1432" t="str">
        <f>'АвтоОтзывы'!D40</f>
        <v>#NAME?</v>
      </c>
    </row>
    <row r="40" ht="15.75" customHeight="1">
      <c r="A40" s="2326" t="str">
        <f>'АвтоОтзывы'!A41</f>
        <v>D2 1625</v>
      </c>
      <c r="B40" s="1432" t="str">
        <f>'АвтоОтзывы'!C41</f>
        <v>#NAME?</v>
      </c>
      <c r="C40" s="1432" t="str">
        <f>'АвтоОтзывы'!D41</f>
        <v>#NAME?</v>
      </c>
    </row>
    <row r="41" ht="15.75" customHeight="1">
      <c r="A41" s="2326" t="str">
        <f>'АвтоОтзывы'!A42</f>
        <v>D2 3216</v>
      </c>
      <c r="B41" s="1432" t="str">
        <f>'АвтоОтзывы'!C42</f>
        <v>#NAME?</v>
      </c>
      <c r="C41" s="1432" t="str">
        <f>'АвтоОтзывы'!D42</f>
        <v>#NAME?</v>
      </c>
    </row>
    <row r="42" ht="15.75" customHeight="1">
      <c r="A42" s="2326" t="str">
        <f>'АвтоОтзывы'!A43</f>
        <v>D1 3902</v>
      </c>
      <c r="B42" s="1432" t="str">
        <f>'АвтоОтзывы'!C43</f>
        <v>#NAME?</v>
      </c>
      <c r="C42" s="1432" t="str">
        <f>'АвтоОтзывы'!D43</f>
        <v>#NAME?</v>
      </c>
    </row>
    <row r="43" ht="15.75" customHeight="1">
      <c r="A43" s="2326" t="str">
        <f>'АвтоОтзывы'!A44</f>
        <v>D2 503</v>
      </c>
      <c r="B43" s="1432" t="str">
        <f>'АвтоОтзывы'!C44</f>
        <v>#NAME?</v>
      </c>
      <c r="C43" s="1432" t="str">
        <f>'АвтоОтзывы'!D44</f>
        <v>#NAME?</v>
      </c>
    </row>
    <row r="44" ht="15.75" customHeight="1">
      <c r="A44" s="2326" t="str">
        <f>'АвтоОтзывы'!A45</f>
        <v>CM 1604</v>
      </c>
      <c r="B44" s="1432" t="str">
        <f>'АвтоОтзывы'!C45</f>
        <v>#NAME?</v>
      </c>
      <c r="C44" s="1432" t="str">
        <f>'АвтоОтзывы'!D45</f>
        <v>#NAME?</v>
      </c>
    </row>
    <row r="45" ht="15.75" customHeight="1">
      <c r="A45" s="2326" t="str">
        <f>'АвтоОтзывы'!A46</f>
        <v>CM 1606</v>
      </c>
      <c r="B45" s="1432" t="str">
        <f>'АвтоОтзывы'!C46</f>
        <v>#NAME?</v>
      </c>
      <c r="C45" s="1432" t="str">
        <f>'АвтоОтзывы'!D46</f>
        <v>#NAME?</v>
      </c>
    </row>
    <row r="46" ht="15.75" customHeight="1">
      <c r="A46" s="2326" t="str">
        <f>'АвтоОтзывы'!A47</f>
        <v>CM 1931</v>
      </c>
      <c r="B46" s="1432" t="str">
        <f>'АвтоОтзывы'!C47</f>
        <v>#NAME?</v>
      </c>
      <c r="C46" s="1432" t="str">
        <f>'АвтоОтзывы'!D47</f>
        <v>#NAME?</v>
      </c>
    </row>
    <row r="47" ht="15.75" customHeight="1">
      <c r="A47" s="2326" t="str">
        <f>'АвтоОтзывы'!A48</f>
        <v>CM 1304</v>
      </c>
      <c r="B47" s="1432" t="str">
        <f>'АвтоОтзывы'!C48</f>
        <v>#NAME?</v>
      </c>
      <c r="C47" s="1432" t="str">
        <f>'АвтоОтзывы'!D48</f>
        <v>#NAME?</v>
      </c>
    </row>
    <row r="48" ht="15.75" customHeight="1">
      <c r="A48" s="2326" t="str">
        <f>'АвтоОтзывы'!A49</f>
        <v>CM 1327</v>
      </c>
      <c r="B48" s="1432" t="str">
        <f>'АвтоОтзывы'!C49</f>
        <v>#NAME?</v>
      </c>
      <c r="C48" s="1432" t="str">
        <f>'АвтоОтзывы'!D49</f>
        <v>#NAME?</v>
      </c>
    </row>
    <row r="49" ht="15.75" customHeight="1">
      <c r="A49" s="2326" t="str">
        <f>'АвтоОтзывы'!A50</f>
        <v>Int 2905</v>
      </c>
      <c r="B49" s="1432" t="str">
        <f>'АвтоОтзывы'!C50</f>
        <v>#NAME?</v>
      </c>
      <c r="C49" s="1432" t="str">
        <f>'АвтоОтзывы'!D50</f>
        <v>#NAME?</v>
      </c>
    </row>
    <row r="50" ht="15.75" customHeight="1">
      <c r="A50" s="2326" t="str">
        <f>'АвтоОтзывы'!A51</f>
        <v>Int 2612</v>
      </c>
      <c r="B50" s="1432" t="str">
        <f>'АвтоОтзывы'!C51</f>
        <v>#NAME?</v>
      </c>
      <c r="C50" s="1432" t="str">
        <f>'АвтоОтзывы'!D51</f>
        <v>#NAME?</v>
      </c>
    </row>
    <row r="51" ht="15.75" customHeight="1">
      <c r="A51" s="2326" t="str">
        <f>'АвтоОтзывы'!A52</f>
        <v>Шар 2505</v>
      </c>
      <c r="B51" s="1432" t="str">
        <f>'АвтоОтзывы'!C52</f>
        <v>#NAME?</v>
      </c>
      <c r="C51" s="1432" t="str">
        <f>'АвтоОтзывы'!D52</f>
        <v>#NAME?</v>
      </c>
    </row>
    <row r="52" ht="15.75" customHeight="1">
      <c r="A52" s="2326" t="str">
        <f>'АвтоОтзывы'!A53</f>
        <v>Багратиони</v>
      </c>
      <c r="B52" s="1432" t="str">
        <f>'АвтоОтзывы'!C53</f>
        <v>#NAME?</v>
      </c>
      <c r="C52" s="1432" t="str">
        <f>'АвтоОтзывы'!D53</f>
        <v>#NAME?</v>
      </c>
    </row>
    <row r="53" ht="15.75" customHeight="1">
      <c r="A53" s="2326" t="str">
        <f>'АвтоОтзывы'!A54</f>
        <v>Думбадзе</v>
      </c>
      <c r="B53" s="1432" t="str">
        <f>'АвтоОтзывы'!C54</f>
        <v>#NAME?</v>
      </c>
      <c r="C53" s="1432" t="str">
        <f>'АвтоОтзывы'!D54</f>
        <v>#NAME?</v>
      </c>
    </row>
    <row r="54" ht="15.75" customHeight="1">
      <c r="A54" s="2326" t="str">
        <f>'АвтоОтзывы'!A55</f>
        <v>26 мая 52 - 813</v>
      </c>
      <c r="B54" s="1432" t="str">
        <f>'АвтоОтзывы'!C55</f>
        <v>#NAME?</v>
      </c>
      <c r="C54" s="1432" t="str">
        <f>'АвтоОтзывы'!D55</f>
        <v>#NAME?</v>
      </c>
    </row>
    <row r="55" ht="15.75" customHeight="1">
      <c r="A55" s="2326" t="str">
        <f>'АвтоОтзывы'!A56</f>
        <v>PT2604</v>
      </c>
      <c r="B55" s="1432" t="str">
        <f>'АвтоОтзывы'!C56</f>
        <v>#NAME?</v>
      </c>
      <c r="C55" s="1432" t="str">
        <f>'АвтоОтзывы'!D56</f>
        <v>#NAME?</v>
      </c>
    </row>
    <row r="56" ht="15.75" customHeight="1">
      <c r="A56" s="2326" t="str">
        <f>'АвтоОтзывы'!A57</f>
        <v>PT2704</v>
      </c>
      <c r="B56" s="1432" t="str">
        <f>'АвтоОтзывы'!C57</f>
        <v>#NAME?</v>
      </c>
      <c r="C56" s="1432" t="str">
        <f>'АвтоОтзывы'!D57</f>
        <v>#NAME?</v>
      </c>
    </row>
    <row r="57" ht="15.75" customHeight="1">
      <c r="A57" s="2326" t="str">
        <f>'АвтоОтзывы'!A58</f>
        <v>PT3604</v>
      </c>
      <c r="B57" s="1432" t="str">
        <f>'АвтоОтзывы'!C58</f>
        <v>#NAME?</v>
      </c>
      <c r="C57" s="1432" t="str">
        <f>'АвтоОтзывы'!D58</f>
        <v>#NAME?</v>
      </c>
    </row>
    <row r="58" ht="15.75" customHeight="1">
      <c r="A58" s="2326" t="str">
        <f>'АвтоОтзывы'!A59</f>
        <v>NW 2-5</v>
      </c>
      <c r="B58" s="1432" t="str">
        <f>'АвтоОтзывы'!C59</f>
        <v>#NAME?</v>
      </c>
      <c r="C58" s="1432" t="str">
        <f>'АвтоОтзывы'!D59</f>
        <v>#NAME?</v>
      </c>
    </row>
    <row r="59" ht="15.75" customHeight="1">
      <c r="A59" s="2326" t="str">
        <f>'АвтоОтзывы'!A60</f>
        <v>NW 4-9</v>
      </c>
      <c r="B59" s="1432" t="str">
        <f>'АвтоОтзывы'!C60</f>
        <v>#NAME?</v>
      </c>
      <c r="C59" s="1432" t="str">
        <f>'АвтоОтзывы'!D60</f>
        <v>#NAME?</v>
      </c>
    </row>
    <row r="60" ht="15.75" customHeight="1">
      <c r="A60" s="2326" t="str">
        <f>'АвтоОтзывы'!A61</f>
        <v>NW 4-10</v>
      </c>
      <c r="B60" s="1432" t="str">
        <f>'АвтоОтзывы'!C61</f>
        <v>#NAME?</v>
      </c>
      <c r="C60" s="1432" t="str">
        <f>'АвтоОтзывы'!D61</f>
        <v>#NAME?</v>
      </c>
    </row>
    <row r="61" ht="15.75" customHeight="1">
      <c r="A61" s="2326" t="str">
        <f>'АвтоОтзывы'!A62</f>
        <v>NW 10-6</v>
      </c>
      <c r="B61" s="1432" t="str">
        <f>'АвтоОтзывы'!C62</f>
        <v>#NAME?</v>
      </c>
      <c r="C61" s="1432" t="str">
        <f>'АвтоОтзывы'!D62</f>
        <v>#NAME?</v>
      </c>
    </row>
    <row r="62" ht="15.75" customHeight="1">
      <c r="A62" s="2326" t="str">
        <f>'АвтоОтзывы'!A63</f>
        <v>NW 3-7</v>
      </c>
      <c r="B62" s="1432" t="str">
        <f>'АвтоОтзывы'!C63</f>
        <v>#NAME?</v>
      </c>
      <c r="C62" s="1432" t="str">
        <f>'АвтоОтзывы'!D63</f>
        <v>#NAME?</v>
      </c>
    </row>
    <row r="63" ht="15.75" customHeight="1">
      <c r="A63" s="2326" t="str">
        <f>'АвтоОтзывы'!A64</f>
        <v>NA 3-16</v>
      </c>
      <c r="B63" s="1432" t="str">
        <f>'АвтоОтзывы'!C64</f>
        <v>#NAME?</v>
      </c>
      <c r="C63" s="1432" t="str">
        <f>'АвтоОтзывы'!D64</f>
        <v>#NAME?</v>
      </c>
    </row>
    <row r="64" ht="15.75" customHeight="1">
      <c r="A64" s="2326" t="str">
        <f>'АвтоОтзывы'!A65</f>
        <v>MZ 718</v>
      </c>
      <c r="B64" s="1432" t="str">
        <f>'АвтоОтзывы'!C65</f>
        <v>#NAME?</v>
      </c>
      <c r="C64" s="1432" t="str">
        <f>'АвтоОтзывы'!D65</f>
        <v>#NAME?</v>
      </c>
    </row>
    <row r="65" ht="15.75" customHeight="1">
      <c r="A65" s="2326" t="str">
        <f>'АвтоОтзывы'!A66</f>
        <v>MZ 913</v>
      </c>
      <c r="B65" s="1432" t="str">
        <f>'АвтоОтзывы'!C66</f>
        <v>#NAME?</v>
      </c>
      <c r="C65" s="1432" t="str">
        <f>'АвтоОтзывы'!D66</f>
        <v>#NAME?</v>
      </c>
    </row>
    <row r="66" ht="15.75" customHeight="1">
      <c r="A66" s="2326" t="str">
        <f>'АвтоОтзывы'!A67</f>
        <v>MZ 1408</v>
      </c>
      <c r="B66" s="1432" t="str">
        <f>'АвтоОтзывы'!C67</f>
        <v>#NAME?</v>
      </c>
      <c r="C66" s="1432" t="str">
        <f>'АвтоОтзывы'!D67</f>
        <v>#NAME?</v>
      </c>
    </row>
    <row r="67" ht="15.75" customHeight="1">
      <c r="A67" s="2326" t="str">
        <f>'АвтоОтзывы'!A68</f>
        <v>MZ А 1113</v>
      </c>
      <c r="B67" s="1432" t="str">
        <f>'АвтоОтзывы'!C68</f>
        <v>#NAME?</v>
      </c>
      <c r="C67" s="1432" t="str">
        <f>'АвтоОтзывы'!D68</f>
        <v>#NAME?</v>
      </c>
    </row>
    <row r="68" ht="15.75" customHeight="1">
      <c r="A68" s="2326" t="str">
        <f>'АвтоОтзывы'!A69</f>
        <v>MZ C 511</v>
      </c>
      <c r="B68" s="1432" t="str">
        <f>'АвтоОтзывы'!C69</f>
        <v>#NAME?</v>
      </c>
      <c r="C68" s="1432" t="str">
        <f>'АвтоОтзывы'!D69</f>
        <v>#NAME?</v>
      </c>
    </row>
    <row r="69" ht="15.75" customHeight="1">
      <c r="A69" s="2326" t="str">
        <f>'АвтоОтзывы'!A70</f>
        <v>Пиросмани 162</v>
      </c>
      <c r="B69" s="1432" t="str">
        <f>'АвтоОтзывы'!C70</f>
        <v>#NAME?</v>
      </c>
      <c r="C69" s="1432" t="str">
        <f>'АвтоОтзывы'!D70</f>
        <v>#NAME?</v>
      </c>
    </row>
    <row r="70" ht="15.75" customHeight="1">
      <c r="A70" s="2326" t="str">
        <f>'АвтоОтзывы'!A71</f>
        <v>Пиросмани 181</v>
      </c>
      <c r="B70" s="1432" t="str">
        <f>'АвтоОтзывы'!C71</f>
        <v>#NAME?</v>
      </c>
      <c r="C70" s="1432" t="str">
        <f>'АвтоОтзывы'!D71</f>
        <v>#NAME?</v>
      </c>
    </row>
    <row r="71" ht="15.75" customHeight="1">
      <c r="A71" s="2326" t="str">
        <f>'АвтоОтзывы'!A72</f>
        <v>Pollo 2-2</v>
      </c>
      <c r="B71" s="1432" t="str">
        <f>'АвтоОтзывы'!C72</f>
        <v>#NAME?</v>
      </c>
      <c r="C71" s="1432" t="str">
        <f>'АвтоОтзывы'!D72</f>
        <v>#NAME?</v>
      </c>
    </row>
    <row r="72" ht="15.75" customHeight="1">
      <c r="A72" s="2326" t="str">
        <f>'АвтоОтзывы'!A73</f>
        <v>Pollo 3-5</v>
      </c>
      <c r="B72" s="1432" t="str">
        <f>'АвтоОтзывы'!C73</f>
        <v>#NAME?</v>
      </c>
      <c r="C72" s="1432" t="str">
        <f>'АвтоОтзывы'!D73</f>
        <v>#NAME?</v>
      </c>
    </row>
    <row r="73" ht="15.75" customHeight="1">
      <c r="A73" s="2326" t="str">
        <f>'АвтоОтзывы'!A74</f>
        <v>Polo 4-12</v>
      </c>
      <c r="B73" s="1432" t="str">
        <f>'АвтоОтзывы'!C74</f>
        <v>#NAME?</v>
      </c>
      <c r="C73" s="1432" t="str">
        <f>'АвтоОтзывы'!D74</f>
        <v>#NAME?</v>
      </c>
    </row>
    <row r="74" ht="15.75" customHeight="1">
      <c r="A74" s="2326" t="str">
        <f>'АвтоОтзывы'!A75</f>
        <v>шартава 16/18</v>
      </c>
      <c r="B74" s="1432" t="str">
        <f>'АвтоОтзывы'!C75</f>
        <v>#NAME?</v>
      </c>
      <c r="C74" s="1432" t="str">
        <f>'АвтоОтзывы'!D75</f>
        <v>#NAME?</v>
      </c>
    </row>
    <row r="75" ht="15.75" customHeight="1">
      <c r="A75" s="2326" t="str">
        <f>'АвтоОтзывы'!A76</f>
        <v>DL 11-1112</v>
      </c>
      <c r="B75" s="1432" t="str">
        <f>'АвтоОтзывы'!C76</f>
        <v>#NAME?</v>
      </c>
      <c r="C75" s="1432" t="str">
        <f>'АвтоОтзывы'!D76</f>
        <v>#NAME?</v>
      </c>
    </row>
    <row r="76" ht="15.75" customHeight="1">
      <c r="A76" s="2326" t="str">
        <f>'АвтоОтзывы'!A77</f>
        <v>DL 11-1305</v>
      </c>
      <c r="B76" s="1432" t="str">
        <f>'АвтоОтзывы'!C77</f>
        <v>#NAME?</v>
      </c>
      <c r="C76" s="1432" t="str">
        <f>'АвтоОтзывы'!D77</f>
        <v>#NAME?</v>
      </c>
    </row>
    <row r="77" ht="15.75" customHeight="1">
      <c r="A77" s="2326" t="str">
        <f>'АвтоОтзывы'!A78</f>
        <v>DL 14-516</v>
      </c>
      <c r="B77" s="1432" t="str">
        <f>'АвтоОтзывы'!C78</f>
        <v>#NAME?</v>
      </c>
      <c r="C77" s="1432" t="str">
        <f>'АвтоОтзывы'!D78</f>
        <v>#NAME?</v>
      </c>
    </row>
    <row r="78" ht="15.75" customHeight="1">
      <c r="A78" s="2326" t="str">
        <f>'АвтоОтзывы'!A79</f>
        <v>DL 14-702</v>
      </c>
      <c r="B78" s="1432" t="str">
        <f>'АвтоОтзывы'!C79</f>
        <v>#NAME?</v>
      </c>
      <c r="C78" s="1432" t="str">
        <f>'АвтоОтзывы'!D79</f>
        <v>#NAME?</v>
      </c>
    </row>
    <row r="79" ht="15.75" customHeight="1">
      <c r="A79" s="2326" t="str">
        <f>'АвтоОтзывы'!A80</f>
        <v>DL 14-1214</v>
      </c>
      <c r="B79" s="1432" t="str">
        <f>'АвтоОтзывы'!C80</f>
        <v>#NAME?</v>
      </c>
      <c r="C79" s="1432" t="str">
        <f>'АвтоОтзывы'!D80</f>
        <v>#NAME?</v>
      </c>
    </row>
    <row r="80" ht="15.75" customHeight="1">
      <c r="A80" s="2326" t="str">
        <f>'АвтоОтзывы'!A81</f>
        <v>14-411</v>
      </c>
      <c r="B80" s="1432" t="str">
        <f>'АвтоОтзывы'!C81</f>
        <v>#NAME?</v>
      </c>
      <c r="C80" s="1432" t="str">
        <f>'АвтоОтзывы'!D81</f>
        <v>#NAME?</v>
      </c>
    </row>
    <row r="81" ht="15.75" customHeight="1">
      <c r="A81" s="2326" t="str">
        <f>'АвтоОтзывы'!A82</f>
        <v>DL 4-09</v>
      </c>
      <c r="B81" s="1432" t="str">
        <f>'АвтоОтзывы'!C82</f>
        <v>#NAME?</v>
      </c>
      <c r="C81" s="1432" t="str">
        <f>'АвтоОтзывы'!D82</f>
        <v>#NAME?</v>
      </c>
    </row>
    <row r="82" ht="15.75" customHeight="1">
      <c r="A82" s="2326" t="str">
        <f>'АвтоОтзывы'!A83</f>
        <v>DL14-518</v>
      </c>
      <c r="B82" s="1432" t="str">
        <f>'АвтоОтзывы'!C83</f>
        <v>#NAME?</v>
      </c>
      <c r="C82" s="1432" t="str">
        <f>'АвтоОтзывы'!D83</f>
        <v>#NAME?</v>
      </c>
    </row>
    <row r="83" ht="15.75" customHeight="1">
      <c r="A83" s="2326" t="str">
        <f>'АвтоОтзывы'!A84</f>
        <v>DL14-1405</v>
      </c>
      <c r="B83" s="1432" t="str">
        <f>'АвтоОтзывы'!C84</f>
        <v>#NAME?</v>
      </c>
      <c r="C83" s="1432" t="str">
        <f>'АвтоОтзывы'!D84</f>
        <v>#NAME?</v>
      </c>
    </row>
    <row r="84" ht="15.75" customHeight="1">
      <c r="A84" s="2326" t="str">
        <f>'АвтоОтзывы'!A85</f>
        <v>DL 14-505</v>
      </c>
      <c r="B84" s="1432" t="str">
        <f>'АвтоОтзывы'!C85</f>
        <v>#NAME?</v>
      </c>
      <c r="C84" s="1432" t="str">
        <f>'АвтоОтзывы'!D85</f>
        <v>#NAME?</v>
      </c>
    </row>
    <row r="85" ht="15.75" customHeight="1">
      <c r="A85" s="2326" t="str">
        <f>'АвтоОтзывы'!A86</f>
        <v>DL 14-1614</v>
      </c>
      <c r="B85" s="1432" t="str">
        <f>'АвтоОтзывы'!C86</f>
        <v>#NAME?</v>
      </c>
      <c r="C85" s="1432" t="str">
        <f>'АвтоОтзывы'!D86</f>
        <v>#NAME?</v>
      </c>
    </row>
    <row r="86" ht="15.75" customHeight="1">
      <c r="A86" s="2326" t="str">
        <f>'АвтоОтзывы'!A87</f>
        <v>DL 14-1710</v>
      </c>
      <c r="B86" s="1432" t="str">
        <f>'АвтоОтзывы'!C87</f>
        <v>#NAME?</v>
      </c>
      <c r="C86" s="1432" t="str">
        <f>'АвтоОтзывы'!D87</f>
        <v>#NAME?</v>
      </c>
    </row>
    <row r="87" ht="15.75" customHeight="1">
      <c r="A87" s="2326" t="str">
        <f>'АвтоОтзывы'!A88</f>
        <v>DL14-305</v>
      </c>
      <c r="B87" s="1432" t="str">
        <f>'АвтоОтзывы'!C88</f>
        <v>#NAME?</v>
      </c>
      <c r="C87" s="1432" t="str">
        <f>'АвтоОтзывы'!D88</f>
        <v>#NAME?</v>
      </c>
    </row>
    <row r="88" ht="15.75" customHeight="1">
      <c r="A88" s="2326" t="str">
        <f>'АвтоОтзывы'!A89</f>
        <v>DL14-501-502</v>
      </c>
      <c r="B88" s="1432" t="str">
        <f>'АвтоОтзывы'!C89</f>
        <v>#NAME?</v>
      </c>
      <c r="C88" s="1432" t="str">
        <f>'АвтоОтзывы'!D89</f>
        <v>#NAME?</v>
      </c>
    </row>
    <row r="89" ht="15.75" customHeight="1">
      <c r="A89" s="2326" t="str">
        <f>'АвтоОтзывы'!A90</f>
        <v>DL7-16</v>
      </c>
      <c r="B89" s="1432" t="str">
        <f>'АвтоОтзывы'!C90</f>
        <v>#NAME?</v>
      </c>
      <c r="C89" s="1432" t="str">
        <f>'АвтоОтзывы'!D90</f>
        <v>#NAME?</v>
      </c>
    </row>
    <row r="90" ht="15.75" customHeight="1">
      <c r="A90" s="2326" t="str">
        <f>'АвтоОтзывы'!A91</f>
        <v>DL 13-206</v>
      </c>
      <c r="B90" s="1432" t="str">
        <f>'АвтоОтзывы'!C91</f>
        <v>#NAME?</v>
      </c>
      <c r="C90" s="1432" t="str">
        <f>'АвтоОтзывы'!D91</f>
        <v>#NAME?</v>
      </c>
    </row>
    <row r="91" ht="15.75" customHeight="1">
      <c r="A91" s="2326" t="str">
        <f>'АвтоОтзывы'!A92</f>
        <v>DL 13-201</v>
      </c>
      <c r="B91" s="1432" t="str">
        <f>'АвтоОтзывы'!C92</f>
        <v>#NAME?</v>
      </c>
      <c r="C91" s="1432" t="str">
        <f>'АвтоОтзывы'!D92</f>
        <v>#NAME?</v>
      </c>
    </row>
    <row r="92" ht="15.75" customHeight="1">
      <c r="A92" s="2326" t="str">
        <f>'АвтоОтзывы'!A93</f>
        <v>DL 13-709</v>
      </c>
      <c r="B92" s="1432" t="str">
        <f>'АвтоОтзывы'!C93</f>
        <v>#NAME?</v>
      </c>
      <c r="C92" s="1432" t="str">
        <f>'АвтоОтзывы'!D93</f>
        <v>#NAME?</v>
      </c>
    </row>
    <row r="93" ht="15.75" customHeight="1">
      <c r="A93" s="2326" t="str">
        <f>'АвтоОтзывы'!A94</f>
        <v>DL 13-703</v>
      </c>
      <c r="B93" s="1432" t="str">
        <f>'АвтоОтзывы'!C94</f>
        <v>#NAME?</v>
      </c>
      <c r="C93" s="1432" t="str">
        <f>'АвтоОтзывы'!D94</f>
        <v>#NAME?</v>
      </c>
    </row>
    <row r="94" ht="15.75" customHeight="1">
      <c r="A94" s="2326" t="str">
        <f>'АвтоОтзывы'!A95</f>
        <v>DL 13-1006</v>
      </c>
      <c r="B94" s="1432" t="str">
        <f>'АвтоОтзывы'!C95</f>
        <v>#NAME?</v>
      </c>
      <c r="C94" s="1432" t="str">
        <f>'АвтоОтзывы'!D95</f>
        <v>#NAME?</v>
      </c>
    </row>
    <row r="95" ht="15.75" customHeight="1">
      <c r="A95" s="2326" t="str">
        <f>'АвтоОтзывы'!A96</f>
        <v>DL 13-1106</v>
      </c>
      <c r="B95" s="1432" t="str">
        <f>'АвтоОтзывы'!C96</f>
        <v>#NAME?</v>
      </c>
      <c r="C95" s="1432" t="str">
        <f>'АвтоОтзывы'!D96</f>
        <v>#NAME?</v>
      </c>
    </row>
    <row r="96" ht="15.75" customHeight="1">
      <c r="A96" s="2326" t="str">
        <f>'АвтоОтзывы'!A97</f>
        <v>DL 14-506</v>
      </c>
      <c r="B96" s="1432" t="str">
        <f>'АвтоОтзывы'!C97</f>
        <v>#NAME?</v>
      </c>
      <c r="C96" s="1432" t="str">
        <f>'АвтоОтзывы'!D97</f>
        <v>#NAME?</v>
      </c>
    </row>
    <row r="97" ht="15.75" customHeight="1">
      <c r="A97" s="2326" t="str">
        <f>'АвтоОтзывы'!A98</f>
        <v>#REF!</v>
      </c>
      <c r="B97" s="1432" t="str">
        <f>'АвтоОтзывы'!C98</f>
        <v>#NAME?</v>
      </c>
      <c r="C97" s="1432" t="str">
        <f>'АвтоОтзывы'!D98</f>
        <v>#NAME?</v>
      </c>
    </row>
    <row r="98" ht="15.75" customHeight="1">
      <c r="A98" s="2326" t="str">
        <f>'АвтоОтзывы'!A99</f>
        <v>#REF!</v>
      </c>
      <c r="B98" s="1432" t="str">
        <f>'АвтоОтзывы'!C99</f>
        <v>#NAME?</v>
      </c>
      <c r="C98" s="1432" t="str">
        <f>'АвтоОтзывы'!D99</f>
        <v>#NAME?</v>
      </c>
    </row>
    <row r="99" ht="15.75" customHeight="1">
      <c r="A99" s="2326" t="str">
        <f>'АвтоОтзывы'!A100</f>
        <v>#REF!</v>
      </c>
      <c r="B99" s="1432" t="str">
        <f>'АвтоОтзывы'!C100</f>
        <v>#NAME?</v>
      </c>
      <c r="C99" s="1432" t="str">
        <f>'АвтоОтзывы'!D100</f>
        <v>#NAME?</v>
      </c>
    </row>
    <row r="100" ht="15.75" customHeight="1">
      <c r="A100" s="2326" t="str">
        <f>'АвтоОтзывы'!A101</f>
        <v>#REF!</v>
      </c>
      <c r="B100" s="1432" t="str">
        <f>'АвтоОтзывы'!C101</f>
        <v>#NAME?</v>
      </c>
      <c r="C100" s="1432" t="str">
        <f>'АвтоОтзывы'!D101</f>
        <v>#NAME?</v>
      </c>
    </row>
    <row r="101" ht="15.75" customHeight="1">
      <c r="A101" s="2326" t="str">
        <f>'АвтоОтзывы'!A102</f>
        <v>#REF!</v>
      </c>
      <c r="B101" s="1432" t="str">
        <f>'АвтоОтзывы'!C102</f>
        <v>#NAME?</v>
      </c>
      <c r="C101" s="1432" t="str">
        <f>'АвтоОтзывы'!D102</f>
        <v>#NAME?</v>
      </c>
    </row>
    <row r="102" ht="15.75" customHeight="1">
      <c r="A102" s="2326" t="str">
        <f>'АвтоОтзывы'!A103</f>
        <v>#REF!</v>
      </c>
      <c r="B102" s="1432" t="str">
        <f>'АвтоОтзывы'!C103</f>
        <v>#NAME?</v>
      </c>
      <c r="C102" s="1432" t="str">
        <f>'АвтоОтзывы'!D103</f>
        <v>#NAME?</v>
      </c>
    </row>
    <row r="103" ht="15.75" customHeight="1">
      <c r="A103" s="2326" t="str">
        <f>'АвтоОтзывы'!A104</f>
        <v>#REF!</v>
      </c>
      <c r="B103" s="1432" t="str">
        <f>'АвтоОтзывы'!C104</f>
        <v>#NAME?</v>
      </c>
      <c r="C103" s="1432" t="str">
        <f>'АвтоОтзывы'!D104</f>
        <v>#NAME?</v>
      </c>
    </row>
    <row r="104" ht="15.75" customHeight="1">
      <c r="A104" s="2326" t="str">
        <f>'АвтоОтзывы'!A105</f>
        <v>#REF!</v>
      </c>
      <c r="B104" s="1432" t="str">
        <f>'АвтоОтзывы'!C105</f>
        <v>#NAME?</v>
      </c>
      <c r="C104" s="1432" t="str">
        <f>'АвтоОтзывы'!D105</f>
        <v>#NAME?</v>
      </c>
    </row>
    <row r="105" ht="15.75" customHeight="1">
      <c r="A105" s="2326" t="str">
        <f>'АвтоОтзывы'!A106</f>
        <v>#REF!</v>
      </c>
      <c r="B105" s="1432" t="str">
        <f>'АвтоОтзывы'!C106</f>
        <v>#NAME?</v>
      </c>
      <c r="C105" s="1432" t="str">
        <f>'АвтоОтзывы'!D106</f>
        <v>#NAME?</v>
      </c>
    </row>
    <row r="106" ht="15.75" customHeight="1">
      <c r="A106" s="2326" t="str">
        <f>'АвтоОтзывы'!A107</f>
        <v>TGA1</v>
      </c>
      <c r="B106" s="1432" t="str">
        <f>'АвтоОтзывы'!C107</f>
        <v>#NAME?</v>
      </c>
      <c r="C106" s="1432" t="str">
        <f>'АвтоОтзывы'!D107</f>
        <v>#NAME?</v>
      </c>
    </row>
    <row r="107" ht="15.75" customHeight="1">
      <c r="A107" s="2326" t="str">
        <f>'АвтоОтзывы'!A108</f>
        <v>TGA2</v>
      </c>
      <c r="B107" s="1432" t="str">
        <f>'АвтоОтзывы'!C108</f>
        <v>#NAME?</v>
      </c>
      <c r="C107" s="1432" t="str">
        <f>'АвтоОтзывы'!D108</f>
        <v>#NAME?</v>
      </c>
    </row>
    <row r="108" ht="15.75" customHeight="1">
      <c r="A108" s="2326" t="str">
        <f>'АвтоОтзывы'!A109</f>
        <v>TGA3</v>
      </c>
      <c r="B108" s="1432" t="str">
        <f>'АвтоОтзывы'!C109</f>
        <v>#NAME?</v>
      </c>
      <c r="C108" s="1432" t="str">
        <f>'АвтоОтзывы'!D109</f>
        <v>#NAME?</v>
      </c>
    </row>
    <row r="109" ht="15.75" customHeight="1">
      <c r="A109" s="2326" t="str">
        <f>'АвтоОтзывы'!A110</f>
        <v>TGA4</v>
      </c>
      <c r="B109" s="1432" t="str">
        <f>'АвтоОтзывы'!C110</f>
        <v>#NAME?</v>
      </c>
      <c r="C109" s="1432" t="str">
        <f>'АвтоОтзывы'!D110</f>
        <v>#NAME?</v>
      </c>
    </row>
    <row r="110" ht="15.75" customHeight="1">
      <c r="A110" s="2326" t="str">
        <f>'АвтоОтзывы'!A111</f>
        <v>TGA5</v>
      </c>
      <c r="B110" s="1432" t="str">
        <f>'АвтоОтзывы'!C111</f>
        <v>#NAME?</v>
      </c>
      <c r="C110" s="1432" t="str">
        <f>'АвтоОтзывы'!D111</f>
        <v>#NAME?</v>
      </c>
    </row>
    <row r="111" ht="15.75" customHeight="1">
      <c r="A111" s="2326" t="str">
        <f>'АвтоОтзывы'!A112</f>
        <v>TGA6</v>
      </c>
      <c r="B111" s="1432" t="str">
        <f>'АвтоОтзывы'!C112</f>
        <v>#NAME?</v>
      </c>
      <c r="C111" s="1432" t="str">
        <f>'АвтоОтзывы'!D112</f>
        <v>#NAME?</v>
      </c>
    </row>
    <row r="112" ht="15.75" customHeight="1">
      <c r="A112" s="2326" t="str">
        <f>'АвтоОтзывы'!A113</f>
        <v>TGA7</v>
      </c>
      <c r="B112" s="1432" t="str">
        <f>'АвтоОтзывы'!C113</f>
        <v>#NAME?</v>
      </c>
      <c r="C112" s="1432" t="str">
        <f>'АвтоОтзывы'!D113</f>
        <v>#NAME?</v>
      </c>
    </row>
    <row r="113" ht="15.75" customHeight="1">
      <c r="A113" s="2326" t="str">
        <f>'АвтоОтзывы'!A114</f>
        <v>TGA8</v>
      </c>
      <c r="B113" s="1432" t="str">
        <f>'АвтоОтзывы'!C114</f>
        <v>#NAME?</v>
      </c>
      <c r="C113" s="1432" t="str">
        <f>'АвтоОтзывы'!D114</f>
        <v>#NAME?</v>
      </c>
    </row>
    <row r="114" ht="15.75" customHeight="1">
      <c r="A114" s="2326" t="str">
        <f>'АвтоОтзывы'!A115</f>
        <v>TGA9</v>
      </c>
      <c r="B114" s="1432" t="str">
        <f>'АвтоОтзывы'!C115</f>
        <v>#NAME?</v>
      </c>
      <c r="C114" s="1432" t="str">
        <f>'АвтоОтзывы'!D115</f>
        <v>#NAME?</v>
      </c>
    </row>
    <row r="115" ht="15.75" customHeight="1">
      <c r="A115" s="2326" t="str">
        <f>'АвтоОтзывы'!A116</f>
        <v>TGA10</v>
      </c>
      <c r="B115" s="1432" t="str">
        <f>'АвтоОтзывы'!C116</f>
        <v>#NAME?</v>
      </c>
      <c r="C115" s="1432" t="str">
        <f>'АвтоОтзывы'!D116</f>
        <v>#NAME?</v>
      </c>
    </row>
    <row r="116" ht="15.75" customHeight="1">
      <c r="A116" s="2326" t="str">
        <f>'АвтоОтзывы'!A117</f>
        <v>TGB1</v>
      </c>
      <c r="B116" s="1432" t="str">
        <f>'АвтоОтзывы'!C117</f>
        <v>#NAME?</v>
      </c>
      <c r="C116" s="1432" t="str">
        <f>'АвтоОтзывы'!D117</f>
        <v>#NAME?</v>
      </c>
    </row>
    <row r="117" ht="15.75" customHeight="1">
      <c r="A117" s="2326" t="str">
        <f>'АвтоОтзывы'!A118</f>
        <v>TGB2</v>
      </c>
      <c r="B117" s="1432" t="str">
        <f>'АвтоОтзывы'!C118</f>
        <v>#NAME?</v>
      </c>
      <c r="C117" s="1432" t="str">
        <f>'АвтоОтзывы'!D118</f>
        <v>#NAME?</v>
      </c>
    </row>
    <row r="118" ht="15.75" customHeight="1">
      <c r="A118" s="2326" t="str">
        <f>'АвтоОтзывы'!A119</f>
        <v>TGB3</v>
      </c>
      <c r="B118" s="1432" t="str">
        <f>'АвтоОтзывы'!C119</f>
        <v>#NAME?</v>
      </c>
      <c r="C118" s="1432" t="str">
        <f>'АвтоОтзывы'!D119</f>
        <v>#NAME?</v>
      </c>
    </row>
    <row r="119" ht="15.75" customHeight="1">
      <c r="A119" s="2326" t="str">
        <f>'АвтоОтзывы'!A120</f>
        <v>TGB4</v>
      </c>
      <c r="B119" s="1432" t="str">
        <f>'АвтоОтзывы'!C120</f>
        <v>#NAME?</v>
      </c>
      <c r="C119" s="1432" t="str">
        <f>'АвтоОтзывы'!D120</f>
        <v>#NAME?</v>
      </c>
    </row>
    <row r="120" ht="15.75" customHeight="1">
      <c r="A120" s="2326" t="str">
        <f>'АвтоОтзывы'!A121</f>
        <v>TGB5</v>
      </c>
      <c r="B120" s="1432" t="str">
        <f>'АвтоОтзывы'!C121</f>
        <v>#NAME?</v>
      </c>
      <c r="C120" s="1432" t="str">
        <f>'АвтоОтзывы'!D121</f>
        <v>#NAME?</v>
      </c>
    </row>
    <row r="121" ht="15.75" customHeight="1">
      <c r="A121" s="2326" t="str">
        <f>'АвтоОтзывы'!A122</f>
        <v>TGB6</v>
      </c>
      <c r="B121" s="1432" t="str">
        <f>'АвтоОтзывы'!C122</f>
        <v>#NAME?</v>
      </c>
      <c r="C121" s="1432" t="str">
        <f>'АвтоОтзывы'!D122</f>
        <v>#NAME?</v>
      </c>
    </row>
    <row r="122" ht="15.75" customHeight="1">
      <c r="A122" s="2326" t="str">
        <f>'АвтоОтзывы'!A123</f>
        <v>TGB7</v>
      </c>
      <c r="B122" s="1432" t="str">
        <f>'АвтоОтзывы'!C123</f>
        <v>#NAME?</v>
      </c>
      <c r="C122" s="1432" t="str">
        <f>'АвтоОтзывы'!D123</f>
        <v>#NAME?</v>
      </c>
    </row>
    <row r="123" ht="15.75" customHeight="1">
      <c r="A123" s="2326" t="str">
        <f>'АвтоОтзывы'!A124</f>
        <v>TGB8</v>
      </c>
      <c r="B123" s="1432" t="str">
        <f>'АвтоОтзывы'!C124</f>
        <v>#NAME?</v>
      </c>
      <c r="C123" s="1432" t="str">
        <f>'АвтоОтзывы'!D124</f>
        <v>#NAME?</v>
      </c>
    </row>
    <row r="124" ht="15.75" customHeight="1">
      <c r="A124" s="2326" t="str">
        <f>'АвтоОтзывы'!A125</f>
        <v>TGB9</v>
      </c>
      <c r="B124" s="1432" t="str">
        <f>'АвтоОтзывы'!C125</f>
        <v>#NAME?</v>
      </c>
      <c r="C124" s="1432" t="str">
        <f>'АвтоОтзывы'!D125</f>
        <v>#NAME?</v>
      </c>
    </row>
    <row r="125" ht="15.75" customHeight="1">
      <c r="A125" s="2326" t="str">
        <f>'АвтоОтзывы'!A126</f>
        <v>TGB10</v>
      </c>
      <c r="B125" s="1432" t="str">
        <f>'АвтоОтзывы'!C126</f>
        <v>#NAME?</v>
      </c>
      <c r="C125" s="1432" t="str">
        <f>'АвтоОтзывы'!D126</f>
        <v>#NAME?</v>
      </c>
    </row>
    <row r="126" ht="15.75" customHeight="1">
      <c r="A126" s="2326" t="str">
        <f>'АвтоОтзывы'!A127</f>
        <v>TGB11</v>
      </c>
      <c r="B126" s="1432" t="str">
        <f>'АвтоОтзывы'!C127</f>
        <v>#NAME?</v>
      </c>
      <c r="C126" s="1432" t="str">
        <f>'АвтоОтзывы'!D127</f>
        <v>#NAME?</v>
      </c>
    </row>
    <row r="127" ht="15.75" customHeight="1">
      <c r="A127" s="2326" t="str">
        <f>'АвтоОтзывы'!A128</f>
        <v>TGB195</v>
      </c>
      <c r="B127" s="1432" t="str">
        <f>'АвтоОтзывы'!C128</f>
        <v>#NAME?</v>
      </c>
      <c r="C127" s="1432" t="str">
        <f>'АвтоОтзывы'!D128</f>
        <v>#NAME?</v>
      </c>
    </row>
    <row r="128" ht="15.75" customHeight="1">
      <c r="A128" s="2326" t="str">
        <f>'АвтоОтзывы'!A129</f>
        <v>Вилла Ева</v>
      </c>
      <c r="B128" s="1432" t="str">
        <f>'АвтоОтзывы'!C129</f>
        <v>#NAME?</v>
      </c>
      <c r="C128" s="1432" t="str">
        <f>'АвтоОтзывы'!D129</f>
        <v>#NAME?</v>
      </c>
    </row>
    <row r="129" ht="15.75" customHeight="1">
      <c r="A129" s="2326" t="str">
        <f>'АвтоОтзывы'!A130</f>
        <v/>
      </c>
      <c r="B129" s="1432" t="str">
        <f>'АвтоОтзывы'!C130</f>
        <v>#NAME?</v>
      </c>
      <c r="C129" s="1432" t="str">
        <f>'АвтоОтзывы'!D130</f>
        <v>#NAME?</v>
      </c>
    </row>
    <row r="130" ht="15.75" customHeight="1">
      <c r="A130" s="2326" t="str">
        <f>'АвтоОтзывы'!A131</f>
        <v/>
      </c>
      <c r="B130" s="1432" t="str">
        <f>'АвтоОтзывы'!C131</f>
        <v/>
      </c>
      <c r="C130" s="1432" t="str">
        <f>'АвтоОтзывы'!D131</f>
        <v/>
      </c>
    </row>
    <row r="131" ht="15.75" customHeight="1">
      <c r="A131" s="2326" t="str">
        <f>'АвтоОтзывы'!A132</f>
        <v/>
      </c>
      <c r="B131" s="1432" t="str">
        <f>'АвтоОтзывы'!C132</f>
        <v/>
      </c>
      <c r="C131" s="1432" t="str">
        <f>'АвтоОтзывы'!D132</f>
        <v/>
      </c>
    </row>
    <row r="132" ht="15.75" customHeight="1">
      <c r="A132" s="2326" t="str">
        <f>'АвтоОтзывы'!A133</f>
        <v/>
      </c>
      <c r="B132" s="1432" t="str">
        <f>'АвтоОтзывы'!C133</f>
        <v/>
      </c>
      <c r="C132" s="1432" t="str">
        <f>'АвтоОтзывы'!D133</f>
        <v/>
      </c>
    </row>
    <row r="133" ht="15.75" customHeight="1">
      <c r="A133" s="2326" t="str">
        <f>'АвтоОтзывы'!A134</f>
        <v/>
      </c>
      <c r="B133" s="1432" t="str">
        <f>'АвтоОтзывы'!C134</f>
        <v/>
      </c>
      <c r="C133" s="1432" t="str">
        <f>'АвтоОтзывы'!D134</f>
        <v/>
      </c>
    </row>
    <row r="134" ht="15.75" customHeight="1">
      <c r="A134" s="2326" t="str">
        <f>'АвтоОтзывы'!A135</f>
        <v/>
      </c>
      <c r="B134" s="1432" t="str">
        <f>'АвтоОтзывы'!C135</f>
        <v/>
      </c>
      <c r="C134" s="1432" t="str">
        <f>'АвтоОтзывы'!D135</f>
        <v/>
      </c>
    </row>
    <row r="135" ht="15.75" customHeight="1">
      <c r="A135" s="2326" t="str">
        <f>'АвтоОтзывы'!A136</f>
        <v/>
      </c>
      <c r="B135" s="1432" t="str">
        <f>'АвтоОтзывы'!C136</f>
        <v/>
      </c>
      <c r="C135" s="1432" t="str">
        <f>'АвтоОтзывы'!D136</f>
        <v/>
      </c>
    </row>
    <row r="136" ht="15.75" customHeight="1">
      <c r="A136" s="2326" t="str">
        <f>'АвтоОтзывы'!A137</f>
        <v/>
      </c>
      <c r="B136" s="1432" t="str">
        <f>'АвтоОтзывы'!C137</f>
        <v/>
      </c>
      <c r="C136" s="1432" t="str">
        <f>'АвтоОтзывы'!D137</f>
        <v/>
      </c>
    </row>
    <row r="137" ht="15.75" customHeight="1">
      <c r="A137" s="2326" t="str">
        <f>'АвтоОтзывы'!A138</f>
        <v/>
      </c>
      <c r="B137" s="1432" t="str">
        <f>'АвтоОтзывы'!C138</f>
        <v/>
      </c>
      <c r="C137" s="1432" t="str">
        <f>'АвтоОтзывы'!D138</f>
        <v/>
      </c>
    </row>
    <row r="138" ht="15.75" customHeight="1">
      <c r="A138" s="2326" t="str">
        <f>'АвтоОтзывы'!A139</f>
        <v/>
      </c>
      <c r="B138" s="1432" t="str">
        <f>'АвтоОтзывы'!C139</f>
        <v/>
      </c>
      <c r="C138" s="1432" t="str">
        <f>'АвтоОтзывы'!D139</f>
        <v/>
      </c>
    </row>
    <row r="139" ht="15.75" customHeight="1">
      <c r="A139" s="2326" t="str">
        <f>'АвтоОтзывы'!A140</f>
        <v/>
      </c>
      <c r="B139" s="1432" t="str">
        <f>'АвтоОтзывы'!C140</f>
        <v/>
      </c>
      <c r="C139" s="1432" t="str">
        <f>'АвтоОтзывы'!D140</f>
        <v/>
      </c>
    </row>
    <row r="140" ht="15.75" customHeight="1">
      <c r="A140" s="2326" t="str">
        <f>'АвтоОтзывы'!A141</f>
        <v/>
      </c>
      <c r="B140" s="1432" t="str">
        <f>'АвтоОтзывы'!C141</f>
        <v/>
      </c>
      <c r="C140" s="1432" t="str">
        <f>'АвтоОтзывы'!D141</f>
        <v/>
      </c>
    </row>
    <row r="141" ht="15.75" customHeight="1">
      <c r="A141" s="2326" t="str">
        <f>'АвтоОтзывы'!A142</f>
        <v/>
      </c>
      <c r="B141" s="1432" t="str">
        <f>'АвтоОтзывы'!C142</f>
        <v/>
      </c>
      <c r="C141" s="1432" t="str">
        <f>'АвтоОтзывы'!D142</f>
        <v/>
      </c>
    </row>
    <row r="142" ht="15.75" customHeight="1">
      <c r="A142" s="2326" t="str">
        <f>'АвтоОтзывы'!A143</f>
        <v/>
      </c>
      <c r="B142" s="1432" t="str">
        <f>'АвтоОтзывы'!C143</f>
        <v/>
      </c>
      <c r="C142" s="1432" t="str">
        <f>'АвтоОтзывы'!D143</f>
        <v/>
      </c>
    </row>
    <row r="143" ht="15.75" customHeight="1">
      <c r="A143" s="2326"/>
      <c r="B143" s="1432"/>
      <c r="C143" s="1432"/>
    </row>
    <row r="144" ht="15.75" customHeight="1">
      <c r="A144" s="2326"/>
      <c r="B144" s="1432"/>
      <c r="C144" s="1432"/>
    </row>
    <row r="145" ht="15.75" customHeight="1">
      <c r="A145" s="2326"/>
      <c r="B145" s="1432"/>
      <c r="C145" s="1432"/>
    </row>
    <row r="146" ht="15.75" customHeight="1">
      <c r="A146" s="2326"/>
      <c r="B146" s="1432"/>
      <c r="C146" s="1432"/>
    </row>
    <row r="147" ht="15.75" customHeight="1">
      <c r="A147" s="2326"/>
      <c r="B147" s="1432"/>
      <c r="C147" s="1432"/>
    </row>
    <row r="148" ht="15.75" customHeight="1">
      <c r="A148" s="2326"/>
      <c r="B148" s="1432"/>
      <c r="C148" s="1432"/>
    </row>
    <row r="149" ht="15.75" customHeight="1">
      <c r="A149" s="2326"/>
      <c r="B149" s="1432"/>
      <c r="C149" s="1432"/>
    </row>
    <row r="150" ht="15.75" customHeight="1">
      <c r="A150" s="2326"/>
      <c r="B150" s="1432"/>
      <c r="C150" s="1432"/>
    </row>
    <row r="151" ht="15.75" customHeight="1">
      <c r="A151" s="2326"/>
      <c r="B151" s="1432"/>
      <c r="C151" s="1432"/>
    </row>
    <row r="152" ht="15.75" customHeight="1">
      <c r="A152" s="2326"/>
      <c r="B152" s="1432"/>
      <c r="C152" s="1432"/>
    </row>
    <row r="153" ht="15.75" customHeight="1">
      <c r="A153" s="2326"/>
      <c r="B153" s="1432"/>
      <c r="C153" s="1432"/>
    </row>
    <row r="154" ht="15.75" customHeight="1">
      <c r="A154" s="2326"/>
      <c r="B154" s="1432"/>
      <c r="C154" s="1432"/>
    </row>
    <row r="155" ht="15.75" customHeight="1">
      <c r="A155" s="2326"/>
      <c r="B155" s="1432"/>
      <c r="C155" s="1432"/>
    </row>
    <row r="156" ht="15.75" customHeight="1">
      <c r="A156" s="2326"/>
      <c r="B156" s="1432"/>
      <c r="C156" s="1432"/>
    </row>
    <row r="157" ht="15.75" customHeight="1">
      <c r="A157" s="2326"/>
      <c r="B157" s="1432"/>
      <c r="C157" s="1432"/>
    </row>
    <row r="158" ht="15.75" customHeight="1">
      <c r="A158" s="2326"/>
      <c r="B158" s="1432"/>
      <c r="C158" s="1432"/>
    </row>
    <row r="159" ht="15.75" customHeight="1">
      <c r="A159" s="2326"/>
      <c r="B159" s="1432"/>
      <c r="C159" s="1432"/>
    </row>
    <row r="160" ht="15.75" customHeight="1">
      <c r="A160" s="2326"/>
      <c r="B160" s="1432"/>
      <c r="C160" s="1432"/>
    </row>
    <row r="161" ht="15.75" customHeight="1">
      <c r="A161" s="2326"/>
      <c r="B161" s="1432"/>
      <c r="C161" s="1432"/>
    </row>
    <row r="162" ht="15.75" customHeight="1">
      <c r="A162" s="2326"/>
      <c r="B162" s="1432"/>
      <c r="C162" s="1432"/>
    </row>
    <row r="163" ht="15.75" customHeight="1">
      <c r="A163" s="2326"/>
      <c r="B163" s="1432"/>
      <c r="C163" s="1432"/>
    </row>
    <row r="164" ht="15.75" customHeight="1">
      <c r="A164" s="2326"/>
      <c r="B164" s="1432"/>
      <c r="C164" s="1432"/>
    </row>
    <row r="165" ht="15.75" customHeight="1">
      <c r="A165" s="2326"/>
      <c r="B165" s="1432"/>
      <c r="C165" s="1432"/>
    </row>
    <row r="166" ht="15.75" customHeight="1">
      <c r="A166" s="2326"/>
      <c r="B166" s="1432"/>
      <c r="C166" s="1432"/>
    </row>
    <row r="167" ht="15.75" customHeight="1">
      <c r="A167" s="2326"/>
      <c r="B167" s="1432"/>
      <c r="C167" s="1432"/>
    </row>
    <row r="168" ht="15.75" customHeight="1">
      <c r="A168" s="2326"/>
      <c r="B168" s="1432"/>
      <c r="C168" s="1432"/>
    </row>
    <row r="169" ht="15.75" customHeight="1">
      <c r="A169" s="2326"/>
      <c r="B169" s="1432"/>
      <c r="C169" s="1432"/>
    </row>
    <row r="170" ht="15.75" customHeight="1">
      <c r="A170" s="2326"/>
      <c r="B170" s="1432"/>
      <c r="C170" s="1432"/>
    </row>
    <row r="171" ht="15.75" customHeight="1">
      <c r="A171" s="2326"/>
      <c r="B171" s="1432"/>
      <c r="C171" s="1432"/>
    </row>
    <row r="172" ht="15.75" customHeight="1">
      <c r="A172" s="2326"/>
      <c r="B172" s="1432"/>
      <c r="C172" s="1432"/>
    </row>
    <row r="173" ht="15.75" customHeight="1">
      <c r="A173" s="2326"/>
      <c r="B173" s="1432"/>
      <c r="C173" s="1432"/>
    </row>
    <row r="174" ht="15.75" customHeight="1">
      <c r="A174" s="2326"/>
      <c r="B174" s="1432"/>
      <c r="C174" s="1432"/>
    </row>
    <row r="175" ht="15.75" customHeight="1">
      <c r="A175" s="2326"/>
      <c r="B175" s="1432"/>
      <c r="C175" s="1432"/>
    </row>
    <row r="176" ht="15.75" customHeight="1">
      <c r="A176" s="2326"/>
      <c r="B176" s="1432"/>
      <c r="C176" s="1432"/>
    </row>
    <row r="177" ht="15.75" customHeight="1">
      <c r="A177" s="2326"/>
      <c r="B177" s="1432"/>
      <c r="C177" s="1432"/>
    </row>
    <row r="178" ht="15.75" customHeight="1">
      <c r="A178" s="2326"/>
      <c r="B178" s="1432"/>
      <c r="C178" s="1432"/>
    </row>
    <row r="179" ht="15.75" customHeight="1">
      <c r="A179" s="2326"/>
      <c r="B179" s="1432"/>
      <c r="C179" s="1432"/>
    </row>
    <row r="180" ht="15.75" customHeight="1">
      <c r="A180" s="2326"/>
      <c r="B180" s="1432"/>
      <c r="C180" s="1432"/>
    </row>
    <row r="181" ht="15.75" customHeight="1">
      <c r="A181" s="2326"/>
      <c r="B181" s="1432"/>
      <c r="C181" s="1432"/>
    </row>
    <row r="182" ht="15.75" customHeight="1">
      <c r="A182" s="2326"/>
      <c r="B182" s="1432"/>
      <c r="C182" s="1432"/>
    </row>
    <row r="183" ht="15.75" customHeight="1">
      <c r="A183" s="2326"/>
      <c r="B183" s="1432"/>
      <c r="C183" s="1432"/>
    </row>
    <row r="184" ht="15.75" customHeight="1">
      <c r="A184" s="2326"/>
      <c r="B184" s="1432"/>
      <c r="C184" s="1432"/>
    </row>
    <row r="185" ht="15.75" customHeight="1">
      <c r="A185" s="2326"/>
      <c r="B185" s="1432"/>
      <c r="C185" s="1432"/>
    </row>
    <row r="186" ht="15.75" customHeight="1">
      <c r="A186" s="2326"/>
      <c r="B186" s="1432"/>
      <c r="C186" s="1432"/>
    </row>
    <row r="187" ht="15.75" customHeight="1">
      <c r="A187" s="2326"/>
      <c r="B187" s="1432"/>
      <c r="C187" s="1432"/>
    </row>
    <row r="188" ht="15.75" customHeight="1">
      <c r="A188" s="2326"/>
      <c r="B188" s="1432"/>
      <c r="C188" s="1432"/>
    </row>
    <row r="189" ht="15.75" customHeight="1">
      <c r="A189" s="2326"/>
      <c r="B189" s="1432"/>
      <c r="C189" s="1432"/>
    </row>
    <row r="190" ht="15.75" customHeight="1">
      <c r="A190" s="2326"/>
      <c r="B190" s="1432"/>
      <c r="C190" s="1432"/>
    </row>
    <row r="191" ht="15.75" customHeight="1">
      <c r="A191" s="2326"/>
      <c r="B191" s="1432"/>
      <c r="C191" s="1432"/>
    </row>
    <row r="192" ht="15.75" customHeight="1">
      <c r="A192" s="2326"/>
      <c r="B192" s="1432"/>
      <c r="C192" s="1432"/>
    </row>
    <row r="193" ht="15.75" customHeight="1">
      <c r="A193" s="2326"/>
      <c r="B193" s="1432"/>
      <c r="C193" s="1432"/>
    </row>
    <row r="194" ht="15.75" customHeight="1">
      <c r="A194" s="2326"/>
      <c r="B194" s="1432"/>
      <c r="C194" s="1432"/>
    </row>
    <row r="195" ht="15.75" customHeight="1">
      <c r="A195" s="2326"/>
      <c r="B195" s="1432"/>
      <c r="C195" s="1432"/>
    </row>
    <row r="196" ht="15.75" customHeight="1">
      <c r="A196" s="2326"/>
      <c r="B196" s="1432"/>
      <c r="C196" s="1432"/>
    </row>
    <row r="197" ht="15.75" customHeight="1">
      <c r="A197" s="2326"/>
      <c r="B197" s="1432"/>
      <c r="C197" s="1432"/>
    </row>
    <row r="198" ht="15.75" customHeight="1">
      <c r="A198" s="2326"/>
      <c r="B198" s="1432"/>
      <c r="C198" s="1432"/>
    </row>
    <row r="199" ht="15.75" customHeight="1">
      <c r="A199" s="2326"/>
      <c r="B199" s="1432"/>
      <c r="C199" s="1432"/>
    </row>
    <row r="200" ht="15.75" customHeight="1">
      <c r="A200" s="2326"/>
      <c r="B200" s="1432"/>
      <c r="C200" s="1432"/>
    </row>
    <row r="201" ht="15.75" customHeight="1">
      <c r="A201" s="2326"/>
      <c r="B201" s="1432"/>
      <c r="C201" s="1432"/>
    </row>
    <row r="202" ht="15.75" customHeight="1">
      <c r="A202" s="2326"/>
      <c r="B202" s="1432"/>
      <c r="C202" s="1432"/>
    </row>
    <row r="203" ht="15.75" customHeight="1">
      <c r="A203" s="2326"/>
      <c r="B203" s="1432"/>
      <c r="C203" s="1432"/>
    </row>
    <row r="204" ht="15.75" customHeight="1">
      <c r="A204" s="2326"/>
      <c r="B204" s="1432"/>
      <c r="C204" s="1432"/>
    </row>
    <row r="205" ht="15.75" customHeight="1">
      <c r="A205" s="2326"/>
      <c r="B205" s="1432"/>
      <c r="C205" s="1432"/>
    </row>
    <row r="206" ht="15.75" customHeight="1">
      <c r="A206" s="2326"/>
      <c r="B206" s="1432"/>
      <c r="C206" s="1432"/>
    </row>
    <row r="207" ht="15.75" customHeight="1">
      <c r="A207" s="2326"/>
      <c r="B207" s="1432"/>
      <c r="C207" s="1432"/>
    </row>
    <row r="208" ht="15.75" customHeight="1">
      <c r="A208" s="2326"/>
      <c r="B208" s="1432"/>
      <c r="C208" s="1432"/>
    </row>
    <row r="209" ht="15.75" customHeight="1">
      <c r="A209" s="2326"/>
      <c r="B209" s="1432"/>
      <c r="C209" s="1432"/>
    </row>
    <row r="210" ht="15.75" customHeight="1">
      <c r="A210" s="2326"/>
      <c r="B210" s="1432"/>
      <c r="C210" s="1432"/>
    </row>
    <row r="211" ht="15.75" customHeight="1">
      <c r="A211" s="2326"/>
      <c r="B211" s="1432"/>
      <c r="C211" s="1432"/>
    </row>
    <row r="212" ht="15.75" customHeight="1">
      <c r="A212" s="2326"/>
      <c r="B212" s="1432"/>
      <c r="C212" s="1432"/>
    </row>
    <row r="213" ht="15.75" customHeight="1">
      <c r="A213" s="2326"/>
      <c r="B213" s="1432"/>
      <c r="C213" s="1432"/>
    </row>
    <row r="214" ht="15.75" customHeight="1">
      <c r="A214" s="2326"/>
      <c r="B214" s="1432"/>
      <c r="C214" s="1432"/>
    </row>
    <row r="215" ht="15.75" customHeight="1">
      <c r="A215" s="2326"/>
      <c r="B215" s="1432"/>
      <c r="C215" s="1432"/>
    </row>
    <row r="216" ht="15.75" customHeight="1">
      <c r="A216" s="2326"/>
      <c r="B216" s="1432"/>
      <c r="C216" s="1432"/>
    </row>
    <row r="217" ht="15.75" customHeight="1">
      <c r="A217" s="2326"/>
      <c r="B217" s="1432"/>
      <c r="C217" s="1432"/>
    </row>
    <row r="218" ht="15.75" customHeight="1">
      <c r="A218" s="2326"/>
      <c r="B218" s="1432"/>
      <c r="C218" s="1432"/>
    </row>
    <row r="219" ht="15.75" customHeight="1">
      <c r="A219" s="2326"/>
      <c r="B219" s="1432"/>
      <c r="C219" s="1432"/>
    </row>
    <row r="220" ht="15.75" customHeight="1">
      <c r="A220" s="2326"/>
      <c r="B220" s="1432"/>
      <c r="C220" s="1432"/>
    </row>
    <row r="221" ht="15.75" customHeight="1">
      <c r="A221" s="2326"/>
      <c r="B221" s="1432"/>
      <c r="C221" s="1432"/>
    </row>
    <row r="222" ht="15.75" customHeight="1">
      <c r="A222" s="2326"/>
      <c r="B222" s="1432"/>
      <c r="C222" s="1432"/>
    </row>
    <row r="223" ht="15.75" customHeight="1">
      <c r="A223" s="2326"/>
      <c r="B223" s="1432"/>
      <c r="C223" s="1432"/>
    </row>
    <row r="224" ht="15.75" customHeight="1">
      <c r="A224" s="2326"/>
      <c r="B224" s="1432"/>
      <c r="C224" s="1432"/>
    </row>
    <row r="225" ht="15.75" customHeight="1">
      <c r="A225" s="2326"/>
      <c r="B225" s="1432"/>
      <c r="C225" s="1432"/>
    </row>
    <row r="226" ht="15.75" customHeight="1">
      <c r="A226" s="2326"/>
      <c r="B226" s="1432"/>
      <c r="C226" s="1432"/>
    </row>
    <row r="227" ht="15.75" customHeight="1">
      <c r="A227" s="2326"/>
      <c r="B227" s="1432"/>
      <c r="C227" s="1432"/>
    </row>
    <row r="228" ht="15.75" customHeight="1">
      <c r="A228" s="2326"/>
      <c r="B228" s="1432"/>
      <c r="C228" s="1432"/>
    </row>
    <row r="229" ht="15.75" customHeight="1">
      <c r="A229" s="2326"/>
      <c r="B229" s="1432"/>
      <c r="C229" s="1432"/>
    </row>
    <row r="230" ht="15.75" customHeight="1">
      <c r="A230" s="2326"/>
      <c r="B230" s="1432"/>
      <c r="C230" s="1432"/>
    </row>
    <row r="231" ht="15.75" customHeight="1">
      <c r="A231" s="2326"/>
      <c r="B231" s="1432"/>
      <c r="C231" s="1432"/>
    </row>
    <row r="232" ht="15.75" customHeight="1">
      <c r="A232" s="2326"/>
      <c r="B232" s="1432"/>
      <c r="C232" s="1432"/>
    </row>
    <row r="233" ht="15.75" customHeight="1">
      <c r="A233" s="2326"/>
      <c r="B233" s="1432"/>
      <c r="C233" s="1432"/>
    </row>
    <row r="234" ht="15.75" customHeight="1">
      <c r="A234" s="2326"/>
      <c r="B234" s="1432"/>
      <c r="C234" s="1432"/>
    </row>
    <row r="235" ht="15.75" customHeight="1">
      <c r="A235" s="2326"/>
      <c r="B235" s="1432"/>
      <c r="C235" s="1432"/>
    </row>
    <row r="236" ht="15.75" customHeight="1">
      <c r="A236" s="2326"/>
      <c r="B236" s="1432"/>
      <c r="C236" s="1432"/>
    </row>
    <row r="237" ht="15.75" customHeight="1">
      <c r="A237" s="2326"/>
      <c r="B237" s="1432"/>
      <c r="C237" s="1432"/>
    </row>
    <row r="238" ht="15.75" customHeight="1">
      <c r="A238" s="2326"/>
      <c r="B238" s="1432"/>
      <c r="C238" s="1432"/>
    </row>
    <row r="239" ht="15.75" customHeight="1">
      <c r="A239" s="2326"/>
      <c r="B239" s="1432"/>
      <c r="C239" s="1432"/>
    </row>
    <row r="240" ht="15.75" customHeight="1">
      <c r="A240" s="2326"/>
      <c r="B240" s="1432"/>
      <c r="C240" s="1432"/>
    </row>
    <row r="241" ht="15.75" customHeight="1">
      <c r="A241" s="2326"/>
      <c r="B241" s="1432"/>
      <c r="C241" s="1432"/>
    </row>
    <row r="242" ht="15.75" customHeight="1">
      <c r="A242" s="2326"/>
      <c r="B242" s="1432"/>
      <c r="C242" s="1432"/>
    </row>
    <row r="243" ht="15.75" customHeight="1">
      <c r="A243" s="2326"/>
      <c r="B243" s="1432"/>
      <c r="C243" s="1432"/>
    </row>
    <row r="244" ht="15.75" customHeight="1">
      <c r="A244" s="2326"/>
      <c r="B244" s="1432"/>
      <c r="C244" s="1432"/>
    </row>
    <row r="245" ht="15.75" customHeight="1">
      <c r="A245" s="2326"/>
      <c r="B245" s="1432"/>
      <c r="C245" s="1432"/>
    </row>
    <row r="246" ht="15.75" customHeight="1">
      <c r="A246" s="2326"/>
      <c r="B246" s="1432"/>
      <c r="C246" s="1432"/>
    </row>
    <row r="247" ht="15.75" customHeight="1">
      <c r="A247" s="2326"/>
      <c r="B247" s="1432"/>
      <c r="C247" s="1432"/>
    </row>
    <row r="248" ht="15.75" customHeight="1">
      <c r="A248" s="2326"/>
      <c r="B248" s="1432"/>
      <c r="C248" s="1432"/>
    </row>
    <row r="249" ht="15.75" customHeight="1">
      <c r="A249" s="2326"/>
      <c r="B249" s="1432"/>
      <c r="C249" s="1432"/>
    </row>
    <row r="250" ht="15.75" customHeight="1">
      <c r="A250" s="2326"/>
      <c r="B250" s="1432"/>
      <c r="C250" s="1432"/>
    </row>
    <row r="251" ht="15.75" customHeight="1">
      <c r="A251" s="2326"/>
      <c r="B251" s="1432"/>
      <c r="C251" s="1432"/>
    </row>
    <row r="252" ht="15.75" customHeight="1">
      <c r="A252" s="2326"/>
      <c r="B252" s="1432"/>
      <c r="C252" s="1432"/>
    </row>
    <row r="253" ht="15.75" customHeight="1">
      <c r="A253" s="2326"/>
      <c r="B253" s="1432"/>
      <c r="C253" s="1432"/>
    </row>
    <row r="254" ht="15.75" customHeight="1">
      <c r="A254" s="2326"/>
      <c r="B254" s="1432"/>
      <c r="C254" s="1432"/>
    </row>
    <row r="255" ht="15.75" customHeight="1">
      <c r="A255" s="2326"/>
      <c r="B255" s="1432"/>
      <c r="C255" s="1432"/>
    </row>
    <row r="256" ht="15.75" customHeight="1">
      <c r="A256" s="2326"/>
      <c r="B256" s="1432"/>
      <c r="C256" s="1432"/>
    </row>
    <row r="257" ht="15.75" customHeight="1">
      <c r="A257" s="2326"/>
      <c r="B257" s="1432"/>
      <c r="C257" s="1432"/>
    </row>
    <row r="258" ht="15.75" customHeight="1">
      <c r="A258" s="2326"/>
      <c r="B258" s="1432"/>
      <c r="C258" s="1432"/>
    </row>
    <row r="259" ht="15.75" customHeight="1">
      <c r="A259" s="2326"/>
      <c r="B259" s="1432"/>
      <c r="C259" s="1432"/>
    </row>
    <row r="260" ht="15.75" customHeight="1">
      <c r="A260" s="2326"/>
      <c r="B260" s="1432"/>
      <c r="C260" s="1432"/>
    </row>
    <row r="261" ht="15.75" customHeight="1">
      <c r="A261" s="2326"/>
      <c r="B261" s="1432"/>
      <c r="C261" s="1432"/>
    </row>
    <row r="262" ht="15.75" customHeight="1">
      <c r="A262" s="2326"/>
      <c r="B262" s="1432"/>
      <c r="C262" s="1432"/>
    </row>
    <row r="263" ht="15.75" customHeight="1">
      <c r="A263" s="2326"/>
      <c r="B263" s="1432"/>
      <c r="C263" s="1432"/>
    </row>
    <row r="264" ht="15.75" customHeight="1">
      <c r="A264" s="2326"/>
      <c r="B264" s="1432"/>
      <c r="C264" s="1432"/>
    </row>
    <row r="265" ht="15.75" customHeight="1">
      <c r="A265" s="2326"/>
      <c r="B265" s="1432"/>
      <c r="C265" s="1432"/>
    </row>
    <row r="266" ht="15.75" customHeight="1">
      <c r="A266" s="2326"/>
      <c r="B266" s="1432"/>
      <c r="C266" s="1432"/>
    </row>
    <row r="267" ht="15.75" customHeight="1">
      <c r="A267" s="2326"/>
      <c r="B267" s="1432"/>
      <c r="C267" s="1432"/>
    </row>
    <row r="268" ht="15.75" customHeight="1">
      <c r="A268" s="2326"/>
      <c r="B268" s="1432"/>
      <c r="C268" s="1432"/>
    </row>
    <row r="269" ht="15.75" customHeight="1">
      <c r="A269" s="2326"/>
      <c r="B269" s="1432"/>
      <c r="C269" s="1432"/>
    </row>
    <row r="270" ht="15.75" customHeight="1">
      <c r="A270" s="2326"/>
      <c r="B270" s="1432"/>
      <c r="C270" s="1432"/>
    </row>
    <row r="271" ht="15.75" customHeight="1">
      <c r="A271" s="2326"/>
      <c r="B271" s="1432"/>
      <c r="C271" s="1432"/>
    </row>
    <row r="272" ht="15.75" customHeight="1">
      <c r="A272" s="2326"/>
      <c r="B272" s="1432"/>
      <c r="C272" s="1432"/>
    </row>
    <row r="273" ht="15.75" customHeight="1">
      <c r="A273" s="2326"/>
      <c r="B273" s="1432"/>
      <c r="C273" s="1432"/>
    </row>
    <row r="274" ht="15.75" customHeight="1">
      <c r="A274" s="2326"/>
      <c r="B274" s="1432"/>
      <c r="C274" s="1432"/>
    </row>
    <row r="275" ht="15.75" customHeight="1">
      <c r="A275" s="2326"/>
      <c r="B275" s="1432"/>
      <c r="C275" s="1432"/>
    </row>
    <row r="276" ht="15.75" customHeight="1">
      <c r="A276" s="2326"/>
      <c r="B276" s="1432"/>
      <c r="C276" s="1432"/>
    </row>
    <row r="277" ht="15.75" customHeight="1">
      <c r="A277" s="2326"/>
      <c r="B277" s="1432"/>
      <c r="C277" s="1432"/>
    </row>
    <row r="278" ht="15.75" customHeight="1">
      <c r="A278" s="2326"/>
      <c r="B278" s="1432"/>
      <c r="C278" s="1432"/>
    </row>
    <row r="279" ht="15.75" customHeight="1">
      <c r="A279" s="2326"/>
      <c r="B279" s="1432"/>
      <c r="C279" s="1432"/>
    </row>
    <row r="280" ht="15.75" customHeight="1">
      <c r="A280" s="2326"/>
      <c r="B280" s="1432"/>
      <c r="C280" s="1432"/>
    </row>
    <row r="281" ht="15.75" customHeight="1">
      <c r="A281" s="2326"/>
      <c r="B281" s="1432"/>
      <c r="C281" s="1432"/>
    </row>
    <row r="282" ht="15.75" customHeight="1">
      <c r="A282" s="2326"/>
      <c r="B282" s="1432"/>
      <c r="C282" s="1432"/>
    </row>
    <row r="283" ht="15.75" customHeight="1">
      <c r="A283" s="2326"/>
      <c r="B283" s="1432"/>
      <c r="C283" s="1432"/>
    </row>
    <row r="284" ht="15.75" customHeight="1">
      <c r="A284" s="2326"/>
      <c r="B284" s="1432"/>
      <c r="C284" s="1432"/>
    </row>
    <row r="285" ht="15.75" customHeight="1">
      <c r="A285" s="2326"/>
      <c r="B285" s="1432"/>
      <c r="C285" s="1432"/>
    </row>
    <row r="286" ht="15.75" customHeight="1">
      <c r="A286" s="2326"/>
      <c r="B286" s="1432"/>
      <c r="C286" s="1432"/>
    </row>
    <row r="287" ht="15.75" customHeight="1">
      <c r="A287" s="2326"/>
      <c r="B287" s="1432"/>
      <c r="C287" s="1432"/>
    </row>
    <row r="288" ht="15.75" customHeight="1">
      <c r="A288" s="2326"/>
      <c r="B288" s="1432"/>
      <c r="C288" s="1432"/>
    </row>
    <row r="289" ht="15.75" customHeight="1">
      <c r="A289" s="2326"/>
      <c r="B289" s="1432"/>
      <c r="C289" s="1432"/>
    </row>
    <row r="290" ht="15.75" customHeight="1">
      <c r="A290" s="2326"/>
      <c r="B290" s="1432"/>
      <c r="C290" s="1432"/>
    </row>
    <row r="291" ht="15.75" customHeight="1">
      <c r="A291" s="2326"/>
      <c r="B291" s="1432"/>
      <c r="C291" s="1432"/>
    </row>
    <row r="292" ht="15.75" customHeight="1">
      <c r="A292" s="2326"/>
      <c r="B292" s="1432"/>
      <c r="C292" s="1432"/>
    </row>
    <row r="293" ht="15.75" customHeight="1">
      <c r="A293" s="2326"/>
      <c r="B293" s="1432"/>
      <c r="C293" s="1432"/>
    </row>
    <row r="294" ht="15.75" customHeight="1">
      <c r="A294" s="2326"/>
      <c r="B294" s="1432"/>
      <c r="C294" s="1432"/>
    </row>
    <row r="295" ht="15.75" customHeight="1">
      <c r="A295" s="2326"/>
      <c r="B295" s="1432"/>
      <c r="C295" s="1432"/>
    </row>
    <row r="296" ht="15.75" customHeight="1">
      <c r="A296" s="2326"/>
      <c r="B296" s="1432"/>
      <c r="C296" s="1432"/>
    </row>
    <row r="297" ht="15.75" customHeight="1">
      <c r="A297" s="2326"/>
      <c r="B297" s="1432"/>
      <c r="C297" s="1432"/>
    </row>
    <row r="298" ht="15.75" customHeight="1">
      <c r="A298" s="2326"/>
      <c r="B298" s="1432"/>
      <c r="C298" s="1432"/>
    </row>
    <row r="299" ht="15.75" customHeight="1">
      <c r="A299" s="2326"/>
      <c r="B299" s="1432"/>
      <c r="C299" s="1432"/>
    </row>
    <row r="300" ht="15.75" customHeight="1">
      <c r="A300" s="2326"/>
      <c r="B300" s="1432"/>
      <c r="C300" s="1432"/>
    </row>
    <row r="301" ht="15.75" customHeight="1">
      <c r="A301" s="2326"/>
      <c r="B301" s="1432"/>
      <c r="C301" s="1432"/>
    </row>
    <row r="302" ht="15.75" customHeight="1">
      <c r="A302" s="2326"/>
      <c r="B302" s="1432"/>
      <c r="C302" s="1432"/>
    </row>
    <row r="303" ht="15.75" customHeight="1">
      <c r="A303" s="2326"/>
      <c r="B303" s="1432"/>
      <c r="C303" s="1432"/>
    </row>
    <row r="304" ht="15.75" customHeight="1">
      <c r="A304" s="2326"/>
      <c r="B304" s="1432"/>
      <c r="C304" s="1432"/>
    </row>
    <row r="305" ht="15.75" customHeight="1">
      <c r="A305" s="2326"/>
      <c r="B305" s="1432"/>
      <c r="C305" s="1432"/>
    </row>
    <row r="306" ht="15.75" customHeight="1">
      <c r="A306" s="2326"/>
      <c r="B306" s="1432"/>
      <c r="C306" s="1432"/>
    </row>
    <row r="307" ht="15.75" customHeight="1">
      <c r="A307" s="2326"/>
      <c r="B307" s="1432"/>
      <c r="C307" s="1432"/>
    </row>
    <row r="308" ht="15.75" customHeight="1">
      <c r="A308" s="2326"/>
      <c r="B308" s="1432"/>
      <c r="C308" s="1432"/>
    </row>
    <row r="309" ht="15.75" customHeight="1">
      <c r="A309" s="2326"/>
      <c r="B309" s="1432"/>
      <c r="C309" s="1432"/>
    </row>
    <row r="310" ht="15.75" customHeight="1">
      <c r="A310" s="2326"/>
      <c r="B310" s="1432"/>
      <c r="C310" s="1432"/>
    </row>
    <row r="311" ht="15.75" customHeight="1">
      <c r="A311" s="2326"/>
      <c r="B311" s="1432"/>
      <c r="C311" s="1432"/>
    </row>
    <row r="312" ht="15.75" customHeight="1">
      <c r="A312" s="2326"/>
      <c r="B312" s="1432"/>
      <c r="C312" s="1432"/>
    </row>
    <row r="313" ht="15.75" customHeight="1">
      <c r="A313" s="2326"/>
      <c r="B313" s="1432"/>
      <c r="C313" s="1432"/>
    </row>
    <row r="314" ht="15.75" customHeight="1">
      <c r="A314" s="2326"/>
      <c r="B314" s="1432"/>
      <c r="C314" s="1432"/>
    </row>
    <row r="315" ht="15.75" customHeight="1">
      <c r="A315" s="2326"/>
      <c r="B315" s="1432"/>
      <c r="C315" s="1432"/>
    </row>
    <row r="316" ht="15.75" customHeight="1">
      <c r="A316" s="2326"/>
      <c r="B316" s="1432"/>
      <c r="C316" s="1432"/>
    </row>
    <row r="317" ht="15.75" customHeight="1">
      <c r="A317" s="2326"/>
      <c r="B317" s="1432"/>
      <c r="C317" s="1432"/>
    </row>
    <row r="318" ht="15.75" customHeight="1">
      <c r="A318" s="2326"/>
      <c r="B318" s="1432"/>
      <c r="C318" s="1432"/>
    </row>
    <row r="319" ht="15.75" customHeight="1">
      <c r="A319" s="2326"/>
      <c r="B319" s="1432"/>
      <c r="C319" s="1432"/>
    </row>
    <row r="320" ht="15.75" customHeight="1">
      <c r="A320" s="2326"/>
      <c r="B320" s="1432"/>
      <c r="C320" s="1432"/>
    </row>
    <row r="321" ht="15.75" customHeight="1">
      <c r="A321" s="2326"/>
      <c r="B321" s="1432"/>
      <c r="C321" s="1432"/>
    </row>
    <row r="322" ht="15.75" customHeight="1">
      <c r="A322" s="2326"/>
      <c r="B322" s="1432"/>
      <c r="C322" s="1432"/>
    </row>
    <row r="323" ht="15.75" customHeight="1">
      <c r="A323" s="2326"/>
      <c r="B323" s="1432"/>
      <c r="C323" s="1432"/>
    </row>
    <row r="324" ht="15.75" customHeight="1">
      <c r="A324" s="2326"/>
      <c r="B324" s="1432"/>
      <c r="C324" s="1432"/>
    </row>
    <row r="325" ht="15.75" customHeight="1">
      <c r="A325" s="2326"/>
      <c r="B325" s="1432"/>
      <c r="C325" s="1432"/>
    </row>
    <row r="326" ht="15.75" customHeight="1">
      <c r="A326" s="2326"/>
      <c r="B326" s="1432"/>
      <c r="C326" s="1432"/>
    </row>
    <row r="327" ht="15.75" customHeight="1">
      <c r="A327" s="2326"/>
      <c r="B327" s="1432"/>
      <c r="C327" s="1432"/>
    </row>
    <row r="328" ht="15.75" customHeight="1">
      <c r="A328" s="2326"/>
      <c r="B328" s="1432"/>
      <c r="C328" s="1432"/>
    </row>
    <row r="329" ht="15.75" customHeight="1">
      <c r="A329" s="2326"/>
      <c r="B329" s="1432"/>
      <c r="C329" s="1432"/>
    </row>
    <row r="330" ht="15.75" customHeight="1">
      <c r="A330" s="2326"/>
      <c r="B330" s="1432"/>
      <c r="C330" s="1432"/>
    </row>
    <row r="331" ht="15.75" customHeight="1">
      <c r="A331" s="2326"/>
      <c r="B331" s="1432"/>
      <c r="C331" s="1432"/>
    </row>
    <row r="332" ht="15.75" customHeight="1">
      <c r="A332" s="2326"/>
      <c r="B332" s="1432"/>
      <c r="C332" s="1432"/>
    </row>
    <row r="333" ht="15.75" customHeight="1">
      <c r="A333" s="2326"/>
      <c r="B333" s="1432"/>
      <c r="C333" s="1432"/>
    </row>
    <row r="334" ht="15.75" customHeight="1">
      <c r="A334" s="2326"/>
      <c r="B334" s="1432"/>
      <c r="C334" s="1432"/>
    </row>
    <row r="335" ht="15.75" customHeight="1">
      <c r="A335" s="2326"/>
      <c r="B335" s="1432"/>
      <c r="C335" s="1432"/>
    </row>
    <row r="336" ht="15.75" customHeight="1">
      <c r="A336" s="2326"/>
      <c r="B336" s="1432"/>
      <c r="C336" s="1432"/>
    </row>
    <row r="337" ht="15.75" customHeight="1">
      <c r="A337" s="2326"/>
      <c r="B337" s="1432"/>
      <c r="C337" s="1432"/>
    </row>
    <row r="338" ht="15.75" customHeight="1">
      <c r="A338" s="2326"/>
      <c r="B338" s="1432"/>
      <c r="C338" s="1432"/>
    </row>
    <row r="339" ht="15.75" customHeight="1">
      <c r="A339" s="2326"/>
      <c r="B339" s="1432"/>
      <c r="C339" s="1432"/>
    </row>
    <row r="340" ht="15.75" customHeight="1">
      <c r="A340" s="2326"/>
      <c r="B340" s="1432"/>
      <c r="C340" s="1432"/>
    </row>
    <row r="341" ht="15.75" customHeight="1">
      <c r="A341" s="2326"/>
      <c r="B341" s="1432"/>
      <c r="C341" s="1432"/>
    </row>
    <row r="342" ht="15.75" customHeight="1">
      <c r="A342" s="2326"/>
      <c r="B342" s="1432"/>
      <c r="C342" s="1432"/>
    </row>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